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75" tabRatio="697" firstSheet="16" activeTab="16"/>
  </bookViews>
  <sheets>
    <sheet name="OF" sheetId="5" state="hidden" r:id="rId1"/>
    <sheet name="烫标អ៊ុតផ្លាក" sheetId="6" state="hidden" r:id="rId2"/>
    <sheet name="A01" sheetId="7" state="hidden" r:id="rId3"/>
    <sheet name="A02" sheetId="8" state="hidden" r:id="rId4"/>
    <sheet name="A03" sheetId="9" state="hidden" r:id="rId5"/>
    <sheet name="A04" sheetId="10" state="hidden" r:id="rId6"/>
    <sheet name="A05" sheetId="11" state="hidden" r:id="rId7"/>
    <sheet name="整烫组អ៊ុត" sheetId="12" state="hidden" r:id="rId8"/>
    <sheet name="QC" sheetId="13" state="hidden" r:id="rId9"/>
    <sheet name="PK" sheetId="14" state="hidden" r:id="rId10"/>
    <sheet name="CUT" sheetId="15" state="hidden" r:id="rId11"/>
    <sheet name="打纽扣" sheetId="16" state="hidden" r:id="rId12"/>
    <sheet name="QA" sheetId="17" state="hidden" r:id="rId13"/>
    <sheet name="合计" sheetId="21" state="hidden" r:id="rId14"/>
    <sheet name="By Cash" sheetId="36" state="hidden" r:id="rId15"/>
    <sheet name="By Bank ACLEDA" sheetId="37" state="hidden" r:id="rId16"/>
    <sheet name="សរុប" sheetId="23" r:id="rId17"/>
    <sheet name="chinese" sheetId="33" state="hidden" r:id="rId18"/>
    <sheet name="Resigned workers" sheetId="28" state="hidden" r:id="rId19"/>
    <sheet name="Total resignd" sheetId="35" state="hidden" r:id="rId20"/>
    <sheet name="នាក់មិនបន្តកុងត្រា" sheetId="29" state="hidden" r:id="rId21"/>
    <sheet name="for guest" sheetId="34" state="hidden" r:id="rId22"/>
    <sheet name="Security" sheetId="30" state="hidden" r:id="rId23"/>
  </sheets>
  <externalReferences>
    <externalReference r:id="rId25"/>
    <externalReference r:id="rId26"/>
    <externalReference r:id="rId27"/>
  </externalReferences>
  <definedNames>
    <definedName name="_xlnm._FilterDatabase" localSheetId="0" hidden="1">OF!$A$8:$AY$28</definedName>
    <definedName name="_xlnm._FilterDatabase" localSheetId="1" hidden="1">烫标អ៊ុតផ្លាក!$A$8:$AY$12</definedName>
    <definedName name="_xlnm._FilterDatabase" localSheetId="2" hidden="1">'A01'!$A$8:$AY$37</definedName>
    <definedName name="_xlnm._FilterDatabase" localSheetId="3" hidden="1">'A02'!$A$8:$AY$34</definedName>
    <definedName name="_xlnm._FilterDatabase" localSheetId="4" hidden="1">'A03'!$A$8:$AY$35</definedName>
    <definedName name="_xlnm._FilterDatabase" localSheetId="5" hidden="1">'A04'!$A$8:$AY$33</definedName>
    <definedName name="_xlnm._FilterDatabase" localSheetId="6" hidden="1">'A05'!$A$8:$AY$31</definedName>
    <definedName name="_xlnm._FilterDatabase" localSheetId="8" hidden="1">QC!$A$8:$AY$11</definedName>
    <definedName name="_xlnm._FilterDatabase" localSheetId="9" hidden="1">PK!$A$8:$AY$27</definedName>
    <definedName name="_xlnm._FilterDatabase" localSheetId="10" hidden="1">CUT!$A$8:$AY$17</definedName>
    <definedName name="_xlnm._FilterDatabase" localSheetId="11" hidden="1">打纽扣!$A$8:$AY$13</definedName>
    <definedName name="_xlnm._FilterDatabase" localSheetId="12" hidden="1">QA!$A$8:$AY$20</definedName>
    <definedName name="_xlnm._FilterDatabase" localSheetId="14" hidden="1">'By Cash'!$A$5:$J$10</definedName>
    <definedName name="_xlnm._FilterDatabase" localSheetId="16" hidden="1">សរុប!$A$8:$AP$213</definedName>
    <definedName name="_xlnm._FilterDatabase" localSheetId="17" hidden="1">chinese!$8:$14</definedName>
    <definedName name="_xlnm._FilterDatabase" localSheetId="18" hidden="1">'Resigned workers'!$8:$19</definedName>
    <definedName name="_xlnm._FilterDatabase" localSheetId="19" hidden="1">'Total resignd'!$8:$20</definedName>
    <definedName name="_xlnm._FilterDatabase" localSheetId="20" hidden="1">នាក់មិនបន្តកុងត្រា!$8:$10</definedName>
    <definedName name="_xlnm._FilterDatabase" localSheetId="21" hidden="1">'for guest'!$8:$10</definedName>
    <definedName name="_xlnm._FilterDatabase" localSheetId="22" hidden="1">Security!$8:$13</definedName>
    <definedName name="_xlnm._FilterDatabase" localSheetId="7" hidden="1">整烫组អ៊ុត!$A$8:$AY$23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0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1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2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3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4.xml><?xml version="1.0" encoding="utf-8"?>
<comments xmlns="http://schemas.openxmlformats.org/spreadsheetml/2006/main">
  <authors>
    <author>Administrator</author>
  </authors>
  <commentList>
    <comment ref="AY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Z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BA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5.xml><?xml version="1.0" encoding="utf-8"?>
<comments xmlns="http://schemas.openxmlformats.org/spreadsheetml/2006/main">
  <authors>
    <author>Administrator</author>
  </authors>
  <commentList>
    <comment ref="B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B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B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6.xml><?xml version="1.0" encoding="utf-8"?>
<comments xmlns="http://schemas.openxmlformats.org/spreadsheetml/2006/main">
  <authors>
    <author>Administrator</author>
  </authors>
  <commentList>
    <comment ref="B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B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B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7.xml><?xml version="1.0" encoding="utf-8"?>
<comments xmlns="http://schemas.openxmlformats.org/spreadsheetml/2006/main">
  <authors>
    <author>Administrator</author>
  </authors>
  <commentList>
    <comment ref="B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B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B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8.xml><?xml version="1.0" encoding="utf-8"?>
<comments xmlns="http://schemas.openxmlformats.org/spreadsheetml/2006/main">
  <authors>
    <author>Administrator</author>
  </authors>
  <commentList>
    <comment ref="B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B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B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19.xml><?xml version="1.0" encoding="utf-8"?>
<comments xmlns="http://schemas.openxmlformats.org/spreadsheetml/2006/main">
  <authors>
    <author>Administrator</author>
  </authors>
  <commentList>
    <comment ref="B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B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B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8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A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shou fu </t>
        </r>
      </text>
    </comment>
    <comment ref="AP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lian bang</t>
        </r>
      </text>
    </comment>
    <comment ref="AQ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ji</t>
        </r>
      </text>
    </comment>
  </commentList>
</comments>
</file>

<file path=xl/sharedStrings.xml><?xml version="1.0" encoding="utf-8"?>
<sst xmlns="http://schemas.openxmlformats.org/spreadsheetml/2006/main" count="6217" uniqueCount="1155">
  <si>
    <t>ក្រុមហ៊ុនវូស៊ីជីនម៉ៅ​ហ្គាម៉ិន ឯ.ក</t>
  </si>
  <si>
    <t>CAMBODIAN WU XI JIN MAO GARMET Co., LTD</t>
  </si>
  <si>
    <t>无锡金茂服装（柬埔寨）工厂</t>
  </si>
  <si>
    <t>发工资表2023年01月份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</si>
  <si>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6"/>
      </rPr>
      <t>ផ្នែក</t>
    </r>
    <r>
      <rPr>
        <b/>
        <sz val="10"/>
        <color theme="1"/>
        <rFont val="宋体"/>
        <charset val="134"/>
      </rPr>
      <t>：办公室</t>
    </r>
  </si>
  <si>
    <t>日期10日02月2023年</t>
  </si>
  <si>
    <t>លេខ</t>
  </si>
  <si>
    <t>លេខកាត</t>
  </si>
  <si>
    <t>ឈ្មោះ</t>
  </si>
  <si>
    <t>ថ្ងៃខែចូលធ្វើការ</t>
  </si>
  <si>
    <t>ភេទ</t>
  </si>
  <si>
    <t>ផ្នែក</t>
  </si>
  <si>
    <t>ចំនួនថ្ងៃចូ
លធ្វើការ</t>
  </si>
  <si>
    <t>ចំនួនថ្ងៃឈប់</t>
  </si>
  <si>
    <t>ប្រាក់
ខែគោល</t>
  </si>
  <si>
    <t>ប្រាក់ឈ្នួ
លសរុប</t>
  </si>
  <si>
    <t>ប្រាក់កាត់ពេលឈប់</t>
  </si>
  <si>
    <t>ថែម
ម៉ោង1*5</t>
  </si>
  <si>
    <t>សរុប</t>
  </si>
  <si>
    <t>ថែម
ម៉ោង*2</t>
  </si>
  <si>
    <t>ថែម
ម៉ោងយប់</t>
  </si>
  <si>
    <t>ប្រាក់
រង្វាន់ធ្វើកា
រជាប់លាប់</t>
  </si>
  <si>
    <r>
      <rPr>
        <sz val="6"/>
        <color theme="1"/>
        <rFont val="DFKai-SB"/>
        <charset val="136"/>
      </rPr>
      <t xml:space="preserve">ប្រាក់មុខងារ
</t>
    </r>
    <r>
      <rPr>
        <sz val="6"/>
        <color theme="1"/>
        <rFont val="宋体"/>
        <charset val="134"/>
      </rPr>
      <t>，</t>
    </r>
    <r>
      <rPr>
        <sz val="6"/>
        <color theme="1"/>
        <rFont val="DFKai-SB"/>
        <charset val="136"/>
      </rPr>
      <t>តំណែង</t>
    </r>
  </si>
  <si>
    <t>ប្រាក់
ផ្សេងៗ</t>
  </si>
  <si>
    <t>ប្រាក់ធ្
វើដំណើរ</t>
  </si>
  <si>
    <t>លុយបាយថែមម៉ោង</t>
  </si>
  <si>
    <t>ប្រា
ក់បាយ</t>
  </si>
  <si>
    <t>ប្រាក់អតីតភាព</t>
  </si>
  <si>
    <t>ប្រា
ក់5%</t>
  </si>
  <si>
    <t>ប្រាក់បំ
ណាច់ឆ្នា</t>
  </si>
  <si>
    <t>សរុប
ទាំង
អស់</t>
  </si>
  <si>
    <r>
      <rPr>
        <sz val="6"/>
        <color theme="1"/>
        <rFont val="DFKai-SB"/>
        <charset val="136"/>
      </rPr>
      <t>ប្រាក់ស.ធ</t>
    </r>
    <r>
      <rPr>
        <sz val="6"/>
        <color theme="1"/>
        <rFont val="Times New Roman"/>
        <charset val="136"/>
      </rPr>
      <t>​</t>
    </r>
    <r>
      <rPr>
        <sz val="6"/>
        <color theme="1"/>
        <rFont val="DFKai-SB"/>
        <charset val="136"/>
      </rPr>
      <t>2%</t>
    </r>
  </si>
  <si>
    <t>ពន្ធប្
រាក់បៀវត្ស</t>
  </si>
  <si>
    <t>ប្រាក់
បើកលើកទី១</t>
  </si>
  <si>
    <t>សរុបកាត់លុយផ្
សេងៗទាំងអស់</t>
  </si>
  <si>
    <t>ប្រាកសរុ
បទាំងអស់ដែ
លទទួលបាន</t>
  </si>
  <si>
    <t>លុយ
ដុល្លា</t>
  </si>
  <si>
    <t>លុយខ្មែរ</t>
  </si>
  <si>
    <r>
      <rPr>
        <sz val="6"/>
        <color theme="1"/>
        <rFont val="DFKai-SB"/>
        <charset val="136"/>
      </rPr>
      <t>ហត្តលរខា</t>
    </r>
    <r>
      <rPr>
        <sz val="6"/>
        <color theme="1"/>
        <rFont val="Times New Roman"/>
        <charset val="134"/>
      </rPr>
      <t>​</t>
    </r>
    <r>
      <rPr>
        <sz val="6"/>
        <color theme="1"/>
        <rFont val="DFKai-SB"/>
        <charset val="136"/>
      </rPr>
      <t xml:space="preserve"> 
ស្នាមមេដៃ</t>
    </r>
  </si>
  <si>
    <t>编
号</t>
  </si>
  <si>
    <t>工号</t>
  </si>
  <si>
    <t>姓名</t>
  </si>
  <si>
    <t>Name</t>
  </si>
  <si>
    <t>入厂
日期</t>
  </si>
  <si>
    <t>性别</t>
  </si>
  <si>
    <t>部门</t>
  </si>
  <si>
    <t>上班
天数</t>
  </si>
  <si>
    <t>请假天数</t>
  </si>
  <si>
    <t>本薪</t>
  </si>
  <si>
    <t>薪额</t>
  </si>
  <si>
    <t>请假
金额</t>
  </si>
  <si>
    <t>加班</t>
  </si>
  <si>
    <t>夜班</t>
  </si>
  <si>
    <t>全勤</t>
  </si>
  <si>
    <t>职务</t>
  </si>
  <si>
    <t>其他</t>
  </si>
  <si>
    <t>车马</t>
  </si>
  <si>
    <t>餐费</t>
  </si>
  <si>
    <t>工龄</t>
  </si>
  <si>
    <t>合同</t>
  </si>
  <si>
    <t>年假</t>
  </si>
  <si>
    <t xml:space="preserve">合计
</t>
  </si>
  <si>
    <t>养老金2%</t>
  </si>
  <si>
    <t>所得税</t>
  </si>
  <si>
    <t>第一发工资</t>
  </si>
  <si>
    <t>扣款
合计</t>
  </si>
  <si>
    <t>额现
所得</t>
  </si>
  <si>
    <t>实发
美金</t>
  </si>
  <si>
    <t>实发
柬币</t>
  </si>
  <si>
    <t>签名
手印</t>
  </si>
  <si>
    <t>ACLEDA</t>
  </si>
  <si>
    <t>身份证</t>
  </si>
  <si>
    <t>出生日期</t>
  </si>
  <si>
    <t>家庭状况</t>
  </si>
  <si>
    <t>受抚养的孩子</t>
  </si>
  <si>
    <t>联邦</t>
  </si>
  <si>
    <t>家庭书籍/户口本</t>
  </si>
  <si>
    <t>国籍</t>
  </si>
  <si>
    <t>电话号码</t>
  </si>
  <si>
    <t>时间
1.5</t>
  </si>
  <si>
    <t>加班
费</t>
  </si>
  <si>
    <t>时间
2</t>
  </si>
  <si>
    <t>津贴</t>
  </si>
  <si>
    <t>费</t>
  </si>
  <si>
    <t>5%金</t>
  </si>
  <si>
    <t>អត្តសញ្ញាណប័ណ្ណ</t>
  </si>
  <si>
    <t>ថ្ងៃខែឆ្នាំកំណើត</t>
  </si>
  <si>
    <t>ស្ថានភាព</t>
  </si>
  <si>
    <t>កូនក្នុងបន្ទុក</t>
  </si>
  <si>
    <t>សហព័ន្ធ</t>
  </si>
  <si>
    <t>សៀវភៅគ្រួសារ</t>
  </si>
  <si>
    <t>សញ្ជាតិ</t>
  </si>
  <si>
    <t>លេខទូរស័ព្ទ</t>
  </si>
  <si>
    <t>JM000002</t>
  </si>
  <si>
    <t>អ៊ុក​ច្រឹន</t>
  </si>
  <si>
    <t>PORK SREP</t>
  </si>
  <si>
    <t>ស្រី</t>
  </si>
  <si>
    <t>OF</t>
  </si>
  <si>
    <t>ចុងភៅ</t>
  </si>
  <si>
    <t>រៀបការរួច</t>
  </si>
  <si>
    <t>បីនាក់</t>
  </si>
  <si>
    <t>គ្មាន</t>
  </si>
  <si>
    <t>មាន</t>
  </si>
  <si>
    <t>ខ្មែរ</t>
  </si>
  <si>
    <t>060​75​42​68</t>
  </si>
  <si>
    <t>JM000003</t>
  </si>
  <si>
    <t>ខុម​សុភ័ក្រ្ត</t>
  </si>
  <si>
    <t>KHOM SOPHEAK</t>
  </si>
  <si>
    <t>ប្រុស</t>
  </si>
  <si>
    <t>ជាងដែក</t>
  </si>
  <si>
    <t>បួននាក់</t>
  </si>
  <si>
    <t>097​352​82​39</t>
  </si>
  <si>
    <t>JM000004</t>
  </si>
  <si>
    <t>សាយ​ពិសិទ្ធ</t>
  </si>
  <si>
    <t>SAY PISETH</t>
  </si>
  <si>
    <t>មួយនាក់</t>
  </si>
  <si>
    <t>088​622​96​43</t>
  </si>
  <si>
    <t>JM000005</t>
  </si>
  <si>
    <t>ផាត​សុភាក់</t>
  </si>
  <si>
    <t>PHAT SOPHEAK</t>
  </si>
  <si>
    <t>ជាងភ្លើង</t>
  </si>
  <si>
    <t>017​71​11​93</t>
  </si>
  <si>
    <t>JM000006</t>
  </si>
  <si>
    <t>អ៊ុំ​សៀងហៃ</t>
  </si>
  <si>
    <t>UM SIENGHAI</t>
  </si>
  <si>
    <t>បកប្រែ</t>
  </si>
  <si>
    <t>061663938</t>
  </si>
  <si>
    <t>097​223​44​71</t>
  </si>
  <si>
    <t>JM000009</t>
  </si>
  <si>
    <t>ច្រឹង​ទុប</t>
  </si>
  <si>
    <t>CHROENG TOP</t>
  </si>
  <si>
    <t>ជាងម៉ាស៊ីន</t>
  </si>
  <si>
    <t>097​591​74​73</t>
  </si>
  <si>
    <t>JM000010</t>
  </si>
  <si>
    <t>រឿន​សុផា</t>
  </si>
  <si>
    <t>ROEURN SOPHA</t>
  </si>
  <si>
    <t>015​72​77​17</t>
  </si>
  <si>
    <t>JM000069</t>
  </si>
  <si>
    <t>ង៉ែត​វិរះយុទ្ធ</t>
  </si>
  <si>
    <t>NGET VIRAKYOTH</t>
  </si>
  <si>
    <t>ឃ្លាំងសំភារះ</t>
  </si>
  <si>
    <t>មិនទាន់រៀបការ</t>
  </si>
  <si>
    <t>085​60​67​69</t>
  </si>
  <si>
    <t>JM000070</t>
  </si>
  <si>
    <t>អ៊ឹម​ធឿន</t>
  </si>
  <si>
    <t>Oem Thoeun</t>
  </si>
  <si>
    <t>តាកុងឡាន</t>
  </si>
  <si>
    <t>0965566076</t>
  </si>
  <si>
    <t>JM000088</t>
  </si>
  <si>
    <t>ឃុត​ពិសិទ្ធ</t>
  </si>
  <si>
    <t>Khot Piseth</t>
  </si>
  <si>
    <t>101120566</t>
  </si>
  <si>
    <t>ពីរនាក់</t>
  </si>
  <si>
    <t>010271874</t>
  </si>
  <si>
    <t>JM000217</t>
  </si>
  <si>
    <t>សេន​ស៊ីណាត</t>
  </si>
  <si>
    <t>Sen Sinath</t>
  </si>
  <si>
    <t>រដ្ធបាល</t>
  </si>
  <si>
    <t>100800291</t>
  </si>
  <si>
    <t>0965987577</t>
  </si>
  <si>
    <t>JM000218</t>
  </si>
  <si>
    <t>ចក់​ស្រីនាង</t>
  </si>
  <si>
    <t>Chok Sreyneang</t>
  </si>
  <si>
    <t>021007086</t>
  </si>
  <si>
    <t>កូន3</t>
  </si>
  <si>
    <t>0975872818</t>
  </si>
  <si>
    <t>JM000226</t>
  </si>
  <si>
    <t>កន​សុផារ៉ា</t>
  </si>
  <si>
    <t>Korn Sophara</t>
  </si>
  <si>
    <t>ម៉ាក់ខ័រ</t>
  </si>
  <si>
    <t>100877657</t>
  </si>
  <si>
    <t>070787704</t>
  </si>
  <si>
    <t>JM000298</t>
  </si>
  <si>
    <t>មឿង​សុភាព</t>
  </si>
  <si>
    <t>Morung Sopheap</t>
  </si>
  <si>
    <t>រាបចំនួន</t>
  </si>
  <si>
    <t>100841071</t>
  </si>
  <si>
    <t>086898903</t>
  </si>
  <si>
    <t>JM000311</t>
  </si>
  <si>
    <t>ញឹម​ស្រី</t>
  </si>
  <si>
    <t>HOEM SHREY</t>
  </si>
  <si>
    <t>អនាម័យ</t>
  </si>
  <si>
    <t>JM000320</t>
  </si>
  <si>
    <t>ពៅ​ចាន់រ៉ា</t>
  </si>
  <si>
    <t>POV CHANRA</t>
  </si>
  <si>
    <t>100952956</t>
  </si>
  <si>
    <t>070474678</t>
  </si>
  <si>
    <t>JM000340</t>
  </si>
  <si>
    <t>អ៊ឹម បុល</t>
  </si>
  <si>
    <t>Oem Bol</t>
  </si>
  <si>
    <t>ដុតឡ</t>
  </si>
  <si>
    <t>JM000344</t>
  </si>
  <si>
    <t>ម៉ច​ឆេម​រតនា</t>
  </si>
  <si>
    <t>Mach chhemrathan</t>
  </si>
  <si>
    <t>Nurs</t>
  </si>
  <si>
    <t>JM000356</t>
  </si>
  <si>
    <t>ម៉ែន សាវឌី</t>
  </si>
  <si>
    <t>Men Savdy</t>
  </si>
  <si>
    <t>គណនេយ្យ</t>
  </si>
  <si>
    <t>0966059681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</si>
  <si>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：烫标</t>
    </r>
  </si>
  <si>
    <t>其他
扣款</t>
  </si>
  <si>
    <t>JM000011</t>
  </si>
  <si>
    <t>ឆាន់​ស្រីនិច</t>
  </si>
  <si>
    <t>CHHANN SREYNICH</t>
  </si>
  <si>
    <t>烫标</t>
  </si>
  <si>
    <t>អ៊ុតផ្លាក</t>
  </si>
  <si>
    <t>0962763393</t>
  </si>
  <si>
    <t>JM000013</t>
  </si>
  <si>
    <t>ឆន​មករា</t>
  </si>
  <si>
    <t>CHHORN MAKARA</t>
  </si>
  <si>
    <t>0883943881</t>
  </si>
  <si>
    <t>JM000014</t>
  </si>
  <si>
    <t>គាត​សុម៉ាលី</t>
  </si>
  <si>
    <t>KEAT SOMALY</t>
  </si>
  <si>
    <t>016428170</t>
  </si>
  <si>
    <t>TOTAL：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</si>
  <si>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：A01</t>
    </r>
  </si>
  <si>
    <t>合计</t>
  </si>
  <si>
    <t>JM000018</t>
  </si>
  <si>
    <t>ស​នឿន</t>
  </si>
  <si>
    <t>SOR NOEURN</t>
  </si>
  <si>
    <t>A01</t>
  </si>
  <si>
    <t>ប្រធាន</t>
  </si>
  <si>
    <t>កូន2</t>
  </si>
  <si>
    <t>0962709911</t>
  </si>
  <si>
    <t>JM000020</t>
  </si>
  <si>
    <t>ប៉ុន​បូរី</t>
  </si>
  <si>
    <t>PUN BOREY</t>
  </si>
  <si>
    <t>ដេរ</t>
  </si>
  <si>
    <t>088​395​73​43</t>
  </si>
  <si>
    <t>JM000023</t>
  </si>
  <si>
    <t>ទួន​យិន</t>
  </si>
  <si>
    <t>TUON YEN</t>
  </si>
  <si>
    <t>កូន1</t>
  </si>
  <si>
    <t>097 380 30 74</t>
  </si>
  <si>
    <t>JM000024</t>
  </si>
  <si>
    <t>ម៉ែន​ម៉ាស៊ីណា</t>
  </si>
  <si>
    <t>MEN MASINA</t>
  </si>
  <si>
    <t>0964631063</t>
  </si>
  <si>
    <t>JM000026</t>
  </si>
  <si>
    <t>យ៉ែម​ចាន់ថុន</t>
  </si>
  <si>
    <t>YEM CHANTHON</t>
  </si>
  <si>
    <t>097 406 09 05</t>
  </si>
  <si>
    <t>JM000028</t>
  </si>
  <si>
    <t>យន់ នី</t>
  </si>
  <si>
    <t>YUN NY</t>
  </si>
  <si>
    <t>096 20 82 014</t>
  </si>
  <si>
    <t>JM000031</t>
  </si>
  <si>
    <t>ទូច​ដានី</t>
  </si>
  <si>
    <t>TOUCH DANY</t>
  </si>
  <si>
    <t>071 875 90 72</t>
  </si>
  <si>
    <t>JM000032</t>
  </si>
  <si>
    <t>ឆឹង​សុខស្រីមុំ</t>
  </si>
  <si>
    <t>CHHOENG SOKSREYMOM</t>
  </si>
  <si>
    <t>097 937 16 57</t>
  </si>
  <si>
    <t>JM000034</t>
  </si>
  <si>
    <t>ម៉ៅ​រ័ត្ន</t>
  </si>
  <si>
    <t>MEOU ROTH</t>
  </si>
  <si>
    <t>096 215 31 31</t>
  </si>
  <si>
    <t>JM000035</t>
  </si>
  <si>
    <t>នឿន​ផល្លា</t>
  </si>
  <si>
    <t>NOEURN PHALA</t>
  </si>
  <si>
    <t>020900010</t>
  </si>
  <si>
    <t>096 921 42 21</t>
  </si>
  <si>
    <t>JM000040</t>
  </si>
  <si>
    <t>ញិន​សារីយ៏</t>
  </si>
  <si>
    <t>NHIN SAVRY</t>
  </si>
  <si>
    <t>0968​10​00​62</t>
  </si>
  <si>
    <t>JM000041</t>
  </si>
  <si>
    <t>គឹម​ថា</t>
  </si>
  <si>
    <t>KIM THA</t>
  </si>
  <si>
    <t>068​79​78​37</t>
  </si>
  <si>
    <t>JM000046</t>
  </si>
  <si>
    <t>សន​ចន្ថា</t>
  </si>
  <si>
    <t>SORN CHANTHA</t>
  </si>
  <si>
    <t>JM000057</t>
  </si>
  <si>
    <t>ឆេម​ផានិត</t>
  </si>
  <si>
    <t>CHHEN PHANIT</t>
  </si>
  <si>
    <t>015727717</t>
  </si>
  <si>
    <t>JM000068</t>
  </si>
  <si>
    <t>ប្រាជ្ង​ឆដា</t>
  </si>
  <si>
    <t>BRACH CHHORDA</t>
  </si>
  <si>
    <t>061200123(01)</t>
  </si>
  <si>
    <t>0963444187</t>
  </si>
  <si>
    <t>JM000303</t>
  </si>
  <si>
    <t>ស៊ុន​ង៉ោល</t>
  </si>
  <si>
    <t>Sun Ngoul</t>
  </si>
  <si>
    <t>101085251</t>
  </si>
  <si>
    <t>096987623</t>
  </si>
  <si>
    <t>JM000324</t>
  </si>
  <si>
    <t>ស​ប្រុស</t>
  </si>
  <si>
    <t>Sor Bros</t>
  </si>
  <si>
    <t>100939802</t>
  </si>
  <si>
    <t>0963292496</t>
  </si>
  <si>
    <t>JM000325</t>
  </si>
  <si>
    <t>យឹម សាបាន</t>
  </si>
  <si>
    <t>Yoem Saban</t>
  </si>
  <si>
    <t>050889953</t>
  </si>
  <si>
    <t>0977886508</t>
  </si>
  <si>
    <t>JM000326</t>
  </si>
  <si>
    <t>យឿន ស្រីចន្ធូ</t>
  </si>
  <si>
    <t>Yeoun Srey Chan Thou</t>
  </si>
  <si>
    <t>090501488</t>
  </si>
  <si>
    <t>0887454621</t>
  </si>
  <si>
    <t>JM000357</t>
  </si>
  <si>
    <t>សុ​លីនដា</t>
  </si>
  <si>
    <t>Khon Solinda</t>
  </si>
  <si>
    <t>010543244</t>
  </si>
  <si>
    <t>0967154243</t>
  </si>
  <si>
    <t>JM000358</t>
  </si>
  <si>
    <t>ម៉ម ខេត</t>
  </si>
  <si>
    <t>Morm Khet</t>
  </si>
  <si>
    <t>0974075827</t>
  </si>
  <si>
    <t>JM000369</t>
  </si>
  <si>
    <t>ម៉ាន់​សូផុន</t>
  </si>
  <si>
    <t>Mann Sophon</t>
  </si>
  <si>
    <t>JM000375</t>
  </si>
  <si>
    <t>គុណ​ភស្តា</t>
  </si>
  <si>
    <t>Kun Phorsta</t>
  </si>
  <si>
    <t>101339549</t>
  </si>
  <si>
    <t>0968876885</t>
  </si>
  <si>
    <t>JM000376</t>
  </si>
  <si>
    <t>ខៀវ អូន</t>
  </si>
  <si>
    <t>Khiev Oun</t>
  </si>
  <si>
    <t>015807162</t>
  </si>
  <si>
    <t>JM000377</t>
  </si>
  <si>
    <t>ញាន​គន្ធា</t>
  </si>
  <si>
    <t>Nhan Kothea</t>
  </si>
  <si>
    <t>0975077246</t>
  </si>
  <si>
    <t>JM000378</t>
  </si>
  <si>
    <t>ហឿន ស្រីនាង</t>
  </si>
  <si>
    <t>Hoeurn Sreyneang</t>
  </si>
  <si>
    <t>061657370</t>
  </si>
  <si>
    <t>069683843</t>
  </si>
  <si>
    <t>JM000379</t>
  </si>
  <si>
    <t>គឹម​ស្រីមន</t>
  </si>
  <si>
    <t>Koem Sreymorn</t>
  </si>
  <si>
    <t>0889643445</t>
  </si>
  <si>
    <t>JM000380</t>
  </si>
  <si>
    <t>ប៉ុន​ធា</t>
  </si>
  <si>
    <t>Pon Thea</t>
  </si>
  <si>
    <t>0967256603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</si>
  <si>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：A02</t>
    </r>
  </si>
  <si>
    <t>Remark</t>
  </si>
  <si>
    <t>JM000210</t>
  </si>
  <si>
    <t>ម៉ន​ម៉េង</t>
  </si>
  <si>
    <t>Morm Meng</t>
  </si>
  <si>
    <t>A02</t>
  </si>
  <si>
    <t>0888052900</t>
  </si>
  <si>
    <t>JM000016</t>
  </si>
  <si>
    <t>កប​រតន្នា</t>
  </si>
  <si>
    <t>KORB RATANA</t>
  </si>
  <si>
    <t>0716456168</t>
  </si>
  <si>
    <t>JM000045</t>
  </si>
  <si>
    <t>ជុំ​ណង</t>
  </si>
  <si>
    <t>CHOM NORNG</t>
  </si>
  <si>
    <t>0976991080</t>
  </si>
  <si>
    <t>JM000048</t>
  </si>
  <si>
    <t>វិត​គឹមឡាយ</t>
  </si>
  <si>
    <t>VITH KIMLAY</t>
  </si>
  <si>
    <t>098524936</t>
  </si>
  <si>
    <t>JM000049</t>
  </si>
  <si>
    <t>ឃឹម​ល័ក្ខ</t>
  </si>
  <si>
    <t>KHOEM LEAK</t>
  </si>
  <si>
    <t>0965929088</t>
  </si>
  <si>
    <t>JM000052</t>
  </si>
  <si>
    <t>វ៉ន​ផល្លា</t>
  </si>
  <si>
    <t>VORN RHALLA</t>
  </si>
  <si>
    <t>010547837</t>
  </si>
  <si>
    <t>JM000054</t>
  </si>
  <si>
    <t>ញ៉ន​សុភ័ក</t>
  </si>
  <si>
    <t>NHORN SOPHEAK</t>
  </si>
  <si>
    <t>030760725</t>
  </si>
  <si>
    <t>JM000055</t>
  </si>
  <si>
    <t>ប៉ុន​រត្ថា</t>
  </si>
  <si>
    <t>PUN RATHA</t>
  </si>
  <si>
    <t>0965092827</t>
  </si>
  <si>
    <t>JM000056</t>
  </si>
  <si>
    <t>ម៉ាក់​មុំ</t>
  </si>
  <si>
    <t>MAK MOM</t>
  </si>
  <si>
    <t>040420600</t>
  </si>
  <si>
    <t>011448746</t>
  </si>
  <si>
    <t>JM000058</t>
  </si>
  <si>
    <t>អ៊ុក​ចាន្នី</t>
  </si>
  <si>
    <t>UOK CHANTHY</t>
  </si>
  <si>
    <t>0968062860</t>
  </si>
  <si>
    <t>JM000059</t>
  </si>
  <si>
    <t>សេក​សុគន្ធា</t>
  </si>
  <si>
    <t>SEK SOKUNTHEA</t>
  </si>
  <si>
    <t>0964880004</t>
  </si>
  <si>
    <t>JM000061</t>
  </si>
  <si>
    <t>វ៉ាន់​ចាន្នី</t>
  </si>
  <si>
    <t>VAN CHANNY</t>
  </si>
  <si>
    <t>0975251322</t>
  </si>
  <si>
    <t>JM000062</t>
  </si>
  <si>
    <t>ឡា​ឃឹម</t>
  </si>
  <si>
    <t>LA KHIM</t>
  </si>
  <si>
    <t>0963480689</t>
  </si>
  <si>
    <t>JM000063</t>
  </si>
  <si>
    <t>ឆែម​មាន</t>
  </si>
  <si>
    <t>CHHEN MAN</t>
  </si>
  <si>
    <t>JM000064</t>
  </si>
  <si>
    <t>ឆំ​ស្រីរ៉េម</t>
  </si>
  <si>
    <t>CHHOM SREYREN</t>
  </si>
  <si>
    <t>0972932241</t>
  </si>
  <si>
    <t>JM000065</t>
  </si>
  <si>
    <t>ផៅ​សុភាព</t>
  </si>
  <si>
    <t>PHAO SOPHEAP</t>
  </si>
  <si>
    <t>0716089821</t>
  </si>
  <si>
    <t>JM000269</t>
  </si>
  <si>
    <t>គឺម​បូរី</t>
  </si>
  <si>
    <t>Kim Borey</t>
  </si>
  <si>
    <t>0966297724</t>
  </si>
  <si>
    <t>JM000301</t>
  </si>
  <si>
    <t>ជួង​អន</t>
  </si>
  <si>
    <t>Chuong Orn</t>
  </si>
  <si>
    <t>101170162</t>
  </si>
  <si>
    <t>0963869329</t>
  </si>
  <si>
    <t>JM000302</t>
  </si>
  <si>
    <t>ម៉ក់​ស្រី</t>
  </si>
  <si>
    <t>Makk Srey</t>
  </si>
  <si>
    <t>110481398</t>
  </si>
  <si>
    <t>0979517883</t>
  </si>
  <si>
    <t>JM000331</t>
  </si>
  <si>
    <t>សាន់ ស្រីរ័ត្ន</t>
  </si>
  <si>
    <t>Sun Srey Roth</t>
  </si>
  <si>
    <t>JM000332</t>
  </si>
  <si>
    <t>កយ​មុំ</t>
  </si>
  <si>
    <t>Koy Mom</t>
  </si>
  <si>
    <t>050848488</t>
  </si>
  <si>
    <t>JM000334</t>
  </si>
  <si>
    <t>ញឺម សេង</t>
  </si>
  <si>
    <t>Nherm Seng</t>
  </si>
  <si>
    <t>JM000335</t>
  </si>
  <si>
    <t>អែល ស្រីទូច</t>
  </si>
  <si>
    <t>El Srey Touch</t>
  </si>
  <si>
    <t>JM000381</t>
  </si>
  <si>
    <t>ញ៉​ស្រី</t>
  </si>
  <si>
    <t>Nhor Srey</t>
  </si>
  <si>
    <t>JM000382</t>
  </si>
  <si>
    <t>អួច ចាន់ដន</t>
  </si>
  <si>
    <t>Ouch Chandorn</t>
  </si>
  <si>
    <t>0963102450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</si>
  <si>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：A03</t>
    </r>
  </si>
  <si>
    <t>JM000209</t>
  </si>
  <si>
    <t>ភឿក​ប៊ុន</t>
  </si>
  <si>
    <t>PHUAK BUT</t>
  </si>
  <si>
    <t>A03</t>
  </si>
  <si>
    <t>0975083009</t>
  </si>
  <si>
    <t>JM000134</t>
  </si>
  <si>
    <t>មុំ​ចាន់ថូ</t>
  </si>
  <si>
    <t>MOM CHANTHO</t>
  </si>
  <si>
    <t>0965154413</t>
  </si>
  <si>
    <t>JM000138</t>
  </si>
  <si>
    <t>ជន​ប៊ុនថន</t>
  </si>
  <si>
    <t>CHORN BUNTHAN</t>
  </si>
  <si>
    <t>110236888（01）</t>
  </si>
  <si>
    <t>0973650409</t>
  </si>
  <si>
    <t>JM000139</t>
  </si>
  <si>
    <t>ជិន​ស្រីពៅ</t>
  </si>
  <si>
    <t>CHIN SREYPOV</t>
  </si>
  <si>
    <t>9064036572</t>
  </si>
  <si>
    <t>JM000145</t>
  </si>
  <si>
    <t>ផាត​វ៉ាន់នី</t>
  </si>
  <si>
    <t>PHAT VANNY</t>
  </si>
  <si>
    <t>062052587</t>
  </si>
  <si>
    <t>0964638355</t>
  </si>
  <si>
    <t>JM000146</t>
  </si>
  <si>
    <t>នាង​ស្រីប៉ុល</t>
  </si>
  <si>
    <t>NEANG SREYBOL</t>
  </si>
  <si>
    <t>0717995421</t>
  </si>
  <si>
    <t>JM000147</t>
  </si>
  <si>
    <t>សៀក​លុន</t>
  </si>
  <si>
    <t>SIEK LON</t>
  </si>
  <si>
    <t>0973249373</t>
  </si>
  <si>
    <t>JM000178</t>
  </si>
  <si>
    <t>ភួង​ស្រីមុំ</t>
  </si>
  <si>
    <t>Phuong Sreymom</t>
  </si>
  <si>
    <t>021284248</t>
  </si>
  <si>
    <t>0963229948</t>
  </si>
  <si>
    <t>JM000187</t>
  </si>
  <si>
    <t>សាក់​ស៊ីថៃ</t>
  </si>
  <si>
    <t>Sak Sithai</t>
  </si>
  <si>
    <t>101399845</t>
  </si>
  <si>
    <t>0974707730</t>
  </si>
  <si>
    <t>JM000190</t>
  </si>
  <si>
    <t>ង៉ែត​ពៅ</t>
  </si>
  <si>
    <t>NGET POV</t>
  </si>
  <si>
    <t>0965453798</t>
  </si>
  <si>
    <t>JM000193</t>
  </si>
  <si>
    <t>ប៊ុត​ចាន់ស្រីពៅ</t>
  </si>
  <si>
    <t>BUT CHHASREYPOV</t>
  </si>
  <si>
    <t>JM000208</t>
  </si>
  <si>
    <t>វិត​បូរី</t>
  </si>
  <si>
    <t>VET BORY</t>
  </si>
  <si>
    <t>093667824</t>
  </si>
  <si>
    <t>JM000280</t>
  </si>
  <si>
    <t>ឃុត​មន្ថា</t>
  </si>
  <si>
    <t>Khoth montha</t>
  </si>
  <si>
    <t>100918174</t>
  </si>
  <si>
    <t>0979608559</t>
  </si>
  <si>
    <t>JM000281</t>
  </si>
  <si>
    <t>មុះ​ពៅ</t>
  </si>
  <si>
    <t>Mos Pov</t>
  </si>
  <si>
    <t>100710842</t>
  </si>
  <si>
    <t>0972424301</t>
  </si>
  <si>
    <t>JM000289</t>
  </si>
  <si>
    <t>តុក​រេន</t>
  </si>
  <si>
    <t>Tren Uk</t>
  </si>
  <si>
    <t>101210685</t>
  </si>
  <si>
    <t>0972722479</t>
  </si>
  <si>
    <t>JM000290</t>
  </si>
  <si>
    <t>ម៉ាក​សាមី</t>
  </si>
  <si>
    <t>Mak Samy</t>
  </si>
  <si>
    <t>100940645</t>
  </si>
  <si>
    <t>0886053004</t>
  </si>
  <si>
    <t>JM000292</t>
  </si>
  <si>
    <t>អុន​សាវន</t>
  </si>
  <si>
    <t>On Savan</t>
  </si>
  <si>
    <t>061501842</t>
  </si>
  <si>
    <t>JM000315</t>
  </si>
  <si>
    <t>សែម ពៅ</t>
  </si>
  <si>
    <t>Sem Pov</t>
  </si>
  <si>
    <t>101065932</t>
  </si>
  <si>
    <t>កុន3</t>
  </si>
  <si>
    <t>068294322</t>
  </si>
  <si>
    <t>JM000350</t>
  </si>
  <si>
    <t>ឈិន ច័ន្ទណា</t>
  </si>
  <si>
    <t>Chhin Channa</t>
  </si>
  <si>
    <t>កុន1</t>
  </si>
  <si>
    <t>JM000351</t>
  </si>
  <si>
    <t>ឈឺន សុជាតិ</t>
  </si>
  <si>
    <t>Chhin Socheat</t>
  </si>
  <si>
    <t>020764149</t>
  </si>
  <si>
    <t>កុន2</t>
  </si>
  <si>
    <t>JM000353</t>
  </si>
  <si>
    <t>សុគុណ សីហា</t>
  </si>
  <si>
    <t>Sokun Siha</t>
  </si>
  <si>
    <t>011179522</t>
  </si>
  <si>
    <t>JM000360</t>
  </si>
  <si>
    <t>មុំ​ចាន់ថា</t>
  </si>
  <si>
    <t>Mom Chantha</t>
  </si>
  <si>
    <t>100825338</t>
  </si>
  <si>
    <t>090897898</t>
  </si>
  <si>
    <t>JM000361</t>
  </si>
  <si>
    <t>នាង​បុល</t>
  </si>
  <si>
    <t>Neang Bul</t>
  </si>
  <si>
    <t>JM000362</t>
  </si>
  <si>
    <t>ឃឹម​ហន</t>
  </si>
  <si>
    <t>Khoem Horn</t>
  </si>
  <si>
    <t>JM000367</t>
  </si>
  <si>
    <t>សូត្រ​ប៉ុន</t>
  </si>
  <si>
    <t>South Pon</t>
  </si>
  <si>
    <t>JM000368</t>
  </si>
  <si>
    <t>ប៉ុន​នឿន</t>
  </si>
  <si>
    <t>Pon Noeurn</t>
  </si>
  <si>
    <t>TOTAL: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</si>
  <si>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：A04</t>
    </r>
  </si>
  <si>
    <t>JM000133</t>
  </si>
  <si>
    <t>ដាំ​កុលធីដា</t>
  </si>
  <si>
    <t>DRAM KOLTHYDA</t>
  </si>
  <si>
    <t>A04</t>
  </si>
  <si>
    <t>0717528147</t>
  </si>
  <si>
    <t>JM000151</t>
  </si>
  <si>
    <t>ញ៉​សារ៉ាន់</t>
  </si>
  <si>
    <t>Nhor Saran</t>
  </si>
  <si>
    <t>101225450</t>
  </si>
  <si>
    <t>JM000152</t>
  </si>
  <si>
    <t>សេន​ឆវី</t>
  </si>
  <si>
    <t>Sen Chorvy</t>
  </si>
  <si>
    <t>100825257</t>
  </si>
  <si>
    <t>0969881698</t>
  </si>
  <si>
    <t>JM000153</t>
  </si>
  <si>
    <t>ទូច​ស្រអ៊ីន</t>
  </si>
  <si>
    <t>Touch Sreyin</t>
  </si>
  <si>
    <t>101342042</t>
  </si>
  <si>
    <t>07142582537</t>
  </si>
  <si>
    <t>JM000168</t>
  </si>
  <si>
    <t>ប្រាក់​ទូច</t>
  </si>
  <si>
    <t>BRAK TUOCH</t>
  </si>
  <si>
    <t>0965522856</t>
  </si>
  <si>
    <t>JM000169</t>
  </si>
  <si>
    <t>ភឿក​ភក្តី</t>
  </si>
  <si>
    <t>PHOEUK PHEAKDEY</t>
  </si>
  <si>
    <t>0889377426</t>
  </si>
  <si>
    <t>JM000172</t>
  </si>
  <si>
    <t>ប៉ក់​ស្រីពៅ</t>
  </si>
  <si>
    <t>PORK SREYPOV</t>
  </si>
  <si>
    <t>0967733698</t>
  </si>
  <si>
    <t>JM000174</t>
  </si>
  <si>
    <t>ហុក​ប៊ុនហេង</t>
  </si>
  <si>
    <t>HOK BUNHENG</t>
  </si>
  <si>
    <t>0973781723</t>
  </si>
  <si>
    <t>JM000175</t>
  </si>
  <si>
    <t>JM000179</t>
  </si>
  <si>
    <t>រស់​រឿន</t>
  </si>
  <si>
    <t>ROS ROEUN</t>
  </si>
  <si>
    <t>0977658806</t>
  </si>
  <si>
    <t>JM000180</t>
  </si>
  <si>
    <t>យន់​អម្ពរ</t>
  </si>
  <si>
    <t>YON AMPOR</t>
  </si>
  <si>
    <t>110411237（01）</t>
  </si>
  <si>
    <t>0716232494</t>
  </si>
  <si>
    <t>JM000181</t>
  </si>
  <si>
    <t>ឈេន​អឿន</t>
  </si>
  <si>
    <t>CHHEN OEURN</t>
  </si>
  <si>
    <t>081341277</t>
  </si>
  <si>
    <t>JM000185</t>
  </si>
  <si>
    <t>ង៉ែត​ភាព</t>
  </si>
  <si>
    <t>NGET SOPHEAP</t>
  </si>
  <si>
    <t>0975331088</t>
  </si>
  <si>
    <t>JM000189</t>
  </si>
  <si>
    <t>ប៊ុន​សុភ័ណ្ឌ</t>
  </si>
  <si>
    <t>BUN SOPHORN</t>
  </si>
  <si>
    <t>0973566886</t>
  </si>
  <si>
    <t>JM000192</t>
  </si>
  <si>
    <t>ទឹម​ចន្លាក់</t>
  </si>
  <si>
    <t>Toem Channath</t>
  </si>
  <si>
    <t>101369559</t>
  </si>
  <si>
    <t>0962026021</t>
  </si>
  <si>
    <t>JM000199</t>
  </si>
  <si>
    <t>ញក​កែវ</t>
  </si>
  <si>
    <t>NHOK KEO</t>
  </si>
  <si>
    <t>067558795</t>
  </si>
  <si>
    <t>JM000204</t>
  </si>
  <si>
    <t>តុប​ស្រីទុំ</t>
  </si>
  <si>
    <t>TOP SREYTOM</t>
  </si>
  <si>
    <t>010984773</t>
  </si>
  <si>
    <t>JM000212</t>
  </si>
  <si>
    <t>ភោ អូន</t>
  </si>
  <si>
    <t>Phor oun</t>
  </si>
  <si>
    <t>0889547825</t>
  </si>
  <si>
    <t>JM000214</t>
  </si>
  <si>
    <t>ទូច ស្រីដា</t>
  </si>
  <si>
    <t>Touch Sreyda</t>
  </si>
  <si>
    <t>0963978742</t>
  </si>
  <si>
    <t>JM000272</t>
  </si>
  <si>
    <t>ណាំ​ស្រីមុំ</t>
  </si>
  <si>
    <t>Nam Sreymom</t>
  </si>
  <si>
    <t>101309562</t>
  </si>
  <si>
    <t>0716608869</t>
  </si>
  <si>
    <t>JM000273</t>
  </si>
  <si>
    <t>បូ​សូភី</t>
  </si>
  <si>
    <t>Bo Sophy</t>
  </si>
  <si>
    <t>101121358</t>
  </si>
  <si>
    <t>0885495101</t>
  </si>
  <si>
    <t>JM000278</t>
  </si>
  <si>
    <t>ញ៉ែម​សាវេត</t>
  </si>
  <si>
    <t>Nhem Savet</t>
  </si>
  <si>
    <t>100319437</t>
  </si>
  <si>
    <t>0965084829</t>
  </si>
  <si>
    <t>JM000279</t>
  </si>
  <si>
    <t>ឃុត​ធា</t>
  </si>
  <si>
    <t>Khut Thea</t>
  </si>
  <si>
    <t>100953091</t>
  </si>
  <si>
    <t>0885535973</t>
  </si>
  <si>
    <t>JM000319</t>
  </si>
  <si>
    <t>ញ៉ែម ស្រី</t>
  </si>
  <si>
    <t>Nhem Srey</t>
  </si>
  <si>
    <t>101136674</t>
  </si>
  <si>
    <t>060295935</t>
  </si>
  <si>
    <t>ខេមបូឌានវូស៊ីជីនម៉ៅ​ហ្គាម៉ិន ឯ.ក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</si>
  <si>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：A05</t>
    </r>
  </si>
  <si>
    <t>JM000224</t>
  </si>
  <si>
    <t>ឡាច ហ៊ុន</t>
  </si>
  <si>
    <t>Lach Hun</t>
  </si>
  <si>
    <t>ស្រិ</t>
  </si>
  <si>
    <t>A05</t>
  </si>
  <si>
    <t>0969081930</t>
  </si>
  <si>
    <t>JM000239</t>
  </si>
  <si>
    <t>ញ៉ង់​មុំ</t>
  </si>
  <si>
    <t>Nhang Mom</t>
  </si>
  <si>
    <t>100790286</t>
  </si>
  <si>
    <t>016457703</t>
  </si>
  <si>
    <t>JM000241</t>
  </si>
  <si>
    <t>យិន​សោក</t>
  </si>
  <si>
    <t>Yen Sok</t>
  </si>
  <si>
    <t>100702576</t>
  </si>
  <si>
    <t>087307262</t>
  </si>
  <si>
    <t>JM000242</t>
  </si>
  <si>
    <t>គង់​ស្តើង</t>
  </si>
  <si>
    <t>Kong Sdoeung</t>
  </si>
  <si>
    <t>101364836</t>
  </si>
  <si>
    <t>070500640</t>
  </si>
  <si>
    <t>JM000243</t>
  </si>
  <si>
    <t>ណុប​ចាន់ណា</t>
  </si>
  <si>
    <t>Nop Channa</t>
  </si>
  <si>
    <t>101445102</t>
  </si>
  <si>
    <t>0717887837</t>
  </si>
  <si>
    <t>JM000245</t>
  </si>
  <si>
    <t>ជុន​យឿន</t>
  </si>
  <si>
    <t>Chun yoeurn</t>
  </si>
  <si>
    <t>100953357</t>
  </si>
  <si>
    <t>0975475221</t>
  </si>
  <si>
    <t>JM000247</t>
  </si>
  <si>
    <t>សិត​ម៉ៅ</t>
  </si>
  <si>
    <t>Sit Mao</t>
  </si>
  <si>
    <t>101257024</t>
  </si>
  <si>
    <t>0967076676</t>
  </si>
  <si>
    <t>JM000250</t>
  </si>
  <si>
    <t>សុន​ស្រីធូ</t>
  </si>
  <si>
    <t>Sorn Sreythou</t>
  </si>
  <si>
    <t>0962193163</t>
  </si>
  <si>
    <t>JM000251</t>
  </si>
  <si>
    <t>ជី​សុភ័ណ្ឌ</t>
  </si>
  <si>
    <t>Chy SoPhorn</t>
  </si>
  <si>
    <t>101450807</t>
  </si>
  <si>
    <t>067317810</t>
  </si>
  <si>
    <t>JM000255</t>
  </si>
  <si>
    <t>អៀម​ជូរី</t>
  </si>
  <si>
    <t>Iem Chuory</t>
  </si>
  <si>
    <t>100870525</t>
  </si>
  <si>
    <t>0968294862</t>
  </si>
  <si>
    <t>JM000256</t>
  </si>
  <si>
    <t>សេង​ចាន់ស្រីល័ក្រ</t>
  </si>
  <si>
    <t>Seng Chansrey leak</t>
  </si>
  <si>
    <t>100848315</t>
  </si>
  <si>
    <t>096842516</t>
  </si>
  <si>
    <t>JM000259</t>
  </si>
  <si>
    <t>ភិន​សុភ៏ណ្ធ</t>
  </si>
  <si>
    <t>Phin Sophorn</t>
  </si>
  <si>
    <t>101277022</t>
  </si>
  <si>
    <t>0968641436</t>
  </si>
  <si>
    <t>JM000260</t>
  </si>
  <si>
    <t>ឈួន​ហឿន</t>
  </si>
  <si>
    <t>Chhuon Hoeun</t>
  </si>
  <si>
    <t>JM000261</t>
  </si>
  <si>
    <t>ភឿន​ស្រីទូច</t>
  </si>
  <si>
    <t>Poeurn Sreytouch</t>
  </si>
  <si>
    <t>101078374</t>
  </si>
  <si>
    <t>0962486377</t>
  </si>
  <si>
    <t>JM000262</t>
  </si>
  <si>
    <t>ភឺម​ចន្ធូ</t>
  </si>
  <si>
    <t>Phim Chanthou</t>
  </si>
  <si>
    <t>101095448</t>
  </si>
  <si>
    <t>0889447006</t>
  </si>
  <si>
    <t>JM000299</t>
  </si>
  <si>
    <t>ទ្រេន​អុក</t>
  </si>
  <si>
    <t>JM000308</t>
  </si>
  <si>
    <t>ឡុក​ពេជ្យ</t>
  </si>
  <si>
    <t>LOK BECH</t>
  </si>
  <si>
    <t>101382607</t>
  </si>
  <si>
    <t>0979512765</t>
  </si>
  <si>
    <t>JM000313</t>
  </si>
  <si>
    <t>ស៊ន​សុភា</t>
  </si>
  <si>
    <t>SORN SUPHEA</t>
  </si>
  <si>
    <t>100840970</t>
  </si>
  <si>
    <t>0979238783</t>
  </si>
  <si>
    <t>JM000328</t>
  </si>
  <si>
    <t>ឈាង ថាវី</t>
  </si>
  <si>
    <t>Chheang Thavy</t>
  </si>
  <si>
    <t>JM000329</t>
  </si>
  <si>
    <t>អ៊ួន ចន្តា</t>
  </si>
  <si>
    <t>Ourn Chan Da</t>
  </si>
  <si>
    <t>JM000330</t>
  </si>
  <si>
    <t>អ៊ិន ហាន</t>
  </si>
  <si>
    <t>In Han</t>
  </si>
  <si>
    <t>JM000383</t>
  </si>
  <si>
    <t>ឈិន​ញ៉ាញ</t>
  </si>
  <si>
    <t>Chhin Nhonh</t>
  </si>
  <si>
    <t>0974988988</t>
  </si>
  <si>
    <t>​TOTAL: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</si>
  <si>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：整烫组</t>
    </r>
  </si>
  <si>
    <t>JM000113</t>
  </si>
  <si>
    <t>ជិន​វន</t>
  </si>
  <si>
    <t>CHEN VORN</t>
  </si>
  <si>
    <t>整烫</t>
  </si>
  <si>
    <t>រៀបការ</t>
  </si>
  <si>
    <t>0718889952</t>
  </si>
  <si>
    <t>JM000078</t>
  </si>
  <si>
    <t>ទឹម​ចរិយា</t>
  </si>
  <si>
    <t>TOEM CHAKRIYA</t>
  </si>
  <si>
    <t>ពិនិត្យ</t>
  </si>
  <si>
    <t>081270526</t>
  </si>
  <si>
    <t>JM000084</t>
  </si>
  <si>
    <t>នឹម​ស្រីម៉ៅ</t>
  </si>
  <si>
    <t>NIM SREYMAO</t>
  </si>
  <si>
    <t>0979982401</t>
  </si>
  <si>
    <t>JM000086</t>
  </si>
  <si>
    <t>កេន​ស្រីពេជ្រ</t>
  </si>
  <si>
    <t>KEN SREYPECH</t>
  </si>
  <si>
    <t>099521659</t>
  </si>
  <si>
    <t>JM000089</t>
  </si>
  <si>
    <t>អ៊ឹម​ស្រីនូ</t>
  </si>
  <si>
    <t>OEM SREYNU</t>
  </si>
  <si>
    <t>081987071</t>
  </si>
  <si>
    <t>JM000095</t>
  </si>
  <si>
    <t>គឹម​ឡាន</t>
  </si>
  <si>
    <t>KIM LAN</t>
  </si>
  <si>
    <t>015827890</t>
  </si>
  <si>
    <t>JM000097</t>
  </si>
  <si>
    <t>នាង​សម្ភស្ស</t>
  </si>
  <si>
    <t>NEANG SAMPHORS</t>
  </si>
  <si>
    <t>0882428477</t>
  </si>
  <si>
    <t>JM000098</t>
  </si>
  <si>
    <t>នួន​សារេត</t>
  </si>
  <si>
    <t>NUON SARET</t>
  </si>
  <si>
    <t>JM000106</t>
  </si>
  <si>
    <t>ដុង​វណ្ណឌី</t>
  </si>
  <si>
    <t>DONG VANNDA</t>
  </si>
  <si>
    <t>អ៊ុត</t>
  </si>
  <si>
    <t>070889616</t>
  </si>
  <si>
    <t>JM000107</t>
  </si>
  <si>
    <t>ដុល​ពឿន</t>
  </si>
  <si>
    <t>DOL POEUN</t>
  </si>
  <si>
    <t>010576209</t>
  </si>
  <si>
    <t>JM000108</t>
  </si>
  <si>
    <t>ខឹម​មុត</t>
  </si>
  <si>
    <t>KHOEM MUT</t>
  </si>
  <si>
    <t>0714106229</t>
  </si>
  <si>
    <t>JM000365</t>
  </si>
  <si>
    <t>ប៊ុត បុត</t>
  </si>
  <si>
    <t>Both Both</t>
  </si>
  <si>
    <t>JM000373</t>
  </si>
  <si>
    <t>បៅ តឿន</t>
  </si>
  <si>
    <t>Pav Toeurn</t>
  </si>
  <si>
    <t>0712663471</t>
  </si>
  <si>
    <t>JM000372</t>
  </si>
  <si>
    <t>អ៊ិត ប៊ុនលឿម</t>
  </si>
  <si>
    <t>Et Bunloeurm</t>
  </si>
  <si>
    <t>0964496289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</si>
  <si>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：QC</t>
    </r>
  </si>
  <si>
    <t>JM000300</t>
  </si>
  <si>
    <t>ង៊ិល​គន្ឌី</t>
  </si>
  <si>
    <t>Ngil Kunthy</t>
  </si>
  <si>
    <t>QC</t>
  </si>
  <si>
    <t>100703526</t>
  </si>
  <si>
    <t>JM000321</t>
  </si>
  <si>
    <t>អន់​សុខុម</t>
  </si>
  <si>
    <t>Orn Sokhom</t>
  </si>
  <si>
    <t>061651117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</si>
  <si>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：PK</t>
    </r>
  </si>
  <si>
    <t>JM000203</t>
  </si>
  <si>
    <t>វ៉ាន់​ភេត</t>
  </si>
  <si>
    <t>Vron Phet</t>
  </si>
  <si>
    <t>110573982</t>
  </si>
  <si>
    <t>0965678994</t>
  </si>
  <si>
    <t>JM000012</t>
  </si>
  <si>
    <t>គុច​ចន្ធ្រា</t>
  </si>
  <si>
    <t>KOCH CHANTREA</t>
  </si>
  <si>
    <t>0964667378</t>
  </si>
  <si>
    <t>JM000085</t>
  </si>
  <si>
    <t>កែវ​សម្ភស៏</t>
  </si>
  <si>
    <t>KEO SAMPHORS</t>
  </si>
  <si>
    <t>0979310227</t>
  </si>
  <si>
    <t>JM000121</t>
  </si>
  <si>
    <t>យ៉ាង​ផល្លី</t>
  </si>
  <si>
    <t>YANG PHALLY</t>
  </si>
  <si>
    <t>包装</t>
  </si>
  <si>
    <t>វេចខ្ចប់</t>
  </si>
  <si>
    <t>0976204617</t>
  </si>
  <si>
    <t>JM000122</t>
  </si>
  <si>
    <t>ស៊ុន​ស្រីនី</t>
  </si>
  <si>
    <t>SUN SREYNY</t>
  </si>
  <si>
    <t>0969293550</t>
  </si>
  <si>
    <t>JM000125</t>
  </si>
  <si>
    <t>យិន​ស្រីនឿន</t>
  </si>
  <si>
    <t>YIN SREYNOEURN</t>
  </si>
  <si>
    <t>0888744758</t>
  </si>
  <si>
    <t>JM000126</t>
  </si>
  <si>
    <t>អូន​ដានី</t>
  </si>
  <si>
    <t>ON DANY</t>
  </si>
  <si>
    <t>015732424</t>
  </si>
  <si>
    <t>JM000130</t>
  </si>
  <si>
    <t>អ៊ុន​រ៉ុម</t>
  </si>
  <si>
    <t>Un Rom</t>
  </si>
  <si>
    <t>0888155169</t>
  </si>
  <si>
    <t>JM000156</t>
  </si>
  <si>
    <t>ទុយ​ស្រីមុំ</t>
  </si>
  <si>
    <t>TUY SREYMOM</t>
  </si>
  <si>
    <t>0978306633</t>
  </si>
  <si>
    <t>JM000157</t>
  </si>
  <si>
    <t>ណៃ​សីហា</t>
  </si>
  <si>
    <t>NAI SEYHA</t>
  </si>
  <si>
    <t>0976891929</t>
  </si>
  <si>
    <t>JM000158</t>
  </si>
  <si>
    <t>នាង​សាវឿន</t>
  </si>
  <si>
    <t>NEANG SAVOEUN</t>
  </si>
  <si>
    <t>016996614</t>
  </si>
  <si>
    <t>JM000163</t>
  </si>
  <si>
    <t>ណៃ​មីណា</t>
  </si>
  <si>
    <t>NAI MINA</t>
  </si>
  <si>
    <t>វៃកាតុង</t>
  </si>
  <si>
    <t>JM000164</t>
  </si>
  <si>
    <t>អ៊ុំ​សំមឿន</t>
  </si>
  <si>
    <t>OUM SAMMEURN</t>
  </si>
  <si>
    <t>0963675011</t>
  </si>
  <si>
    <t>JM000233</t>
  </si>
  <si>
    <t>សួស​ណៃ</t>
  </si>
  <si>
    <t>Sous Navy</t>
  </si>
  <si>
    <t>101383030</t>
  </si>
  <si>
    <t>090854262</t>
  </si>
  <si>
    <t>JM000288</t>
  </si>
  <si>
    <t>ជា​សាវី</t>
  </si>
  <si>
    <t>Chea Savy</t>
  </si>
  <si>
    <t>រាប់ខោ</t>
  </si>
  <si>
    <t>100714958</t>
  </si>
  <si>
    <t>0888816676</t>
  </si>
  <si>
    <t>JM000348</t>
  </si>
  <si>
    <t>វ៉ាន់ ស្រីនិច</t>
  </si>
  <si>
    <t>Van Sreynit</t>
  </si>
  <si>
    <t>0973180045</t>
  </si>
  <si>
    <t>JM000349</t>
  </si>
  <si>
    <t>ចាន់ សុភ័ក្ដ</t>
  </si>
  <si>
    <t>Chan Sopheak</t>
  </si>
  <si>
    <t>101015422</t>
  </si>
  <si>
    <t>JM000354</t>
  </si>
  <si>
    <t>កន ស្រីយ៉ា</t>
  </si>
  <si>
    <t>Korn Sreyya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</si>
  <si>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：CUT</t>
    </r>
  </si>
  <si>
    <t>ប្រា
ក់បាយថែមម៉ោង</t>
  </si>
  <si>
    <t>JM000162</t>
  </si>
  <si>
    <t>ទូច​ផ្កាយព្រឹក</t>
  </si>
  <si>
    <t>Touch Phkayproek</t>
  </si>
  <si>
    <t>CUT</t>
  </si>
  <si>
    <t>តុកាត់</t>
  </si>
  <si>
    <t>101384731</t>
  </si>
  <si>
    <t>0975514079</t>
  </si>
  <si>
    <t>JM000225</t>
  </si>
  <si>
    <t>អែម​សារិត</t>
  </si>
  <si>
    <t>Em Sarith</t>
  </si>
  <si>
    <t>មានគ្រួសារ</t>
  </si>
  <si>
    <t>0963669970</t>
  </si>
  <si>
    <t>JM000229</t>
  </si>
  <si>
    <t>ណុប​ផានិត</t>
  </si>
  <si>
    <t>Nob Phanit</t>
  </si>
  <si>
    <t>101349802</t>
  </si>
  <si>
    <t>0967023996</t>
  </si>
  <si>
    <t>JM000230</t>
  </si>
  <si>
    <t>អាន់​ម៉ាប់</t>
  </si>
  <si>
    <t>Ann Mab</t>
  </si>
  <si>
    <t>101164616</t>
  </si>
  <si>
    <t>JM000238</t>
  </si>
  <si>
    <t>ឈួន​អ៊ូខុង</t>
  </si>
  <si>
    <t>Chhuon Oukhong</t>
  </si>
  <si>
    <t>101122057</t>
  </si>
  <si>
    <t>0962663665</t>
  </si>
  <si>
    <t>JM000265</t>
  </si>
  <si>
    <t>ហ៊ឹម​វឿន</t>
  </si>
  <si>
    <t>Hoem Voeun</t>
  </si>
  <si>
    <t>100813483</t>
  </si>
  <si>
    <t>086902328</t>
  </si>
  <si>
    <t>JM000359</t>
  </si>
  <si>
    <t>ហោ លីដា</t>
  </si>
  <si>
    <t>Hor Lida</t>
  </si>
  <si>
    <t>JM000384</t>
  </si>
  <si>
    <t>ណុំ សុថុល</t>
  </si>
  <si>
    <t>Nom Sothol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</si>
  <si>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：打纽扣</t>
    </r>
  </si>
  <si>
    <t>JM000205</t>
  </si>
  <si>
    <t>អ៊ុន​ចំរើន</t>
  </si>
  <si>
    <t>UN CHAMROEUN</t>
  </si>
  <si>
    <t>打扣</t>
  </si>
  <si>
    <t>វៃឡេវ</t>
  </si>
  <si>
    <t>0717792351</t>
  </si>
  <si>
    <t>JM000342</t>
  </si>
  <si>
    <t>ម៉ម​សុភ័ក</t>
  </si>
  <si>
    <t>Mom Sophrak</t>
  </si>
  <si>
    <t>សាប់</t>
  </si>
  <si>
    <t>070506944</t>
  </si>
  <si>
    <t>JM000346</t>
  </si>
  <si>
    <t>ហ៊ឹម ស្រីនាង</t>
  </si>
  <si>
    <t>Heim Sreynea</t>
  </si>
  <si>
    <t>0968545418</t>
  </si>
  <si>
    <t>JM000347</t>
  </si>
  <si>
    <t>អ៊ួន ស្រីធីម</t>
  </si>
  <si>
    <t>Ourn Srey Tim</t>
  </si>
  <si>
    <t>0717072460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</si>
  <si>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：QA</t>
    </r>
  </si>
  <si>
    <t>JM000270</t>
  </si>
  <si>
    <t>អេង​រ៉េនដា</t>
  </si>
  <si>
    <t>Eng Renda</t>
  </si>
  <si>
    <t>QA</t>
  </si>
  <si>
    <t>101086231</t>
  </si>
  <si>
    <t>086290253</t>
  </si>
  <si>
    <t>JM000042</t>
  </si>
  <si>
    <t>អ៊ាវ​ឌីណា</t>
  </si>
  <si>
    <t>Aeav Dina</t>
  </si>
  <si>
    <t>101469449</t>
  </si>
  <si>
    <t>0887506608</t>
  </si>
  <si>
    <t>JM000067</t>
  </si>
  <si>
    <t>សេន​ស្រីធីម</t>
  </si>
  <si>
    <t>Sen Sreythib</t>
  </si>
  <si>
    <t>101356841</t>
  </si>
  <si>
    <t>0719129428</t>
  </si>
  <si>
    <t>JM000197</t>
  </si>
  <si>
    <t>អ៊ុក​ស្រពោ</t>
  </si>
  <si>
    <t>Uk Sreypou</t>
  </si>
  <si>
    <t>100918754</t>
  </si>
  <si>
    <t>0968987431</t>
  </si>
  <si>
    <t>JM000206</t>
  </si>
  <si>
    <t>អ៊ាង​ឌឿន</t>
  </si>
  <si>
    <t>Eang Doeurn</t>
  </si>
  <si>
    <t>0719736532</t>
  </si>
  <si>
    <t>JM000268</t>
  </si>
  <si>
    <t>វ៉ាត​បញ្ញា</t>
  </si>
  <si>
    <t>Vat Panha</t>
  </si>
  <si>
    <t>101370251</t>
  </si>
  <si>
    <t>0976151200</t>
  </si>
  <si>
    <t>JM000304</t>
  </si>
  <si>
    <t>ខែម​ម៉ៅ</t>
  </si>
  <si>
    <t>Khem Mao</t>
  </si>
  <si>
    <t>JM000310</t>
  </si>
  <si>
    <t>អេង​ស្រីនិច</t>
  </si>
  <si>
    <t>Eng Sreynet</t>
  </si>
  <si>
    <t>101345188</t>
  </si>
  <si>
    <t>016 766 088</t>
  </si>
  <si>
    <t>JM000336</t>
  </si>
  <si>
    <t>មាស រច្ថនា</t>
  </si>
  <si>
    <t>Meas Rachana</t>
  </si>
  <si>
    <t>JM000337</t>
  </si>
  <si>
    <t>ខាត់ ស្រីពៅ</t>
  </si>
  <si>
    <t>Khat Srey Pov</t>
  </si>
  <si>
    <t>JM000339</t>
  </si>
  <si>
    <t>អ៊ុំ ស្រីមាស</t>
  </si>
  <si>
    <t>Orm Srey Meas</t>
  </si>
  <si>
    <r>
      <rPr>
        <sz val="10"/>
        <color theme="1"/>
        <rFont val="Khmer OS Koulen"/>
        <charset val="134"/>
      </rPr>
      <t xml:space="preserve">ក្រុមហ៊ុនខេមបូឌា </t>
    </r>
    <r>
      <rPr>
        <sz val="10"/>
        <color theme="1"/>
        <rFont val="Times New Roman"/>
        <charset val="134"/>
      </rPr>
      <t>​</t>
    </r>
    <r>
      <rPr>
        <sz val="10"/>
        <color theme="1"/>
        <rFont val="Khmer OS Koulen"/>
        <charset val="134"/>
      </rPr>
      <t xml:space="preserve">វូស៊ី </t>
    </r>
    <r>
      <rPr>
        <sz val="10"/>
        <color theme="1"/>
        <rFont val="Times New Roman"/>
        <charset val="134"/>
      </rPr>
      <t>​</t>
    </r>
    <r>
      <rPr>
        <sz val="10"/>
        <color theme="1"/>
        <rFont val="Khmer OS Koulen"/>
        <charset val="134"/>
      </rPr>
      <t xml:space="preserve">ជីនម៉ៅ </t>
    </r>
    <r>
      <rPr>
        <sz val="10"/>
        <color theme="1"/>
        <rFont val="Times New Roman"/>
        <charset val="134"/>
      </rPr>
      <t>​</t>
    </r>
    <r>
      <rPr>
        <sz val="10"/>
        <color theme="1"/>
        <rFont val="Khmer OS Koulen"/>
        <charset val="134"/>
      </rPr>
      <t xml:space="preserve">ហ្គាមិន </t>
    </r>
    <r>
      <rPr>
        <sz val="10"/>
        <color theme="1"/>
        <rFont val="Times New Roman"/>
        <charset val="134"/>
      </rPr>
      <t>​</t>
    </r>
    <r>
      <rPr>
        <sz val="10"/>
        <color theme="1"/>
        <rFont val="Khmer OS Koulen"/>
        <charset val="134"/>
      </rPr>
      <t>ខូអិលធីឌី</t>
    </r>
  </si>
  <si>
    <t>每月工资合算总数 2023年01月份</t>
  </si>
  <si>
    <t>编号</t>
  </si>
  <si>
    <t>日期</t>
  </si>
  <si>
    <t>Group</t>
  </si>
  <si>
    <t>人数</t>
  </si>
  <si>
    <t>金额</t>
  </si>
  <si>
    <t>$</t>
  </si>
  <si>
    <t>组长签字</t>
  </si>
  <si>
    <t>2023年01月份</t>
  </si>
  <si>
    <t>办公室</t>
  </si>
  <si>
    <t>Office</t>
  </si>
  <si>
    <t>整烫组</t>
  </si>
  <si>
    <t>烫标组</t>
  </si>
  <si>
    <t>包装组 PK</t>
  </si>
  <si>
    <t>PK</t>
  </si>
  <si>
    <t>打纽扣</t>
  </si>
  <si>
    <t>វ៉ៃឡេវ</t>
  </si>
  <si>
    <t>中国干部</t>
  </si>
  <si>
    <t>Foreigner</t>
  </si>
  <si>
    <t>保安</t>
  </si>
  <si>
    <t>Security</t>
  </si>
  <si>
    <t>医生</t>
  </si>
  <si>
    <t>Doctor</t>
  </si>
  <si>
    <t>离职人</t>
  </si>
  <si>
    <t>Resigned</t>
  </si>
  <si>
    <t>合计TOTAL：</t>
  </si>
  <si>
    <t>总经理：</t>
  </si>
  <si>
    <t>厂长：</t>
  </si>
  <si>
    <t>人事部：</t>
  </si>
  <si>
    <t>(No Count boss couse pay him by bank)</t>
  </si>
  <si>
    <t>Security VAT(10%)</t>
  </si>
  <si>
    <t>Big Boss</t>
  </si>
  <si>
    <t>ថែម
ម៉ោង*5</t>
  </si>
  <si>
    <t>កាត់ប្រា
ក់ថ្ងៃឈប</t>
  </si>
  <si>
    <t>ប្រាក់
កាត់ផ្សេង</t>
  </si>
  <si>
    <t>请假
扣款</t>
  </si>
  <si>
    <t>ញន​គន្ធា</t>
  </si>
  <si>
    <t>Hoeurn Sreynenag</t>
  </si>
  <si>
    <t>គឹម​ស្រីមាន</t>
  </si>
  <si>
    <t>部门ផ្នែក：主管</t>
  </si>
  <si>
    <t>ក្រុម</t>
  </si>
  <si>
    <t>高 晓明</t>
  </si>
  <si>
    <t>GAO XIAOMING</t>
  </si>
  <si>
    <t>JM000000</t>
  </si>
  <si>
    <t>管理部</t>
  </si>
  <si>
    <t>总经理</t>
  </si>
  <si>
    <t>EE6924948</t>
  </si>
  <si>
    <t>ចិន</t>
  </si>
  <si>
    <t>097​765​38​38</t>
  </si>
  <si>
    <t>轩 军甫</t>
  </si>
  <si>
    <t>XUAN JUNFU</t>
  </si>
  <si>
    <t>JM000314</t>
  </si>
  <si>
    <t>生产</t>
  </si>
  <si>
    <t>IE</t>
  </si>
  <si>
    <t>EC9170565</t>
  </si>
  <si>
    <t>Patricio Arnold Gadnanan</t>
  </si>
  <si>
    <t>JM000364</t>
  </si>
  <si>
    <t>P129496B</t>
  </si>
  <si>
    <t>ហ្វីលីពីន</t>
  </si>
  <si>
    <t>李继承</t>
  </si>
  <si>
    <t>JM000371</t>
  </si>
  <si>
    <t>后整</t>
  </si>
  <si>
    <t>管后段</t>
  </si>
  <si>
    <t>Chen Julan</t>
  </si>
  <si>
    <t>JM000403</t>
  </si>
  <si>
    <t>车间</t>
  </si>
  <si>
    <t>Supervisor</t>
  </si>
  <si>
    <t>R 20000</t>
  </si>
  <si>
    <t>R10000</t>
  </si>
  <si>
    <t>R5000</t>
  </si>
  <si>
    <t>R1000</t>
  </si>
  <si>
    <t>R500</t>
  </si>
  <si>
    <t>R100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</si>
  <si>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10"/>
        <color theme="1"/>
        <rFont val="宋体"/>
        <charset val="134"/>
      </rPr>
      <t>：离职组</t>
    </r>
  </si>
  <si>
    <t>日期13日02月2023年</t>
  </si>
  <si>
    <t>JM000318</t>
  </si>
  <si>
    <t>សួរ ដាវីត</t>
  </si>
  <si>
    <t>Suo Davit</t>
  </si>
  <si>
    <t>JM000219</t>
  </si>
  <si>
    <t>អ៊ុយ​សុខឃុន</t>
  </si>
  <si>
    <t>Uy Sokkhun</t>
  </si>
  <si>
    <t>101324148</t>
  </si>
  <si>
    <t>0974334696</t>
  </si>
  <si>
    <t>JM000177</t>
  </si>
  <si>
    <t>សោម​បូរី</t>
  </si>
  <si>
    <t>SORM BOREY</t>
  </si>
  <si>
    <t>0889036871</t>
  </si>
  <si>
    <t>JM000150</t>
  </si>
  <si>
    <t>រ័ត្ន​គន្ធា</t>
  </si>
  <si>
    <t>ROT KONTHEA</t>
  </si>
  <si>
    <t>0889953643</t>
  </si>
  <si>
    <t>JM000343</t>
  </si>
  <si>
    <t>ចយ ស្រីនាង</t>
  </si>
  <si>
    <t>Chory Sreumeamg</t>
  </si>
  <si>
    <t>JM000374</t>
  </si>
  <si>
    <t>ង៉េត​កែវ</t>
  </si>
  <si>
    <t>Ngeth Keo</t>
  </si>
  <si>
    <t>066223005</t>
  </si>
  <si>
    <t>JM000366</t>
  </si>
  <si>
    <t>ផុន មករា</t>
  </si>
  <si>
    <t>Phon Meakara</t>
  </si>
  <si>
    <t>JM000119</t>
  </si>
  <si>
    <t>សម​មករា</t>
  </si>
  <si>
    <t>SAM MAKARA</t>
  </si>
  <si>
    <t>090704684</t>
  </si>
  <si>
    <t>0717883709</t>
  </si>
  <si>
    <t>JM000075</t>
  </si>
  <si>
    <t>ជា​សប្បត្តិ</t>
  </si>
  <si>
    <t>Chea Sambath</t>
  </si>
  <si>
    <t>040172152</t>
  </si>
  <si>
    <t>0717883708</t>
  </si>
  <si>
    <t>JM000228</t>
  </si>
  <si>
    <t>អ៊ឹម​ឃឿន</t>
  </si>
  <si>
    <t>Oem Khoeun</t>
  </si>
  <si>
    <t>100831063</t>
  </si>
  <si>
    <t>0979298341</t>
  </si>
  <si>
    <t>R20000</t>
  </si>
  <si>
    <t>日期12日02月2023年</t>
  </si>
  <si>
    <t>JM000267</t>
  </si>
  <si>
    <t>អ៊ួន​សុខចាន់</t>
  </si>
  <si>
    <t>Uon Sokchan</t>
  </si>
  <si>
    <t>日期31日01月2023年</t>
  </si>
  <si>
    <t>APPROVE BY:</t>
  </si>
  <si>
    <t>PREPARED BY:</t>
  </si>
  <si>
    <r>
      <rPr>
        <b/>
        <sz val="10"/>
        <color theme="1"/>
        <rFont val="宋体"/>
        <charset val="134"/>
      </rPr>
      <t>部门</t>
    </r>
    <r>
      <rPr>
        <b/>
        <sz val="8"/>
        <color theme="1"/>
        <rFont val="DFKai-SB"/>
        <charset val="134"/>
      </rPr>
      <t>ផ្នែក</t>
    </r>
    <r>
      <rPr>
        <b/>
        <sz val="8"/>
        <color theme="1"/>
        <rFont val="宋体"/>
        <charset val="134"/>
      </rPr>
      <t>: Security</t>
    </r>
  </si>
  <si>
    <t>000001</t>
  </si>
  <si>
    <t>តា​វ៉ុន</t>
  </si>
  <si>
    <t>Ta Vorn</t>
  </si>
  <si>
    <t>000002</t>
  </si>
  <si>
    <t>ជា​នាង​</t>
  </si>
  <si>
    <t>Chea Neang</t>
  </si>
  <si>
    <t>000003</t>
  </si>
  <si>
    <t>វង់​ហន</t>
  </si>
  <si>
    <t>Vong Hon</t>
  </si>
  <si>
    <t>000004</t>
  </si>
  <si>
    <t>វ៉ាន់​រ៊ី</t>
  </si>
  <si>
    <t>Van Ry</t>
  </si>
</sst>
</file>

<file path=xl/styles.xml><?xml version="1.0" encoding="utf-8"?>
<styleSheet xmlns="http://schemas.openxmlformats.org/spreadsheetml/2006/main">
  <numFmts count="14">
    <numFmt numFmtId="23" formatCode="\$#,##0_);\(\$#,##0\)"/>
    <numFmt numFmtId="24" formatCode="\$#,##0_);[Red]\(\$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  <numFmt numFmtId="178" formatCode="0.00_ "/>
    <numFmt numFmtId="179" formatCode="0.0_ "/>
    <numFmt numFmtId="180" formatCode="0_ "/>
    <numFmt numFmtId="181" formatCode="_ * #,##0_ ;_ * \-#,##0_ ;_ * &quot;-&quot;??_ ;_ @_ "/>
    <numFmt numFmtId="182" formatCode="m/d/yy;@"/>
    <numFmt numFmtId="183" formatCode="#,##0_ "/>
  </numFmts>
  <fonts count="60">
    <font>
      <sz val="11"/>
      <color theme="1"/>
      <name val="宋体"/>
      <charset val="134"/>
      <scheme val="minor"/>
    </font>
    <font>
      <sz val="14"/>
      <color theme="1"/>
      <name val="DFKai-SB"/>
      <charset val="136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楷体"/>
      <charset val="134"/>
    </font>
    <font>
      <b/>
      <sz val="14"/>
      <color theme="1"/>
      <name val="仿宋"/>
      <charset val="134"/>
    </font>
    <font>
      <b/>
      <sz val="10"/>
      <color theme="1"/>
      <name val="宋体"/>
      <charset val="134"/>
    </font>
    <font>
      <b/>
      <sz val="10"/>
      <color theme="1"/>
      <name val="DFKai-SB"/>
      <charset val="136"/>
    </font>
    <font>
      <b/>
      <sz val="14"/>
      <color theme="1"/>
      <name val="DFKai-SB"/>
      <charset val="136"/>
    </font>
    <font>
      <sz val="6"/>
      <color theme="1"/>
      <name val="楷体"/>
      <charset val="134"/>
    </font>
    <font>
      <sz val="6"/>
      <color theme="1"/>
      <name val="DFKai-SB"/>
      <charset val="136"/>
    </font>
    <font>
      <sz val="8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7"/>
      <name val="宋体"/>
      <charset val="134"/>
      <scheme val="minor"/>
    </font>
    <font>
      <sz val="10"/>
      <color theme="1"/>
      <name val="Khmer OS Koulen"/>
      <charset val="134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DFKai-SB"/>
      <charset val="136"/>
    </font>
    <font>
      <sz val="11"/>
      <color theme="1"/>
      <name val="DFKai-SB"/>
      <charset val="136"/>
    </font>
    <font>
      <sz val="7"/>
      <color theme="8" tint="0.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2"/>
      <name val="新細明體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6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8"/>
      <color theme="1"/>
      <name val="DFKai-SB"/>
      <charset val="134"/>
    </font>
    <font>
      <b/>
      <sz val="8"/>
      <color theme="1"/>
      <name val="宋体"/>
      <charset val="134"/>
    </font>
    <font>
      <sz val="6"/>
      <color theme="1"/>
      <name val="宋体"/>
      <charset val="134"/>
    </font>
    <font>
      <sz val="6"/>
      <color theme="1"/>
      <name val="Times New Roman"/>
      <charset val="136"/>
    </font>
    <font>
      <sz val="6"/>
      <color theme="1"/>
      <name val="Times New Roman"/>
      <charset val="134"/>
    </font>
    <font>
      <b/>
      <sz val="8"/>
      <color theme="1"/>
      <name val="DFKai-SB"/>
      <charset val="136"/>
    </font>
    <font>
      <sz val="10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0" borderId="0"/>
    <xf numFmtId="41" fontId="0" fillId="0" borderId="0" applyFont="0" applyFill="0" applyBorder="0" applyAlignment="0" applyProtection="0">
      <alignment vertical="center"/>
    </xf>
    <xf numFmtId="0" fontId="31" fillId="0" borderId="0"/>
    <xf numFmtId="0" fontId="28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/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16" borderId="16" applyNumberFormat="0" applyAlignment="0" applyProtection="0">
      <alignment vertical="center"/>
    </xf>
    <xf numFmtId="0" fontId="44" fillId="16" borderId="12" applyNumberFormat="0" applyAlignment="0" applyProtection="0">
      <alignment vertical="center"/>
    </xf>
    <xf numFmtId="0" fontId="45" fillId="17" borderId="17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0" fillId="0" borderId="0"/>
    <xf numFmtId="0" fontId="28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/>
    <xf numFmtId="0" fontId="28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2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24" fontId="0" fillId="2" borderId="1" xfId="0" applyNumberFormat="1" applyFill="1" applyBorder="1" applyAlignment="1">
      <alignment horizontal="center" vertical="center"/>
    </xf>
    <xf numFmtId="23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3" borderId="0" xfId="0" applyFont="1" applyFill="1" applyAlignment="1"/>
    <xf numFmtId="0" fontId="12" fillId="0" borderId="1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8" fontId="13" fillId="2" borderId="6" xfId="0" applyNumberFormat="1" applyFont="1" applyFill="1" applyBorder="1" applyAlignment="1">
      <alignment vertical="center"/>
    </xf>
    <xf numFmtId="179" fontId="13" fillId="2" borderId="6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80" fontId="14" fillId="0" borderId="1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181" fontId="14" fillId="0" borderId="1" xfId="1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14" fillId="2" borderId="6" xfId="0" applyFont="1" applyFill="1" applyBorder="1" applyAlignment="1">
      <alignment horizontal="center" vertical="center"/>
    </xf>
    <xf numFmtId="180" fontId="13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horizontal="center" vertical="center"/>
    </xf>
    <xf numFmtId="43" fontId="4" fillId="0" borderId="1" xfId="0" applyNumberFormat="1" applyFont="1" applyBorder="1">
      <alignment vertical="center"/>
    </xf>
    <xf numFmtId="0" fontId="0" fillId="3" borderId="1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81" fontId="14" fillId="2" borderId="1" xfId="1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82" fontId="14" fillId="0" borderId="1" xfId="0" applyNumberFormat="1" applyFont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8" fontId="14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5" borderId="0" xfId="0" applyFont="1" applyFill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77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178" fontId="14" fillId="5" borderId="1" xfId="0" applyNumberFormat="1" applyFont="1" applyFill="1" applyBorder="1" applyAlignment="1">
      <alignment horizontal="center" vertical="center"/>
    </xf>
    <xf numFmtId="179" fontId="14" fillId="5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81" fontId="14" fillId="5" borderId="1" xfId="10" applyNumberFormat="1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4" fillId="5" borderId="0" xfId="0" applyFont="1" applyFill="1" applyBorder="1">
      <alignment vertical="center"/>
    </xf>
    <xf numFmtId="43" fontId="4" fillId="5" borderId="1" xfId="0" applyNumberFormat="1" applyFont="1" applyFill="1" applyBorder="1">
      <alignment vertical="center"/>
    </xf>
    <xf numFmtId="0" fontId="4" fillId="5" borderId="1" xfId="0" applyNumberFormat="1" applyFont="1" applyFill="1" applyBorder="1" applyAlignment="1">
      <alignment horizontal="center" vertical="center"/>
    </xf>
    <xf numFmtId="58" fontId="4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4" fontId="0" fillId="2" borderId="2" xfId="0" applyNumberFormat="1" applyFill="1" applyBorder="1" applyAlignment="1">
      <alignment horizontal="center" vertical="center"/>
    </xf>
    <xf numFmtId="23" fontId="0" fillId="2" borderId="2" xfId="0" applyNumberFormat="1" applyFill="1" applyBorder="1" applyAlignment="1">
      <alignment horizontal="center" vertical="center"/>
    </xf>
    <xf numFmtId="23" fontId="0" fillId="2" borderId="7" xfId="0" applyNumberFormat="1" applyFill="1" applyBorder="1" applyAlignment="1">
      <alignment horizontal="center" vertical="center"/>
    </xf>
    <xf numFmtId="23" fontId="0" fillId="2" borderId="8" xfId="0" applyNumberFormat="1" applyFill="1" applyBorder="1" applyAlignment="1">
      <alignment horizontal="center" vertical="center"/>
    </xf>
    <xf numFmtId="24" fontId="0" fillId="2" borderId="3" xfId="0" applyNumberFormat="1" applyFill="1" applyBorder="1" applyAlignment="1">
      <alignment horizontal="center" vertical="center"/>
    </xf>
    <xf numFmtId="23" fontId="0" fillId="2" borderId="3" xfId="0" applyNumberFormat="1" applyFill="1" applyBorder="1" applyAlignment="1">
      <alignment horizontal="center" vertical="center"/>
    </xf>
    <xf numFmtId="23" fontId="0" fillId="2" borderId="9" xfId="0" applyNumberFormat="1" applyFill="1" applyBorder="1" applyAlignment="1">
      <alignment horizontal="center" vertical="center"/>
    </xf>
    <xf numFmtId="23" fontId="0" fillId="2" borderId="10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>
      <alignment vertical="center"/>
    </xf>
    <xf numFmtId="179" fontId="13" fillId="2" borderId="1" xfId="0" applyNumberFormat="1" applyFont="1" applyFill="1" applyBorder="1" applyAlignment="1">
      <alignment vertical="center"/>
    </xf>
    <xf numFmtId="0" fontId="14" fillId="0" borderId="1" xfId="0" applyFont="1" applyBorder="1">
      <alignment vertical="center"/>
    </xf>
    <xf numFmtId="0" fontId="4" fillId="3" borderId="0" xfId="0" applyFont="1" applyFill="1">
      <alignment vertical="center"/>
    </xf>
    <xf numFmtId="177" fontId="14" fillId="3" borderId="1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81" fontId="13" fillId="0" borderId="1" xfId="10" applyNumberFormat="1" applyFont="1" applyBorder="1" applyAlignment="1">
      <alignment horizontal="center" vertical="center"/>
    </xf>
    <xf numFmtId="181" fontId="14" fillId="3" borderId="1" xfId="1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81" fontId="14" fillId="0" borderId="3" xfId="10" applyNumberFormat="1" applyFont="1" applyBorder="1" applyAlignment="1">
      <alignment horizontal="center" vertical="center"/>
    </xf>
    <xf numFmtId="179" fontId="14" fillId="3" borderId="1" xfId="0" applyNumberFormat="1" applyFont="1" applyFill="1" applyBorder="1" applyAlignment="1">
      <alignment horizontal="center" vertical="center"/>
    </xf>
    <xf numFmtId="180" fontId="14" fillId="3" borderId="1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8" fontId="20" fillId="3" borderId="1" xfId="0" applyNumberFormat="1" applyFont="1" applyFill="1" applyBorder="1" applyAlignment="1">
      <alignment horizontal="center" vertical="center"/>
    </xf>
    <xf numFmtId="178" fontId="21" fillId="3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178" fontId="22" fillId="6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4" fillId="0" borderId="1" xfId="0" applyFont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49" fontId="4" fillId="0" borderId="0" xfId="0" applyNumberFormat="1" applyFont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9" fontId="13" fillId="2" borderId="1" xfId="0" applyNumberFormat="1" applyFont="1" applyFill="1" applyBorder="1" applyAlignment="1">
      <alignment horizontal="center" vertical="center"/>
    </xf>
    <xf numFmtId="180" fontId="13" fillId="2" borderId="1" xfId="0" applyNumberFormat="1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179" fontId="14" fillId="2" borderId="1" xfId="0" applyNumberFormat="1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58" fontId="4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183" fontId="14" fillId="2" borderId="1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/>
    </xf>
    <xf numFmtId="183" fontId="14" fillId="2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Border="1">
      <alignment vertical="center"/>
    </xf>
    <xf numFmtId="178" fontId="14" fillId="2" borderId="1" xfId="0" applyNumberFormat="1" applyFont="1" applyFill="1" applyBorder="1">
      <alignment vertical="center"/>
    </xf>
    <xf numFmtId="180" fontId="14" fillId="2" borderId="1" xfId="0" applyNumberFormat="1" applyFont="1" applyFill="1" applyBorder="1">
      <alignment vertical="center"/>
    </xf>
    <xf numFmtId="179" fontId="14" fillId="2" borderId="1" xfId="0" applyNumberFormat="1" applyFont="1" applyFill="1" applyBorder="1">
      <alignment vertical="center"/>
    </xf>
    <xf numFmtId="180" fontId="13" fillId="3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183" fontId="13" fillId="2" borderId="1" xfId="0" applyNumberFormat="1" applyFont="1" applyFill="1" applyBorder="1">
      <alignment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183" fontId="14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1" fontId="13" fillId="3" borderId="1" xfId="10" applyNumberFormat="1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80" fontId="3" fillId="3" borderId="1" xfId="0" applyNumberFormat="1" applyFont="1" applyFill="1" applyBorder="1">
      <alignment vertical="center"/>
    </xf>
    <xf numFmtId="183" fontId="3" fillId="2" borderId="1" xfId="0" applyNumberFormat="1" applyFont="1" applyFill="1" applyBorder="1" applyAlignment="1">
      <alignment horizontal="center" vertical="center"/>
    </xf>
    <xf numFmtId="180" fontId="3" fillId="3" borderId="3" xfId="0" applyNumberFormat="1" applyFont="1" applyFill="1" applyBorder="1">
      <alignment vertical="center"/>
    </xf>
    <xf numFmtId="0" fontId="4" fillId="3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5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Border="1" applyAlignment="1" quotePrefix="1">
      <alignment horizontal="center" vertical="center"/>
    </xf>
    <xf numFmtId="0" fontId="14" fillId="0" borderId="1" xfId="0" applyFont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Normal 5 2 2" xfId="5"/>
    <cellStyle name="千位分隔[0]" xfId="6" builtinId="6"/>
    <cellStyle name="一般_Sheet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Normal 6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强调文字颜色 5" xfId="47" builtinId="45"/>
    <cellStyle name="Normal 3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 5 2" xfId="54"/>
    <cellStyle name="一般_Sheet2_Xl0000068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3.xml"/><Relationship Id="rId26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.xml"/><Relationship Id="rId24" Type="http://schemas.openxmlformats.org/officeDocument/2006/relationships/customXml" Target="../customXml/item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25&#21495;&#21457;&#24037;&#36164;100&#32654;&#208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20136d-12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%20January%205%25%20&amp;%20Annual%20Lea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-10"/>
      <sheetName val="A01"/>
      <sheetName val="A02"/>
      <sheetName val="A03"/>
      <sheetName val="A04"/>
      <sheetName val="A05"/>
      <sheetName val="Cut"/>
      <sheetName val="烫标"/>
      <sheetName val="QC"/>
      <sheetName val="QA"/>
      <sheetName val="烫组អ៊ុត"/>
      <sheetName val="包装"/>
      <sheetName val="打扣组"/>
      <sheetName val="សរុប"/>
      <sheetName val="Total"/>
      <sheetName val="Sheet3"/>
    </sheetNames>
    <sheetDataSet>
      <sheetData sheetId="0">
        <row r="7">
          <cell r="E7" t="str">
            <v>JM000002</v>
          </cell>
          <cell r="F7">
            <v>13</v>
          </cell>
          <cell r="G7">
            <v>10</v>
          </cell>
        </row>
        <row r="7">
          <cell r="I7">
            <v>10</v>
          </cell>
          <cell r="J7">
            <v>80</v>
          </cell>
          <cell r="K7">
            <v>100</v>
          </cell>
        </row>
        <row r="8">
          <cell r="E8" t="str">
            <v>JM000003</v>
          </cell>
          <cell r="F8">
            <v>13</v>
          </cell>
          <cell r="G8">
            <v>10</v>
          </cell>
          <cell r="H8">
            <v>30</v>
          </cell>
          <cell r="I8">
            <v>10</v>
          </cell>
          <cell r="J8">
            <v>50</v>
          </cell>
          <cell r="K8">
            <v>100</v>
          </cell>
        </row>
        <row r="9">
          <cell r="E9" t="str">
            <v>JM000004</v>
          </cell>
          <cell r="F9">
            <v>12</v>
          </cell>
          <cell r="G9">
            <v>10</v>
          </cell>
          <cell r="H9">
            <v>30</v>
          </cell>
          <cell r="I9">
            <v>10</v>
          </cell>
          <cell r="J9">
            <v>50</v>
          </cell>
          <cell r="K9">
            <v>100</v>
          </cell>
        </row>
        <row r="10">
          <cell r="E10" t="str">
            <v>JM000005</v>
          </cell>
          <cell r="F10">
            <v>14</v>
          </cell>
          <cell r="G10">
            <v>10</v>
          </cell>
          <cell r="H10">
            <v>30</v>
          </cell>
          <cell r="I10">
            <v>10</v>
          </cell>
          <cell r="J10">
            <v>50</v>
          </cell>
          <cell r="K10">
            <v>100</v>
          </cell>
        </row>
        <row r="11">
          <cell r="E11" t="str">
            <v>JM000006</v>
          </cell>
          <cell r="F11">
            <v>13</v>
          </cell>
          <cell r="G11">
            <v>10</v>
          </cell>
          <cell r="H11">
            <v>30</v>
          </cell>
          <cell r="I11">
            <v>10</v>
          </cell>
          <cell r="J11">
            <v>50</v>
          </cell>
          <cell r="K11">
            <v>100</v>
          </cell>
        </row>
        <row r="12">
          <cell r="E12" t="str">
            <v>JM000009</v>
          </cell>
          <cell r="F12">
            <v>12</v>
          </cell>
          <cell r="G12">
            <v>10</v>
          </cell>
          <cell r="H12">
            <v>30</v>
          </cell>
          <cell r="I12">
            <v>10</v>
          </cell>
          <cell r="J12">
            <v>50</v>
          </cell>
          <cell r="K12">
            <v>100</v>
          </cell>
        </row>
        <row r="13">
          <cell r="E13" t="str">
            <v>JM000010</v>
          </cell>
          <cell r="F13">
            <v>12</v>
          </cell>
          <cell r="G13">
            <v>10</v>
          </cell>
          <cell r="H13">
            <v>30</v>
          </cell>
          <cell r="I13">
            <v>10</v>
          </cell>
          <cell r="J13">
            <v>50</v>
          </cell>
          <cell r="K13">
            <v>100</v>
          </cell>
        </row>
        <row r="14">
          <cell r="E14" t="str">
            <v>JM000069</v>
          </cell>
          <cell r="F14">
            <v>13</v>
          </cell>
          <cell r="G14">
            <v>10</v>
          </cell>
          <cell r="H14">
            <v>30</v>
          </cell>
          <cell r="I14">
            <v>10</v>
          </cell>
          <cell r="J14">
            <v>50</v>
          </cell>
          <cell r="K14">
            <v>100</v>
          </cell>
        </row>
        <row r="15">
          <cell r="E15" t="str">
            <v>JM000070</v>
          </cell>
          <cell r="F15">
            <v>13</v>
          </cell>
          <cell r="G15">
            <v>10</v>
          </cell>
          <cell r="H15">
            <v>30</v>
          </cell>
          <cell r="I15">
            <v>10</v>
          </cell>
          <cell r="J15">
            <v>50</v>
          </cell>
          <cell r="K15">
            <v>100</v>
          </cell>
        </row>
        <row r="16">
          <cell r="E16" t="str">
            <v>JM000088</v>
          </cell>
          <cell r="F16">
            <v>12.5</v>
          </cell>
          <cell r="G16">
            <v>10</v>
          </cell>
          <cell r="H16">
            <v>30</v>
          </cell>
          <cell r="I16">
            <v>10</v>
          </cell>
          <cell r="J16">
            <v>50</v>
          </cell>
          <cell r="K16">
            <v>100</v>
          </cell>
        </row>
        <row r="17">
          <cell r="E17" t="str">
            <v>JM000217</v>
          </cell>
          <cell r="F17">
            <v>13</v>
          </cell>
          <cell r="G17">
            <v>10</v>
          </cell>
          <cell r="H17">
            <v>30</v>
          </cell>
          <cell r="I17">
            <v>10</v>
          </cell>
          <cell r="J17">
            <v>50</v>
          </cell>
          <cell r="K17">
            <v>100</v>
          </cell>
        </row>
        <row r="18">
          <cell r="E18" t="str">
            <v>JM000218</v>
          </cell>
          <cell r="F18">
            <v>13</v>
          </cell>
          <cell r="G18">
            <v>10</v>
          </cell>
        </row>
        <row r="18">
          <cell r="I18">
            <v>10</v>
          </cell>
          <cell r="J18">
            <v>80</v>
          </cell>
          <cell r="K18">
            <v>100</v>
          </cell>
        </row>
        <row r="19">
          <cell r="E19" t="str">
            <v>JM000226</v>
          </cell>
          <cell r="F19">
            <v>13</v>
          </cell>
          <cell r="G19">
            <v>10</v>
          </cell>
          <cell r="H19">
            <v>30</v>
          </cell>
          <cell r="I19">
            <v>10</v>
          </cell>
          <cell r="J19">
            <v>50</v>
          </cell>
          <cell r="K19">
            <v>100</v>
          </cell>
        </row>
        <row r="20">
          <cell r="E20" t="str">
            <v>JM000298</v>
          </cell>
          <cell r="F20">
            <v>13</v>
          </cell>
          <cell r="G20">
            <v>10</v>
          </cell>
          <cell r="H20">
            <v>30</v>
          </cell>
          <cell r="I20">
            <v>10</v>
          </cell>
          <cell r="J20">
            <v>50</v>
          </cell>
          <cell r="K20">
            <v>100</v>
          </cell>
        </row>
        <row r="21">
          <cell r="E21" t="str">
            <v>JM000311</v>
          </cell>
          <cell r="F21">
            <v>13</v>
          </cell>
          <cell r="G21">
            <v>10</v>
          </cell>
        </row>
        <row r="21">
          <cell r="I21">
            <v>10</v>
          </cell>
          <cell r="J21">
            <v>80</v>
          </cell>
          <cell r="K21">
            <v>100</v>
          </cell>
        </row>
        <row r="22">
          <cell r="E22" t="str">
            <v>JM000320</v>
          </cell>
          <cell r="F22">
            <v>13</v>
          </cell>
          <cell r="G22">
            <v>10</v>
          </cell>
        </row>
        <row r="22">
          <cell r="I22">
            <v>10</v>
          </cell>
          <cell r="J22">
            <v>80</v>
          </cell>
          <cell r="K22">
            <v>100</v>
          </cell>
        </row>
        <row r="23">
          <cell r="E23" t="str">
            <v>JM000340</v>
          </cell>
          <cell r="F23">
            <v>11</v>
          </cell>
          <cell r="G23">
            <v>10</v>
          </cell>
          <cell r="H23">
            <v>30</v>
          </cell>
          <cell r="I23">
            <v>10</v>
          </cell>
          <cell r="J23">
            <v>50</v>
          </cell>
          <cell r="K23">
            <v>100</v>
          </cell>
        </row>
        <row r="24">
          <cell r="E24" t="str">
            <v>JM000344</v>
          </cell>
          <cell r="F24">
            <v>13</v>
          </cell>
          <cell r="G24">
            <v>10</v>
          </cell>
          <cell r="H24">
            <v>30</v>
          </cell>
          <cell r="I24">
            <v>10</v>
          </cell>
          <cell r="J24">
            <v>50</v>
          </cell>
          <cell r="K24">
            <v>100</v>
          </cell>
        </row>
        <row r="25">
          <cell r="E25" t="str">
            <v>JM000356</v>
          </cell>
          <cell r="F25">
            <v>12.5</v>
          </cell>
          <cell r="G25">
            <v>10</v>
          </cell>
        </row>
        <row r="25">
          <cell r="I25">
            <v>10</v>
          </cell>
          <cell r="J25">
            <v>80</v>
          </cell>
          <cell r="K25">
            <v>100</v>
          </cell>
        </row>
      </sheetData>
      <sheetData sheetId="1">
        <row r="7">
          <cell r="E7" t="str">
            <v>JM000018</v>
          </cell>
          <cell r="F7">
            <v>15</v>
          </cell>
          <cell r="G7">
            <v>10</v>
          </cell>
          <cell r="H7">
            <v>10</v>
          </cell>
          <cell r="I7">
            <v>10</v>
          </cell>
          <cell r="J7">
            <v>70</v>
          </cell>
          <cell r="K7">
            <v>100</v>
          </cell>
          <cell r="L7" t="str">
            <v>$</v>
          </cell>
        </row>
        <row r="8">
          <cell r="E8" t="str">
            <v>JM000020</v>
          </cell>
          <cell r="F8">
            <v>14</v>
          </cell>
          <cell r="G8">
            <v>10</v>
          </cell>
        </row>
        <row r="8"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JM000023</v>
          </cell>
          <cell r="F9">
            <v>14</v>
          </cell>
          <cell r="G9">
            <v>10</v>
          </cell>
        </row>
        <row r="9">
          <cell r="I9">
            <v>10</v>
          </cell>
          <cell r="J9">
            <v>80</v>
          </cell>
          <cell r="K9">
            <v>100</v>
          </cell>
          <cell r="L9" t="str">
            <v>$</v>
          </cell>
        </row>
        <row r="10">
          <cell r="E10" t="str">
            <v>JM000024</v>
          </cell>
          <cell r="F10">
            <v>14</v>
          </cell>
          <cell r="G10">
            <v>10</v>
          </cell>
        </row>
        <row r="10">
          <cell r="I10">
            <v>10</v>
          </cell>
          <cell r="J10">
            <v>80</v>
          </cell>
          <cell r="K10">
            <v>100</v>
          </cell>
          <cell r="L10" t="str">
            <v>$</v>
          </cell>
        </row>
        <row r="11">
          <cell r="E11" t="str">
            <v>JM000026</v>
          </cell>
          <cell r="F11">
            <v>14</v>
          </cell>
          <cell r="G11">
            <v>10</v>
          </cell>
        </row>
        <row r="11">
          <cell r="I11">
            <v>10</v>
          </cell>
          <cell r="J11">
            <v>80</v>
          </cell>
          <cell r="K11">
            <v>100</v>
          </cell>
          <cell r="L11" t="str">
            <v>$</v>
          </cell>
        </row>
        <row r="12">
          <cell r="E12" t="str">
            <v>JM000028</v>
          </cell>
          <cell r="F12">
            <v>14</v>
          </cell>
          <cell r="G12">
            <v>10</v>
          </cell>
        </row>
        <row r="12">
          <cell r="I12">
            <v>10</v>
          </cell>
          <cell r="J12">
            <v>80</v>
          </cell>
          <cell r="K12">
            <v>100</v>
          </cell>
          <cell r="L12" t="str">
            <v>$</v>
          </cell>
        </row>
        <row r="13">
          <cell r="E13" t="str">
            <v>JM000031</v>
          </cell>
          <cell r="F13">
            <v>14</v>
          </cell>
          <cell r="G13">
            <v>10</v>
          </cell>
        </row>
        <row r="13">
          <cell r="I13">
            <v>10</v>
          </cell>
          <cell r="J13">
            <v>80</v>
          </cell>
          <cell r="K13">
            <v>100</v>
          </cell>
          <cell r="L13" t="str">
            <v>$</v>
          </cell>
        </row>
        <row r="14">
          <cell r="E14" t="str">
            <v>JM000032</v>
          </cell>
          <cell r="F14">
            <v>14</v>
          </cell>
          <cell r="G14">
            <v>10</v>
          </cell>
        </row>
        <row r="14">
          <cell r="I14">
            <v>10</v>
          </cell>
          <cell r="J14">
            <v>80</v>
          </cell>
          <cell r="K14">
            <v>100</v>
          </cell>
          <cell r="L14" t="str">
            <v>$</v>
          </cell>
        </row>
        <row r="15">
          <cell r="E15" t="str">
            <v>JM000034</v>
          </cell>
          <cell r="F15">
            <v>14</v>
          </cell>
          <cell r="G15">
            <v>10</v>
          </cell>
        </row>
        <row r="15">
          <cell r="I15">
            <v>10</v>
          </cell>
          <cell r="J15">
            <v>80</v>
          </cell>
          <cell r="K15">
            <v>100</v>
          </cell>
          <cell r="L15" t="str">
            <v>$</v>
          </cell>
        </row>
        <row r="16">
          <cell r="E16" t="str">
            <v>JM000035</v>
          </cell>
          <cell r="F16">
            <v>15</v>
          </cell>
          <cell r="G16">
            <v>10</v>
          </cell>
        </row>
        <row r="16">
          <cell r="I16">
            <v>10</v>
          </cell>
          <cell r="J16">
            <v>80</v>
          </cell>
          <cell r="K16">
            <v>100</v>
          </cell>
          <cell r="L16" t="str">
            <v>$</v>
          </cell>
        </row>
        <row r="17">
          <cell r="E17" t="str">
            <v>JM000040</v>
          </cell>
          <cell r="F17">
            <v>14</v>
          </cell>
          <cell r="G17">
            <v>10</v>
          </cell>
        </row>
        <row r="17">
          <cell r="I17">
            <v>10</v>
          </cell>
          <cell r="J17">
            <v>80</v>
          </cell>
          <cell r="K17">
            <v>100</v>
          </cell>
          <cell r="L17" t="str">
            <v>$</v>
          </cell>
        </row>
        <row r="18">
          <cell r="E18" t="str">
            <v>JM000041</v>
          </cell>
          <cell r="F18">
            <v>14</v>
          </cell>
          <cell r="G18">
            <v>10</v>
          </cell>
        </row>
        <row r="18">
          <cell r="I18">
            <v>10</v>
          </cell>
          <cell r="J18">
            <v>80</v>
          </cell>
          <cell r="K18">
            <v>100</v>
          </cell>
          <cell r="L18" t="str">
            <v>$</v>
          </cell>
        </row>
        <row r="19">
          <cell r="E19" t="str">
            <v>JM000046</v>
          </cell>
          <cell r="F19">
            <v>13.5</v>
          </cell>
          <cell r="G19">
            <v>10</v>
          </cell>
        </row>
        <row r="19">
          <cell r="I19">
            <v>10</v>
          </cell>
          <cell r="J19">
            <v>80</v>
          </cell>
          <cell r="K19">
            <v>100</v>
          </cell>
          <cell r="L19" t="str">
            <v>$</v>
          </cell>
        </row>
        <row r="20">
          <cell r="E20" t="str">
            <v>JM000057</v>
          </cell>
          <cell r="F20">
            <v>12.5</v>
          </cell>
          <cell r="G20">
            <v>10</v>
          </cell>
        </row>
        <row r="20">
          <cell r="I20">
            <v>10</v>
          </cell>
          <cell r="J20">
            <v>80</v>
          </cell>
          <cell r="K20">
            <v>100</v>
          </cell>
          <cell r="L20" t="str">
            <v>$</v>
          </cell>
        </row>
        <row r="21">
          <cell r="E21" t="str">
            <v>JM000068</v>
          </cell>
          <cell r="F21">
            <v>13.5</v>
          </cell>
          <cell r="G21">
            <v>10</v>
          </cell>
        </row>
        <row r="21">
          <cell r="I21">
            <v>10</v>
          </cell>
          <cell r="J21">
            <v>80</v>
          </cell>
          <cell r="K21">
            <v>100</v>
          </cell>
          <cell r="L21" t="str">
            <v>$</v>
          </cell>
        </row>
        <row r="22">
          <cell r="E22" t="str">
            <v>JM000303</v>
          </cell>
          <cell r="F22">
            <v>13</v>
          </cell>
          <cell r="G22">
            <v>10</v>
          </cell>
        </row>
        <row r="22">
          <cell r="I22">
            <v>10</v>
          </cell>
          <cell r="J22">
            <v>80</v>
          </cell>
          <cell r="K22">
            <v>100</v>
          </cell>
          <cell r="L22" t="str">
            <v>$</v>
          </cell>
        </row>
        <row r="23">
          <cell r="E23" t="str">
            <v>JM000324</v>
          </cell>
          <cell r="F23">
            <v>14.5</v>
          </cell>
          <cell r="G23">
            <v>10</v>
          </cell>
        </row>
        <row r="23">
          <cell r="I23">
            <v>10</v>
          </cell>
          <cell r="J23">
            <v>80</v>
          </cell>
          <cell r="K23">
            <v>100</v>
          </cell>
          <cell r="L23" t="str">
            <v>$</v>
          </cell>
        </row>
        <row r="24">
          <cell r="E24" t="str">
            <v>JM000325</v>
          </cell>
          <cell r="F24">
            <v>14.5</v>
          </cell>
          <cell r="G24">
            <v>10</v>
          </cell>
        </row>
        <row r="24">
          <cell r="I24">
            <v>10</v>
          </cell>
          <cell r="J24">
            <v>80</v>
          </cell>
          <cell r="K24">
            <v>100</v>
          </cell>
          <cell r="L24" t="str">
            <v>$</v>
          </cell>
        </row>
        <row r="25">
          <cell r="E25" t="str">
            <v>JM000326</v>
          </cell>
          <cell r="F25">
            <v>14</v>
          </cell>
          <cell r="G25">
            <v>10</v>
          </cell>
        </row>
        <row r="25">
          <cell r="I25">
            <v>10</v>
          </cell>
          <cell r="J25">
            <v>80</v>
          </cell>
          <cell r="K25">
            <v>100</v>
          </cell>
          <cell r="L25" t="str">
            <v>$</v>
          </cell>
        </row>
        <row r="26">
          <cell r="E26" t="str">
            <v>JM000357</v>
          </cell>
          <cell r="F26">
            <v>14</v>
          </cell>
          <cell r="G26">
            <v>10</v>
          </cell>
        </row>
        <row r="26">
          <cell r="I26">
            <v>10</v>
          </cell>
          <cell r="J26">
            <v>80</v>
          </cell>
          <cell r="K26">
            <v>100</v>
          </cell>
          <cell r="L26" t="str">
            <v>$</v>
          </cell>
        </row>
        <row r="27">
          <cell r="E27" t="str">
            <v>JM000358</v>
          </cell>
          <cell r="F27">
            <v>14</v>
          </cell>
          <cell r="G27">
            <v>10</v>
          </cell>
        </row>
        <row r="27">
          <cell r="I27">
            <v>10</v>
          </cell>
          <cell r="J27">
            <v>80</v>
          </cell>
          <cell r="K27">
            <v>100</v>
          </cell>
          <cell r="L27" t="str">
            <v>$</v>
          </cell>
        </row>
        <row r="28">
          <cell r="E28" t="str">
            <v>JM000369</v>
          </cell>
          <cell r="F28">
            <v>14</v>
          </cell>
          <cell r="G28">
            <v>10</v>
          </cell>
        </row>
        <row r="28">
          <cell r="I28">
            <v>10</v>
          </cell>
          <cell r="J28">
            <v>80</v>
          </cell>
          <cell r="K28">
            <v>100</v>
          </cell>
          <cell r="L28" t="str">
            <v>$</v>
          </cell>
        </row>
      </sheetData>
      <sheetData sheetId="2">
        <row r="7">
          <cell r="E7" t="str">
            <v>JM000210</v>
          </cell>
          <cell r="F7">
            <v>14</v>
          </cell>
          <cell r="G7">
            <v>10</v>
          </cell>
          <cell r="H7">
            <v>10</v>
          </cell>
          <cell r="I7">
            <v>10</v>
          </cell>
          <cell r="J7">
            <v>70</v>
          </cell>
          <cell r="K7">
            <v>100</v>
          </cell>
          <cell r="L7" t="str">
            <v>$</v>
          </cell>
        </row>
        <row r="8">
          <cell r="E8" t="str">
            <v>JM000016</v>
          </cell>
          <cell r="F8">
            <v>13</v>
          </cell>
          <cell r="G8">
            <v>10</v>
          </cell>
        </row>
        <row r="8"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JM000045</v>
          </cell>
          <cell r="F9">
            <v>10</v>
          </cell>
          <cell r="G9">
            <v>10</v>
          </cell>
        </row>
        <row r="9">
          <cell r="I9">
            <v>10</v>
          </cell>
          <cell r="J9">
            <v>30</v>
          </cell>
          <cell r="K9">
            <v>50</v>
          </cell>
          <cell r="L9" t="str">
            <v>$</v>
          </cell>
        </row>
        <row r="10">
          <cell r="E10" t="str">
            <v>JM000048</v>
          </cell>
          <cell r="F10">
            <v>10</v>
          </cell>
          <cell r="G10">
            <v>10</v>
          </cell>
        </row>
        <row r="10">
          <cell r="I10">
            <v>10</v>
          </cell>
          <cell r="J10">
            <v>30</v>
          </cell>
          <cell r="K10">
            <v>50</v>
          </cell>
          <cell r="L10" t="str">
            <v>$</v>
          </cell>
        </row>
        <row r="11">
          <cell r="E11" t="str">
            <v>JM000049</v>
          </cell>
          <cell r="F11">
            <v>13</v>
          </cell>
          <cell r="G11">
            <v>10</v>
          </cell>
        </row>
        <row r="11">
          <cell r="I11">
            <v>10</v>
          </cell>
          <cell r="J11">
            <v>80</v>
          </cell>
          <cell r="K11">
            <v>100</v>
          </cell>
          <cell r="L11" t="str">
            <v>$</v>
          </cell>
        </row>
        <row r="12">
          <cell r="E12" t="str">
            <v>JM000052</v>
          </cell>
          <cell r="F12">
            <v>10</v>
          </cell>
          <cell r="G12">
            <v>10</v>
          </cell>
        </row>
        <row r="12">
          <cell r="I12">
            <v>10</v>
          </cell>
          <cell r="J12">
            <v>30</v>
          </cell>
          <cell r="K12">
            <v>50</v>
          </cell>
          <cell r="L12" t="str">
            <v>$</v>
          </cell>
        </row>
        <row r="13">
          <cell r="E13" t="str">
            <v>JM000054</v>
          </cell>
          <cell r="F13">
            <v>13</v>
          </cell>
          <cell r="G13">
            <v>10</v>
          </cell>
        </row>
        <row r="13">
          <cell r="I13">
            <v>10</v>
          </cell>
          <cell r="J13">
            <v>80</v>
          </cell>
          <cell r="K13">
            <v>100</v>
          </cell>
          <cell r="L13" t="str">
            <v>$</v>
          </cell>
        </row>
        <row r="14">
          <cell r="E14" t="str">
            <v>JM000055</v>
          </cell>
          <cell r="F14">
            <v>10</v>
          </cell>
          <cell r="G14">
            <v>10</v>
          </cell>
        </row>
        <row r="14">
          <cell r="I14">
            <v>10</v>
          </cell>
          <cell r="J14">
            <v>30</v>
          </cell>
          <cell r="K14">
            <v>50</v>
          </cell>
          <cell r="L14" t="str">
            <v>$</v>
          </cell>
        </row>
        <row r="15">
          <cell r="E15" t="str">
            <v>JM000056</v>
          </cell>
          <cell r="F15">
            <v>10</v>
          </cell>
          <cell r="G15">
            <v>10</v>
          </cell>
        </row>
        <row r="15">
          <cell r="I15">
            <v>10</v>
          </cell>
          <cell r="J15">
            <v>30</v>
          </cell>
          <cell r="K15">
            <v>50</v>
          </cell>
          <cell r="L15" t="str">
            <v>$</v>
          </cell>
        </row>
        <row r="16">
          <cell r="E16" t="str">
            <v>JM000058</v>
          </cell>
          <cell r="F16">
            <v>10</v>
          </cell>
          <cell r="G16">
            <v>10</v>
          </cell>
        </row>
        <row r="16">
          <cell r="I16">
            <v>10</v>
          </cell>
          <cell r="J16">
            <v>30</v>
          </cell>
          <cell r="K16">
            <v>50</v>
          </cell>
          <cell r="L16" t="str">
            <v>$</v>
          </cell>
        </row>
        <row r="17">
          <cell r="E17" t="str">
            <v>JM000059</v>
          </cell>
          <cell r="F17">
            <v>10</v>
          </cell>
          <cell r="G17">
            <v>10</v>
          </cell>
        </row>
        <row r="17">
          <cell r="I17">
            <v>10</v>
          </cell>
          <cell r="J17">
            <v>30</v>
          </cell>
          <cell r="K17">
            <v>50</v>
          </cell>
          <cell r="L17" t="str">
            <v>$</v>
          </cell>
        </row>
        <row r="18">
          <cell r="E18" t="str">
            <v>JM000061</v>
          </cell>
          <cell r="F18">
            <v>10</v>
          </cell>
          <cell r="G18">
            <v>10</v>
          </cell>
        </row>
        <row r="18">
          <cell r="I18">
            <v>10</v>
          </cell>
          <cell r="J18">
            <v>30</v>
          </cell>
          <cell r="K18">
            <v>50</v>
          </cell>
          <cell r="L18" t="str">
            <v>$</v>
          </cell>
        </row>
        <row r="19">
          <cell r="E19" t="str">
            <v>JM000062</v>
          </cell>
          <cell r="F19">
            <v>10</v>
          </cell>
          <cell r="G19">
            <v>10</v>
          </cell>
        </row>
        <row r="19">
          <cell r="I19">
            <v>10</v>
          </cell>
          <cell r="J19">
            <v>30</v>
          </cell>
          <cell r="K19">
            <v>50</v>
          </cell>
          <cell r="L19" t="str">
            <v>$</v>
          </cell>
        </row>
        <row r="20">
          <cell r="E20" t="str">
            <v>JM000063</v>
          </cell>
          <cell r="F20">
            <v>10</v>
          </cell>
          <cell r="G20">
            <v>10</v>
          </cell>
        </row>
        <row r="20">
          <cell r="I20">
            <v>10</v>
          </cell>
          <cell r="J20">
            <v>30</v>
          </cell>
          <cell r="K20">
            <v>50</v>
          </cell>
          <cell r="L20" t="str">
            <v>$</v>
          </cell>
        </row>
        <row r="21">
          <cell r="E21" t="str">
            <v>JM000064</v>
          </cell>
          <cell r="F21">
            <v>13</v>
          </cell>
          <cell r="G21">
            <v>10</v>
          </cell>
        </row>
        <row r="21">
          <cell r="I21">
            <v>10</v>
          </cell>
          <cell r="J21">
            <v>80</v>
          </cell>
          <cell r="K21">
            <v>100</v>
          </cell>
          <cell r="L21" t="str">
            <v>$</v>
          </cell>
        </row>
        <row r="22">
          <cell r="E22" t="str">
            <v>JM000065</v>
          </cell>
          <cell r="F22">
            <v>13</v>
          </cell>
          <cell r="G22">
            <v>10</v>
          </cell>
        </row>
        <row r="22">
          <cell r="I22">
            <v>10</v>
          </cell>
          <cell r="J22">
            <v>80</v>
          </cell>
          <cell r="K22">
            <v>100</v>
          </cell>
          <cell r="L22" t="str">
            <v>$</v>
          </cell>
        </row>
        <row r="23">
          <cell r="E23" t="str">
            <v>JM000269</v>
          </cell>
          <cell r="F23">
            <v>10</v>
          </cell>
          <cell r="G23">
            <v>10</v>
          </cell>
        </row>
        <row r="23">
          <cell r="I23">
            <v>10</v>
          </cell>
          <cell r="J23">
            <v>30</v>
          </cell>
          <cell r="K23">
            <v>50</v>
          </cell>
          <cell r="L23" t="str">
            <v>$</v>
          </cell>
        </row>
        <row r="24">
          <cell r="E24" t="str">
            <v>JM000301</v>
          </cell>
          <cell r="F24">
            <v>12.5</v>
          </cell>
          <cell r="G24">
            <v>10</v>
          </cell>
        </row>
        <row r="24">
          <cell r="I24">
            <v>10</v>
          </cell>
          <cell r="J24">
            <v>80</v>
          </cell>
          <cell r="K24">
            <v>100</v>
          </cell>
          <cell r="L24" t="str">
            <v>$</v>
          </cell>
        </row>
        <row r="25">
          <cell r="E25" t="str">
            <v>JM000302</v>
          </cell>
          <cell r="F25">
            <v>10</v>
          </cell>
          <cell r="G25">
            <v>10</v>
          </cell>
        </row>
        <row r="25">
          <cell r="I25">
            <v>10</v>
          </cell>
          <cell r="J25">
            <v>30</v>
          </cell>
          <cell r="K25">
            <v>50</v>
          </cell>
          <cell r="L25" t="str">
            <v>$</v>
          </cell>
        </row>
        <row r="26">
          <cell r="E26" t="str">
            <v>JM000331</v>
          </cell>
          <cell r="F26">
            <v>10</v>
          </cell>
          <cell r="G26">
            <v>10</v>
          </cell>
        </row>
        <row r="26">
          <cell r="I26">
            <v>10</v>
          </cell>
          <cell r="J26">
            <v>30</v>
          </cell>
          <cell r="K26">
            <v>50</v>
          </cell>
          <cell r="L26" t="str">
            <v>$</v>
          </cell>
        </row>
        <row r="27">
          <cell r="E27" t="str">
            <v>JM000332</v>
          </cell>
          <cell r="F27">
            <v>10</v>
          </cell>
          <cell r="G27">
            <v>10</v>
          </cell>
        </row>
        <row r="27">
          <cell r="I27">
            <v>10</v>
          </cell>
          <cell r="J27">
            <v>30</v>
          </cell>
          <cell r="K27">
            <v>50</v>
          </cell>
          <cell r="L27" t="str">
            <v>$</v>
          </cell>
        </row>
        <row r="28">
          <cell r="E28" t="str">
            <v>JM000334</v>
          </cell>
          <cell r="F28">
            <v>13.5</v>
          </cell>
          <cell r="G28">
            <v>10</v>
          </cell>
        </row>
        <row r="28">
          <cell r="I28">
            <v>10</v>
          </cell>
          <cell r="J28">
            <v>80</v>
          </cell>
          <cell r="K28">
            <v>100</v>
          </cell>
          <cell r="L28" t="str">
            <v>$</v>
          </cell>
        </row>
        <row r="29">
          <cell r="E29" t="str">
            <v>JM000335</v>
          </cell>
          <cell r="F29">
            <v>10</v>
          </cell>
          <cell r="G29">
            <v>10</v>
          </cell>
        </row>
        <row r="29">
          <cell r="I29">
            <v>10</v>
          </cell>
          <cell r="J29">
            <v>30</v>
          </cell>
          <cell r="K29">
            <v>50</v>
          </cell>
          <cell r="L29" t="str">
            <v>$</v>
          </cell>
        </row>
      </sheetData>
      <sheetData sheetId="3">
        <row r="7">
          <cell r="E7" t="str">
            <v>JM000209</v>
          </cell>
          <cell r="F7">
            <v>15</v>
          </cell>
          <cell r="G7">
            <v>10</v>
          </cell>
          <cell r="H7">
            <v>10</v>
          </cell>
          <cell r="I7">
            <v>10</v>
          </cell>
          <cell r="J7">
            <v>70</v>
          </cell>
          <cell r="K7">
            <v>100</v>
          </cell>
          <cell r="L7" t="str">
            <v>$</v>
          </cell>
        </row>
        <row r="8">
          <cell r="E8" t="str">
            <v>JM000134</v>
          </cell>
          <cell r="F8">
            <v>10.5</v>
          </cell>
          <cell r="G8">
            <v>10</v>
          </cell>
        </row>
        <row r="8">
          <cell r="I8">
            <v>10</v>
          </cell>
          <cell r="J8">
            <v>30</v>
          </cell>
          <cell r="K8">
            <v>50</v>
          </cell>
          <cell r="L8" t="str">
            <v>$</v>
          </cell>
        </row>
        <row r="9">
          <cell r="E9" t="str">
            <v>JM000138</v>
          </cell>
          <cell r="F9">
            <v>10.5</v>
          </cell>
          <cell r="G9">
            <v>10</v>
          </cell>
        </row>
        <row r="9">
          <cell r="I9">
            <v>10</v>
          </cell>
          <cell r="J9">
            <v>30</v>
          </cell>
          <cell r="K9">
            <v>50</v>
          </cell>
          <cell r="L9" t="str">
            <v>$</v>
          </cell>
        </row>
        <row r="10">
          <cell r="E10" t="str">
            <v>JM000139</v>
          </cell>
          <cell r="F10">
            <v>13.5</v>
          </cell>
          <cell r="G10">
            <v>10</v>
          </cell>
        </row>
        <row r="10">
          <cell r="I10">
            <v>10</v>
          </cell>
          <cell r="J10">
            <v>80</v>
          </cell>
          <cell r="K10">
            <v>100</v>
          </cell>
          <cell r="L10" t="str">
            <v>$</v>
          </cell>
        </row>
        <row r="11">
          <cell r="E11" t="str">
            <v>JM000145</v>
          </cell>
          <cell r="F11">
            <v>10.5</v>
          </cell>
          <cell r="G11">
            <v>10</v>
          </cell>
        </row>
        <row r="11">
          <cell r="I11">
            <v>10</v>
          </cell>
          <cell r="J11">
            <v>30</v>
          </cell>
          <cell r="K11">
            <v>50</v>
          </cell>
          <cell r="L11" t="str">
            <v>$</v>
          </cell>
        </row>
        <row r="12">
          <cell r="E12" t="str">
            <v>JM000146</v>
          </cell>
          <cell r="F12">
            <v>10.5</v>
          </cell>
          <cell r="G12">
            <v>10</v>
          </cell>
        </row>
        <row r="12">
          <cell r="I12">
            <v>10</v>
          </cell>
          <cell r="J12">
            <v>30</v>
          </cell>
          <cell r="K12">
            <v>50</v>
          </cell>
          <cell r="L12" t="str">
            <v>$</v>
          </cell>
        </row>
        <row r="13">
          <cell r="E13" t="str">
            <v>JM000147</v>
          </cell>
          <cell r="F13">
            <v>12.5</v>
          </cell>
          <cell r="G13">
            <v>10</v>
          </cell>
        </row>
        <row r="13">
          <cell r="I13">
            <v>10</v>
          </cell>
          <cell r="J13">
            <v>80</v>
          </cell>
          <cell r="K13">
            <v>100</v>
          </cell>
          <cell r="L13" t="str">
            <v>$</v>
          </cell>
        </row>
        <row r="14">
          <cell r="E14" t="str">
            <v>JM000150</v>
          </cell>
          <cell r="F14">
            <v>10</v>
          </cell>
          <cell r="G14">
            <v>10</v>
          </cell>
        </row>
        <row r="14">
          <cell r="I14">
            <v>10</v>
          </cell>
          <cell r="J14">
            <v>30</v>
          </cell>
          <cell r="K14">
            <v>50</v>
          </cell>
          <cell r="L14" t="str">
            <v>$</v>
          </cell>
        </row>
        <row r="15">
          <cell r="E15" t="str">
            <v>JM000178</v>
          </cell>
          <cell r="F15">
            <v>10.5</v>
          </cell>
          <cell r="G15">
            <v>10</v>
          </cell>
        </row>
        <row r="15">
          <cell r="I15">
            <v>10</v>
          </cell>
          <cell r="J15">
            <v>30</v>
          </cell>
          <cell r="K15">
            <v>50</v>
          </cell>
          <cell r="L15" t="str">
            <v>$</v>
          </cell>
        </row>
        <row r="16">
          <cell r="E16" t="str">
            <v>JM000187</v>
          </cell>
          <cell r="F16">
            <v>10.5</v>
          </cell>
          <cell r="G16">
            <v>10</v>
          </cell>
        </row>
        <row r="16">
          <cell r="I16">
            <v>10</v>
          </cell>
          <cell r="J16">
            <v>30</v>
          </cell>
          <cell r="K16">
            <v>50</v>
          </cell>
          <cell r="L16" t="str">
            <v>$</v>
          </cell>
        </row>
        <row r="17">
          <cell r="E17" t="str">
            <v>JM000190</v>
          </cell>
          <cell r="F17">
            <v>10.5</v>
          </cell>
          <cell r="G17">
            <v>10</v>
          </cell>
        </row>
        <row r="17">
          <cell r="I17">
            <v>10</v>
          </cell>
          <cell r="J17">
            <v>30</v>
          </cell>
          <cell r="K17">
            <v>50</v>
          </cell>
          <cell r="L17" t="str">
            <v>$</v>
          </cell>
        </row>
        <row r="18">
          <cell r="E18" t="str">
            <v>JM000193</v>
          </cell>
          <cell r="F18">
            <v>10.5</v>
          </cell>
          <cell r="G18">
            <v>10</v>
          </cell>
        </row>
        <row r="18">
          <cell r="I18">
            <v>10</v>
          </cell>
          <cell r="J18">
            <v>30</v>
          </cell>
          <cell r="K18">
            <v>50</v>
          </cell>
          <cell r="L18" t="str">
            <v>$</v>
          </cell>
        </row>
        <row r="19">
          <cell r="E19" t="str">
            <v>JM000208</v>
          </cell>
          <cell r="F19">
            <v>10.5</v>
          </cell>
          <cell r="G19">
            <v>10</v>
          </cell>
        </row>
        <row r="19">
          <cell r="I19">
            <v>10</v>
          </cell>
          <cell r="J19">
            <v>30</v>
          </cell>
          <cell r="K19">
            <v>50</v>
          </cell>
          <cell r="L19" t="str">
            <v>$</v>
          </cell>
        </row>
        <row r="20">
          <cell r="E20" t="str">
            <v>JM000280</v>
          </cell>
          <cell r="F20">
            <v>13.5</v>
          </cell>
          <cell r="G20">
            <v>10</v>
          </cell>
        </row>
        <row r="20">
          <cell r="I20">
            <v>10</v>
          </cell>
          <cell r="J20">
            <v>80</v>
          </cell>
          <cell r="K20">
            <v>100</v>
          </cell>
          <cell r="L20" t="str">
            <v>$</v>
          </cell>
        </row>
        <row r="21">
          <cell r="E21" t="str">
            <v>JM000281</v>
          </cell>
          <cell r="F21">
            <v>10.5</v>
          </cell>
          <cell r="G21">
            <v>10</v>
          </cell>
        </row>
        <row r="21">
          <cell r="I21">
            <v>10</v>
          </cell>
          <cell r="J21">
            <v>30</v>
          </cell>
          <cell r="K21">
            <v>50</v>
          </cell>
          <cell r="L21" t="str">
            <v>$</v>
          </cell>
        </row>
        <row r="22">
          <cell r="E22" t="str">
            <v>JM000289</v>
          </cell>
          <cell r="F22">
            <v>15</v>
          </cell>
          <cell r="G22">
            <v>10</v>
          </cell>
        </row>
        <row r="22">
          <cell r="I22">
            <v>10</v>
          </cell>
          <cell r="J22">
            <v>80</v>
          </cell>
          <cell r="K22">
            <v>100</v>
          </cell>
          <cell r="L22" t="str">
            <v>$</v>
          </cell>
        </row>
        <row r="23">
          <cell r="E23" t="str">
            <v>JM000290</v>
          </cell>
          <cell r="F23">
            <v>13</v>
          </cell>
          <cell r="G23">
            <v>10</v>
          </cell>
        </row>
        <row r="23">
          <cell r="I23">
            <v>10</v>
          </cell>
          <cell r="J23">
            <v>80</v>
          </cell>
          <cell r="K23">
            <v>100</v>
          </cell>
          <cell r="L23" t="str">
            <v>$</v>
          </cell>
        </row>
        <row r="24">
          <cell r="E24" t="str">
            <v>JM000292</v>
          </cell>
          <cell r="F24">
            <v>14</v>
          </cell>
          <cell r="G24">
            <v>10</v>
          </cell>
        </row>
        <row r="24">
          <cell r="I24">
            <v>10</v>
          </cell>
          <cell r="J24">
            <v>80</v>
          </cell>
          <cell r="K24">
            <v>100</v>
          </cell>
          <cell r="L24" t="str">
            <v>$</v>
          </cell>
        </row>
        <row r="25">
          <cell r="E25" t="str">
            <v>JM000315</v>
          </cell>
          <cell r="F25">
            <v>10.5</v>
          </cell>
          <cell r="G25">
            <v>10</v>
          </cell>
        </row>
        <row r="25">
          <cell r="I25">
            <v>10</v>
          </cell>
          <cell r="J25">
            <v>30</v>
          </cell>
          <cell r="K25">
            <v>50</v>
          </cell>
          <cell r="L25" t="str">
            <v>$</v>
          </cell>
        </row>
        <row r="26">
          <cell r="E26" t="str">
            <v>JM000350</v>
          </cell>
          <cell r="F26">
            <v>10.5</v>
          </cell>
          <cell r="G26">
            <v>10</v>
          </cell>
        </row>
        <row r="26">
          <cell r="I26">
            <v>10</v>
          </cell>
          <cell r="J26">
            <v>30</v>
          </cell>
          <cell r="K26">
            <v>50</v>
          </cell>
          <cell r="L26" t="str">
            <v>$</v>
          </cell>
        </row>
        <row r="27">
          <cell r="E27" t="str">
            <v>JM000351</v>
          </cell>
          <cell r="F27">
            <v>10.5</v>
          </cell>
          <cell r="G27">
            <v>10</v>
          </cell>
        </row>
        <row r="27">
          <cell r="I27">
            <v>10</v>
          </cell>
          <cell r="J27">
            <v>30</v>
          </cell>
          <cell r="K27">
            <v>50</v>
          </cell>
          <cell r="L27" t="str">
            <v>$</v>
          </cell>
        </row>
        <row r="28">
          <cell r="E28" t="str">
            <v>JM000353</v>
          </cell>
          <cell r="F28">
            <v>12.5</v>
          </cell>
          <cell r="G28">
            <v>10</v>
          </cell>
        </row>
        <row r="28">
          <cell r="I28">
            <v>10</v>
          </cell>
          <cell r="J28">
            <v>80</v>
          </cell>
          <cell r="K28">
            <v>100</v>
          </cell>
          <cell r="L28" t="str">
            <v>$</v>
          </cell>
        </row>
        <row r="29">
          <cell r="E29" t="str">
            <v>JM000360</v>
          </cell>
          <cell r="F29">
            <v>10.5</v>
          </cell>
          <cell r="G29">
            <v>10</v>
          </cell>
        </row>
        <row r="29">
          <cell r="I29">
            <v>10</v>
          </cell>
          <cell r="J29">
            <v>30</v>
          </cell>
          <cell r="K29">
            <v>50</v>
          </cell>
          <cell r="L29" t="str">
            <v>$</v>
          </cell>
        </row>
        <row r="30">
          <cell r="E30" t="str">
            <v>JM000361</v>
          </cell>
          <cell r="F30">
            <v>10.5</v>
          </cell>
          <cell r="G30">
            <v>10</v>
          </cell>
        </row>
        <row r="30">
          <cell r="I30">
            <v>10</v>
          </cell>
          <cell r="J30">
            <v>30</v>
          </cell>
          <cell r="K30">
            <v>50</v>
          </cell>
          <cell r="L30" t="str">
            <v>$</v>
          </cell>
        </row>
        <row r="31">
          <cell r="E31" t="str">
            <v>JM000362</v>
          </cell>
          <cell r="F31">
            <v>15</v>
          </cell>
          <cell r="G31">
            <v>10</v>
          </cell>
        </row>
        <row r="31">
          <cell r="I31">
            <v>10</v>
          </cell>
          <cell r="J31">
            <v>80</v>
          </cell>
          <cell r="K31">
            <v>100</v>
          </cell>
          <cell r="L31" t="str">
            <v>$</v>
          </cell>
        </row>
        <row r="32">
          <cell r="E32" t="str">
            <v>JM000367</v>
          </cell>
          <cell r="F32">
            <v>14</v>
          </cell>
          <cell r="G32">
            <v>10</v>
          </cell>
        </row>
        <row r="32">
          <cell r="I32">
            <v>10</v>
          </cell>
          <cell r="J32">
            <v>80</v>
          </cell>
          <cell r="K32">
            <v>100</v>
          </cell>
          <cell r="L32" t="str">
            <v>$</v>
          </cell>
        </row>
        <row r="33">
          <cell r="E33" t="str">
            <v>JM000368</v>
          </cell>
          <cell r="F33">
            <v>10.5</v>
          </cell>
          <cell r="G33">
            <v>10</v>
          </cell>
        </row>
        <row r="33">
          <cell r="I33">
            <v>10</v>
          </cell>
          <cell r="J33">
            <v>30</v>
          </cell>
          <cell r="K33">
            <v>50</v>
          </cell>
          <cell r="L33" t="str">
            <v>$</v>
          </cell>
        </row>
      </sheetData>
      <sheetData sheetId="4">
        <row r="7">
          <cell r="E7" t="str">
            <v>JM000133</v>
          </cell>
          <cell r="F7">
            <v>15</v>
          </cell>
          <cell r="G7">
            <v>10</v>
          </cell>
          <cell r="H7">
            <v>10</v>
          </cell>
          <cell r="I7">
            <v>10</v>
          </cell>
          <cell r="J7">
            <v>70</v>
          </cell>
          <cell r="K7">
            <v>100</v>
          </cell>
          <cell r="L7" t="str">
            <v>$</v>
          </cell>
        </row>
        <row r="8">
          <cell r="E8" t="str">
            <v>JM000151</v>
          </cell>
          <cell r="F8">
            <v>13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JM000152</v>
          </cell>
          <cell r="F9">
            <v>13</v>
          </cell>
          <cell r="G9">
            <v>10</v>
          </cell>
          <cell r="H9">
            <v>0</v>
          </cell>
          <cell r="I9">
            <v>10</v>
          </cell>
          <cell r="J9">
            <v>80</v>
          </cell>
          <cell r="K9">
            <v>100</v>
          </cell>
          <cell r="L9" t="str">
            <v>$</v>
          </cell>
        </row>
        <row r="10">
          <cell r="E10" t="str">
            <v>JM000153</v>
          </cell>
          <cell r="F10">
            <v>10</v>
          </cell>
          <cell r="G10">
            <v>10</v>
          </cell>
          <cell r="H10">
            <v>0</v>
          </cell>
          <cell r="I10">
            <v>10</v>
          </cell>
          <cell r="J10">
            <v>30</v>
          </cell>
          <cell r="K10">
            <v>50</v>
          </cell>
          <cell r="L10" t="str">
            <v>$</v>
          </cell>
        </row>
        <row r="11">
          <cell r="E11" t="str">
            <v>JM000168</v>
          </cell>
          <cell r="F11">
            <v>10</v>
          </cell>
          <cell r="G11">
            <v>10</v>
          </cell>
          <cell r="H11">
            <v>0</v>
          </cell>
          <cell r="I11">
            <v>10</v>
          </cell>
          <cell r="J11">
            <v>30</v>
          </cell>
          <cell r="K11">
            <v>50</v>
          </cell>
          <cell r="L11" t="str">
            <v>$</v>
          </cell>
        </row>
        <row r="12">
          <cell r="E12" t="str">
            <v>JM000169</v>
          </cell>
          <cell r="F12">
            <v>10</v>
          </cell>
          <cell r="G12">
            <v>10</v>
          </cell>
          <cell r="H12">
            <v>0</v>
          </cell>
          <cell r="I12">
            <v>10</v>
          </cell>
          <cell r="J12">
            <v>30</v>
          </cell>
          <cell r="K12">
            <v>50</v>
          </cell>
          <cell r="L12" t="str">
            <v>$</v>
          </cell>
        </row>
        <row r="13">
          <cell r="E13" t="str">
            <v>JM000172</v>
          </cell>
          <cell r="F13">
            <v>10</v>
          </cell>
          <cell r="G13">
            <v>10</v>
          </cell>
          <cell r="H13">
            <v>0</v>
          </cell>
          <cell r="I13">
            <v>10</v>
          </cell>
          <cell r="J13">
            <v>30</v>
          </cell>
          <cell r="K13">
            <v>50</v>
          </cell>
          <cell r="L13" t="str">
            <v>$</v>
          </cell>
        </row>
        <row r="14">
          <cell r="E14" t="str">
            <v>JM000174</v>
          </cell>
          <cell r="F14">
            <v>10</v>
          </cell>
          <cell r="G14">
            <v>10</v>
          </cell>
          <cell r="H14">
            <v>0</v>
          </cell>
          <cell r="I14">
            <v>10</v>
          </cell>
          <cell r="J14">
            <v>30</v>
          </cell>
          <cell r="K14">
            <v>50</v>
          </cell>
          <cell r="L14" t="str">
            <v>$</v>
          </cell>
        </row>
        <row r="15">
          <cell r="E15" t="str">
            <v>JM000175</v>
          </cell>
          <cell r="F15">
            <v>13</v>
          </cell>
          <cell r="G15">
            <v>10</v>
          </cell>
          <cell r="H15">
            <v>0</v>
          </cell>
          <cell r="I15">
            <v>10</v>
          </cell>
          <cell r="J15">
            <v>80</v>
          </cell>
          <cell r="K15">
            <v>100</v>
          </cell>
          <cell r="L15" t="str">
            <v>$</v>
          </cell>
        </row>
        <row r="16">
          <cell r="E16" t="str">
            <v>JM000179</v>
          </cell>
          <cell r="F16">
            <v>13</v>
          </cell>
          <cell r="G16">
            <v>10</v>
          </cell>
          <cell r="H16">
            <v>0</v>
          </cell>
          <cell r="I16">
            <v>10</v>
          </cell>
          <cell r="J16">
            <v>80</v>
          </cell>
          <cell r="K16">
            <v>100</v>
          </cell>
          <cell r="L16" t="str">
            <v>$</v>
          </cell>
        </row>
        <row r="17">
          <cell r="E17" t="str">
            <v>JM000180</v>
          </cell>
          <cell r="F17">
            <v>10</v>
          </cell>
          <cell r="G17">
            <v>10</v>
          </cell>
          <cell r="H17">
            <v>0</v>
          </cell>
          <cell r="I17">
            <v>10</v>
          </cell>
          <cell r="J17">
            <v>30</v>
          </cell>
          <cell r="K17">
            <v>50</v>
          </cell>
          <cell r="L17" t="str">
            <v>$</v>
          </cell>
        </row>
        <row r="18">
          <cell r="E18" t="str">
            <v>JM000181</v>
          </cell>
          <cell r="F18">
            <v>10</v>
          </cell>
          <cell r="G18">
            <v>10</v>
          </cell>
          <cell r="H18">
            <v>0</v>
          </cell>
          <cell r="I18">
            <v>10</v>
          </cell>
          <cell r="J18">
            <v>30</v>
          </cell>
          <cell r="K18">
            <v>50</v>
          </cell>
          <cell r="L18" t="str">
            <v>$</v>
          </cell>
        </row>
        <row r="19">
          <cell r="E19" t="str">
            <v>JM000185</v>
          </cell>
          <cell r="F19">
            <v>10</v>
          </cell>
          <cell r="G19">
            <v>10</v>
          </cell>
          <cell r="H19">
            <v>0</v>
          </cell>
          <cell r="I19">
            <v>10</v>
          </cell>
          <cell r="J19">
            <v>30</v>
          </cell>
          <cell r="K19">
            <v>50</v>
          </cell>
          <cell r="L19" t="str">
            <v>$</v>
          </cell>
        </row>
        <row r="20">
          <cell r="E20" t="str">
            <v>JM000189</v>
          </cell>
          <cell r="F20">
            <v>13</v>
          </cell>
          <cell r="G20">
            <v>10</v>
          </cell>
          <cell r="H20">
            <v>0</v>
          </cell>
          <cell r="I20">
            <v>10</v>
          </cell>
          <cell r="J20">
            <v>80</v>
          </cell>
          <cell r="K20">
            <v>100</v>
          </cell>
          <cell r="L20" t="str">
            <v>$</v>
          </cell>
        </row>
        <row r="21">
          <cell r="E21" t="str">
            <v>JM000192</v>
          </cell>
          <cell r="F21">
            <v>10</v>
          </cell>
          <cell r="G21">
            <v>10</v>
          </cell>
          <cell r="H21">
            <v>0</v>
          </cell>
          <cell r="I21">
            <v>10</v>
          </cell>
          <cell r="J21">
            <v>30</v>
          </cell>
          <cell r="K21">
            <v>50</v>
          </cell>
          <cell r="L21" t="str">
            <v>$</v>
          </cell>
        </row>
        <row r="22">
          <cell r="E22" t="str">
            <v>JM000199</v>
          </cell>
          <cell r="F22">
            <v>10</v>
          </cell>
          <cell r="G22">
            <v>10</v>
          </cell>
          <cell r="H22">
            <v>0</v>
          </cell>
          <cell r="I22">
            <v>10</v>
          </cell>
          <cell r="J22">
            <v>30</v>
          </cell>
          <cell r="K22">
            <v>50</v>
          </cell>
          <cell r="L22" t="str">
            <v>$</v>
          </cell>
        </row>
        <row r="23">
          <cell r="E23" t="str">
            <v>JM000204</v>
          </cell>
          <cell r="F23">
            <v>10</v>
          </cell>
          <cell r="G23">
            <v>10</v>
          </cell>
          <cell r="H23">
            <v>0</v>
          </cell>
          <cell r="I23">
            <v>10</v>
          </cell>
          <cell r="J23">
            <v>30</v>
          </cell>
          <cell r="K23">
            <v>50</v>
          </cell>
          <cell r="L23" t="str">
            <v>$</v>
          </cell>
        </row>
        <row r="24">
          <cell r="E24" t="str">
            <v>JM000212</v>
          </cell>
          <cell r="F24">
            <v>15</v>
          </cell>
          <cell r="G24">
            <v>10</v>
          </cell>
          <cell r="H24">
            <v>0</v>
          </cell>
          <cell r="I24">
            <v>10</v>
          </cell>
          <cell r="J24">
            <v>80</v>
          </cell>
          <cell r="K24">
            <v>100</v>
          </cell>
          <cell r="L24" t="str">
            <v>$</v>
          </cell>
        </row>
        <row r="25">
          <cell r="E25" t="str">
            <v>JM000214</v>
          </cell>
          <cell r="F25">
            <v>15</v>
          </cell>
          <cell r="G25">
            <v>10</v>
          </cell>
          <cell r="H25">
            <v>0</v>
          </cell>
          <cell r="I25">
            <v>10</v>
          </cell>
          <cell r="J25">
            <v>80</v>
          </cell>
          <cell r="K25">
            <v>100</v>
          </cell>
          <cell r="L25" t="str">
            <v>$</v>
          </cell>
        </row>
        <row r="26">
          <cell r="E26" t="str">
            <v>JM000272</v>
          </cell>
          <cell r="F26">
            <v>10</v>
          </cell>
          <cell r="G26">
            <v>10</v>
          </cell>
          <cell r="H26">
            <v>0</v>
          </cell>
          <cell r="I26">
            <v>10</v>
          </cell>
          <cell r="J26">
            <v>30</v>
          </cell>
          <cell r="K26">
            <v>50</v>
          </cell>
          <cell r="L26" t="str">
            <v>$</v>
          </cell>
        </row>
        <row r="27">
          <cell r="E27" t="str">
            <v>JM000273</v>
          </cell>
          <cell r="F27">
            <v>13</v>
          </cell>
          <cell r="G27">
            <v>10</v>
          </cell>
          <cell r="H27">
            <v>0</v>
          </cell>
          <cell r="I27">
            <v>10</v>
          </cell>
          <cell r="J27">
            <v>80</v>
          </cell>
          <cell r="K27">
            <v>100</v>
          </cell>
          <cell r="L27" t="str">
            <v>$</v>
          </cell>
        </row>
        <row r="28">
          <cell r="E28" t="str">
            <v>JM000278</v>
          </cell>
          <cell r="F28">
            <v>13</v>
          </cell>
          <cell r="G28">
            <v>10</v>
          </cell>
          <cell r="H28">
            <v>0</v>
          </cell>
          <cell r="I28">
            <v>10</v>
          </cell>
          <cell r="J28">
            <v>80</v>
          </cell>
          <cell r="K28">
            <v>100</v>
          </cell>
          <cell r="L28" t="str">
            <v>$</v>
          </cell>
        </row>
        <row r="29">
          <cell r="E29" t="str">
            <v>JM000279</v>
          </cell>
          <cell r="F29">
            <v>10</v>
          </cell>
          <cell r="G29">
            <v>10</v>
          </cell>
          <cell r="H29">
            <v>0</v>
          </cell>
          <cell r="I29">
            <v>10</v>
          </cell>
          <cell r="J29">
            <v>30</v>
          </cell>
          <cell r="K29">
            <v>50</v>
          </cell>
          <cell r="L29" t="str">
            <v>$</v>
          </cell>
        </row>
        <row r="30">
          <cell r="E30" t="str">
            <v>JM000319</v>
          </cell>
          <cell r="F30">
            <v>12</v>
          </cell>
          <cell r="G30">
            <v>10</v>
          </cell>
          <cell r="H30">
            <v>0</v>
          </cell>
          <cell r="I30">
            <v>10</v>
          </cell>
          <cell r="J30">
            <v>80</v>
          </cell>
          <cell r="K30">
            <v>100</v>
          </cell>
          <cell r="L30" t="str">
            <v>$</v>
          </cell>
        </row>
      </sheetData>
      <sheetData sheetId="5">
        <row r="7">
          <cell r="E7" t="str">
            <v>JM000224</v>
          </cell>
          <cell r="F7">
            <v>15</v>
          </cell>
          <cell r="G7">
            <v>10</v>
          </cell>
          <cell r="H7">
            <v>10</v>
          </cell>
          <cell r="I7">
            <v>10</v>
          </cell>
          <cell r="J7">
            <v>70</v>
          </cell>
          <cell r="K7">
            <v>100</v>
          </cell>
          <cell r="L7" t="str">
            <v>$</v>
          </cell>
        </row>
        <row r="8">
          <cell r="E8" t="str">
            <v>JM000239</v>
          </cell>
          <cell r="F8">
            <v>13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JM000241</v>
          </cell>
          <cell r="F9">
            <v>13</v>
          </cell>
          <cell r="G9">
            <v>10</v>
          </cell>
          <cell r="H9">
            <v>0</v>
          </cell>
          <cell r="I9">
            <v>10</v>
          </cell>
          <cell r="J9">
            <v>80</v>
          </cell>
          <cell r="K9">
            <v>100</v>
          </cell>
          <cell r="L9" t="str">
            <v>$</v>
          </cell>
        </row>
        <row r="10">
          <cell r="E10" t="str">
            <v>JM000242</v>
          </cell>
          <cell r="F10">
            <v>13</v>
          </cell>
          <cell r="G10">
            <v>10</v>
          </cell>
          <cell r="H10">
            <v>0</v>
          </cell>
          <cell r="I10">
            <v>10</v>
          </cell>
          <cell r="J10">
            <v>80</v>
          </cell>
          <cell r="K10">
            <v>100</v>
          </cell>
          <cell r="L10" t="str">
            <v>$</v>
          </cell>
        </row>
        <row r="11">
          <cell r="E11" t="str">
            <v>JM000243</v>
          </cell>
          <cell r="F11">
            <v>13</v>
          </cell>
          <cell r="G11">
            <v>10</v>
          </cell>
          <cell r="H11">
            <v>0</v>
          </cell>
          <cell r="I11">
            <v>10</v>
          </cell>
          <cell r="J11">
            <v>80</v>
          </cell>
          <cell r="K11">
            <v>100</v>
          </cell>
          <cell r="L11" t="str">
            <v>$</v>
          </cell>
        </row>
        <row r="12">
          <cell r="E12" t="str">
            <v>JM000245</v>
          </cell>
          <cell r="F12">
            <v>13</v>
          </cell>
          <cell r="G12">
            <v>10</v>
          </cell>
          <cell r="H12">
            <v>0</v>
          </cell>
          <cell r="I12">
            <v>10</v>
          </cell>
          <cell r="J12">
            <v>80</v>
          </cell>
          <cell r="K12">
            <v>100</v>
          </cell>
          <cell r="L12" t="str">
            <v>$</v>
          </cell>
        </row>
        <row r="13">
          <cell r="E13" t="str">
            <v>JM000247</v>
          </cell>
          <cell r="F13">
            <v>13</v>
          </cell>
          <cell r="G13">
            <v>10</v>
          </cell>
          <cell r="H13">
            <v>0</v>
          </cell>
          <cell r="I13">
            <v>10</v>
          </cell>
          <cell r="J13">
            <v>80</v>
          </cell>
          <cell r="K13">
            <v>100</v>
          </cell>
          <cell r="L13" t="str">
            <v>$</v>
          </cell>
        </row>
        <row r="14">
          <cell r="E14" t="str">
            <v>JM000250</v>
          </cell>
          <cell r="F14">
            <v>13</v>
          </cell>
          <cell r="G14">
            <v>10</v>
          </cell>
          <cell r="H14">
            <v>0</v>
          </cell>
          <cell r="I14">
            <v>10</v>
          </cell>
          <cell r="J14">
            <v>80</v>
          </cell>
          <cell r="K14">
            <v>100</v>
          </cell>
          <cell r="L14" t="str">
            <v>$</v>
          </cell>
        </row>
        <row r="15">
          <cell r="E15" t="str">
            <v>JM000251</v>
          </cell>
          <cell r="F15">
            <v>13</v>
          </cell>
          <cell r="G15">
            <v>10</v>
          </cell>
          <cell r="H15">
            <v>0</v>
          </cell>
          <cell r="I15">
            <v>10</v>
          </cell>
          <cell r="J15">
            <v>80</v>
          </cell>
          <cell r="K15">
            <v>100</v>
          </cell>
          <cell r="L15" t="str">
            <v>$</v>
          </cell>
        </row>
        <row r="16">
          <cell r="E16" t="str">
            <v>JM000255</v>
          </cell>
          <cell r="F16">
            <v>13</v>
          </cell>
          <cell r="G16">
            <v>10</v>
          </cell>
          <cell r="H16">
            <v>0</v>
          </cell>
          <cell r="I16">
            <v>10</v>
          </cell>
          <cell r="J16">
            <v>80</v>
          </cell>
          <cell r="K16">
            <v>100</v>
          </cell>
          <cell r="L16" t="str">
            <v>$</v>
          </cell>
        </row>
        <row r="17">
          <cell r="E17" t="str">
            <v>JM000256</v>
          </cell>
          <cell r="F17">
            <v>12</v>
          </cell>
          <cell r="G17">
            <v>10</v>
          </cell>
          <cell r="H17">
            <v>0</v>
          </cell>
          <cell r="I17">
            <v>10</v>
          </cell>
          <cell r="J17">
            <v>80</v>
          </cell>
          <cell r="K17">
            <v>100</v>
          </cell>
          <cell r="L17" t="str">
            <v>$</v>
          </cell>
        </row>
        <row r="18">
          <cell r="E18" t="str">
            <v>JM000259</v>
          </cell>
          <cell r="F18">
            <v>13</v>
          </cell>
          <cell r="G18">
            <v>10</v>
          </cell>
          <cell r="H18">
            <v>0</v>
          </cell>
          <cell r="I18">
            <v>10</v>
          </cell>
          <cell r="J18">
            <v>80</v>
          </cell>
          <cell r="K18">
            <v>100</v>
          </cell>
          <cell r="L18" t="str">
            <v>$</v>
          </cell>
        </row>
        <row r="19">
          <cell r="E19" t="str">
            <v>JM000260</v>
          </cell>
          <cell r="F19">
            <v>13.5</v>
          </cell>
          <cell r="G19">
            <v>10</v>
          </cell>
          <cell r="H19">
            <v>0</v>
          </cell>
          <cell r="I19">
            <v>10</v>
          </cell>
          <cell r="J19">
            <v>80</v>
          </cell>
          <cell r="K19">
            <v>100</v>
          </cell>
          <cell r="L19" t="str">
            <v>$</v>
          </cell>
        </row>
        <row r="20">
          <cell r="E20" t="str">
            <v>JM000261</v>
          </cell>
          <cell r="F20">
            <v>13</v>
          </cell>
          <cell r="G20">
            <v>10</v>
          </cell>
          <cell r="H20">
            <v>0</v>
          </cell>
          <cell r="I20">
            <v>10</v>
          </cell>
          <cell r="J20">
            <v>80</v>
          </cell>
          <cell r="K20">
            <v>100</v>
          </cell>
          <cell r="L20" t="str">
            <v>$</v>
          </cell>
        </row>
        <row r="21">
          <cell r="E21" t="str">
            <v>JM000262</v>
          </cell>
          <cell r="F21">
            <v>13</v>
          </cell>
          <cell r="G21">
            <v>10</v>
          </cell>
          <cell r="H21">
            <v>0</v>
          </cell>
          <cell r="I21">
            <v>10</v>
          </cell>
          <cell r="J21">
            <v>80</v>
          </cell>
          <cell r="K21">
            <v>100</v>
          </cell>
          <cell r="L21" t="str">
            <v>$</v>
          </cell>
        </row>
        <row r="22">
          <cell r="E22" t="str">
            <v>JM000267</v>
          </cell>
          <cell r="F22">
            <v>13</v>
          </cell>
          <cell r="G22">
            <v>10</v>
          </cell>
          <cell r="H22">
            <v>0</v>
          </cell>
          <cell r="I22">
            <v>10</v>
          </cell>
          <cell r="J22">
            <v>80</v>
          </cell>
          <cell r="K22">
            <v>100</v>
          </cell>
          <cell r="L22" t="str">
            <v>$</v>
          </cell>
        </row>
        <row r="23">
          <cell r="E23" t="str">
            <v>JM000299</v>
          </cell>
          <cell r="F23">
            <v>14</v>
          </cell>
          <cell r="G23">
            <v>10</v>
          </cell>
          <cell r="H23">
            <v>0</v>
          </cell>
          <cell r="I23">
            <v>10</v>
          </cell>
          <cell r="J23">
            <v>80</v>
          </cell>
          <cell r="K23">
            <v>100</v>
          </cell>
          <cell r="L23" t="str">
            <v>$</v>
          </cell>
        </row>
        <row r="24">
          <cell r="E24" t="str">
            <v>JM000308</v>
          </cell>
          <cell r="F24">
            <v>14</v>
          </cell>
          <cell r="G24">
            <v>10</v>
          </cell>
          <cell r="H24">
            <v>0</v>
          </cell>
          <cell r="I24">
            <v>10</v>
          </cell>
          <cell r="J24">
            <v>80</v>
          </cell>
          <cell r="K24">
            <v>100</v>
          </cell>
          <cell r="L24" t="str">
            <v>$</v>
          </cell>
        </row>
        <row r="25">
          <cell r="E25" t="str">
            <v>JM000313</v>
          </cell>
          <cell r="F25">
            <v>13.5</v>
          </cell>
          <cell r="G25">
            <v>10</v>
          </cell>
          <cell r="H25">
            <v>0</v>
          </cell>
          <cell r="I25">
            <v>10</v>
          </cell>
          <cell r="J25">
            <v>80</v>
          </cell>
          <cell r="K25">
            <v>100</v>
          </cell>
          <cell r="L25" t="str">
            <v>$</v>
          </cell>
        </row>
        <row r="26">
          <cell r="E26" t="str">
            <v>JM000328</v>
          </cell>
          <cell r="F26">
            <v>13</v>
          </cell>
          <cell r="G26">
            <v>10</v>
          </cell>
          <cell r="H26">
            <v>0</v>
          </cell>
          <cell r="I26">
            <v>10</v>
          </cell>
          <cell r="J26">
            <v>80</v>
          </cell>
          <cell r="K26">
            <v>100</v>
          </cell>
          <cell r="L26" t="str">
            <v>$</v>
          </cell>
        </row>
        <row r="27">
          <cell r="E27" t="str">
            <v>JM000329</v>
          </cell>
          <cell r="F27">
            <v>13</v>
          </cell>
          <cell r="G27">
            <v>10</v>
          </cell>
          <cell r="H27">
            <v>0</v>
          </cell>
          <cell r="I27">
            <v>10</v>
          </cell>
          <cell r="J27">
            <v>80</v>
          </cell>
          <cell r="K27">
            <v>100</v>
          </cell>
          <cell r="L27" t="str">
            <v>$</v>
          </cell>
        </row>
        <row r="28">
          <cell r="E28" t="str">
            <v>JM000330</v>
          </cell>
          <cell r="F28">
            <v>13</v>
          </cell>
          <cell r="G28">
            <v>10</v>
          </cell>
          <cell r="H28">
            <v>0</v>
          </cell>
          <cell r="I28">
            <v>10</v>
          </cell>
          <cell r="J28">
            <v>80</v>
          </cell>
          <cell r="K28">
            <v>100</v>
          </cell>
          <cell r="L28" t="str">
            <v>$</v>
          </cell>
        </row>
      </sheetData>
      <sheetData sheetId="6">
        <row r="7">
          <cell r="E7" t="str">
            <v>JM000075</v>
          </cell>
          <cell r="F7">
            <v>14</v>
          </cell>
          <cell r="G7">
            <v>10</v>
          </cell>
          <cell r="H7">
            <v>10</v>
          </cell>
          <cell r="I7">
            <v>10</v>
          </cell>
          <cell r="J7">
            <v>70</v>
          </cell>
          <cell r="K7">
            <v>100</v>
          </cell>
          <cell r="L7" t="str">
            <v>$</v>
          </cell>
        </row>
        <row r="8">
          <cell r="E8" t="str">
            <v>JM000162</v>
          </cell>
          <cell r="F8">
            <v>13.5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JM000225</v>
          </cell>
          <cell r="F9">
            <v>14</v>
          </cell>
          <cell r="G9">
            <v>10</v>
          </cell>
          <cell r="H9">
            <v>0</v>
          </cell>
          <cell r="I9">
            <v>10</v>
          </cell>
          <cell r="J9">
            <v>80</v>
          </cell>
          <cell r="K9">
            <v>100</v>
          </cell>
          <cell r="L9" t="str">
            <v>$</v>
          </cell>
        </row>
        <row r="10">
          <cell r="E10" t="str">
            <v>JM000229</v>
          </cell>
          <cell r="F10">
            <v>13</v>
          </cell>
          <cell r="G10">
            <v>10</v>
          </cell>
          <cell r="H10">
            <v>0</v>
          </cell>
          <cell r="I10">
            <v>10</v>
          </cell>
          <cell r="J10">
            <v>80</v>
          </cell>
          <cell r="K10">
            <v>100</v>
          </cell>
          <cell r="L10" t="str">
            <v>$</v>
          </cell>
        </row>
        <row r="11">
          <cell r="E11" t="str">
            <v>JM000230</v>
          </cell>
          <cell r="F11">
            <v>13.5</v>
          </cell>
          <cell r="G11">
            <v>10</v>
          </cell>
          <cell r="H11">
            <v>0</v>
          </cell>
          <cell r="I11">
            <v>10</v>
          </cell>
          <cell r="J11">
            <v>80</v>
          </cell>
          <cell r="K11">
            <v>100</v>
          </cell>
          <cell r="L11" t="str">
            <v>$</v>
          </cell>
        </row>
        <row r="12">
          <cell r="E12" t="str">
            <v>JM000238</v>
          </cell>
          <cell r="F12">
            <v>14</v>
          </cell>
          <cell r="G12">
            <v>10</v>
          </cell>
          <cell r="H12">
            <v>0</v>
          </cell>
          <cell r="I12">
            <v>10</v>
          </cell>
          <cell r="J12">
            <v>80</v>
          </cell>
          <cell r="K12">
            <v>100</v>
          </cell>
          <cell r="L12" t="str">
            <v>$</v>
          </cell>
        </row>
        <row r="13">
          <cell r="E13" t="str">
            <v>JM000265</v>
          </cell>
          <cell r="F13">
            <v>12.5</v>
          </cell>
          <cell r="G13">
            <v>10</v>
          </cell>
          <cell r="H13">
            <v>0</v>
          </cell>
          <cell r="I13">
            <v>10</v>
          </cell>
          <cell r="J13">
            <v>80</v>
          </cell>
          <cell r="K13">
            <v>100</v>
          </cell>
          <cell r="L13" t="str">
            <v>$</v>
          </cell>
        </row>
        <row r="14">
          <cell r="E14" t="str">
            <v>JM000359</v>
          </cell>
          <cell r="F14">
            <v>12.5</v>
          </cell>
          <cell r="G14">
            <v>10</v>
          </cell>
          <cell r="H14">
            <v>0</v>
          </cell>
          <cell r="I14">
            <v>10</v>
          </cell>
          <cell r="J14">
            <v>80</v>
          </cell>
          <cell r="K14">
            <v>100</v>
          </cell>
          <cell r="L14" t="str">
            <v>$</v>
          </cell>
        </row>
      </sheetData>
      <sheetData sheetId="7">
        <row r="7">
          <cell r="E7" t="str">
            <v>JM000011</v>
          </cell>
          <cell r="F7">
            <v>13.5</v>
          </cell>
          <cell r="G7">
            <v>10</v>
          </cell>
          <cell r="H7">
            <v>0</v>
          </cell>
          <cell r="I7">
            <v>10</v>
          </cell>
          <cell r="J7">
            <v>80</v>
          </cell>
          <cell r="K7">
            <v>100</v>
          </cell>
          <cell r="L7" t="str">
            <v>$</v>
          </cell>
        </row>
        <row r="8">
          <cell r="E8" t="str">
            <v>JM000013</v>
          </cell>
          <cell r="F8">
            <v>14.5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JM000014</v>
          </cell>
          <cell r="F9">
            <v>13.5</v>
          </cell>
          <cell r="G9">
            <v>10</v>
          </cell>
          <cell r="H9">
            <v>0</v>
          </cell>
          <cell r="I9">
            <v>10</v>
          </cell>
          <cell r="J9">
            <v>80</v>
          </cell>
          <cell r="K9">
            <v>100</v>
          </cell>
          <cell r="L9" t="str">
            <v>$</v>
          </cell>
        </row>
      </sheetData>
      <sheetData sheetId="8">
        <row r="7">
          <cell r="E7" t="str">
            <v>JM000300</v>
          </cell>
          <cell r="F7">
            <v>13</v>
          </cell>
          <cell r="G7">
            <v>10</v>
          </cell>
          <cell r="H7">
            <v>0</v>
          </cell>
          <cell r="I7">
            <v>10</v>
          </cell>
          <cell r="J7">
            <v>80</v>
          </cell>
          <cell r="K7">
            <v>100</v>
          </cell>
          <cell r="L7" t="str">
            <v>$</v>
          </cell>
        </row>
        <row r="8">
          <cell r="E8" t="str">
            <v>JM000321</v>
          </cell>
          <cell r="F8">
            <v>14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</sheetData>
      <sheetData sheetId="9">
        <row r="7">
          <cell r="E7" t="str">
            <v>JM000270</v>
          </cell>
          <cell r="F7">
            <v>14</v>
          </cell>
          <cell r="G7">
            <v>10</v>
          </cell>
          <cell r="H7">
            <v>10</v>
          </cell>
          <cell r="I7">
            <v>10</v>
          </cell>
          <cell r="J7">
            <v>70</v>
          </cell>
          <cell r="K7">
            <v>100</v>
          </cell>
          <cell r="L7" t="str">
            <v>$</v>
          </cell>
        </row>
        <row r="8">
          <cell r="E8" t="str">
            <v>JM000042</v>
          </cell>
          <cell r="F8">
            <v>13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JM000067</v>
          </cell>
          <cell r="F9">
            <v>10.5</v>
          </cell>
          <cell r="G9">
            <v>10</v>
          </cell>
          <cell r="H9">
            <v>0</v>
          </cell>
          <cell r="I9">
            <v>10</v>
          </cell>
          <cell r="J9">
            <v>30</v>
          </cell>
          <cell r="K9">
            <v>50</v>
          </cell>
          <cell r="L9" t="str">
            <v>$</v>
          </cell>
        </row>
        <row r="10">
          <cell r="E10" t="str">
            <v>JM000197</v>
          </cell>
          <cell r="F10">
            <v>14</v>
          </cell>
          <cell r="G10">
            <v>10</v>
          </cell>
          <cell r="H10">
            <v>0</v>
          </cell>
          <cell r="I10">
            <v>10</v>
          </cell>
          <cell r="J10">
            <v>80</v>
          </cell>
          <cell r="K10">
            <v>100</v>
          </cell>
          <cell r="L10" t="str">
            <v>$</v>
          </cell>
        </row>
        <row r="11">
          <cell r="E11" t="str">
            <v>JM000206</v>
          </cell>
          <cell r="F11">
            <v>14</v>
          </cell>
          <cell r="G11">
            <v>10</v>
          </cell>
          <cell r="H11">
            <v>0</v>
          </cell>
          <cell r="I11">
            <v>10</v>
          </cell>
          <cell r="J11">
            <v>80</v>
          </cell>
          <cell r="K11">
            <v>100</v>
          </cell>
          <cell r="L11" t="str">
            <v>$</v>
          </cell>
        </row>
        <row r="12">
          <cell r="E12" t="str">
            <v>JM000268</v>
          </cell>
          <cell r="F12">
            <v>12.5</v>
          </cell>
          <cell r="G12">
            <v>10</v>
          </cell>
          <cell r="H12">
            <v>0</v>
          </cell>
          <cell r="I12">
            <v>10</v>
          </cell>
          <cell r="J12">
            <v>80</v>
          </cell>
          <cell r="K12">
            <v>100</v>
          </cell>
          <cell r="L12" t="str">
            <v>$</v>
          </cell>
        </row>
        <row r="13">
          <cell r="E13" t="str">
            <v>JM000304</v>
          </cell>
          <cell r="F13">
            <v>14</v>
          </cell>
          <cell r="G13">
            <v>10</v>
          </cell>
          <cell r="H13">
            <v>0</v>
          </cell>
          <cell r="I13">
            <v>10</v>
          </cell>
          <cell r="J13">
            <v>80</v>
          </cell>
          <cell r="K13">
            <v>100</v>
          </cell>
          <cell r="L13" t="str">
            <v>$</v>
          </cell>
        </row>
        <row r="14">
          <cell r="E14" t="str">
            <v>JM000310</v>
          </cell>
          <cell r="F14">
            <v>14</v>
          </cell>
          <cell r="G14">
            <v>10</v>
          </cell>
          <cell r="H14">
            <v>0</v>
          </cell>
          <cell r="I14">
            <v>10</v>
          </cell>
          <cell r="J14">
            <v>80</v>
          </cell>
          <cell r="K14">
            <v>100</v>
          </cell>
          <cell r="L14" t="str">
            <v>$</v>
          </cell>
        </row>
        <row r="15">
          <cell r="E15" t="str">
            <v>JM000336</v>
          </cell>
          <cell r="F15">
            <v>13.5</v>
          </cell>
          <cell r="G15">
            <v>10</v>
          </cell>
          <cell r="H15">
            <v>0</v>
          </cell>
          <cell r="I15">
            <v>10</v>
          </cell>
          <cell r="J15">
            <v>80</v>
          </cell>
          <cell r="K15">
            <v>100</v>
          </cell>
          <cell r="L15" t="str">
            <v>$</v>
          </cell>
        </row>
        <row r="16">
          <cell r="E16" t="str">
            <v>JM000337</v>
          </cell>
          <cell r="F16">
            <v>10</v>
          </cell>
          <cell r="G16">
            <v>10</v>
          </cell>
          <cell r="H16">
            <v>0</v>
          </cell>
          <cell r="I16">
            <v>10</v>
          </cell>
          <cell r="J16">
            <v>30</v>
          </cell>
          <cell r="K16">
            <v>50</v>
          </cell>
          <cell r="L16" t="str">
            <v>$</v>
          </cell>
        </row>
        <row r="17">
          <cell r="E17" t="str">
            <v>JM000339</v>
          </cell>
          <cell r="F17">
            <v>10</v>
          </cell>
          <cell r="G17">
            <v>10</v>
          </cell>
          <cell r="H17">
            <v>0</v>
          </cell>
          <cell r="I17">
            <v>10</v>
          </cell>
          <cell r="J17">
            <v>30</v>
          </cell>
          <cell r="K17">
            <v>50</v>
          </cell>
          <cell r="L17" t="str">
            <v>$</v>
          </cell>
        </row>
        <row r="18">
          <cell r="E18" t="str">
            <v>JM000374</v>
          </cell>
          <cell r="F18">
            <v>10</v>
          </cell>
          <cell r="G18">
            <v>10</v>
          </cell>
          <cell r="H18">
            <v>0</v>
          </cell>
          <cell r="I18">
            <v>10</v>
          </cell>
          <cell r="J18">
            <v>30</v>
          </cell>
          <cell r="K18">
            <v>50</v>
          </cell>
          <cell r="L18" t="str">
            <v>$</v>
          </cell>
        </row>
      </sheetData>
      <sheetData sheetId="10">
        <row r="7">
          <cell r="E7" t="str">
            <v>JM000113</v>
          </cell>
          <cell r="F7">
            <v>13</v>
          </cell>
          <cell r="G7">
            <v>10</v>
          </cell>
          <cell r="H7">
            <v>10</v>
          </cell>
          <cell r="I7">
            <v>10</v>
          </cell>
          <cell r="J7">
            <v>70</v>
          </cell>
          <cell r="K7">
            <v>100</v>
          </cell>
          <cell r="L7" t="str">
            <v>$</v>
          </cell>
        </row>
        <row r="8">
          <cell r="E8" t="str">
            <v>JM000078</v>
          </cell>
          <cell r="F8">
            <v>13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JM000084</v>
          </cell>
          <cell r="F9">
            <v>10.5</v>
          </cell>
          <cell r="G9">
            <v>10</v>
          </cell>
          <cell r="H9">
            <v>0</v>
          </cell>
          <cell r="I9">
            <v>10</v>
          </cell>
          <cell r="J9">
            <v>30</v>
          </cell>
          <cell r="K9">
            <v>50</v>
          </cell>
          <cell r="L9" t="str">
            <v>$</v>
          </cell>
        </row>
        <row r="10">
          <cell r="E10" t="str">
            <v>JM000086</v>
          </cell>
          <cell r="F10">
            <v>12.5</v>
          </cell>
          <cell r="G10">
            <v>10</v>
          </cell>
          <cell r="H10">
            <v>0</v>
          </cell>
          <cell r="I10">
            <v>10</v>
          </cell>
          <cell r="J10">
            <v>80</v>
          </cell>
          <cell r="K10">
            <v>100</v>
          </cell>
          <cell r="L10" t="str">
            <v>$</v>
          </cell>
        </row>
        <row r="11">
          <cell r="E11" t="str">
            <v>JM000089</v>
          </cell>
          <cell r="F11">
            <v>10.5</v>
          </cell>
          <cell r="G11">
            <v>10</v>
          </cell>
          <cell r="H11">
            <v>0</v>
          </cell>
          <cell r="I11">
            <v>10</v>
          </cell>
          <cell r="J11">
            <v>30</v>
          </cell>
          <cell r="K11">
            <v>50</v>
          </cell>
          <cell r="L11" t="str">
            <v>$</v>
          </cell>
        </row>
        <row r="12">
          <cell r="E12" t="str">
            <v>JM000097</v>
          </cell>
          <cell r="F12">
            <v>12</v>
          </cell>
          <cell r="G12">
            <v>10</v>
          </cell>
          <cell r="H12">
            <v>0</v>
          </cell>
          <cell r="I12">
            <v>10</v>
          </cell>
          <cell r="J12">
            <v>80</v>
          </cell>
          <cell r="K12">
            <v>100</v>
          </cell>
          <cell r="L12" t="str">
            <v>$</v>
          </cell>
        </row>
        <row r="13">
          <cell r="E13" t="str">
            <v>JM000098</v>
          </cell>
          <cell r="F13">
            <v>12</v>
          </cell>
          <cell r="G13">
            <v>10</v>
          </cell>
          <cell r="H13">
            <v>0</v>
          </cell>
          <cell r="I13">
            <v>10</v>
          </cell>
          <cell r="J13">
            <v>80</v>
          </cell>
          <cell r="K13">
            <v>100</v>
          </cell>
          <cell r="L13" t="str">
            <v>$</v>
          </cell>
        </row>
        <row r="14">
          <cell r="E14" t="str">
            <v>JM000095</v>
          </cell>
          <cell r="F14">
            <v>12.5</v>
          </cell>
          <cell r="G14">
            <v>10</v>
          </cell>
          <cell r="H14">
            <v>0</v>
          </cell>
          <cell r="I14">
            <v>10</v>
          </cell>
          <cell r="J14">
            <v>80</v>
          </cell>
          <cell r="K14">
            <v>100</v>
          </cell>
          <cell r="L14" t="str">
            <v>$</v>
          </cell>
        </row>
        <row r="15">
          <cell r="E15" t="str">
            <v>JM000106</v>
          </cell>
          <cell r="F15">
            <v>12</v>
          </cell>
          <cell r="G15">
            <v>10</v>
          </cell>
          <cell r="H15">
            <v>0</v>
          </cell>
          <cell r="I15">
            <v>10</v>
          </cell>
          <cell r="J15">
            <v>80</v>
          </cell>
          <cell r="K15">
            <v>100</v>
          </cell>
          <cell r="L15" t="str">
            <v>$</v>
          </cell>
        </row>
        <row r="16">
          <cell r="E16" t="str">
            <v>JM000107</v>
          </cell>
          <cell r="F16">
            <v>12</v>
          </cell>
          <cell r="G16">
            <v>10</v>
          </cell>
          <cell r="H16">
            <v>0</v>
          </cell>
          <cell r="I16">
            <v>10</v>
          </cell>
          <cell r="J16">
            <v>80</v>
          </cell>
          <cell r="K16">
            <v>100</v>
          </cell>
          <cell r="L16" t="str">
            <v>$</v>
          </cell>
        </row>
        <row r="17">
          <cell r="E17" t="str">
            <v>JM000108</v>
          </cell>
          <cell r="F17">
            <v>10.5</v>
          </cell>
          <cell r="G17">
            <v>10</v>
          </cell>
          <cell r="H17">
            <v>0</v>
          </cell>
          <cell r="I17">
            <v>10</v>
          </cell>
          <cell r="J17">
            <v>30</v>
          </cell>
          <cell r="K17">
            <v>50</v>
          </cell>
          <cell r="L17" t="str">
            <v>$</v>
          </cell>
        </row>
        <row r="18">
          <cell r="E18" t="str">
            <v>JM000365</v>
          </cell>
          <cell r="F18">
            <v>10</v>
          </cell>
          <cell r="G18">
            <v>10</v>
          </cell>
          <cell r="H18">
            <v>0</v>
          </cell>
          <cell r="I18">
            <v>10</v>
          </cell>
          <cell r="J18">
            <v>30</v>
          </cell>
          <cell r="K18">
            <v>50</v>
          </cell>
          <cell r="L18" t="str">
            <v>$</v>
          </cell>
        </row>
        <row r="19">
          <cell r="E19" t="str">
            <v>JM000372</v>
          </cell>
          <cell r="F19">
            <v>10</v>
          </cell>
          <cell r="G19">
            <v>10</v>
          </cell>
          <cell r="H19">
            <v>0</v>
          </cell>
          <cell r="I19">
            <v>10</v>
          </cell>
          <cell r="J19">
            <v>30</v>
          </cell>
          <cell r="K19">
            <v>50</v>
          </cell>
          <cell r="L19" t="str">
            <v>$</v>
          </cell>
        </row>
        <row r="20">
          <cell r="E20" t="str">
            <v>JM000373</v>
          </cell>
          <cell r="F20">
            <v>10</v>
          </cell>
          <cell r="G20">
            <v>10</v>
          </cell>
          <cell r="H20">
            <v>0</v>
          </cell>
          <cell r="I20">
            <v>10</v>
          </cell>
          <cell r="J20">
            <v>30</v>
          </cell>
          <cell r="K20">
            <v>50</v>
          </cell>
          <cell r="L20" t="str">
            <v>$</v>
          </cell>
        </row>
      </sheetData>
      <sheetData sheetId="11">
        <row r="7">
          <cell r="E7" t="str">
            <v>JM000203</v>
          </cell>
          <cell r="F7">
            <v>14</v>
          </cell>
          <cell r="G7">
            <v>10</v>
          </cell>
          <cell r="H7">
            <v>30</v>
          </cell>
          <cell r="I7">
            <v>10</v>
          </cell>
          <cell r="J7">
            <v>50</v>
          </cell>
          <cell r="K7">
            <v>100</v>
          </cell>
          <cell r="L7" t="str">
            <v>$</v>
          </cell>
        </row>
        <row r="8">
          <cell r="E8" t="str">
            <v>JM000119</v>
          </cell>
          <cell r="F8">
            <v>12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JM000121</v>
          </cell>
          <cell r="F9">
            <v>10</v>
          </cell>
          <cell r="G9">
            <v>10</v>
          </cell>
          <cell r="H9">
            <v>0</v>
          </cell>
          <cell r="I9">
            <v>10</v>
          </cell>
          <cell r="J9">
            <v>30</v>
          </cell>
          <cell r="K9">
            <v>50</v>
          </cell>
          <cell r="L9" t="str">
            <v>$</v>
          </cell>
        </row>
        <row r="10">
          <cell r="E10" t="str">
            <v>JM000122</v>
          </cell>
          <cell r="F10">
            <v>10</v>
          </cell>
          <cell r="G10">
            <v>10</v>
          </cell>
          <cell r="H10">
            <v>0</v>
          </cell>
          <cell r="I10">
            <v>10</v>
          </cell>
          <cell r="J10">
            <v>30</v>
          </cell>
          <cell r="K10">
            <v>50</v>
          </cell>
          <cell r="L10" t="str">
            <v>$</v>
          </cell>
        </row>
        <row r="11">
          <cell r="E11" t="str">
            <v>JM000125</v>
          </cell>
          <cell r="F11">
            <v>10.5</v>
          </cell>
          <cell r="G11">
            <v>10</v>
          </cell>
          <cell r="H11">
            <v>0</v>
          </cell>
          <cell r="I11">
            <v>10</v>
          </cell>
          <cell r="J11">
            <v>30</v>
          </cell>
          <cell r="K11">
            <v>50</v>
          </cell>
          <cell r="L11" t="str">
            <v>$</v>
          </cell>
        </row>
        <row r="12">
          <cell r="E12" t="str">
            <v>JM000126</v>
          </cell>
          <cell r="F12">
            <v>10.5</v>
          </cell>
          <cell r="G12">
            <v>10</v>
          </cell>
          <cell r="H12">
            <v>0</v>
          </cell>
          <cell r="I12">
            <v>10</v>
          </cell>
          <cell r="J12">
            <v>30</v>
          </cell>
          <cell r="K12">
            <v>50</v>
          </cell>
          <cell r="L12" t="str">
            <v>$</v>
          </cell>
        </row>
        <row r="13">
          <cell r="E13" t="str">
            <v>JM000130</v>
          </cell>
          <cell r="F13">
            <v>10</v>
          </cell>
          <cell r="G13">
            <v>10</v>
          </cell>
          <cell r="H13">
            <v>0</v>
          </cell>
          <cell r="I13">
            <v>10</v>
          </cell>
          <cell r="J13">
            <v>30</v>
          </cell>
          <cell r="K13">
            <v>50</v>
          </cell>
          <cell r="L13" t="str">
            <v>$</v>
          </cell>
        </row>
        <row r="14">
          <cell r="E14" t="str">
            <v>JM000156</v>
          </cell>
          <cell r="F14">
            <v>13</v>
          </cell>
          <cell r="G14">
            <v>10</v>
          </cell>
          <cell r="H14">
            <v>0</v>
          </cell>
          <cell r="I14">
            <v>10</v>
          </cell>
          <cell r="J14">
            <v>80</v>
          </cell>
          <cell r="K14">
            <v>100</v>
          </cell>
          <cell r="L14" t="str">
            <v>$</v>
          </cell>
        </row>
        <row r="15">
          <cell r="E15" t="str">
            <v>JM000157</v>
          </cell>
          <cell r="F15">
            <v>10.5</v>
          </cell>
          <cell r="G15">
            <v>10</v>
          </cell>
          <cell r="H15">
            <v>0</v>
          </cell>
          <cell r="I15">
            <v>10</v>
          </cell>
          <cell r="J15">
            <v>30</v>
          </cell>
          <cell r="K15">
            <v>50</v>
          </cell>
          <cell r="L15" t="str">
            <v>$</v>
          </cell>
        </row>
        <row r="16">
          <cell r="E16" t="str">
            <v>JM000158</v>
          </cell>
          <cell r="F16">
            <v>10</v>
          </cell>
          <cell r="G16">
            <v>10</v>
          </cell>
          <cell r="H16">
            <v>0</v>
          </cell>
          <cell r="I16">
            <v>10</v>
          </cell>
          <cell r="J16">
            <v>30</v>
          </cell>
          <cell r="K16">
            <v>50</v>
          </cell>
          <cell r="L16" t="str">
            <v>$</v>
          </cell>
        </row>
        <row r="17">
          <cell r="E17" t="str">
            <v>JM000163</v>
          </cell>
          <cell r="F17">
            <v>10</v>
          </cell>
          <cell r="G17">
            <v>10</v>
          </cell>
          <cell r="H17">
            <v>0</v>
          </cell>
          <cell r="I17">
            <v>10</v>
          </cell>
          <cell r="J17">
            <v>30</v>
          </cell>
          <cell r="K17">
            <v>50</v>
          </cell>
          <cell r="L17" t="str">
            <v>$</v>
          </cell>
        </row>
        <row r="18">
          <cell r="E18" t="str">
            <v>JM000164</v>
          </cell>
          <cell r="F18">
            <v>10</v>
          </cell>
          <cell r="G18">
            <v>10</v>
          </cell>
          <cell r="H18">
            <v>0</v>
          </cell>
          <cell r="I18">
            <v>10</v>
          </cell>
          <cell r="J18">
            <v>30</v>
          </cell>
          <cell r="K18">
            <v>50</v>
          </cell>
          <cell r="L18" t="str">
            <v>$</v>
          </cell>
        </row>
        <row r="19">
          <cell r="E19" t="str">
            <v>JM000233</v>
          </cell>
          <cell r="F19">
            <v>10.5</v>
          </cell>
          <cell r="G19">
            <v>10</v>
          </cell>
          <cell r="H19">
            <v>0</v>
          </cell>
          <cell r="I19">
            <v>10</v>
          </cell>
          <cell r="J19">
            <v>30</v>
          </cell>
          <cell r="K19">
            <v>50</v>
          </cell>
          <cell r="L19" t="str">
            <v>$</v>
          </cell>
        </row>
        <row r="20">
          <cell r="E20" t="str">
            <v>JM000288</v>
          </cell>
          <cell r="F20">
            <v>10</v>
          </cell>
          <cell r="G20">
            <v>10</v>
          </cell>
        </row>
        <row r="20">
          <cell r="I20">
            <v>10</v>
          </cell>
          <cell r="J20">
            <v>30</v>
          </cell>
          <cell r="K20">
            <v>50</v>
          </cell>
          <cell r="L20" t="str">
            <v>$</v>
          </cell>
        </row>
        <row r="21">
          <cell r="E21" t="str">
            <v>JM000012</v>
          </cell>
          <cell r="F21">
            <v>10</v>
          </cell>
          <cell r="G21">
            <v>10</v>
          </cell>
          <cell r="H21">
            <v>0</v>
          </cell>
          <cell r="I21">
            <v>10</v>
          </cell>
          <cell r="J21">
            <v>30</v>
          </cell>
          <cell r="K21">
            <v>50</v>
          </cell>
          <cell r="L21" t="str">
            <v>$</v>
          </cell>
        </row>
        <row r="22">
          <cell r="E22" t="str">
            <v>JM000085</v>
          </cell>
          <cell r="F22">
            <v>12.5</v>
          </cell>
          <cell r="G22">
            <v>10</v>
          </cell>
          <cell r="H22">
            <v>0</v>
          </cell>
          <cell r="I22">
            <v>10</v>
          </cell>
          <cell r="J22">
            <v>80</v>
          </cell>
          <cell r="K22">
            <v>100</v>
          </cell>
          <cell r="L22" t="str">
            <v>$</v>
          </cell>
        </row>
        <row r="23">
          <cell r="E23" t="str">
            <v>JM000348</v>
          </cell>
          <cell r="F23">
            <v>10</v>
          </cell>
          <cell r="G23">
            <v>10</v>
          </cell>
        </row>
        <row r="23">
          <cell r="I23">
            <v>10</v>
          </cell>
          <cell r="J23">
            <v>30</v>
          </cell>
          <cell r="K23">
            <v>50</v>
          </cell>
          <cell r="L23" t="str">
            <v>$</v>
          </cell>
        </row>
        <row r="24">
          <cell r="E24" t="str">
            <v>JM000349</v>
          </cell>
          <cell r="F24">
            <v>10</v>
          </cell>
          <cell r="G24">
            <v>10</v>
          </cell>
          <cell r="H24">
            <v>0</v>
          </cell>
          <cell r="I24">
            <v>10</v>
          </cell>
          <cell r="J24">
            <v>30</v>
          </cell>
          <cell r="K24">
            <v>50</v>
          </cell>
          <cell r="L24" t="str">
            <v>$</v>
          </cell>
        </row>
        <row r="25">
          <cell r="E25" t="str">
            <v>JM000354</v>
          </cell>
          <cell r="F25">
            <v>10</v>
          </cell>
          <cell r="G25">
            <v>10</v>
          </cell>
          <cell r="H25">
            <v>0</v>
          </cell>
          <cell r="I25">
            <v>10</v>
          </cell>
          <cell r="J25">
            <v>30</v>
          </cell>
          <cell r="K25">
            <v>50</v>
          </cell>
          <cell r="L25" t="str">
            <v>$</v>
          </cell>
        </row>
      </sheetData>
      <sheetData sheetId="12">
        <row r="7">
          <cell r="E7" t="str">
            <v>JM000205</v>
          </cell>
          <cell r="F7">
            <v>15</v>
          </cell>
          <cell r="G7">
            <v>10</v>
          </cell>
          <cell r="H7">
            <v>0</v>
          </cell>
          <cell r="I7">
            <v>10</v>
          </cell>
          <cell r="J7">
            <v>80</v>
          </cell>
          <cell r="K7">
            <v>100</v>
          </cell>
          <cell r="L7" t="str">
            <v>$</v>
          </cell>
        </row>
        <row r="8">
          <cell r="E8" t="str">
            <v>JM000342</v>
          </cell>
          <cell r="F8">
            <v>13.5</v>
          </cell>
          <cell r="G8">
            <v>10</v>
          </cell>
          <cell r="H8">
            <v>0</v>
          </cell>
          <cell r="I8">
            <v>10</v>
          </cell>
          <cell r="J8">
            <v>80</v>
          </cell>
          <cell r="K8">
            <v>100</v>
          </cell>
          <cell r="L8" t="str">
            <v>$</v>
          </cell>
        </row>
        <row r="9">
          <cell r="E9" t="str">
            <v>JM000346</v>
          </cell>
          <cell r="F9">
            <v>13.5</v>
          </cell>
          <cell r="G9">
            <v>10</v>
          </cell>
          <cell r="H9">
            <v>0</v>
          </cell>
          <cell r="I9">
            <v>10</v>
          </cell>
          <cell r="J9">
            <v>80</v>
          </cell>
          <cell r="K9">
            <v>100</v>
          </cell>
          <cell r="L9" t="str">
            <v>$</v>
          </cell>
        </row>
        <row r="10">
          <cell r="E10" t="str">
            <v>JM000347</v>
          </cell>
          <cell r="F10">
            <v>13.5</v>
          </cell>
          <cell r="G10">
            <v>10</v>
          </cell>
          <cell r="H10">
            <v>0</v>
          </cell>
          <cell r="I10">
            <v>10</v>
          </cell>
          <cell r="J10">
            <v>80</v>
          </cell>
          <cell r="K10">
            <v>100</v>
          </cell>
          <cell r="L10" t="str">
            <v>$</v>
          </cell>
        </row>
      </sheetData>
      <sheetData sheetId="13">
        <row r="7">
          <cell r="E7" t="str">
            <v>JM000002</v>
          </cell>
          <cell r="F7">
            <v>13</v>
          </cell>
          <cell r="G7">
            <v>10</v>
          </cell>
        </row>
        <row r="7">
          <cell r="I7">
            <v>10</v>
          </cell>
          <cell r="J7">
            <v>80</v>
          </cell>
          <cell r="K7">
            <v>100</v>
          </cell>
          <cell r="L7" t="str">
            <v>$</v>
          </cell>
        </row>
        <row r="8">
          <cell r="E8" t="str">
            <v>JM000003</v>
          </cell>
          <cell r="F8">
            <v>13</v>
          </cell>
          <cell r="G8">
            <v>10</v>
          </cell>
          <cell r="H8">
            <v>30</v>
          </cell>
          <cell r="I8">
            <v>10</v>
          </cell>
          <cell r="J8">
            <v>50</v>
          </cell>
          <cell r="K8">
            <v>100</v>
          </cell>
          <cell r="L8" t="str">
            <v>$</v>
          </cell>
        </row>
        <row r="9">
          <cell r="E9" t="str">
            <v>JM000004</v>
          </cell>
          <cell r="F9">
            <v>12</v>
          </cell>
          <cell r="G9">
            <v>10</v>
          </cell>
          <cell r="H9">
            <v>30</v>
          </cell>
          <cell r="I9">
            <v>10</v>
          </cell>
          <cell r="J9">
            <v>50</v>
          </cell>
          <cell r="K9">
            <v>100</v>
          </cell>
          <cell r="L9" t="str">
            <v>$</v>
          </cell>
        </row>
        <row r="10">
          <cell r="E10" t="str">
            <v>JM000005</v>
          </cell>
          <cell r="F10">
            <v>14</v>
          </cell>
          <cell r="G10">
            <v>10</v>
          </cell>
          <cell r="H10">
            <v>30</v>
          </cell>
          <cell r="I10">
            <v>10</v>
          </cell>
          <cell r="J10">
            <v>50</v>
          </cell>
          <cell r="K10">
            <v>100</v>
          </cell>
          <cell r="L10" t="str">
            <v>$</v>
          </cell>
        </row>
        <row r="11">
          <cell r="E11" t="str">
            <v>JM000006</v>
          </cell>
          <cell r="F11">
            <v>13</v>
          </cell>
          <cell r="G11">
            <v>10</v>
          </cell>
          <cell r="H11">
            <v>30</v>
          </cell>
          <cell r="I11">
            <v>10</v>
          </cell>
          <cell r="J11">
            <v>50</v>
          </cell>
          <cell r="K11">
            <v>100</v>
          </cell>
          <cell r="L11" t="str">
            <v>$</v>
          </cell>
        </row>
        <row r="12">
          <cell r="E12" t="str">
            <v>JM000009</v>
          </cell>
          <cell r="F12">
            <v>12</v>
          </cell>
          <cell r="G12">
            <v>10</v>
          </cell>
          <cell r="H12">
            <v>30</v>
          </cell>
          <cell r="I12">
            <v>10</v>
          </cell>
          <cell r="J12">
            <v>50</v>
          </cell>
          <cell r="K12">
            <v>100</v>
          </cell>
          <cell r="L12" t="str">
            <v>$</v>
          </cell>
        </row>
        <row r="13">
          <cell r="E13" t="str">
            <v>JM000010</v>
          </cell>
          <cell r="F13">
            <v>12</v>
          </cell>
          <cell r="G13">
            <v>10</v>
          </cell>
          <cell r="H13">
            <v>30</v>
          </cell>
          <cell r="I13">
            <v>10</v>
          </cell>
          <cell r="J13">
            <v>50</v>
          </cell>
          <cell r="K13">
            <v>100</v>
          </cell>
          <cell r="L13" t="str">
            <v>$</v>
          </cell>
        </row>
        <row r="14">
          <cell r="E14" t="str">
            <v>JM000069</v>
          </cell>
          <cell r="F14">
            <v>13</v>
          </cell>
          <cell r="G14">
            <v>10</v>
          </cell>
          <cell r="H14">
            <v>30</v>
          </cell>
          <cell r="I14">
            <v>10</v>
          </cell>
          <cell r="J14">
            <v>50</v>
          </cell>
          <cell r="K14">
            <v>100</v>
          </cell>
          <cell r="L14" t="str">
            <v>$</v>
          </cell>
        </row>
        <row r="15">
          <cell r="E15" t="str">
            <v>JM000070</v>
          </cell>
          <cell r="F15">
            <v>13</v>
          </cell>
          <cell r="G15">
            <v>10</v>
          </cell>
          <cell r="H15">
            <v>30</v>
          </cell>
          <cell r="I15">
            <v>10</v>
          </cell>
          <cell r="J15">
            <v>50</v>
          </cell>
          <cell r="K15">
            <v>100</v>
          </cell>
          <cell r="L15" t="str">
            <v>$</v>
          </cell>
        </row>
        <row r="16">
          <cell r="E16" t="str">
            <v>JM000088</v>
          </cell>
          <cell r="F16">
            <v>12.5</v>
          </cell>
          <cell r="G16">
            <v>10</v>
          </cell>
          <cell r="H16">
            <v>30</v>
          </cell>
          <cell r="I16">
            <v>10</v>
          </cell>
          <cell r="J16">
            <v>50</v>
          </cell>
          <cell r="K16">
            <v>100</v>
          </cell>
          <cell r="L16" t="str">
            <v>$</v>
          </cell>
        </row>
        <row r="17">
          <cell r="E17" t="str">
            <v>JM000217</v>
          </cell>
          <cell r="F17">
            <v>13</v>
          </cell>
          <cell r="G17">
            <v>10</v>
          </cell>
          <cell r="H17">
            <v>30</v>
          </cell>
          <cell r="I17">
            <v>10</v>
          </cell>
          <cell r="J17">
            <v>50</v>
          </cell>
          <cell r="K17">
            <v>100</v>
          </cell>
          <cell r="L17" t="str">
            <v>$</v>
          </cell>
        </row>
        <row r="18">
          <cell r="E18" t="str">
            <v>JM000218</v>
          </cell>
          <cell r="F18">
            <v>13</v>
          </cell>
          <cell r="G18">
            <v>10</v>
          </cell>
        </row>
        <row r="18">
          <cell r="I18">
            <v>10</v>
          </cell>
          <cell r="J18">
            <v>80</v>
          </cell>
          <cell r="K18">
            <v>100</v>
          </cell>
          <cell r="L18" t="str">
            <v>$</v>
          </cell>
        </row>
        <row r="19">
          <cell r="E19" t="str">
            <v>JM000226</v>
          </cell>
          <cell r="F19">
            <v>13</v>
          </cell>
          <cell r="G19">
            <v>10</v>
          </cell>
          <cell r="H19">
            <v>30</v>
          </cell>
          <cell r="I19">
            <v>10</v>
          </cell>
          <cell r="J19">
            <v>50</v>
          </cell>
          <cell r="K19">
            <v>100</v>
          </cell>
          <cell r="L19" t="str">
            <v>$</v>
          </cell>
        </row>
        <row r="20">
          <cell r="E20" t="str">
            <v>JM000298</v>
          </cell>
          <cell r="F20">
            <v>13</v>
          </cell>
          <cell r="G20">
            <v>10</v>
          </cell>
          <cell r="H20">
            <v>30</v>
          </cell>
          <cell r="I20">
            <v>10</v>
          </cell>
          <cell r="J20">
            <v>50</v>
          </cell>
          <cell r="K20">
            <v>100</v>
          </cell>
          <cell r="L20" t="str">
            <v>$</v>
          </cell>
        </row>
        <row r="21">
          <cell r="E21" t="str">
            <v>JM000311</v>
          </cell>
          <cell r="F21">
            <v>13</v>
          </cell>
          <cell r="G21">
            <v>10</v>
          </cell>
        </row>
        <row r="21">
          <cell r="I21">
            <v>10</v>
          </cell>
          <cell r="J21">
            <v>80</v>
          </cell>
          <cell r="K21">
            <v>100</v>
          </cell>
          <cell r="L21" t="str">
            <v>$</v>
          </cell>
        </row>
        <row r="22">
          <cell r="E22" t="str">
            <v>JM000320</v>
          </cell>
          <cell r="F22">
            <v>13</v>
          </cell>
          <cell r="G22">
            <v>10</v>
          </cell>
        </row>
        <row r="22">
          <cell r="I22">
            <v>10</v>
          </cell>
          <cell r="J22">
            <v>80</v>
          </cell>
          <cell r="K22">
            <v>100</v>
          </cell>
          <cell r="L22" t="str">
            <v>$</v>
          </cell>
        </row>
        <row r="23">
          <cell r="E23" t="str">
            <v>JM000340</v>
          </cell>
          <cell r="F23">
            <v>11</v>
          </cell>
          <cell r="G23">
            <v>10</v>
          </cell>
          <cell r="H23">
            <v>30</v>
          </cell>
          <cell r="I23">
            <v>10</v>
          </cell>
          <cell r="J23">
            <v>50</v>
          </cell>
          <cell r="K23">
            <v>100</v>
          </cell>
          <cell r="L23" t="str">
            <v>$</v>
          </cell>
        </row>
        <row r="24">
          <cell r="E24" t="str">
            <v>JM000344</v>
          </cell>
          <cell r="F24">
            <v>13</v>
          </cell>
          <cell r="G24">
            <v>10</v>
          </cell>
          <cell r="H24">
            <v>30</v>
          </cell>
          <cell r="I24">
            <v>10</v>
          </cell>
          <cell r="J24">
            <v>50</v>
          </cell>
          <cell r="K24">
            <v>100</v>
          </cell>
          <cell r="L24" t="str">
            <v>$</v>
          </cell>
        </row>
        <row r="25">
          <cell r="E25" t="str">
            <v>JM000356</v>
          </cell>
          <cell r="F25">
            <v>12.5</v>
          </cell>
          <cell r="G25">
            <v>10</v>
          </cell>
        </row>
        <row r="25">
          <cell r="I25">
            <v>10</v>
          </cell>
          <cell r="J25">
            <v>80</v>
          </cell>
          <cell r="K25">
            <v>100</v>
          </cell>
          <cell r="L25" t="str">
            <v>$</v>
          </cell>
        </row>
        <row r="26">
          <cell r="E26" t="str">
            <v>JM000018</v>
          </cell>
          <cell r="F26">
            <v>15</v>
          </cell>
          <cell r="G26">
            <v>10</v>
          </cell>
          <cell r="H26">
            <v>10</v>
          </cell>
          <cell r="I26">
            <v>10</v>
          </cell>
          <cell r="J26">
            <v>70</v>
          </cell>
          <cell r="K26">
            <v>100</v>
          </cell>
          <cell r="L26" t="str">
            <v>$</v>
          </cell>
        </row>
        <row r="27">
          <cell r="E27" t="str">
            <v>JM000020</v>
          </cell>
          <cell r="F27">
            <v>14</v>
          </cell>
          <cell r="G27">
            <v>10</v>
          </cell>
        </row>
        <row r="27">
          <cell r="I27">
            <v>10</v>
          </cell>
          <cell r="J27">
            <v>80</v>
          </cell>
          <cell r="K27">
            <v>100</v>
          </cell>
          <cell r="L27" t="str">
            <v>$</v>
          </cell>
        </row>
        <row r="28">
          <cell r="E28" t="str">
            <v>JM000023</v>
          </cell>
          <cell r="F28">
            <v>14</v>
          </cell>
          <cell r="G28">
            <v>10</v>
          </cell>
        </row>
        <row r="28">
          <cell r="I28">
            <v>10</v>
          </cell>
          <cell r="J28">
            <v>80</v>
          </cell>
          <cell r="K28">
            <v>100</v>
          </cell>
          <cell r="L28" t="str">
            <v>$</v>
          </cell>
        </row>
        <row r="29">
          <cell r="E29" t="str">
            <v>JM000024</v>
          </cell>
          <cell r="F29">
            <v>14</v>
          </cell>
          <cell r="G29">
            <v>10</v>
          </cell>
        </row>
        <row r="29">
          <cell r="I29">
            <v>10</v>
          </cell>
          <cell r="J29">
            <v>80</v>
          </cell>
          <cell r="K29">
            <v>100</v>
          </cell>
          <cell r="L29" t="str">
            <v>$</v>
          </cell>
        </row>
        <row r="30">
          <cell r="E30" t="str">
            <v>JM000026</v>
          </cell>
          <cell r="F30">
            <v>14</v>
          </cell>
          <cell r="G30">
            <v>10</v>
          </cell>
        </row>
        <row r="30">
          <cell r="I30">
            <v>10</v>
          </cell>
          <cell r="J30">
            <v>80</v>
          </cell>
          <cell r="K30">
            <v>100</v>
          </cell>
          <cell r="L30" t="str">
            <v>$</v>
          </cell>
        </row>
        <row r="31">
          <cell r="E31" t="str">
            <v>JM000028</v>
          </cell>
          <cell r="F31">
            <v>14</v>
          </cell>
          <cell r="G31">
            <v>10</v>
          </cell>
        </row>
        <row r="31">
          <cell r="I31">
            <v>10</v>
          </cell>
          <cell r="J31">
            <v>80</v>
          </cell>
          <cell r="K31">
            <v>100</v>
          </cell>
          <cell r="L31" t="str">
            <v>$</v>
          </cell>
        </row>
        <row r="32">
          <cell r="E32" t="str">
            <v>JM000031</v>
          </cell>
          <cell r="F32">
            <v>14</v>
          </cell>
          <cell r="G32">
            <v>10</v>
          </cell>
        </row>
        <row r="32">
          <cell r="I32">
            <v>10</v>
          </cell>
          <cell r="J32">
            <v>80</v>
          </cell>
          <cell r="K32">
            <v>100</v>
          </cell>
          <cell r="L32" t="str">
            <v>$</v>
          </cell>
        </row>
        <row r="33">
          <cell r="E33" t="str">
            <v>JM000032</v>
          </cell>
          <cell r="F33">
            <v>14</v>
          </cell>
          <cell r="G33">
            <v>10</v>
          </cell>
        </row>
        <row r="33">
          <cell r="I33">
            <v>10</v>
          </cell>
          <cell r="J33">
            <v>80</v>
          </cell>
          <cell r="K33">
            <v>100</v>
          </cell>
          <cell r="L33" t="str">
            <v>$</v>
          </cell>
        </row>
        <row r="34">
          <cell r="E34" t="str">
            <v>JM000034</v>
          </cell>
          <cell r="F34">
            <v>14</v>
          </cell>
          <cell r="G34">
            <v>10</v>
          </cell>
        </row>
        <row r="34">
          <cell r="I34">
            <v>10</v>
          </cell>
          <cell r="J34">
            <v>80</v>
          </cell>
          <cell r="K34">
            <v>100</v>
          </cell>
          <cell r="L34" t="str">
            <v>$</v>
          </cell>
        </row>
        <row r="35">
          <cell r="E35" t="str">
            <v>JM000035</v>
          </cell>
          <cell r="F35">
            <v>15</v>
          </cell>
          <cell r="G35">
            <v>10</v>
          </cell>
        </row>
        <row r="35">
          <cell r="I35">
            <v>10</v>
          </cell>
          <cell r="J35">
            <v>80</v>
          </cell>
          <cell r="K35">
            <v>100</v>
          </cell>
          <cell r="L35" t="str">
            <v>$</v>
          </cell>
        </row>
        <row r="36">
          <cell r="E36" t="str">
            <v>JM000040</v>
          </cell>
          <cell r="F36">
            <v>14</v>
          </cell>
          <cell r="G36">
            <v>10</v>
          </cell>
        </row>
        <row r="36">
          <cell r="I36">
            <v>10</v>
          </cell>
          <cell r="J36">
            <v>80</v>
          </cell>
          <cell r="K36">
            <v>100</v>
          </cell>
          <cell r="L36" t="str">
            <v>$</v>
          </cell>
        </row>
        <row r="37">
          <cell r="E37" t="str">
            <v>JM000041</v>
          </cell>
          <cell r="F37">
            <v>14</v>
          </cell>
          <cell r="G37">
            <v>10</v>
          </cell>
        </row>
        <row r="37">
          <cell r="I37">
            <v>10</v>
          </cell>
          <cell r="J37">
            <v>80</v>
          </cell>
          <cell r="K37">
            <v>100</v>
          </cell>
          <cell r="L37" t="str">
            <v>$</v>
          </cell>
        </row>
        <row r="38">
          <cell r="E38" t="str">
            <v>JM000046</v>
          </cell>
          <cell r="F38">
            <v>13.5</v>
          </cell>
          <cell r="G38">
            <v>10</v>
          </cell>
        </row>
        <row r="38">
          <cell r="I38">
            <v>10</v>
          </cell>
          <cell r="J38">
            <v>80</v>
          </cell>
          <cell r="K38">
            <v>100</v>
          </cell>
          <cell r="L38" t="str">
            <v>$</v>
          </cell>
        </row>
        <row r="39">
          <cell r="E39" t="str">
            <v>JM000057</v>
          </cell>
          <cell r="F39">
            <v>12.5</v>
          </cell>
          <cell r="G39">
            <v>10</v>
          </cell>
        </row>
        <row r="39">
          <cell r="I39">
            <v>10</v>
          </cell>
          <cell r="J39">
            <v>80</v>
          </cell>
          <cell r="K39">
            <v>100</v>
          </cell>
          <cell r="L39" t="str">
            <v>$</v>
          </cell>
        </row>
        <row r="40">
          <cell r="E40" t="str">
            <v>JM000068</v>
          </cell>
          <cell r="F40">
            <v>13.5</v>
          </cell>
          <cell r="G40">
            <v>10</v>
          </cell>
        </row>
        <row r="40">
          <cell r="I40">
            <v>10</v>
          </cell>
          <cell r="J40">
            <v>80</v>
          </cell>
          <cell r="K40">
            <v>100</v>
          </cell>
          <cell r="L40" t="str">
            <v>$</v>
          </cell>
        </row>
        <row r="41">
          <cell r="E41" t="str">
            <v>JM000303</v>
          </cell>
          <cell r="F41">
            <v>13</v>
          </cell>
          <cell r="G41">
            <v>10</v>
          </cell>
        </row>
        <row r="41">
          <cell r="I41">
            <v>10</v>
          </cell>
          <cell r="J41">
            <v>80</v>
          </cell>
          <cell r="K41">
            <v>100</v>
          </cell>
          <cell r="L41" t="str">
            <v>$</v>
          </cell>
        </row>
        <row r="42">
          <cell r="E42" t="str">
            <v>JM000324</v>
          </cell>
          <cell r="F42">
            <v>14.5</v>
          </cell>
          <cell r="G42">
            <v>10</v>
          </cell>
        </row>
        <row r="42">
          <cell r="I42">
            <v>10</v>
          </cell>
          <cell r="J42">
            <v>80</v>
          </cell>
          <cell r="K42">
            <v>100</v>
          </cell>
          <cell r="L42" t="str">
            <v>$</v>
          </cell>
        </row>
        <row r="43">
          <cell r="E43" t="str">
            <v>JM000325</v>
          </cell>
          <cell r="F43">
            <v>14.5</v>
          </cell>
          <cell r="G43">
            <v>10</v>
          </cell>
        </row>
        <row r="43">
          <cell r="I43">
            <v>10</v>
          </cell>
          <cell r="J43">
            <v>80</v>
          </cell>
          <cell r="K43">
            <v>100</v>
          </cell>
          <cell r="L43" t="str">
            <v>$</v>
          </cell>
        </row>
        <row r="44">
          <cell r="E44" t="str">
            <v>JM000326</v>
          </cell>
          <cell r="F44">
            <v>14</v>
          </cell>
          <cell r="G44">
            <v>10</v>
          </cell>
        </row>
        <row r="44">
          <cell r="I44">
            <v>10</v>
          </cell>
          <cell r="J44">
            <v>80</v>
          </cell>
          <cell r="K44">
            <v>100</v>
          </cell>
          <cell r="L44" t="str">
            <v>$</v>
          </cell>
        </row>
        <row r="45">
          <cell r="E45" t="str">
            <v>JM000357</v>
          </cell>
          <cell r="F45">
            <v>14</v>
          </cell>
          <cell r="G45">
            <v>10</v>
          </cell>
        </row>
        <row r="45">
          <cell r="I45">
            <v>10</v>
          </cell>
          <cell r="J45">
            <v>80</v>
          </cell>
          <cell r="K45">
            <v>100</v>
          </cell>
          <cell r="L45" t="str">
            <v>$</v>
          </cell>
        </row>
        <row r="46">
          <cell r="E46" t="str">
            <v>JM000358</v>
          </cell>
          <cell r="F46">
            <v>14</v>
          </cell>
          <cell r="G46">
            <v>10</v>
          </cell>
        </row>
        <row r="46">
          <cell r="I46">
            <v>10</v>
          </cell>
          <cell r="J46">
            <v>80</v>
          </cell>
          <cell r="K46">
            <v>100</v>
          </cell>
          <cell r="L46" t="str">
            <v>$</v>
          </cell>
        </row>
        <row r="47">
          <cell r="E47" t="str">
            <v>JM000369</v>
          </cell>
          <cell r="F47">
            <v>14</v>
          </cell>
          <cell r="G47">
            <v>10</v>
          </cell>
        </row>
        <row r="47">
          <cell r="I47">
            <v>10</v>
          </cell>
          <cell r="J47">
            <v>80</v>
          </cell>
          <cell r="K47">
            <v>100</v>
          </cell>
          <cell r="L47" t="str">
            <v>$</v>
          </cell>
        </row>
        <row r="48">
          <cell r="E48" t="str">
            <v>JM000210</v>
          </cell>
          <cell r="F48">
            <v>14</v>
          </cell>
          <cell r="G48">
            <v>10</v>
          </cell>
          <cell r="H48">
            <v>10</v>
          </cell>
          <cell r="I48">
            <v>10</v>
          </cell>
          <cell r="J48">
            <v>70</v>
          </cell>
          <cell r="K48">
            <v>100</v>
          </cell>
          <cell r="L48" t="str">
            <v>$</v>
          </cell>
        </row>
        <row r="49">
          <cell r="E49" t="str">
            <v>JM000016</v>
          </cell>
          <cell r="F49">
            <v>13</v>
          </cell>
          <cell r="G49">
            <v>10</v>
          </cell>
        </row>
        <row r="49">
          <cell r="I49">
            <v>10</v>
          </cell>
          <cell r="J49">
            <v>80</v>
          </cell>
          <cell r="K49">
            <v>100</v>
          </cell>
          <cell r="L49" t="str">
            <v>$</v>
          </cell>
        </row>
        <row r="50">
          <cell r="E50" t="str">
            <v>JM000045</v>
          </cell>
          <cell r="F50">
            <v>10</v>
          </cell>
          <cell r="G50">
            <v>10</v>
          </cell>
        </row>
        <row r="50">
          <cell r="I50">
            <v>10</v>
          </cell>
          <cell r="J50">
            <v>30</v>
          </cell>
          <cell r="K50">
            <v>50</v>
          </cell>
          <cell r="L50" t="str">
            <v>$</v>
          </cell>
        </row>
        <row r="51">
          <cell r="E51" t="str">
            <v>JM000048</v>
          </cell>
          <cell r="F51">
            <v>10</v>
          </cell>
          <cell r="G51">
            <v>10</v>
          </cell>
        </row>
        <row r="51">
          <cell r="I51">
            <v>10</v>
          </cell>
          <cell r="J51">
            <v>30</v>
          </cell>
          <cell r="K51">
            <v>50</v>
          </cell>
          <cell r="L51" t="str">
            <v>$</v>
          </cell>
        </row>
        <row r="52">
          <cell r="E52" t="str">
            <v>JM000049</v>
          </cell>
          <cell r="F52">
            <v>13</v>
          </cell>
          <cell r="G52">
            <v>10</v>
          </cell>
        </row>
        <row r="52">
          <cell r="I52">
            <v>10</v>
          </cell>
          <cell r="J52">
            <v>80</v>
          </cell>
          <cell r="K52">
            <v>100</v>
          </cell>
          <cell r="L52" t="str">
            <v>$</v>
          </cell>
        </row>
        <row r="53">
          <cell r="E53" t="str">
            <v>JM000052</v>
          </cell>
          <cell r="F53">
            <v>10</v>
          </cell>
          <cell r="G53">
            <v>10</v>
          </cell>
        </row>
        <row r="53">
          <cell r="I53">
            <v>10</v>
          </cell>
          <cell r="J53">
            <v>30</v>
          </cell>
          <cell r="K53">
            <v>50</v>
          </cell>
          <cell r="L53" t="str">
            <v>$</v>
          </cell>
        </row>
        <row r="54">
          <cell r="E54" t="str">
            <v>JM000054</v>
          </cell>
          <cell r="F54">
            <v>13</v>
          </cell>
          <cell r="G54">
            <v>10</v>
          </cell>
        </row>
        <row r="54">
          <cell r="I54">
            <v>10</v>
          </cell>
          <cell r="J54">
            <v>80</v>
          </cell>
          <cell r="K54">
            <v>100</v>
          </cell>
          <cell r="L54" t="str">
            <v>$</v>
          </cell>
        </row>
        <row r="55">
          <cell r="E55" t="str">
            <v>JM000055</v>
          </cell>
          <cell r="F55">
            <v>10</v>
          </cell>
          <cell r="G55">
            <v>10</v>
          </cell>
        </row>
        <row r="55">
          <cell r="I55">
            <v>10</v>
          </cell>
          <cell r="J55">
            <v>30</v>
          </cell>
          <cell r="K55">
            <v>50</v>
          </cell>
          <cell r="L55" t="str">
            <v>$</v>
          </cell>
        </row>
        <row r="56">
          <cell r="E56" t="str">
            <v>JM000056</v>
          </cell>
          <cell r="F56">
            <v>10</v>
          </cell>
          <cell r="G56">
            <v>10</v>
          </cell>
        </row>
        <row r="56">
          <cell r="I56">
            <v>10</v>
          </cell>
          <cell r="J56">
            <v>30</v>
          </cell>
          <cell r="K56">
            <v>50</v>
          </cell>
          <cell r="L56" t="str">
            <v>$</v>
          </cell>
        </row>
        <row r="57">
          <cell r="E57" t="str">
            <v>JM000058</v>
          </cell>
          <cell r="F57">
            <v>10</v>
          </cell>
          <cell r="G57">
            <v>10</v>
          </cell>
        </row>
        <row r="57">
          <cell r="I57">
            <v>10</v>
          </cell>
          <cell r="J57">
            <v>30</v>
          </cell>
          <cell r="K57">
            <v>50</v>
          </cell>
          <cell r="L57" t="str">
            <v>$</v>
          </cell>
        </row>
        <row r="58">
          <cell r="E58" t="str">
            <v>JM000059</v>
          </cell>
          <cell r="F58">
            <v>10</v>
          </cell>
          <cell r="G58">
            <v>10</v>
          </cell>
        </row>
        <row r="58">
          <cell r="I58">
            <v>10</v>
          </cell>
          <cell r="J58">
            <v>30</v>
          </cell>
          <cell r="K58">
            <v>50</v>
          </cell>
          <cell r="L58" t="str">
            <v>$</v>
          </cell>
        </row>
        <row r="59">
          <cell r="E59" t="str">
            <v>JM000061</v>
          </cell>
          <cell r="F59">
            <v>10</v>
          </cell>
          <cell r="G59">
            <v>10</v>
          </cell>
        </row>
        <row r="59">
          <cell r="I59">
            <v>10</v>
          </cell>
          <cell r="J59">
            <v>30</v>
          </cell>
          <cell r="K59">
            <v>50</v>
          </cell>
          <cell r="L59" t="str">
            <v>$</v>
          </cell>
        </row>
        <row r="60">
          <cell r="E60" t="str">
            <v>JM000062</v>
          </cell>
          <cell r="F60">
            <v>10</v>
          </cell>
          <cell r="G60">
            <v>10</v>
          </cell>
        </row>
        <row r="60">
          <cell r="I60">
            <v>10</v>
          </cell>
          <cell r="J60">
            <v>30</v>
          </cell>
          <cell r="K60">
            <v>50</v>
          </cell>
          <cell r="L60" t="str">
            <v>$</v>
          </cell>
        </row>
        <row r="61">
          <cell r="E61" t="str">
            <v>JM000063</v>
          </cell>
          <cell r="F61">
            <v>10</v>
          </cell>
          <cell r="G61">
            <v>10</v>
          </cell>
        </row>
        <row r="61">
          <cell r="I61">
            <v>10</v>
          </cell>
          <cell r="J61">
            <v>30</v>
          </cell>
          <cell r="K61">
            <v>50</v>
          </cell>
          <cell r="L61" t="str">
            <v>$</v>
          </cell>
        </row>
        <row r="62">
          <cell r="E62" t="str">
            <v>JM000064</v>
          </cell>
          <cell r="F62">
            <v>13</v>
          </cell>
          <cell r="G62">
            <v>10</v>
          </cell>
        </row>
        <row r="62">
          <cell r="I62">
            <v>10</v>
          </cell>
          <cell r="J62">
            <v>80</v>
          </cell>
          <cell r="K62">
            <v>100</v>
          </cell>
          <cell r="L62" t="str">
            <v>$</v>
          </cell>
        </row>
        <row r="63">
          <cell r="E63" t="str">
            <v>JM000065</v>
          </cell>
          <cell r="F63">
            <v>13</v>
          </cell>
          <cell r="G63">
            <v>10</v>
          </cell>
        </row>
        <row r="63">
          <cell r="I63">
            <v>10</v>
          </cell>
          <cell r="J63">
            <v>80</v>
          </cell>
          <cell r="K63">
            <v>100</v>
          </cell>
          <cell r="L63" t="str">
            <v>$</v>
          </cell>
        </row>
        <row r="64">
          <cell r="E64" t="str">
            <v>JM000269</v>
          </cell>
          <cell r="F64">
            <v>10</v>
          </cell>
          <cell r="G64">
            <v>10</v>
          </cell>
        </row>
        <row r="64">
          <cell r="I64">
            <v>10</v>
          </cell>
          <cell r="J64">
            <v>30</v>
          </cell>
          <cell r="K64">
            <v>50</v>
          </cell>
          <cell r="L64" t="str">
            <v>$</v>
          </cell>
        </row>
        <row r="65">
          <cell r="E65" t="str">
            <v>JM000301</v>
          </cell>
          <cell r="F65">
            <v>12.5</v>
          </cell>
          <cell r="G65">
            <v>10</v>
          </cell>
        </row>
        <row r="65">
          <cell r="I65">
            <v>10</v>
          </cell>
          <cell r="J65">
            <v>80</v>
          </cell>
          <cell r="K65">
            <v>100</v>
          </cell>
          <cell r="L65" t="str">
            <v>$</v>
          </cell>
        </row>
        <row r="66">
          <cell r="E66" t="str">
            <v>JM000302</v>
          </cell>
          <cell r="F66">
            <v>10</v>
          </cell>
          <cell r="G66">
            <v>10</v>
          </cell>
        </row>
        <row r="66">
          <cell r="I66">
            <v>10</v>
          </cell>
          <cell r="J66">
            <v>30</v>
          </cell>
          <cell r="K66">
            <v>50</v>
          </cell>
          <cell r="L66" t="str">
            <v>$</v>
          </cell>
        </row>
        <row r="67">
          <cell r="E67" t="str">
            <v>JM000331</v>
          </cell>
          <cell r="F67">
            <v>10</v>
          </cell>
          <cell r="G67">
            <v>10</v>
          </cell>
        </row>
        <row r="67">
          <cell r="I67">
            <v>10</v>
          </cell>
          <cell r="J67">
            <v>30</v>
          </cell>
          <cell r="K67">
            <v>50</v>
          </cell>
          <cell r="L67" t="str">
            <v>$</v>
          </cell>
        </row>
        <row r="68">
          <cell r="E68" t="str">
            <v>JM000332</v>
          </cell>
          <cell r="F68">
            <v>10</v>
          </cell>
          <cell r="G68">
            <v>10</v>
          </cell>
        </row>
        <row r="68">
          <cell r="I68">
            <v>10</v>
          </cell>
          <cell r="J68">
            <v>30</v>
          </cell>
          <cell r="K68">
            <v>50</v>
          </cell>
          <cell r="L68" t="str">
            <v>$</v>
          </cell>
        </row>
        <row r="69">
          <cell r="E69" t="str">
            <v>JM000334</v>
          </cell>
          <cell r="F69">
            <v>13.5</v>
          </cell>
          <cell r="G69">
            <v>10</v>
          </cell>
        </row>
        <row r="69">
          <cell r="I69">
            <v>10</v>
          </cell>
          <cell r="J69">
            <v>80</v>
          </cell>
          <cell r="K69">
            <v>100</v>
          </cell>
          <cell r="L69" t="str">
            <v>$</v>
          </cell>
        </row>
        <row r="70">
          <cell r="E70" t="str">
            <v>JM000335</v>
          </cell>
          <cell r="F70">
            <v>10</v>
          </cell>
          <cell r="G70">
            <v>10</v>
          </cell>
        </row>
        <row r="70">
          <cell r="I70">
            <v>10</v>
          </cell>
          <cell r="J70">
            <v>30</v>
          </cell>
          <cell r="K70">
            <v>50</v>
          </cell>
          <cell r="L70" t="str">
            <v>$</v>
          </cell>
        </row>
        <row r="71">
          <cell r="E71" t="str">
            <v>JM000209</v>
          </cell>
          <cell r="F71">
            <v>15</v>
          </cell>
          <cell r="G71">
            <v>10</v>
          </cell>
          <cell r="H71">
            <v>10</v>
          </cell>
          <cell r="I71">
            <v>10</v>
          </cell>
          <cell r="J71">
            <v>70</v>
          </cell>
          <cell r="K71">
            <v>100</v>
          </cell>
          <cell r="L71" t="str">
            <v>$</v>
          </cell>
        </row>
        <row r="72">
          <cell r="E72" t="str">
            <v>JM000134</v>
          </cell>
          <cell r="F72">
            <v>10.5</v>
          </cell>
          <cell r="G72">
            <v>10</v>
          </cell>
        </row>
        <row r="72">
          <cell r="I72">
            <v>10</v>
          </cell>
          <cell r="J72">
            <v>30</v>
          </cell>
          <cell r="K72">
            <v>50</v>
          </cell>
          <cell r="L72" t="str">
            <v>$</v>
          </cell>
        </row>
        <row r="73">
          <cell r="E73" t="str">
            <v>JM000138</v>
          </cell>
          <cell r="F73">
            <v>10.5</v>
          </cell>
          <cell r="G73">
            <v>10</v>
          </cell>
        </row>
        <row r="73">
          <cell r="I73">
            <v>10</v>
          </cell>
          <cell r="J73">
            <v>30</v>
          </cell>
          <cell r="K73">
            <v>50</v>
          </cell>
          <cell r="L73" t="str">
            <v>$</v>
          </cell>
        </row>
        <row r="74">
          <cell r="E74" t="str">
            <v>JM000139</v>
          </cell>
          <cell r="F74">
            <v>13.5</v>
          </cell>
          <cell r="G74">
            <v>10</v>
          </cell>
        </row>
        <row r="74">
          <cell r="I74">
            <v>10</v>
          </cell>
          <cell r="J74">
            <v>80</v>
          </cell>
          <cell r="K74">
            <v>100</v>
          </cell>
          <cell r="L74" t="str">
            <v>$</v>
          </cell>
        </row>
        <row r="75">
          <cell r="E75" t="str">
            <v>JM000145</v>
          </cell>
          <cell r="F75">
            <v>10.5</v>
          </cell>
          <cell r="G75">
            <v>10</v>
          </cell>
        </row>
        <row r="75">
          <cell r="I75">
            <v>10</v>
          </cell>
          <cell r="J75">
            <v>30</v>
          </cell>
          <cell r="K75">
            <v>50</v>
          </cell>
          <cell r="L75" t="str">
            <v>$</v>
          </cell>
        </row>
        <row r="76">
          <cell r="E76" t="str">
            <v>JM000146</v>
          </cell>
          <cell r="F76">
            <v>10.5</v>
          </cell>
          <cell r="G76">
            <v>10</v>
          </cell>
        </row>
        <row r="76">
          <cell r="I76">
            <v>10</v>
          </cell>
          <cell r="J76">
            <v>30</v>
          </cell>
          <cell r="K76">
            <v>50</v>
          </cell>
          <cell r="L76" t="str">
            <v>$</v>
          </cell>
        </row>
        <row r="77">
          <cell r="E77" t="str">
            <v>JM000147</v>
          </cell>
          <cell r="F77">
            <v>12.5</v>
          </cell>
          <cell r="G77">
            <v>10</v>
          </cell>
        </row>
        <row r="77">
          <cell r="I77">
            <v>10</v>
          </cell>
          <cell r="J77">
            <v>80</v>
          </cell>
          <cell r="K77">
            <v>100</v>
          </cell>
          <cell r="L77" t="str">
            <v>$</v>
          </cell>
        </row>
        <row r="78">
          <cell r="E78" t="str">
            <v>JM000150</v>
          </cell>
          <cell r="F78">
            <v>10</v>
          </cell>
          <cell r="G78">
            <v>10</v>
          </cell>
        </row>
        <row r="78">
          <cell r="I78">
            <v>10</v>
          </cell>
          <cell r="J78">
            <v>30</v>
          </cell>
          <cell r="K78">
            <v>50</v>
          </cell>
          <cell r="L78" t="str">
            <v>$</v>
          </cell>
        </row>
        <row r="79">
          <cell r="E79" t="str">
            <v>JM000178</v>
          </cell>
          <cell r="F79">
            <v>10.5</v>
          </cell>
          <cell r="G79">
            <v>10</v>
          </cell>
        </row>
        <row r="79">
          <cell r="I79">
            <v>10</v>
          </cell>
          <cell r="J79">
            <v>30</v>
          </cell>
          <cell r="K79">
            <v>50</v>
          </cell>
          <cell r="L79" t="str">
            <v>$</v>
          </cell>
        </row>
        <row r="80">
          <cell r="E80" t="str">
            <v>JM000187</v>
          </cell>
          <cell r="F80">
            <v>10.5</v>
          </cell>
          <cell r="G80">
            <v>10</v>
          </cell>
        </row>
        <row r="80">
          <cell r="I80">
            <v>10</v>
          </cell>
          <cell r="J80">
            <v>30</v>
          </cell>
          <cell r="K80">
            <v>50</v>
          </cell>
          <cell r="L80" t="str">
            <v>$</v>
          </cell>
        </row>
        <row r="81">
          <cell r="E81" t="str">
            <v>JM000190</v>
          </cell>
          <cell r="F81">
            <v>10.5</v>
          </cell>
          <cell r="G81">
            <v>10</v>
          </cell>
        </row>
        <row r="81">
          <cell r="I81">
            <v>10</v>
          </cell>
          <cell r="J81">
            <v>30</v>
          </cell>
          <cell r="K81">
            <v>50</v>
          </cell>
          <cell r="L81" t="str">
            <v>$</v>
          </cell>
        </row>
        <row r="82">
          <cell r="E82" t="str">
            <v>JM000193</v>
          </cell>
          <cell r="F82">
            <v>10.5</v>
          </cell>
          <cell r="G82">
            <v>10</v>
          </cell>
        </row>
        <row r="82">
          <cell r="I82">
            <v>10</v>
          </cell>
          <cell r="J82">
            <v>30</v>
          </cell>
          <cell r="K82">
            <v>50</v>
          </cell>
          <cell r="L82" t="str">
            <v>$</v>
          </cell>
        </row>
        <row r="83">
          <cell r="E83" t="str">
            <v>JM000208</v>
          </cell>
          <cell r="F83">
            <v>10.5</v>
          </cell>
          <cell r="G83">
            <v>10</v>
          </cell>
        </row>
        <row r="83">
          <cell r="I83">
            <v>10</v>
          </cell>
          <cell r="J83">
            <v>30</v>
          </cell>
          <cell r="K83">
            <v>50</v>
          </cell>
          <cell r="L83" t="str">
            <v>$</v>
          </cell>
        </row>
        <row r="84">
          <cell r="E84" t="str">
            <v>JM000280</v>
          </cell>
          <cell r="F84">
            <v>13.5</v>
          </cell>
          <cell r="G84">
            <v>10</v>
          </cell>
        </row>
        <row r="84">
          <cell r="I84">
            <v>10</v>
          </cell>
          <cell r="J84">
            <v>80</v>
          </cell>
          <cell r="K84">
            <v>100</v>
          </cell>
          <cell r="L84" t="str">
            <v>$</v>
          </cell>
        </row>
        <row r="85">
          <cell r="E85" t="str">
            <v>JM000281</v>
          </cell>
          <cell r="F85">
            <v>10.5</v>
          </cell>
          <cell r="G85">
            <v>10</v>
          </cell>
        </row>
        <row r="85">
          <cell r="I85">
            <v>10</v>
          </cell>
          <cell r="J85">
            <v>30</v>
          </cell>
          <cell r="K85">
            <v>50</v>
          </cell>
          <cell r="L85" t="str">
            <v>$</v>
          </cell>
        </row>
        <row r="86">
          <cell r="E86" t="str">
            <v>JM000289</v>
          </cell>
          <cell r="F86">
            <v>15</v>
          </cell>
          <cell r="G86">
            <v>10</v>
          </cell>
        </row>
        <row r="86">
          <cell r="I86">
            <v>10</v>
          </cell>
          <cell r="J86">
            <v>80</v>
          </cell>
          <cell r="K86">
            <v>100</v>
          </cell>
          <cell r="L86" t="str">
            <v>$</v>
          </cell>
        </row>
        <row r="87">
          <cell r="E87" t="str">
            <v>JM000290</v>
          </cell>
          <cell r="F87">
            <v>13</v>
          </cell>
          <cell r="G87">
            <v>10</v>
          </cell>
        </row>
        <row r="87">
          <cell r="I87">
            <v>10</v>
          </cell>
          <cell r="J87">
            <v>80</v>
          </cell>
          <cell r="K87">
            <v>100</v>
          </cell>
          <cell r="L87" t="str">
            <v>$</v>
          </cell>
        </row>
        <row r="88">
          <cell r="E88" t="str">
            <v>JM000292</v>
          </cell>
          <cell r="F88">
            <v>14</v>
          </cell>
          <cell r="G88">
            <v>10</v>
          </cell>
        </row>
        <row r="88">
          <cell r="I88">
            <v>10</v>
          </cell>
          <cell r="J88">
            <v>80</v>
          </cell>
          <cell r="K88">
            <v>100</v>
          </cell>
          <cell r="L88" t="str">
            <v>$</v>
          </cell>
        </row>
        <row r="89">
          <cell r="E89" t="str">
            <v>JM000315</v>
          </cell>
          <cell r="F89">
            <v>10.5</v>
          </cell>
          <cell r="G89">
            <v>10</v>
          </cell>
        </row>
        <row r="89">
          <cell r="I89">
            <v>10</v>
          </cell>
          <cell r="J89">
            <v>30</v>
          </cell>
          <cell r="K89">
            <v>50</v>
          </cell>
          <cell r="L89" t="str">
            <v>$</v>
          </cell>
        </row>
        <row r="90">
          <cell r="E90" t="str">
            <v>JM000350</v>
          </cell>
          <cell r="F90">
            <v>10.5</v>
          </cell>
          <cell r="G90">
            <v>10</v>
          </cell>
        </row>
        <row r="90">
          <cell r="I90">
            <v>10</v>
          </cell>
          <cell r="J90">
            <v>30</v>
          </cell>
          <cell r="K90">
            <v>50</v>
          </cell>
          <cell r="L90" t="str">
            <v>$</v>
          </cell>
        </row>
        <row r="91">
          <cell r="E91" t="str">
            <v>JM000351</v>
          </cell>
          <cell r="F91">
            <v>10.5</v>
          </cell>
          <cell r="G91">
            <v>10</v>
          </cell>
        </row>
        <row r="91">
          <cell r="I91">
            <v>10</v>
          </cell>
          <cell r="J91">
            <v>30</v>
          </cell>
          <cell r="K91">
            <v>50</v>
          </cell>
          <cell r="L91" t="str">
            <v>$</v>
          </cell>
        </row>
        <row r="92">
          <cell r="E92" t="str">
            <v>JM000353</v>
          </cell>
          <cell r="F92">
            <v>12.5</v>
          </cell>
          <cell r="G92">
            <v>10</v>
          </cell>
        </row>
        <row r="92">
          <cell r="I92">
            <v>10</v>
          </cell>
          <cell r="J92">
            <v>80</v>
          </cell>
          <cell r="K92">
            <v>100</v>
          </cell>
          <cell r="L92" t="str">
            <v>$</v>
          </cell>
        </row>
        <row r="93">
          <cell r="E93" t="str">
            <v>JM000360</v>
          </cell>
          <cell r="F93">
            <v>10.5</v>
          </cell>
          <cell r="G93">
            <v>10</v>
          </cell>
        </row>
        <row r="93">
          <cell r="I93">
            <v>10</v>
          </cell>
          <cell r="J93">
            <v>30</v>
          </cell>
          <cell r="K93">
            <v>50</v>
          </cell>
          <cell r="L93" t="str">
            <v>$</v>
          </cell>
        </row>
        <row r="94">
          <cell r="E94" t="str">
            <v>JM000361</v>
          </cell>
          <cell r="F94">
            <v>10.5</v>
          </cell>
          <cell r="G94">
            <v>10</v>
          </cell>
        </row>
        <row r="94">
          <cell r="I94">
            <v>10</v>
          </cell>
          <cell r="J94">
            <v>30</v>
          </cell>
          <cell r="K94">
            <v>50</v>
          </cell>
          <cell r="L94" t="str">
            <v>$</v>
          </cell>
        </row>
        <row r="95">
          <cell r="E95" t="str">
            <v>JM000362</v>
          </cell>
          <cell r="F95">
            <v>15</v>
          </cell>
          <cell r="G95">
            <v>10</v>
          </cell>
        </row>
        <row r="95">
          <cell r="I95">
            <v>10</v>
          </cell>
          <cell r="J95">
            <v>80</v>
          </cell>
          <cell r="K95">
            <v>100</v>
          </cell>
          <cell r="L95" t="str">
            <v>$</v>
          </cell>
        </row>
        <row r="96">
          <cell r="E96" t="str">
            <v>JM000367</v>
          </cell>
          <cell r="F96">
            <v>14</v>
          </cell>
          <cell r="G96">
            <v>10</v>
          </cell>
        </row>
        <row r="96">
          <cell r="I96">
            <v>10</v>
          </cell>
          <cell r="J96">
            <v>80</v>
          </cell>
          <cell r="K96">
            <v>100</v>
          </cell>
          <cell r="L96" t="str">
            <v>$</v>
          </cell>
        </row>
        <row r="97">
          <cell r="E97" t="str">
            <v>JM000368</v>
          </cell>
          <cell r="F97">
            <v>10.5</v>
          </cell>
          <cell r="G97">
            <v>10</v>
          </cell>
        </row>
        <row r="97">
          <cell r="I97">
            <v>10</v>
          </cell>
          <cell r="J97">
            <v>30</v>
          </cell>
          <cell r="K97">
            <v>50</v>
          </cell>
          <cell r="L97" t="str">
            <v>$</v>
          </cell>
        </row>
        <row r="98">
          <cell r="E98" t="str">
            <v>JM000133</v>
          </cell>
          <cell r="F98">
            <v>15</v>
          </cell>
          <cell r="G98">
            <v>10</v>
          </cell>
          <cell r="H98">
            <v>10</v>
          </cell>
          <cell r="I98">
            <v>10</v>
          </cell>
          <cell r="J98">
            <v>70</v>
          </cell>
          <cell r="K98">
            <v>100</v>
          </cell>
          <cell r="L98" t="str">
            <v>$</v>
          </cell>
        </row>
        <row r="99">
          <cell r="E99" t="str">
            <v>JM000151</v>
          </cell>
          <cell r="F99">
            <v>13</v>
          </cell>
          <cell r="G99">
            <v>10</v>
          </cell>
          <cell r="H99">
            <v>0</v>
          </cell>
          <cell r="I99">
            <v>10</v>
          </cell>
          <cell r="J99">
            <v>80</v>
          </cell>
          <cell r="K99">
            <v>100</v>
          </cell>
          <cell r="L99" t="str">
            <v>$</v>
          </cell>
        </row>
        <row r="100">
          <cell r="E100" t="str">
            <v>JM000152</v>
          </cell>
          <cell r="F100">
            <v>13</v>
          </cell>
          <cell r="G100">
            <v>10</v>
          </cell>
          <cell r="H100">
            <v>0</v>
          </cell>
          <cell r="I100">
            <v>10</v>
          </cell>
          <cell r="J100">
            <v>80</v>
          </cell>
          <cell r="K100">
            <v>100</v>
          </cell>
          <cell r="L100" t="str">
            <v>$</v>
          </cell>
        </row>
        <row r="101">
          <cell r="E101" t="str">
            <v>JM000153</v>
          </cell>
          <cell r="F101">
            <v>10</v>
          </cell>
          <cell r="G101">
            <v>10</v>
          </cell>
          <cell r="H101">
            <v>0</v>
          </cell>
          <cell r="I101">
            <v>10</v>
          </cell>
          <cell r="J101">
            <v>30</v>
          </cell>
          <cell r="K101">
            <v>50</v>
          </cell>
          <cell r="L101" t="str">
            <v>$</v>
          </cell>
        </row>
        <row r="102">
          <cell r="E102" t="str">
            <v>JM000168</v>
          </cell>
          <cell r="F102">
            <v>10</v>
          </cell>
          <cell r="G102">
            <v>10</v>
          </cell>
          <cell r="H102">
            <v>0</v>
          </cell>
          <cell r="I102">
            <v>10</v>
          </cell>
          <cell r="J102">
            <v>30</v>
          </cell>
          <cell r="K102">
            <v>50</v>
          </cell>
          <cell r="L102" t="str">
            <v>$</v>
          </cell>
        </row>
        <row r="103">
          <cell r="E103" t="str">
            <v>JM000169</v>
          </cell>
          <cell r="F103">
            <v>10</v>
          </cell>
          <cell r="G103">
            <v>10</v>
          </cell>
          <cell r="H103">
            <v>0</v>
          </cell>
          <cell r="I103">
            <v>10</v>
          </cell>
          <cell r="J103">
            <v>30</v>
          </cell>
          <cell r="K103">
            <v>50</v>
          </cell>
          <cell r="L103" t="str">
            <v>$</v>
          </cell>
        </row>
        <row r="104">
          <cell r="E104" t="str">
            <v>JM000172</v>
          </cell>
          <cell r="F104">
            <v>10</v>
          </cell>
          <cell r="G104">
            <v>10</v>
          </cell>
          <cell r="H104">
            <v>0</v>
          </cell>
          <cell r="I104">
            <v>10</v>
          </cell>
          <cell r="J104">
            <v>30</v>
          </cell>
          <cell r="K104">
            <v>50</v>
          </cell>
          <cell r="L104" t="str">
            <v>$</v>
          </cell>
        </row>
        <row r="105">
          <cell r="E105" t="str">
            <v>JM000174</v>
          </cell>
          <cell r="F105">
            <v>10</v>
          </cell>
          <cell r="G105">
            <v>10</v>
          </cell>
          <cell r="H105">
            <v>0</v>
          </cell>
          <cell r="I105">
            <v>10</v>
          </cell>
          <cell r="J105">
            <v>30</v>
          </cell>
          <cell r="K105">
            <v>50</v>
          </cell>
          <cell r="L105" t="str">
            <v>$</v>
          </cell>
        </row>
        <row r="106">
          <cell r="E106" t="str">
            <v>JM000175</v>
          </cell>
          <cell r="F106">
            <v>13</v>
          </cell>
          <cell r="G106">
            <v>10</v>
          </cell>
          <cell r="H106">
            <v>0</v>
          </cell>
          <cell r="I106">
            <v>10</v>
          </cell>
          <cell r="J106">
            <v>80</v>
          </cell>
          <cell r="K106">
            <v>100</v>
          </cell>
          <cell r="L106" t="str">
            <v>$</v>
          </cell>
        </row>
        <row r="107">
          <cell r="E107" t="str">
            <v>JM000179</v>
          </cell>
          <cell r="F107">
            <v>13</v>
          </cell>
          <cell r="G107">
            <v>10</v>
          </cell>
          <cell r="H107">
            <v>0</v>
          </cell>
          <cell r="I107">
            <v>10</v>
          </cell>
          <cell r="J107">
            <v>80</v>
          </cell>
          <cell r="K107">
            <v>100</v>
          </cell>
          <cell r="L107" t="str">
            <v>$</v>
          </cell>
        </row>
        <row r="108">
          <cell r="E108" t="str">
            <v>JM000180</v>
          </cell>
          <cell r="F108">
            <v>10</v>
          </cell>
          <cell r="G108">
            <v>10</v>
          </cell>
          <cell r="H108">
            <v>0</v>
          </cell>
          <cell r="I108">
            <v>10</v>
          </cell>
          <cell r="J108">
            <v>30</v>
          </cell>
          <cell r="K108">
            <v>50</v>
          </cell>
          <cell r="L108" t="str">
            <v>$</v>
          </cell>
        </row>
        <row r="109">
          <cell r="E109" t="str">
            <v>JM000181</v>
          </cell>
          <cell r="F109">
            <v>10</v>
          </cell>
          <cell r="G109">
            <v>10</v>
          </cell>
          <cell r="H109">
            <v>0</v>
          </cell>
          <cell r="I109">
            <v>10</v>
          </cell>
          <cell r="J109">
            <v>30</v>
          </cell>
          <cell r="K109">
            <v>50</v>
          </cell>
          <cell r="L109" t="str">
            <v>$</v>
          </cell>
        </row>
        <row r="110">
          <cell r="E110" t="str">
            <v>JM000185</v>
          </cell>
          <cell r="F110">
            <v>10</v>
          </cell>
          <cell r="G110">
            <v>10</v>
          </cell>
          <cell r="H110">
            <v>0</v>
          </cell>
          <cell r="I110">
            <v>10</v>
          </cell>
          <cell r="J110">
            <v>30</v>
          </cell>
          <cell r="K110">
            <v>50</v>
          </cell>
          <cell r="L110" t="str">
            <v>$</v>
          </cell>
        </row>
        <row r="111">
          <cell r="E111" t="str">
            <v>JM000189</v>
          </cell>
          <cell r="F111">
            <v>13</v>
          </cell>
          <cell r="G111">
            <v>10</v>
          </cell>
          <cell r="H111">
            <v>0</v>
          </cell>
          <cell r="I111">
            <v>10</v>
          </cell>
          <cell r="J111">
            <v>80</v>
          </cell>
          <cell r="K111">
            <v>100</v>
          </cell>
          <cell r="L111" t="str">
            <v>$</v>
          </cell>
        </row>
        <row r="112">
          <cell r="E112" t="str">
            <v>JM000192</v>
          </cell>
          <cell r="F112">
            <v>10</v>
          </cell>
          <cell r="G112">
            <v>10</v>
          </cell>
          <cell r="H112">
            <v>0</v>
          </cell>
          <cell r="I112">
            <v>10</v>
          </cell>
          <cell r="J112">
            <v>30</v>
          </cell>
          <cell r="K112">
            <v>50</v>
          </cell>
          <cell r="L112" t="str">
            <v>$</v>
          </cell>
        </row>
        <row r="113">
          <cell r="E113" t="str">
            <v>JM000199</v>
          </cell>
          <cell r="F113">
            <v>10</v>
          </cell>
          <cell r="G113">
            <v>10</v>
          </cell>
          <cell r="H113">
            <v>0</v>
          </cell>
          <cell r="I113">
            <v>10</v>
          </cell>
          <cell r="J113">
            <v>30</v>
          </cell>
          <cell r="K113">
            <v>50</v>
          </cell>
          <cell r="L113" t="str">
            <v>$</v>
          </cell>
        </row>
        <row r="114">
          <cell r="E114" t="str">
            <v>JM000204</v>
          </cell>
          <cell r="F114">
            <v>10</v>
          </cell>
          <cell r="G114">
            <v>10</v>
          </cell>
          <cell r="H114">
            <v>0</v>
          </cell>
          <cell r="I114">
            <v>10</v>
          </cell>
          <cell r="J114">
            <v>30</v>
          </cell>
          <cell r="K114">
            <v>50</v>
          </cell>
          <cell r="L114" t="str">
            <v>$</v>
          </cell>
        </row>
        <row r="115">
          <cell r="E115" t="str">
            <v>JM000212</v>
          </cell>
          <cell r="F115">
            <v>15</v>
          </cell>
          <cell r="G115">
            <v>10</v>
          </cell>
          <cell r="H115">
            <v>0</v>
          </cell>
          <cell r="I115">
            <v>10</v>
          </cell>
          <cell r="J115">
            <v>80</v>
          </cell>
          <cell r="K115">
            <v>100</v>
          </cell>
          <cell r="L115" t="str">
            <v>$</v>
          </cell>
        </row>
        <row r="116">
          <cell r="E116" t="str">
            <v>JM000214</v>
          </cell>
          <cell r="F116">
            <v>15</v>
          </cell>
          <cell r="G116">
            <v>10</v>
          </cell>
          <cell r="H116">
            <v>0</v>
          </cell>
          <cell r="I116">
            <v>10</v>
          </cell>
          <cell r="J116">
            <v>80</v>
          </cell>
          <cell r="K116">
            <v>100</v>
          </cell>
          <cell r="L116" t="str">
            <v>$</v>
          </cell>
        </row>
        <row r="117">
          <cell r="E117" t="str">
            <v>JM000272</v>
          </cell>
          <cell r="F117">
            <v>10</v>
          </cell>
          <cell r="G117">
            <v>10</v>
          </cell>
          <cell r="H117">
            <v>0</v>
          </cell>
          <cell r="I117">
            <v>10</v>
          </cell>
          <cell r="J117">
            <v>30</v>
          </cell>
          <cell r="K117">
            <v>50</v>
          </cell>
          <cell r="L117" t="str">
            <v>$</v>
          </cell>
        </row>
        <row r="118">
          <cell r="E118" t="str">
            <v>JM000273</v>
          </cell>
          <cell r="F118">
            <v>13</v>
          </cell>
          <cell r="G118">
            <v>10</v>
          </cell>
          <cell r="H118">
            <v>0</v>
          </cell>
          <cell r="I118">
            <v>10</v>
          </cell>
          <cell r="J118">
            <v>80</v>
          </cell>
          <cell r="K118">
            <v>100</v>
          </cell>
          <cell r="L118" t="str">
            <v>$</v>
          </cell>
        </row>
        <row r="119">
          <cell r="E119" t="str">
            <v>JM000278</v>
          </cell>
          <cell r="F119">
            <v>13</v>
          </cell>
          <cell r="G119">
            <v>10</v>
          </cell>
          <cell r="H119">
            <v>0</v>
          </cell>
          <cell r="I119">
            <v>10</v>
          </cell>
          <cell r="J119">
            <v>80</v>
          </cell>
          <cell r="K119">
            <v>100</v>
          </cell>
          <cell r="L119" t="str">
            <v>$</v>
          </cell>
        </row>
        <row r="120">
          <cell r="E120" t="str">
            <v>JM000279</v>
          </cell>
          <cell r="F120">
            <v>10</v>
          </cell>
          <cell r="G120">
            <v>10</v>
          </cell>
          <cell r="H120">
            <v>0</v>
          </cell>
          <cell r="I120">
            <v>10</v>
          </cell>
          <cell r="J120">
            <v>30</v>
          </cell>
          <cell r="K120">
            <v>50</v>
          </cell>
          <cell r="L120" t="str">
            <v>$</v>
          </cell>
        </row>
        <row r="121">
          <cell r="E121" t="str">
            <v>JM000319</v>
          </cell>
          <cell r="F121">
            <v>12</v>
          </cell>
          <cell r="G121">
            <v>10</v>
          </cell>
          <cell r="H121">
            <v>0</v>
          </cell>
          <cell r="I121">
            <v>10</v>
          </cell>
          <cell r="J121">
            <v>80</v>
          </cell>
          <cell r="K121">
            <v>100</v>
          </cell>
          <cell r="L121" t="str">
            <v>$</v>
          </cell>
        </row>
        <row r="122">
          <cell r="E122" t="str">
            <v>JM000224</v>
          </cell>
          <cell r="F122">
            <v>15</v>
          </cell>
          <cell r="G122">
            <v>10</v>
          </cell>
          <cell r="H122">
            <v>10</v>
          </cell>
          <cell r="I122">
            <v>10</v>
          </cell>
          <cell r="J122">
            <v>70</v>
          </cell>
          <cell r="K122">
            <v>100</v>
          </cell>
          <cell r="L122" t="str">
            <v>$</v>
          </cell>
        </row>
        <row r="123">
          <cell r="E123" t="str">
            <v>JM000239</v>
          </cell>
          <cell r="F123">
            <v>13</v>
          </cell>
          <cell r="G123">
            <v>10</v>
          </cell>
          <cell r="H123">
            <v>0</v>
          </cell>
          <cell r="I123">
            <v>10</v>
          </cell>
          <cell r="J123">
            <v>80</v>
          </cell>
          <cell r="K123">
            <v>100</v>
          </cell>
          <cell r="L123" t="str">
            <v>$</v>
          </cell>
        </row>
        <row r="124">
          <cell r="E124" t="str">
            <v>JM000241</v>
          </cell>
          <cell r="F124">
            <v>13</v>
          </cell>
          <cell r="G124">
            <v>10</v>
          </cell>
          <cell r="H124">
            <v>0</v>
          </cell>
          <cell r="I124">
            <v>10</v>
          </cell>
          <cell r="J124">
            <v>80</v>
          </cell>
          <cell r="K124">
            <v>100</v>
          </cell>
          <cell r="L124" t="str">
            <v>$</v>
          </cell>
        </row>
        <row r="125">
          <cell r="E125" t="str">
            <v>JM000242</v>
          </cell>
          <cell r="F125">
            <v>13</v>
          </cell>
          <cell r="G125">
            <v>10</v>
          </cell>
          <cell r="H125">
            <v>0</v>
          </cell>
          <cell r="I125">
            <v>10</v>
          </cell>
          <cell r="J125">
            <v>80</v>
          </cell>
          <cell r="K125">
            <v>100</v>
          </cell>
          <cell r="L125" t="str">
            <v>$</v>
          </cell>
        </row>
        <row r="126">
          <cell r="E126" t="str">
            <v>JM000243</v>
          </cell>
          <cell r="F126">
            <v>13</v>
          </cell>
          <cell r="G126">
            <v>10</v>
          </cell>
          <cell r="H126">
            <v>0</v>
          </cell>
          <cell r="I126">
            <v>10</v>
          </cell>
          <cell r="J126">
            <v>80</v>
          </cell>
          <cell r="K126">
            <v>100</v>
          </cell>
          <cell r="L126" t="str">
            <v>$</v>
          </cell>
        </row>
        <row r="127">
          <cell r="E127" t="str">
            <v>JM000245</v>
          </cell>
          <cell r="F127">
            <v>13</v>
          </cell>
          <cell r="G127">
            <v>10</v>
          </cell>
          <cell r="H127">
            <v>0</v>
          </cell>
          <cell r="I127">
            <v>10</v>
          </cell>
          <cell r="J127">
            <v>80</v>
          </cell>
          <cell r="K127">
            <v>100</v>
          </cell>
          <cell r="L127" t="str">
            <v>$</v>
          </cell>
        </row>
        <row r="128">
          <cell r="E128" t="str">
            <v>JM000247</v>
          </cell>
          <cell r="F128">
            <v>13</v>
          </cell>
          <cell r="G128">
            <v>10</v>
          </cell>
          <cell r="H128">
            <v>0</v>
          </cell>
          <cell r="I128">
            <v>10</v>
          </cell>
          <cell r="J128">
            <v>80</v>
          </cell>
          <cell r="K128">
            <v>100</v>
          </cell>
          <cell r="L128" t="str">
            <v>$</v>
          </cell>
        </row>
        <row r="129">
          <cell r="E129" t="str">
            <v>JM000250</v>
          </cell>
          <cell r="F129">
            <v>13</v>
          </cell>
          <cell r="G129">
            <v>10</v>
          </cell>
          <cell r="H129">
            <v>0</v>
          </cell>
          <cell r="I129">
            <v>10</v>
          </cell>
          <cell r="J129">
            <v>80</v>
          </cell>
          <cell r="K129">
            <v>100</v>
          </cell>
          <cell r="L129" t="str">
            <v>$</v>
          </cell>
        </row>
        <row r="130">
          <cell r="E130" t="str">
            <v>JM000251</v>
          </cell>
          <cell r="F130">
            <v>13</v>
          </cell>
          <cell r="G130">
            <v>10</v>
          </cell>
          <cell r="H130">
            <v>0</v>
          </cell>
          <cell r="I130">
            <v>10</v>
          </cell>
          <cell r="J130">
            <v>80</v>
          </cell>
          <cell r="K130">
            <v>100</v>
          </cell>
          <cell r="L130" t="str">
            <v>$</v>
          </cell>
        </row>
        <row r="131">
          <cell r="E131" t="str">
            <v>JM000255</v>
          </cell>
          <cell r="F131">
            <v>13</v>
          </cell>
          <cell r="G131">
            <v>10</v>
          </cell>
          <cell r="H131">
            <v>0</v>
          </cell>
          <cell r="I131">
            <v>10</v>
          </cell>
          <cell r="J131">
            <v>80</v>
          </cell>
          <cell r="K131">
            <v>100</v>
          </cell>
          <cell r="L131" t="str">
            <v>$</v>
          </cell>
        </row>
        <row r="132">
          <cell r="E132" t="str">
            <v>JM000256</v>
          </cell>
          <cell r="F132">
            <v>12</v>
          </cell>
          <cell r="G132">
            <v>10</v>
          </cell>
          <cell r="H132">
            <v>0</v>
          </cell>
          <cell r="I132">
            <v>10</v>
          </cell>
          <cell r="J132">
            <v>80</v>
          </cell>
          <cell r="K132">
            <v>100</v>
          </cell>
          <cell r="L132" t="str">
            <v>$</v>
          </cell>
        </row>
        <row r="133">
          <cell r="E133" t="str">
            <v>JM000259</v>
          </cell>
          <cell r="F133">
            <v>13</v>
          </cell>
          <cell r="G133">
            <v>10</v>
          </cell>
          <cell r="H133">
            <v>0</v>
          </cell>
          <cell r="I133">
            <v>10</v>
          </cell>
          <cell r="J133">
            <v>80</v>
          </cell>
          <cell r="K133">
            <v>100</v>
          </cell>
          <cell r="L133" t="str">
            <v>$</v>
          </cell>
        </row>
        <row r="134">
          <cell r="E134" t="str">
            <v>JM000260</v>
          </cell>
          <cell r="F134">
            <v>13.5</v>
          </cell>
          <cell r="G134">
            <v>10</v>
          </cell>
          <cell r="H134">
            <v>0</v>
          </cell>
          <cell r="I134">
            <v>10</v>
          </cell>
          <cell r="J134">
            <v>80</v>
          </cell>
          <cell r="K134">
            <v>100</v>
          </cell>
          <cell r="L134" t="str">
            <v>$</v>
          </cell>
        </row>
        <row r="135">
          <cell r="E135" t="str">
            <v>JM000261</v>
          </cell>
          <cell r="F135">
            <v>13</v>
          </cell>
          <cell r="G135">
            <v>10</v>
          </cell>
          <cell r="H135">
            <v>0</v>
          </cell>
          <cell r="I135">
            <v>10</v>
          </cell>
          <cell r="J135">
            <v>80</v>
          </cell>
          <cell r="K135">
            <v>100</v>
          </cell>
          <cell r="L135" t="str">
            <v>$</v>
          </cell>
        </row>
        <row r="136">
          <cell r="E136" t="str">
            <v>JM000262</v>
          </cell>
          <cell r="F136">
            <v>13</v>
          </cell>
          <cell r="G136">
            <v>10</v>
          </cell>
          <cell r="H136">
            <v>0</v>
          </cell>
          <cell r="I136">
            <v>10</v>
          </cell>
          <cell r="J136">
            <v>80</v>
          </cell>
          <cell r="K136">
            <v>100</v>
          </cell>
          <cell r="L136" t="str">
            <v>$</v>
          </cell>
        </row>
        <row r="137">
          <cell r="E137" t="str">
            <v>JM000267</v>
          </cell>
          <cell r="F137">
            <v>13</v>
          </cell>
          <cell r="G137">
            <v>10</v>
          </cell>
          <cell r="H137">
            <v>0</v>
          </cell>
          <cell r="I137">
            <v>10</v>
          </cell>
          <cell r="J137">
            <v>80</v>
          </cell>
          <cell r="K137">
            <v>100</v>
          </cell>
          <cell r="L137" t="str">
            <v>$</v>
          </cell>
        </row>
        <row r="138">
          <cell r="E138" t="str">
            <v>JM000299</v>
          </cell>
          <cell r="F138">
            <v>14</v>
          </cell>
          <cell r="G138">
            <v>10</v>
          </cell>
          <cell r="H138">
            <v>0</v>
          </cell>
          <cell r="I138">
            <v>10</v>
          </cell>
          <cell r="J138">
            <v>80</v>
          </cell>
          <cell r="K138">
            <v>100</v>
          </cell>
          <cell r="L138" t="str">
            <v>$</v>
          </cell>
        </row>
        <row r="139">
          <cell r="E139" t="str">
            <v>JM000308</v>
          </cell>
          <cell r="F139">
            <v>14</v>
          </cell>
          <cell r="G139">
            <v>10</v>
          </cell>
          <cell r="H139">
            <v>0</v>
          </cell>
          <cell r="I139">
            <v>10</v>
          </cell>
          <cell r="J139">
            <v>80</v>
          </cell>
          <cell r="K139">
            <v>100</v>
          </cell>
          <cell r="L139" t="str">
            <v>$</v>
          </cell>
        </row>
        <row r="140">
          <cell r="E140" t="str">
            <v>JM000313</v>
          </cell>
          <cell r="F140">
            <v>13.5</v>
          </cell>
          <cell r="G140">
            <v>10</v>
          </cell>
          <cell r="H140">
            <v>0</v>
          </cell>
          <cell r="I140">
            <v>10</v>
          </cell>
          <cell r="J140">
            <v>80</v>
          </cell>
          <cell r="K140">
            <v>100</v>
          </cell>
          <cell r="L140" t="str">
            <v>$</v>
          </cell>
        </row>
        <row r="141">
          <cell r="E141" t="str">
            <v>JM000328</v>
          </cell>
          <cell r="F141">
            <v>13</v>
          </cell>
          <cell r="G141">
            <v>10</v>
          </cell>
          <cell r="H141">
            <v>0</v>
          </cell>
          <cell r="I141">
            <v>10</v>
          </cell>
          <cell r="J141">
            <v>80</v>
          </cell>
          <cell r="K141">
            <v>100</v>
          </cell>
          <cell r="L141" t="str">
            <v>$</v>
          </cell>
        </row>
        <row r="142">
          <cell r="E142" t="str">
            <v>JM000329</v>
          </cell>
          <cell r="F142">
            <v>13</v>
          </cell>
          <cell r="G142">
            <v>10</v>
          </cell>
          <cell r="H142">
            <v>0</v>
          </cell>
          <cell r="I142">
            <v>10</v>
          </cell>
          <cell r="J142">
            <v>80</v>
          </cell>
          <cell r="K142">
            <v>100</v>
          </cell>
          <cell r="L142" t="str">
            <v>$</v>
          </cell>
        </row>
        <row r="143">
          <cell r="E143" t="str">
            <v>JM000330</v>
          </cell>
          <cell r="F143">
            <v>13</v>
          </cell>
          <cell r="G143">
            <v>10</v>
          </cell>
          <cell r="H143">
            <v>0</v>
          </cell>
          <cell r="I143">
            <v>10</v>
          </cell>
          <cell r="J143">
            <v>80</v>
          </cell>
          <cell r="K143">
            <v>100</v>
          </cell>
          <cell r="L143" t="str">
            <v>$</v>
          </cell>
        </row>
        <row r="144">
          <cell r="E144" t="str">
            <v>JM000075</v>
          </cell>
          <cell r="F144">
            <v>14</v>
          </cell>
          <cell r="G144">
            <v>10</v>
          </cell>
          <cell r="H144">
            <v>10</v>
          </cell>
          <cell r="I144">
            <v>10</v>
          </cell>
          <cell r="J144">
            <v>70</v>
          </cell>
          <cell r="K144">
            <v>100</v>
          </cell>
          <cell r="L144" t="str">
            <v>$</v>
          </cell>
        </row>
        <row r="145">
          <cell r="E145" t="str">
            <v>JM000162</v>
          </cell>
          <cell r="F145">
            <v>13.5</v>
          </cell>
          <cell r="G145">
            <v>10</v>
          </cell>
          <cell r="H145">
            <v>0</v>
          </cell>
          <cell r="I145">
            <v>10</v>
          </cell>
          <cell r="J145">
            <v>80</v>
          </cell>
          <cell r="K145">
            <v>100</v>
          </cell>
          <cell r="L145" t="str">
            <v>$</v>
          </cell>
        </row>
        <row r="146">
          <cell r="E146" t="str">
            <v>JM000225</v>
          </cell>
          <cell r="F146">
            <v>14</v>
          </cell>
          <cell r="G146">
            <v>10</v>
          </cell>
          <cell r="H146">
            <v>0</v>
          </cell>
          <cell r="I146">
            <v>10</v>
          </cell>
          <cell r="J146">
            <v>80</v>
          </cell>
          <cell r="K146">
            <v>100</v>
          </cell>
          <cell r="L146" t="str">
            <v>$</v>
          </cell>
        </row>
        <row r="147">
          <cell r="E147" t="str">
            <v>JM000229</v>
          </cell>
          <cell r="F147">
            <v>13</v>
          </cell>
          <cell r="G147">
            <v>10</v>
          </cell>
          <cell r="H147">
            <v>0</v>
          </cell>
          <cell r="I147">
            <v>10</v>
          </cell>
          <cell r="J147">
            <v>80</v>
          </cell>
          <cell r="K147">
            <v>100</v>
          </cell>
          <cell r="L147" t="str">
            <v>$</v>
          </cell>
        </row>
        <row r="148">
          <cell r="E148" t="str">
            <v>JM000230</v>
          </cell>
          <cell r="F148">
            <v>13.5</v>
          </cell>
          <cell r="G148">
            <v>10</v>
          </cell>
          <cell r="H148">
            <v>0</v>
          </cell>
          <cell r="I148">
            <v>10</v>
          </cell>
          <cell r="J148">
            <v>80</v>
          </cell>
          <cell r="K148">
            <v>100</v>
          </cell>
          <cell r="L148" t="str">
            <v>$</v>
          </cell>
        </row>
        <row r="149">
          <cell r="E149" t="str">
            <v>JM000238</v>
          </cell>
          <cell r="F149">
            <v>14</v>
          </cell>
          <cell r="G149">
            <v>10</v>
          </cell>
          <cell r="H149">
            <v>0</v>
          </cell>
          <cell r="I149">
            <v>10</v>
          </cell>
          <cell r="J149">
            <v>80</v>
          </cell>
          <cell r="K149">
            <v>100</v>
          </cell>
          <cell r="L149" t="str">
            <v>$</v>
          </cell>
        </row>
        <row r="150">
          <cell r="E150" t="str">
            <v>JM000265</v>
          </cell>
          <cell r="F150">
            <v>12.5</v>
          </cell>
          <cell r="G150">
            <v>10</v>
          </cell>
          <cell r="H150">
            <v>0</v>
          </cell>
          <cell r="I150">
            <v>10</v>
          </cell>
          <cell r="J150">
            <v>80</v>
          </cell>
          <cell r="K150">
            <v>100</v>
          </cell>
          <cell r="L150" t="str">
            <v>$</v>
          </cell>
        </row>
        <row r="151">
          <cell r="E151" t="str">
            <v>JM000359</v>
          </cell>
          <cell r="F151">
            <v>12.5</v>
          </cell>
          <cell r="G151">
            <v>10</v>
          </cell>
          <cell r="H151">
            <v>0</v>
          </cell>
          <cell r="I151">
            <v>10</v>
          </cell>
          <cell r="J151">
            <v>80</v>
          </cell>
          <cell r="K151">
            <v>100</v>
          </cell>
          <cell r="L151" t="str">
            <v>$</v>
          </cell>
        </row>
        <row r="152">
          <cell r="E152" t="str">
            <v>JM000011</v>
          </cell>
          <cell r="F152">
            <v>13.5</v>
          </cell>
          <cell r="G152">
            <v>10</v>
          </cell>
          <cell r="H152">
            <v>0</v>
          </cell>
          <cell r="I152">
            <v>10</v>
          </cell>
          <cell r="J152">
            <v>80</v>
          </cell>
          <cell r="K152">
            <v>100</v>
          </cell>
          <cell r="L152" t="str">
            <v>$</v>
          </cell>
        </row>
        <row r="153">
          <cell r="E153" t="str">
            <v>JM000013</v>
          </cell>
          <cell r="F153">
            <v>14.5</v>
          </cell>
          <cell r="G153">
            <v>10</v>
          </cell>
          <cell r="H153">
            <v>0</v>
          </cell>
          <cell r="I153">
            <v>10</v>
          </cell>
          <cell r="J153">
            <v>80</v>
          </cell>
          <cell r="K153">
            <v>100</v>
          </cell>
          <cell r="L153" t="str">
            <v>$</v>
          </cell>
        </row>
        <row r="154">
          <cell r="E154" t="str">
            <v>JM000014</v>
          </cell>
          <cell r="F154">
            <v>13.5</v>
          </cell>
          <cell r="G154">
            <v>10</v>
          </cell>
          <cell r="H154">
            <v>0</v>
          </cell>
          <cell r="I154">
            <v>10</v>
          </cell>
          <cell r="J154">
            <v>80</v>
          </cell>
          <cell r="K154">
            <v>100</v>
          </cell>
          <cell r="L154" t="str">
            <v>$</v>
          </cell>
        </row>
        <row r="155">
          <cell r="E155" t="str">
            <v>JM000300</v>
          </cell>
          <cell r="F155">
            <v>13</v>
          </cell>
          <cell r="G155">
            <v>10</v>
          </cell>
          <cell r="H155">
            <v>0</v>
          </cell>
          <cell r="I155">
            <v>10</v>
          </cell>
          <cell r="J155">
            <v>80</v>
          </cell>
          <cell r="K155">
            <v>100</v>
          </cell>
          <cell r="L155" t="str">
            <v>$</v>
          </cell>
        </row>
        <row r="156">
          <cell r="E156" t="str">
            <v>JM000321</v>
          </cell>
          <cell r="F156">
            <v>14</v>
          </cell>
          <cell r="G156">
            <v>10</v>
          </cell>
          <cell r="H156">
            <v>0</v>
          </cell>
          <cell r="I156">
            <v>10</v>
          </cell>
          <cell r="J156">
            <v>80</v>
          </cell>
          <cell r="K156">
            <v>100</v>
          </cell>
          <cell r="L156" t="str">
            <v>$</v>
          </cell>
        </row>
        <row r="157">
          <cell r="E157" t="str">
            <v>JM000270</v>
          </cell>
          <cell r="F157">
            <v>14</v>
          </cell>
          <cell r="G157">
            <v>10</v>
          </cell>
          <cell r="H157">
            <v>10</v>
          </cell>
          <cell r="I157">
            <v>10</v>
          </cell>
          <cell r="J157">
            <v>70</v>
          </cell>
          <cell r="K157">
            <v>100</v>
          </cell>
          <cell r="L157" t="str">
            <v>$</v>
          </cell>
        </row>
        <row r="158">
          <cell r="E158" t="str">
            <v>JM000042</v>
          </cell>
          <cell r="F158">
            <v>13</v>
          </cell>
          <cell r="G158">
            <v>10</v>
          </cell>
          <cell r="H158">
            <v>0</v>
          </cell>
          <cell r="I158">
            <v>10</v>
          </cell>
          <cell r="J158">
            <v>80</v>
          </cell>
          <cell r="K158">
            <v>100</v>
          </cell>
          <cell r="L158" t="str">
            <v>$</v>
          </cell>
        </row>
        <row r="159">
          <cell r="E159" t="str">
            <v>JM000067</v>
          </cell>
          <cell r="F159">
            <v>10.5</v>
          </cell>
          <cell r="G159">
            <v>10</v>
          </cell>
          <cell r="H159">
            <v>0</v>
          </cell>
          <cell r="I159">
            <v>10</v>
          </cell>
          <cell r="J159">
            <v>30</v>
          </cell>
          <cell r="K159">
            <v>50</v>
          </cell>
          <cell r="L159" t="str">
            <v>$</v>
          </cell>
        </row>
        <row r="160">
          <cell r="E160" t="str">
            <v>JM000197</v>
          </cell>
          <cell r="F160">
            <v>14</v>
          </cell>
          <cell r="G160">
            <v>10</v>
          </cell>
          <cell r="H160">
            <v>0</v>
          </cell>
          <cell r="I160">
            <v>10</v>
          </cell>
          <cell r="J160">
            <v>80</v>
          </cell>
          <cell r="K160">
            <v>100</v>
          </cell>
          <cell r="L160" t="str">
            <v>$</v>
          </cell>
        </row>
        <row r="161">
          <cell r="E161" t="str">
            <v>JM000206</v>
          </cell>
          <cell r="F161">
            <v>14</v>
          </cell>
          <cell r="G161">
            <v>10</v>
          </cell>
          <cell r="H161">
            <v>0</v>
          </cell>
          <cell r="I161">
            <v>10</v>
          </cell>
          <cell r="J161">
            <v>80</v>
          </cell>
          <cell r="K161">
            <v>100</v>
          </cell>
          <cell r="L161" t="str">
            <v>$</v>
          </cell>
        </row>
        <row r="162">
          <cell r="E162" t="str">
            <v>JM000268</v>
          </cell>
          <cell r="F162">
            <v>12.5</v>
          </cell>
          <cell r="G162">
            <v>10</v>
          </cell>
          <cell r="H162">
            <v>0</v>
          </cell>
          <cell r="I162">
            <v>10</v>
          </cell>
          <cell r="J162">
            <v>80</v>
          </cell>
          <cell r="K162">
            <v>100</v>
          </cell>
          <cell r="L162" t="str">
            <v>$</v>
          </cell>
        </row>
        <row r="163">
          <cell r="E163" t="str">
            <v>JM000304</v>
          </cell>
          <cell r="F163">
            <v>14</v>
          </cell>
          <cell r="G163">
            <v>10</v>
          </cell>
          <cell r="H163">
            <v>0</v>
          </cell>
          <cell r="I163">
            <v>10</v>
          </cell>
          <cell r="J163">
            <v>80</v>
          </cell>
          <cell r="K163">
            <v>100</v>
          </cell>
          <cell r="L163" t="str">
            <v>$</v>
          </cell>
        </row>
        <row r="164">
          <cell r="E164" t="str">
            <v>JM000310</v>
          </cell>
          <cell r="F164">
            <v>14</v>
          </cell>
          <cell r="G164">
            <v>10</v>
          </cell>
          <cell r="H164">
            <v>0</v>
          </cell>
          <cell r="I164">
            <v>10</v>
          </cell>
          <cell r="J164">
            <v>80</v>
          </cell>
          <cell r="K164">
            <v>100</v>
          </cell>
          <cell r="L164" t="str">
            <v>$</v>
          </cell>
        </row>
        <row r="165">
          <cell r="E165" t="str">
            <v>JM000336</v>
          </cell>
          <cell r="F165">
            <v>13.5</v>
          </cell>
          <cell r="G165">
            <v>10</v>
          </cell>
          <cell r="H165">
            <v>0</v>
          </cell>
          <cell r="I165">
            <v>10</v>
          </cell>
          <cell r="J165">
            <v>80</v>
          </cell>
          <cell r="K165">
            <v>100</v>
          </cell>
          <cell r="L165" t="str">
            <v>$</v>
          </cell>
        </row>
        <row r="166">
          <cell r="E166" t="str">
            <v>JM000337</v>
          </cell>
          <cell r="F166">
            <v>10</v>
          </cell>
          <cell r="G166">
            <v>10</v>
          </cell>
          <cell r="H166">
            <v>0</v>
          </cell>
          <cell r="I166">
            <v>10</v>
          </cell>
          <cell r="J166">
            <v>30</v>
          </cell>
          <cell r="K166">
            <v>50</v>
          </cell>
          <cell r="L166" t="str">
            <v>$</v>
          </cell>
        </row>
        <row r="167">
          <cell r="E167" t="str">
            <v>JM000339</v>
          </cell>
          <cell r="F167">
            <v>10</v>
          </cell>
          <cell r="G167">
            <v>10</v>
          </cell>
          <cell r="H167">
            <v>0</v>
          </cell>
          <cell r="I167">
            <v>10</v>
          </cell>
          <cell r="J167">
            <v>30</v>
          </cell>
          <cell r="K167">
            <v>50</v>
          </cell>
          <cell r="L167" t="str">
            <v>$</v>
          </cell>
        </row>
        <row r="168">
          <cell r="E168" t="str">
            <v>JM000374</v>
          </cell>
          <cell r="F168">
            <v>10</v>
          </cell>
          <cell r="G168">
            <v>10</v>
          </cell>
          <cell r="H168">
            <v>0</v>
          </cell>
          <cell r="I168">
            <v>10</v>
          </cell>
          <cell r="J168">
            <v>30</v>
          </cell>
          <cell r="K168">
            <v>50</v>
          </cell>
          <cell r="L168" t="str">
            <v>$</v>
          </cell>
        </row>
        <row r="169">
          <cell r="E169" t="str">
            <v>JM000113</v>
          </cell>
          <cell r="F169">
            <v>13</v>
          </cell>
          <cell r="G169">
            <v>10</v>
          </cell>
          <cell r="H169">
            <v>10</v>
          </cell>
          <cell r="I169">
            <v>10</v>
          </cell>
          <cell r="J169">
            <v>70</v>
          </cell>
          <cell r="K169">
            <v>100</v>
          </cell>
          <cell r="L169" t="str">
            <v>$</v>
          </cell>
        </row>
        <row r="170">
          <cell r="E170" t="str">
            <v>JM000078</v>
          </cell>
          <cell r="F170">
            <v>13</v>
          </cell>
          <cell r="G170">
            <v>10</v>
          </cell>
          <cell r="H170">
            <v>0</v>
          </cell>
          <cell r="I170">
            <v>10</v>
          </cell>
          <cell r="J170">
            <v>80</v>
          </cell>
          <cell r="K170">
            <v>100</v>
          </cell>
          <cell r="L170" t="str">
            <v>$</v>
          </cell>
        </row>
        <row r="171">
          <cell r="E171" t="str">
            <v>JM000084</v>
          </cell>
          <cell r="F171">
            <v>10.5</v>
          </cell>
          <cell r="G171">
            <v>10</v>
          </cell>
          <cell r="H171">
            <v>0</v>
          </cell>
          <cell r="I171">
            <v>10</v>
          </cell>
          <cell r="J171">
            <v>30</v>
          </cell>
          <cell r="K171">
            <v>50</v>
          </cell>
          <cell r="L171" t="str">
            <v>$</v>
          </cell>
        </row>
        <row r="172">
          <cell r="E172" t="str">
            <v>JM000086</v>
          </cell>
          <cell r="F172">
            <v>12.5</v>
          </cell>
          <cell r="G172">
            <v>10</v>
          </cell>
          <cell r="H172">
            <v>0</v>
          </cell>
          <cell r="I172">
            <v>10</v>
          </cell>
          <cell r="J172">
            <v>80</v>
          </cell>
          <cell r="K172">
            <v>100</v>
          </cell>
          <cell r="L172" t="str">
            <v>$</v>
          </cell>
        </row>
        <row r="173">
          <cell r="E173" t="str">
            <v>JM000089</v>
          </cell>
          <cell r="F173">
            <v>10.5</v>
          </cell>
          <cell r="G173">
            <v>10</v>
          </cell>
          <cell r="H173">
            <v>0</v>
          </cell>
          <cell r="I173">
            <v>10</v>
          </cell>
          <cell r="J173">
            <v>30</v>
          </cell>
          <cell r="K173">
            <v>50</v>
          </cell>
          <cell r="L173" t="str">
            <v>$</v>
          </cell>
        </row>
        <row r="174">
          <cell r="E174" t="str">
            <v>JM000097</v>
          </cell>
          <cell r="F174">
            <v>12</v>
          </cell>
          <cell r="G174">
            <v>10</v>
          </cell>
          <cell r="H174">
            <v>0</v>
          </cell>
          <cell r="I174">
            <v>10</v>
          </cell>
          <cell r="J174">
            <v>80</v>
          </cell>
          <cell r="K174">
            <v>100</v>
          </cell>
          <cell r="L174" t="str">
            <v>$</v>
          </cell>
        </row>
        <row r="175">
          <cell r="E175" t="str">
            <v>JM000098</v>
          </cell>
          <cell r="F175">
            <v>12</v>
          </cell>
          <cell r="G175">
            <v>10</v>
          </cell>
          <cell r="H175">
            <v>0</v>
          </cell>
          <cell r="I175">
            <v>10</v>
          </cell>
          <cell r="J175">
            <v>80</v>
          </cell>
          <cell r="K175">
            <v>100</v>
          </cell>
          <cell r="L175" t="str">
            <v>$</v>
          </cell>
        </row>
        <row r="176">
          <cell r="E176" t="str">
            <v>JM000095</v>
          </cell>
          <cell r="F176">
            <v>12.5</v>
          </cell>
          <cell r="G176">
            <v>10</v>
          </cell>
          <cell r="H176">
            <v>0</v>
          </cell>
          <cell r="I176">
            <v>10</v>
          </cell>
          <cell r="J176">
            <v>80</v>
          </cell>
          <cell r="K176">
            <v>100</v>
          </cell>
          <cell r="L176" t="str">
            <v>$</v>
          </cell>
        </row>
        <row r="177">
          <cell r="E177" t="str">
            <v>JM000106</v>
          </cell>
          <cell r="F177">
            <v>12</v>
          </cell>
          <cell r="G177">
            <v>10</v>
          </cell>
          <cell r="H177">
            <v>0</v>
          </cell>
          <cell r="I177">
            <v>10</v>
          </cell>
          <cell r="J177">
            <v>80</v>
          </cell>
          <cell r="K177">
            <v>100</v>
          </cell>
          <cell r="L177" t="str">
            <v>$</v>
          </cell>
        </row>
        <row r="178">
          <cell r="E178" t="str">
            <v>JM000107</v>
          </cell>
          <cell r="F178">
            <v>12</v>
          </cell>
          <cell r="G178">
            <v>10</v>
          </cell>
          <cell r="H178">
            <v>0</v>
          </cell>
          <cell r="I178">
            <v>10</v>
          </cell>
          <cell r="J178">
            <v>80</v>
          </cell>
          <cell r="K178">
            <v>100</v>
          </cell>
          <cell r="L178" t="str">
            <v>$</v>
          </cell>
        </row>
        <row r="179">
          <cell r="E179" t="str">
            <v>JM000108</v>
          </cell>
          <cell r="F179">
            <v>10.5</v>
          </cell>
          <cell r="G179">
            <v>10</v>
          </cell>
          <cell r="H179">
            <v>0</v>
          </cell>
          <cell r="I179">
            <v>10</v>
          </cell>
          <cell r="J179">
            <v>30</v>
          </cell>
          <cell r="K179">
            <v>50</v>
          </cell>
          <cell r="L179" t="str">
            <v>$</v>
          </cell>
        </row>
        <row r="180">
          <cell r="E180" t="str">
            <v>JM000365</v>
          </cell>
          <cell r="F180">
            <v>10</v>
          </cell>
          <cell r="G180">
            <v>10</v>
          </cell>
          <cell r="H180">
            <v>0</v>
          </cell>
          <cell r="I180">
            <v>10</v>
          </cell>
          <cell r="J180">
            <v>30</v>
          </cell>
          <cell r="K180">
            <v>50</v>
          </cell>
          <cell r="L180" t="str">
            <v>$</v>
          </cell>
        </row>
        <row r="181">
          <cell r="E181" t="str">
            <v>JM000372</v>
          </cell>
          <cell r="F181">
            <v>10</v>
          </cell>
          <cell r="G181">
            <v>10</v>
          </cell>
          <cell r="H181">
            <v>0</v>
          </cell>
          <cell r="I181">
            <v>10</v>
          </cell>
          <cell r="J181">
            <v>30</v>
          </cell>
          <cell r="K181">
            <v>50</v>
          </cell>
          <cell r="L181" t="str">
            <v>$</v>
          </cell>
        </row>
        <row r="182">
          <cell r="E182" t="str">
            <v>JM000373</v>
          </cell>
          <cell r="F182">
            <v>10</v>
          </cell>
          <cell r="G182">
            <v>10</v>
          </cell>
          <cell r="H182">
            <v>0</v>
          </cell>
          <cell r="I182">
            <v>10</v>
          </cell>
          <cell r="J182">
            <v>30</v>
          </cell>
          <cell r="K182">
            <v>50</v>
          </cell>
          <cell r="L182" t="str">
            <v>$</v>
          </cell>
        </row>
        <row r="183">
          <cell r="E183" t="str">
            <v>JM000203</v>
          </cell>
          <cell r="F183">
            <v>14</v>
          </cell>
          <cell r="G183">
            <v>10</v>
          </cell>
          <cell r="H183">
            <v>30</v>
          </cell>
          <cell r="I183">
            <v>10</v>
          </cell>
          <cell r="J183">
            <v>50</v>
          </cell>
          <cell r="K183">
            <v>100</v>
          </cell>
          <cell r="L183" t="str">
            <v>$</v>
          </cell>
        </row>
        <row r="184">
          <cell r="E184" t="str">
            <v>JM000119</v>
          </cell>
          <cell r="F184">
            <v>12</v>
          </cell>
          <cell r="G184">
            <v>10</v>
          </cell>
          <cell r="H184">
            <v>0</v>
          </cell>
          <cell r="I184">
            <v>10</v>
          </cell>
          <cell r="J184">
            <v>80</v>
          </cell>
          <cell r="K184">
            <v>100</v>
          </cell>
          <cell r="L184" t="str">
            <v>$</v>
          </cell>
        </row>
        <row r="185">
          <cell r="E185" t="str">
            <v>JM000121</v>
          </cell>
          <cell r="F185">
            <v>10</v>
          </cell>
          <cell r="G185">
            <v>10</v>
          </cell>
          <cell r="H185">
            <v>0</v>
          </cell>
          <cell r="I185">
            <v>10</v>
          </cell>
          <cell r="J185">
            <v>30</v>
          </cell>
          <cell r="K185">
            <v>50</v>
          </cell>
          <cell r="L185" t="str">
            <v>$</v>
          </cell>
        </row>
        <row r="186">
          <cell r="E186" t="str">
            <v>JM000122</v>
          </cell>
          <cell r="F186">
            <v>10</v>
          </cell>
          <cell r="G186">
            <v>10</v>
          </cell>
          <cell r="H186">
            <v>0</v>
          </cell>
          <cell r="I186">
            <v>10</v>
          </cell>
          <cell r="J186">
            <v>30</v>
          </cell>
          <cell r="K186">
            <v>50</v>
          </cell>
          <cell r="L186" t="str">
            <v>$</v>
          </cell>
        </row>
        <row r="187">
          <cell r="E187" t="str">
            <v>JM000125</v>
          </cell>
          <cell r="F187">
            <v>10.5</v>
          </cell>
          <cell r="G187">
            <v>10</v>
          </cell>
          <cell r="H187">
            <v>0</v>
          </cell>
          <cell r="I187">
            <v>10</v>
          </cell>
          <cell r="J187">
            <v>30</v>
          </cell>
          <cell r="K187">
            <v>50</v>
          </cell>
          <cell r="L187" t="str">
            <v>$</v>
          </cell>
        </row>
        <row r="188">
          <cell r="E188" t="str">
            <v>JM000126</v>
          </cell>
          <cell r="F188">
            <v>10.5</v>
          </cell>
          <cell r="G188">
            <v>10</v>
          </cell>
          <cell r="H188">
            <v>0</v>
          </cell>
          <cell r="I188">
            <v>10</v>
          </cell>
          <cell r="J188">
            <v>30</v>
          </cell>
          <cell r="K188">
            <v>50</v>
          </cell>
          <cell r="L188" t="str">
            <v>$</v>
          </cell>
        </row>
        <row r="189">
          <cell r="E189" t="str">
            <v>JM000130</v>
          </cell>
          <cell r="F189">
            <v>10</v>
          </cell>
          <cell r="G189">
            <v>10</v>
          </cell>
          <cell r="H189">
            <v>0</v>
          </cell>
          <cell r="I189">
            <v>10</v>
          </cell>
          <cell r="J189">
            <v>30</v>
          </cell>
          <cell r="K189">
            <v>50</v>
          </cell>
          <cell r="L189" t="str">
            <v>$</v>
          </cell>
        </row>
        <row r="190">
          <cell r="E190" t="str">
            <v>JM000156</v>
          </cell>
          <cell r="F190">
            <v>13</v>
          </cell>
          <cell r="G190">
            <v>10</v>
          </cell>
          <cell r="H190">
            <v>0</v>
          </cell>
          <cell r="I190">
            <v>10</v>
          </cell>
          <cell r="J190">
            <v>80</v>
          </cell>
          <cell r="K190">
            <v>100</v>
          </cell>
          <cell r="L190" t="str">
            <v>$</v>
          </cell>
        </row>
        <row r="191">
          <cell r="E191" t="str">
            <v>JM000157</v>
          </cell>
          <cell r="F191">
            <v>10.5</v>
          </cell>
          <cell r="G191">
            <v>10</v>
          </cell>
          <cell r="H191">
            <v>0</v>
          </cell>
          <cell r="I191">
            <v>10</v>
          </cell>
          <cell r="J191">
            <v>30</v>
          </cell>
          <cell r="K191">
            <v>50</v>
          </cell>
          <cell r="L191" t="str">
            <v>$</v>
          </cell>
        </row>
        <row r="192">
          <cell r="E192" t="str">
            <v>JM000158</v>
          </cell>
          <cell r="F192">
            <v>10</v>
          </cell>
          <cell r="G192">
            <v>10</v>
          </cell>
          <cell r="H192">
            <v>0</v>
          </cell>
          <cell r="I192">
            <v>10</v>
          </cell>
          <cell r="J192">
            <v>30</v>
          </cell>
          <cell r="K192">
            <v>50</v>
          </cell>
          <cell r="L192" t="str">
            <v>$</v>
          </cell>
        </row>
        <row r="193">
          <cell r="E193" t="str">
            <v>JM000163</v>
          </cell>
          <cell r="F193">
            <v>10</v>
          </cell>
          <cell r="G193">
            <v>10</v>
          </cell>
          <cell r="H193">
            <v>0</v>
          </cell>
          <cell r="I193">
            <v>10</v>
          </cell>
          <cell r="J193">
            <v>30</v>
          </cell>
          <cell r="K193">
            <v>50</v>
          </cell>
          <cell r="L193" t="str">
            <v>$</v>
          </cell>
        </row>
        <row r="194">
          <cell r="E194" t="str">
            <v>JM000164</v>
          </cell>
          <cell r="F194">
            <v>10</v>
          </cell>
          <cell r="G194">
            <v>10</v>
          </cell>
          <cell r="H194">
            <v>0</v>
          </cell>
          <cell r="I194">
            <v>10</v>
          </cell>
          <cell r="J194">
            <v>30</v>
          </cell>
          <cell r="K194">
            <v>50</v>
          </cell>
          <cell r="L194" t="str">
            <v>$</v>
          </cell>
        </row>
        <row r="195">
          <cell r="E195" t="str">
            <v>JM000233</v>
          </cell>
          <cell r="F195">
            <v>10.5</v>
          </cell>
          <cell r="G195">
            <v>10</v>
          </cell>
          <cell r="H195">
            <v>0</v>
          </cell>
          <cell r="I195">
            <v>10</v>
          </cell>
          <cell r="J195">
            <v>30</v>
          </cell>
          <cell r="K195">
            <v>50</v>
          </cell>
          <cell r="L195" t="str">
            <v>$</v>
          </cell>
        </row>
        <row r="196">
          <cell r="E196" t="str">
            <v>JM000288</v>
          </cell>
          <cell r="F196">
            <v>10</v>
          </cell>
          <cell r="G196">
            <v>10</v>
          </cell>
        </row>
        <row r="196">
          <cell r="I196">
            <v>10</v>
          </cell>
          <cell r="J196">
            <v>30</v>
          </cell>
          <cell r="K196">
            <v>50</v>
          </cell>
          <cell r="L196" t="str">
            <v>$</v>
          </cell>
        </row>
        <row r="197">
          <cell r="E197" t="str">
            <v>JM000012</v>
          </cell>
          <cell r="F197">
            <v>10</v>
          </cell>
          <cell r="G197">
            <v>10</v>
          </cell>
          <cell r="H197">
            <v>0</v>
          </cell>
          <cell r="I197">
            <v>10</v>
          </cell>
          <cell r="J197">
            <v>30</v>
          </cell>
          <cell r="K197">
            <v>50</v>
          </cell>
          <cell r="L197" t="str">
            <v>$</v>
          </cell>
        </row>
        <row r="198">
          <cell r="E198" t="str">
            <v>JM000085</v>
          </cell>
          <cell r="F198">
            <v>12.5</v>
          </cell>
          <cell r="G198">
            <v>10</v>
          </cell>
          <cell r="H198">
            <v>0</v>
          </cell>
          <cell r="I198">
            <v>10</v>
          </cell>
          <cell r="J198">
            <v>80</v>
          </cell>
          <cell r="K198">
            <v>100</v>
          </cell>
          <cell r="L198" t="str">
            <v>$</v>
          </cell>
        </row>
        <row r="199">
          <cell r="E199" t="str">
            <v>JM000348</v>
          </cell>
          <cell r="F199">
            <v>10</v>
          </cell>
          <cell r="G199">
            <v>10</v>
          </cell>
        </row>
        <row r="199">
          <cell r="I199">
            <v>10</v>
          </cell>
          <cell r="J199">
            <v>30</v>
          </cell>
          <cell r="K199">
            <v>50</v>
          </cell>
          <cell r="L199" t="str">
            <v>$</v>
          </cell>
        </row>
        <row r="200">
          <cell r="E200" t="str">
            <v>JM000349</v>
          </cell>
          <cell r="F200">
            <v>10</v>
          </cell>
          <cell r="G200">
            <v>10</v>
          </cell>
          <cell r="H200">
            <v>0</v>
          </cell>
          <cell r="I200">
            <v>10</v>
          </cell>
          <cell r="J200">
            <v>30</v>
          </cell>
          <cell r="K200">
            <v>50</v>
          </cell>
          <cell r="L200" t="str">
            <v>$</v>
          </cell>
        </row>
        <row r="201">
          <cell r="E201" t="str">
            <v>JM000354</v>
          </cell>
          <cell r="F201">
            <v>10</v>
          </cell>
          <cell r="G201">
            <v>10</v>
          </cell>
          <cell r="H201">
            <v>0</v>
          </cell>
          <cell r="I201">
            <v>10</v>
          </cell>
          <cell r="J201">
            <v>30</v>
          </cell>
          <cell r="K201">
            <v>50</v>
          </cell>
          <cell r="L201" t="str">
            <v>$</v>
          </cell>
        </row>
        <row r="202">
          <cell r="E202" t="str">
            <v>JM000205</v>
          </cell>
          <cell r="F202">
            <v>15</v>
          </cell>
          <cell r="G202">
            <v>10</v>
          </cell>
          <cell r="H202">
            <v>0</v>
          </cell>
          <cell r="I202">
            <v>10</v>
          </cell>
          <cell r="J202">
            <v>80</v>
          </cell>
          <cell r="K202">
            <v>100</v>
          </cell>
          <cell r="L202" t="str">
            <v>$</v>
          </cell>
        </row>
        <row r="203">
          <cell r="E203" t="str">
            <v>JM000342</v>
          </cell>
          <cell r="F203">
            <v>13.5</v>
          </cell>
          <cell r="G203">
            <v>10</v>
          </cell>
          <cell r="H203">
            <v>0</v>
          </cell>
          <cell r="I203">
            <v>10</v>
          </cell>
          <cell r="J203">
            <v>80</v>
          </cell>
          <cell r="K203">
            <v>100</v>
          </cell>
          <cell r="L203" t="str">
            <v>$</v>
          </cell>
        </row>
        <row r="204">
          <cell r="E204" t="str">
            <v>JM000346</v>
          </cell>
          <cell r="F204">
            <v>13.5</v>
          </cell>
          <cell r="G204">
            <v>10</v>
          </cell>
          <cell r="H204">
            <v>0</v>
          </cell>
          <cell r="I204">
            <v>10</v>
          </cell>
          <cell r="J204">
            <v>80</v>
          </cell>
          <cell r="K204">
            <v>100</v>
          </cell>
          <cell r="L204" t="str">
            <v>$</v>
          </cell>
        </row>
        <row r="205">
          <cell r="E205" t="str">
            <v>JM000347</v>
          </cell>
          <cell r="F205">
            <v>13.5</v>
          </cell>
          <cell r="G205">
            <v>10</v>
          </cell>
          <cell r="H205">
            <v>0</v>
          </cell>
          <cell r="I205">
            <v>10</v>
          </cell>
          <cell r="J205">
            <v>80</v>
          </cell>
          <cell r="K205">
            <v>100</v>
          </cell>
          <cell r="L205" t="str">
            <v>$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JM000002</v>
          </cell>
          <cell r="C2" t="str">
            <v>0</v>
          </cell>
          <cell r="D2">
            <v>0</v>
          </cell>
          <cell r="E2" t="str">
            <v>អុក ច្រឹម</v>
          </cell>
          <cell r="F2" t="str">
            <v>ORK SREP</v>
          </cell>
          <cell r="G2">
            <v>873330</v>
          </cell>
          <cell r="H2">
            <v>873330</v>
          </cell>
          <cell r="I2">
            <v>212.23</v>
          </cell>
          <cell r="J2">
            <v>6987</v>
          </cell>
          <cell r="K2">
            <v>22707</v>
          </cell>
          <cell r="L2">
            <v>17467</v>
          </cell>
          <cell r="M2">
            <v>17467</v>
          </cell>
          <cell r="N2">
            <v>64628</v>
          </cell>
        </row>
        <row r="3">
          <cell r="B3" t="str">
            <v>JM000003</v>
          </cell>
          <cell r="C3" t="str">
            <v>18610222983560ប</v>
          </cell>
          <cell r="D3">
            <v>0</v>
          </cell>
          <cell r="E3" t="str">
            <v>ខុម សុភក្រ័្ត</v>
          </cell>
          <cell r="F3" t="str">
            <v>KHOM SOPHEAK</v>
          </cell>
          <cell r="G3">
            <v>1440250</v>
          </cell>
          <cell r="H3">
            <v>1200000</v>
          </cell>
          <cell r="I3">
            <v>350</v>
          </cell>
          <cell r="J3">
            <v>9600</v>
          </cell>
          <cell r="K3">
            <v>31200</v>
          </cell>
          <cell r="L3">
            <v>24000</v>
          </cell>
          <cell r="M3">
            <v>24000</v>
          </cell>
          <cell r="N3">
            <v>88800</v>
          </cell>
        </row>
        <row r="4">
          <cell r="B4" t="str">
            <v>JM000004</v>
          </cell>
          <cell r="C4" t="str">
            <v>19410222962243ណ</v>
          </cell>
          <cell r="D4">
            <v>0</v>
          </cell>
          <cell r="E4" t="str">
            <v>សាយ ពិសិទ្ធ</v>
          </cell>
          <cell r="F4" t="str">
            <v>SAY PISETH</v>
          </cell>
          <cell r="G4">
            <v>1440250</v>
          </cell>
          <cell r="H4">
            <v>1200000</v>
          </cell>
          <cell r="I4">
            <v>350</v>
          </cell>
          <cell r="J4">
            <v>9600</v>
          </cell>
          <cell r="K4">
            <v>31200</v>
          </cell>
          <cell r="L4">
            <v>24000</v>
          </cell>
          <cell r="M4">
            <v>24000</v>
          </cell>
          <cell r="N4">
            <v>88800</v>
          </cell>
        </row>
        <row r="5">
          <cell r="B5" t="str">
            <v>JM000005</v>
          </cell>
          <cell r="C5" t="str">
            <v>19211170963219ន</v>
          </cell>
          <cell r="D5">
            <v>0</v>
          </cell>
          <cell r="E5" t="str">
            <v>ផាត សុភាក់</v>
          </cell>
          <cell r="F5" t="str">
            <v>PHAT SOPHEAK</v>
          </cell>
          <cell r="G5">
            <v>1587520</v>
          </cell>
          <cell r="H5">
            <v>1200000</v>
          </cell>
          <cell r="I5">
            <v>385.79</v>
          </cell>
          <cell r="J5">
            <v>9600</v>
          </cell>
          <cell r="K5">
            <v>31200</v>
          </cell>
          <cell r="L5">
            <v>24000</v>
          </cell>
          <cell r="M5">
            <v>24000</v>
          </cell>
          <cell r="N5">
            <v>88800</v>
          </cell>
        </row>
        <row r="6">
          <cell r="B6" t="str">
            <v>JM000006</v>
          </cell>
          <cell r="C6" t="str">
            <v>28605181392689គ</v>
          </cell>
          <cell r="D6">
            <v>0</v>
          </cell>
          <cell r="E6" t="str">
            <v>អ៊ុំ សៀងហៃ</v>
          </cell>
          <cell r="F6" t="str">
            <v>UM SIENGHAI</v>
          </cell>
          <cell r="G6">
            <v>2576544</v>
          </cell>
          <cell r="H6">
            <v>1200000</v>
          </cell>
          <cell r="I6">
            <v>626.13</v>
          </cell>
          <cell r="J6">
            <v>9600</v>
          </cell>
          <cell r="K6">
            <v>31200</v>
          </cell>
          <cell r="L6">
            <v>24000</v>
          </cell>
          <cell r="M6">
            <v>24000</v>
          </cell>
          <cell r="N6">
            <v>88800</v>
          </cell>
        </row>
        <row r="7">
          <cell r="B7" t="str">
            <v>JM000009</v>
          </cell>
          <cell r="C7" t="str">
            <v>18208160221485ត</v>
          </cell>
          <cell r="D7">
            <v>0</v>
          </cell>
          <cell r="E7" t="str">
            <v>ច្រឹង ទុប</v>
          </cell>
          <cell r="F7" t="str">
            <v>CHROENG TOP</v>
          </cell>
          <cell r="G7">
            <v>1482033</v>
          </cell>
          <cell r="H7">
            <v>1200000</v>
          </cell>
          <cell r="I7">
            <v>360.15</v>
          </cell>
          <cell r="J7">
            <v>9600</v>
          </cell>
          <cell r="K7">
            <v>31200</v>
          </cell>
          <cell r="L7">
            <v>24000</v>
          </cell>
          <cell r="M7">
            <v>24000</v>
          </cell>
          <cell r="N7">
            <v>88800</v>
          </cell>
        </row>
        <row r="8">
          <cell r="B8" t="str">
            <v>JM000010</v>
          </cell>
          <cell r="C8" t="str">
            <v>19608160224362ទ</v>
          </cell>
          <cell r="D8">
            <v>0</v>
          </cell>
          <cell r="E8" t="str">
            <v>រឿន សុផា</v>
          </cell>
          <cell r="F8" t="str">
            <v>ROEURN SOPHA</v>
          </cell>
          <cell r="G8">
            <v>1468105</v>
          </cell>
          <cell r="H8">
            <v>1200000</v>
          </cell>
          <cell r="I8">
            <v>356.77</v>
          </cell>
          <cell r="J8">
            <v>9600</v>
          </cell>
          <cell r="K8">
            <v>31200</v>
          </cell>
          <cell r="L8">
            <v>24000</v>
          </cell>
          <cell r="M8">
            <v>24000</v>
          </cell>
          <cell r="N8">
            <v>88800</v>
          </cell>
        </row>
        <row r="9">
          <cell r="B9" t="str">
            <v>JM000011</v>
          </cell>
          <cell r="C9" t="str">
            <v>20105222826786ធ</v>
          </cell>
          <cell r="D9">
            <v>0</v>
          </cell>
          <cell r="E9" t="str">
            <v>ឆាន់ ស្រីនិច</v>
          </cell>
          <cell r="F9" t="str">
            <v>CHHANN SREYNICH</v>
          </cell>
          <cell r="G9">
            <v>1272849</v>
          </cell>
          <cell r="H9">
            <v>1200000</v>
          </cell>
          <cell r="I9">
            <v>309.32</v>
          </cell>
          <cell r="J9">
            <v>9600</v>
          </cell>
          <cell r="K9">
            <v>31200</v>
          </cell>
          <cell r="L9">
            <v>24000</v>
          </cell>
          <cell r="M9">
            <v>24000</v>
          </cell>
          <cell r="N9">
            <v>88800</v>
          </cell>
        </row>
        <row r="10">
          <cell r="B10" t="str">
            <v>JM000012</v>
          </cell>
          <cell r="C10" t="str">
            <v>20202222773824ដ</v>
          </cell>
          <cell r="D10">
            <v>0</v>
          </cell>
          <cell r="E10" t="str">
            <v>គុច ចន្រ្ទា</v>
          </cell>
          <cell r="F10" t="str">
            <v>KOCH CHANTREA</v>
          </cell>
          <cell r="G10">
            <v>1252562</v>
          </cell>
          <cell r="H10">
            <v>1200000</v>
          </cell>
          <cell r="I10">
            <v>304.39</v>
          </cell>
          <cell r="J10">
            <v>9600</v>
          </cell>
          <cell r="K10">
            <v>31200</v>
          </cell>
          <cell r="L10">
            <v>24000</v>
          </cell>
          <cell r="M10">
            <v>24000</v>
          </cell>
          <cell r="N10">
            <v>88800</v>
          </cell>
        </row>
        <row r="11">
          <cell r="B11" t="str">
            <v>JM000013</v>
          </cell>
          <cell r="C11" t="str">
            <v>20006192090920ជ</v>
          </cell>
          <cell r="D11">
            <v>0</v>
          </cell>
          <cell r="E11" t="str">
            <v>ឆន មករា</v>
          </cell>
          <cell r="F11" t="str">
            <v>CHHORN MAKARA</v>
          </cell>
          <cell r="G11">
            <v>1261127</v>
          </cell>
          <cell r="H11">
            <v>1200000</v>
          </cell>
          <cell r="I11">
            <v>306.47</v>
          </cell>
          <cell r="J11">
            <v>9600</v>
          </cell>
          <cell r="K11">
            <v>31200</v>
          </cell>
          <cell r="L11">
            <v>24000</v>
          </cell>
          <cell r="M11">
            <v>24000</v>
          </cell>
          <cell r="N11">
            <v>88800</v>
          </cell>
        </row>
        <row r="12">
          <cell r="B12" t="str">
            <v>JM000014</v>
          </cell>
          <cell r="C12" t="str">
            <v>20410222968422ឋ</v>
          </cell>
          <cell r="D12">
            <v>0</v>
          </cell>
          <cell r="E12" t="str">
            <v>គាត សុម៉ាលី</v>
          </cell>
          <cell r="F12" t="str">
            <v>KEAT SOMALY</v>
          </cell>
          <cell r="G12">
            <v>1249023</v>
          </cell>
          <cell r="H12">
            <v>1200000</v>
          </cell>
          <cell r="I12">
            <v>303.53</v>
          </cell>
          <cell r="J12">
            <v>9600</v>
          </cell>
          <cell r="K12">
            <v>31200</v>
          </cell>
          <cell r="L12">
            <v>24000</v>
          </cell>
          <cell r="M12">
            <v>24000</v>
          </cell>
          <cell r="N12">
            <v>88800</v>
          </cell>
        </row>
        <row r="13">
          <cell r="B13" t="str">
            <v>JM000016</v>
          </cell>
          <cell r="C13" t="str">
            <v>29309160273115ថ</v>
          </cell>
          <cell r="D13">
            <v>0</v>
          </cell>
          <cell r="E13" t="str">
            <v>កប រ័តន្នា</v>
          </cell>
          <cell r="F13" t="str">
            <v>KORB RATAN</v>
          </cell>
          <cell r="G13">
            <v>1243439</v>
          </cell>
          <cell r="H13">
            <v>1200000</v>
          </cell>
          <cell r="I13">
            <v>302.17</v>
          </cell>
          <cell r="J13">
            <v>9600</v>
          </cell>
          <cell r="K13">
            <v>31200</v>
          </cell>
          <cell r="L13">
            <v>24000</v>
          </cell>
          <cell r="M13">
            <v>24000</v>
          </cell>
          <cell r="N13">
            <v>88800</v>
          </cell>
        </row>
        <row r="14">
          <cell r="B14" t="str">
            <v>JM000018</v>
          </cell>
          <cell r="C14" t="str">
            <v>29105160100619ឈ</v>
          </cell>
          <cell r="D14">
            <v>0</v>
          </cell>
          <cell r="E14" t="str">
            <v>ស នឿន</v>
          </cell>
          <cell r="F14" t="str">
            <v>SOR NOEURN</v>
          </cell>
          <cell r="G14">
            <v>1635415</v>
          </cell>
          <cell r="H14">
            <v>1200000</v>
          </cell>
          <cell r="I14">
            <v>397.43</v>
          </cell>
          <cell r="J14">
            <v>9600</v>
          </cell>
          <cell r="K14">
            <v>31200</v>
          </cell>
          <cell r="L14">
            <v>24000</v>
          </cell>
          <cell r="M14">
            <v>24000</v>
          </cell>
          <cell r="N14">
            <v>88800</v>
          </cell>
        </row>
        <row r="15">
          <cell r="B15" t="str">
            <v>JM000020</v>
          </cell>
          <cell r="C15" t="str">
            <v>20204222807622ឆ</v>
          </cell>
          <cell r="D15">
            <v>0</v>
          </cell>
          <cell r="E15" t="str">
            <v>ប៉ុន បូរី</v>
          </cell>
          <cell r="F15" t="str">
            <v>PON BOREY</v>
          </cell>
          <cell r="G15">
            <v>1159571</v>
          </cell>
          <cell r="H15">
            <v>1159571</v>
          </cell>
          <cell r="I15">
            <v>281.79</v>
          </cell>
          <cell r="J15">
            <v>9277</v>
          </cell>
          <cell r="K15">
            <v>30149</v>
          </cell>
          <cell r="L15">
            <v>23191</v>
          </cell>
          <cell r="M15">
            <v>23191</v>
          </cell>
          <cell r="N15">
            <v>85808</v>
          </cell>
        </row>
        <row r="16">
          <cell r="B16" t="str">
            <v>JM000023</v>
          </cell>
          <cell r="C16" t="str">
            <v>28911170967051ម</v>
          </cell>
          <cell r="D16">
            <v>0</v>
          </cell>
          <cell r="E16" t="str">
            <v>ទួន យិន</v>
          </cell>
          <cell r="F16" t="str">
            <v>TUON YEN</v>
          </cell>
          <cell r="G16">
            <v>1149785</v>
          </cell>
          <cell r="H16">
            <v>1149785</v>
          </cell>
          <cell r="I16">
            <v>279.41</v>
          </cell>
          <cell r="J16">
            <v>9198</v>
          </cell>
          <cell r="K16">
            <v>29894</v>
          </cell>
          <cell r="L16">
            <v>22996</v>
          </cell>
          <cell r="M16">
            <v>22996</v>
          </cell>
          <cell r="N16">
            <v>85084</v>
          </cell>
        </row>
        <row r="17">
          <cell r="B17" t="str">
            <v>JM000024</v>
          </cell>
          <cell r="C17" t="str">
            <v>28206170812060ដ</v>
          </cell>
          <cell r="D17">
            <v>0</v>
          </cell>
          <cell r="E17" t="str">
            <v>ម៉ែន ម៉ាស៊ីណា</v>
          </cell>
          <cell r="F17" t="str">
            <v>MEN MASINA</v>
          </cell>
          <cell r="G17">
            <v>1164583</v>
          </cell>
          <cell r="H17">
            <v>1164583</v>
          </cell>
          <cell r="I17">
            <v>283.01</v>
          </cell>
          <cell r="J17">
            <v>9317</v>
          </cell>
          <cell r="K17">
            <v>30279</v>
          </cell>
          <cell r="L17">
            <v>23292</v>
          </cell>
          <cell r="M17">
            <v>23292</v>
          </cell>
          <cell r="N17">
            <v>86180</v>
          </cell>
        </row>
        <row r="18">
          <cell r="B18" t="str">
            <v>JM000026</v>
          </cell>
          <cell r="C18" t="str">
            <v>28812192265740ម</v>
          </cell>
          <cell r="D18">
            <v>0</v>
          </cell>
          <cell r="E18" t="str">
            <v>យ៉ែម ចាន់ថុន</v>
          </cell>
          <cell r="F18" t="str">
            <v>YEM CHANTHON</v>
          </cell>
          <cell r="G18">
            <v>1178409</v>
          </cell>
          <cell r="H18">
            <v>1178409</v>
          </cell>
          <cell r="I18">
            <v>286.37</v>
          </cell>
          <cell r="J18">
            <v>9427</v>
          </cell>
          <cell r="K18">
            <v>30639</v>
          </cell>
          <cell r="L18">
            <v>23568</v>
          </cell>
          <cell r="M18">
            <v>23568</v>
          </cell>
          <cell r="N18">
            <v>87202</v>
          </cell>
        </row>
        <row r="19">
          <cell r="B19" t="str">
            <v>JM000028</v>
          </cell>
          <cell r="C19" t="str">
            <v>28709202467853ហ</v>
          </cell>
          <cell r="D19">
            <v>0</v>
          </cell>
          <cell r="E19" t="str">
            <v>យន់ នី</v>
          </cell>
          <cell r="F19" t="str">
            <v>YUN NY</v>
          </cell>
          <cell r="G19">
            <v>1173274</v>
          </cell>
          <cell r="H19">
            <v>1173274</v>
          </cell>
          <cell r="I19">
            <v>285.12</v>
          </cell>
          <cell r="J19">
            <v>9386</v>
          </cell>
          <cell r="K19">
            <v>30505</v>
          </cell>
          <cell r="L19">
            <v>23465</v>
          </cell>
          <cell r="M19">
            <v>23465</v>
          </cell>
          <cell r="N19">
            <v>86821</v>
          </cell>
        </row>
        <row r="20">
          <cell r="B20" t="str">
            <v>JM000031</v>
          </cell>
          <cell r="C20" t="str">
            <v>29006192081085ធ</v>
          </cell>
          <cell r="D20">
            <v>0</v>
          </cell>
          <cell r="E20" t="str">
            <v>ទូច ដានី</v>
          </cell>
          <cell r="F20" t="str">
            <v>TOUCH DANY</v>
          </cell>
          <cell r="G20">
            <v>1093268</v>
          </cell>
          <cell r="H20">
            <v>1093268</v>
          </cell>
          <cell r="I20">
            <v>265.68</v>
          </cell>
          <cell r="J20">
            <v>8746</v>
          </cell>
          <cell r="K20">
            <v>28425</v>
          </cell>
          <cell r="L20">
            <v>21865</v>
          </cell>
          <cell r="M20">
            <v>21865</v>
          </cell>
          <cell r="N20">
            <v>80901</v>
          </cell>
        </row>
        <row r="21">
          <cell r="B21" t="str">
            <v>JM000032</v>
          </cell>
          <cell r="C21" t="str">
            <v>29409160305570ឆ</v>
          </cell>
          <cell r="D21">
            <v>0</v>
          </cell>
          <cell r="E21" t="str">
            <v>ឆឹង សុខស្រីមុំ</v>
          </cell>
          <cell r="F21" t="str">
            <v>CHHOENG SOKSREYMOM</v>
          </cell>
          <cell r="G21">
            <v>1107498</v>
          </cell>
          <cell r="H21">
            <v>1107498</v>
          </cell>
          <cell r="I21">
            <v>269.14</v>
          </cell>
          <cell r="J21">
            <v>8860</v>
          </cell>
          <cell r="K21">
            <v>28795</v>
          </cell>
          <cell r="L21">
            <v>22150</v>
          </cell>
          <cell r="M21">
            <v>22150</v>
          </cell>
          <cell r="N21">
            <v>81955</v>
          </cell>
        </row>
        <row r="22">
          <cell r="B22" t="str">
            <v>JM000034</v>
          </cell>
          <cell r="C22" t="str">
            <v>29707160155943រ</v>
          </cell>
          <cell r="D22">
            <v>0</v>
          </cell>
          <cell r="E22" t="str">
            <v>ម៉ៅ រ័ត្ន</v>
          </cell>
          <cell r="F22" t="str">
            <v>MEOU ROTH</v>
          </cell>
          <cell r="G22">
            <v>1248488</v>
          </cell>
          <cell r="H22">
            <v>1200000</v>
          </cell>
          <cell r="I22">
            <v>303.4</v>
          </cell>
          <cell r="J22">
            <v>9600</v>
          </cell>
          <cell r="K22">
            <v>31200</v>
          </cell>
          <cell r="L22">
            <v>24000</v>
          </cell>
          <cell r="M22">
            <v>24000</v>
          </cell>
          <cell r="N22">
            <v>88800</v>
          </cell>
        </row>
        <row r="23">
          <cell r="B23" t="str">
            <v>JM000035</v>
          </cell>
          <cell r="C23" t="str">
            <v>29501170586915រ</v>
          </cell>
          <cell r="D23">
            <v>0</v>
          </cell>
          <cell r="E23" t="str">
            <v>នឿន ផល្លា</v>
          </cell>
          <cell r="F23" t="str">
            <v>NOEURN PHALA</v>
          </cell>
          <cell r="G23">
            <v>1201055</v>
          </cell>
          <cell r="H23">
            <v>1200000</v>
          </cell>
          <cell r="I23">
            <v>291.87</v>
          </cell>
          <cell r="J23">
            <v>9600</v>
          </cell>
          <cell r="K23">
            <v>31200</v>
          </cell>
          <cell r="L23">
            <v>24000</v>
          </cell>
          <cell r="M23">
            <v>24000</v>
          </cell>
          <cell r="N23">
            <v>88800</v>
          </cell>
        </row>
        <row r="24">
          <cell r="B24" t="str">
            <v>JM000040</v>
          </cell>
          <cell r="C24" t="str">
            <v>28607160164249ភ</v>
          </cell>
          <cell r="D24">
            <v>0</v>
          </cell>
          <cell r="E24" t="str">
            <v>ញិន ស្សាវរីយ៏</v>
          </cell>
          <cell r="F24" t="str">
            <v>NHIN SAVRY</v>
          </cell>
          <cell r="G24">
            <v>1135534</v>
          </cell>
          <cell r="H24">
            <v>1135534</v>
          </cell>
          <cell r="I24">
            <v>275.95</v>
          </cell>
          <cell r="J24">
            <v>9084</v>
          </cell>
          <cell r="K24">
            <v>29524</v>
          </cell>
          <cell r="L24">
            <v>22711</v>
          </cell>
          <cell r="M24">
            <v>22711</v>
          </cell>
          <cell r="N24">
            <v>84030</v>
          </cell>
        </row>
        <row r="25">
          <cell r="B25" t="str">
            <v>JM000041</v>
          </cell>
          <cell r="C25" t="str">
            <v>28209160266788ត</v>
          </cell>
          <cell r="D25">
            <v>0</v>
          </cell>
          <cell r="E25" t="str">
            <v>គីម ថា</v>
          </cell>
          <cell r="F25" t="str">
            <v>KIM THA</v>
          </cell>
          <cell r="G25">
            <v>1242657</v>
          </cell>
          <cell r="H25">
            <v>1200000</v>
          </cell>
          <cell r="I25">
            <v>301.98</v>
          </cell>
          <cell r="J25">
            <v>9600</v>
          </cell>
          <cell r="K25">
            <v>31200</v>
          </cell>
          <cell r="L25">
            <v>24000</v>
          </cell>
          <cell r="M25">
            <v>24000</v>
          </cell>
          <cell r="N25">
            <v>88800</v>
          </cell>
        </row>
        <row r="26">
          <cell r="B26" t="str">
            <v>JM000042</v>
          </cell>
          <cell r="C26" t="str">
            <v>20311222988949ល</v>
          </cell>
          <cell r="D26">
            <v>0</v>
          </cell>
          <cell r="E26" t="str">
            <v>អ៊ាវ ឌីណា</v>
          </cell>
          <cell r="F26" t="str">
            <v>AEAV DINA</v>
          </cell>
          <cell r="G26">
            <v>1273050</v>
          </cell>
          <cell r="H26">
            <v>1200000</v>
          </cell>
          <cell r="I26">
            <v>309.37</v>
          </cell>
          <cell r="J26">
            <v>9600</v>
          </cell>
          <cell r="K26">
            <v>31200</v>
          </cell>
          <cell r="L26">
            <v>24000</v>
          </cell>
          <cell r="M26">
            <v>24000</v>
          </cell>
          <cell r="N26">
            <v>88800</v>
          </cell>
        </row>
        <row r="27">
          <cell r="B27" t="str">
            <v>JM000045</v>
          </cell>
          <cell r="C27" t="str">
            <v>28912192272859ខ</v>
          </cell>
          <cell r="D27">
            <v>0</v>
          </cell>
          <cell r="E27" t="str">
            <v>ជុំ ណង</v>
          </cell>
          <cell r="F27" t="str">
            <v>CHOM NORNG</v>
          </cell>
          <cell r="G27">
            <v>857636</v>
          </cell>
          <cell r="H27">
            <v>857636</v>
          </cell>
          <cell r="I27">
            <v>208.42</v>
          </cell>
          <cell r="J27">
            <v>6861</v>
          </cell>
          <cell r="K27">
            <v>22299</v>
          </cell>
          <cell r="L27">
            <v>17153</v>
          </cell>
          <cell r="M27">
            <v>17153</v>
          </cell>
          <cell r="N27">
            <v>63466</v>
          </cell>
        </row>
        <row r="28">
          <cell r="B28" t="str">
            <v>JM000046</v>
          </cell>
          <cell r="C28" t="str">
            <v>29608160219655ល</v>
          </cell>
          <cell r="D28">
            <v>0</v>
          </cell>
          <cell r="E28" t="str">
            <v>សន ចន្ថា</v>
          </cell>
          <cell r="F28" t="str">
            <v>SORN CHANTHA</v>
          </cell>
          <cell r="G28">
            <v>1138921</v>
          </cell>
          <cell r="H28">
            <v>1138921</v>
          </cell>
          <cell r="I28">
            <v>276.77</v>
          </cell>
          <cell r="J28">
            <v>9111</v>
          </cell>
          <cell r="K28">
            <v>29612</v>
          </cell>
          <cell r="L28">
            <v>22778</v>
          </cell>
          <cell r="M28">
            <v>22778</v>
          </cell>
          <cell r="N28">
            <v>84279</v>
          </cell>
        </row>
        <row r="29">
          <cell r="B29" t="str">
            <v>JM000048</v>
          </cell>
          <cell r="C29" t="str">
            <v>28509160281717ម</v>
          </cell>
          <cell r="D29">
            <v>0</v>
          </cell>
          <cell r="E29" t="str">
            <v>វ៉ិត គីមឡាយ</v>
          </cell>
          <cell r="F29" t="str">
            <v>VITH KIMLAY</v>
          </cell>
          <cell r="G29">
            <v>1013442</v>
          </cell>
          <cell r="H29">
            <v>1013442</v>
          </cell>
          <cell r="I29">
            <v>246.28</v>
          </cell>
          <cell r="J29">
            <v>8108</v>
          </cell>
          <cell r="K29">
            <v>26349</v>
          </cell>
          <cell r="L29">
            <v>20269</v>
          </cell>
          <cell r="M29">
            <v>20269</v>
          </cell>
          <cell r="N29">
            <v>74995</v>
          </cell>
        </row>
        <row r="30">
          <cell r="B30" t="str">
            <v>JM000049</v>
          </cell>
          <cell r="C30" t="str">
            <v>29111170969757អ</v>
          </cell>
          <cell r="D30">
            <v>0</v>
          </cell>
          <cell r="E30" t="str">
            <v>ឃឹម ល័ក្ខ</v>
          </cell>
          <cell r="F30" t="str">
            <v>KHOEM LEAK</v>
          </cell>
          <cell r="G30">
            <v>1087042</v>
          </cell>
          <cell r="H30">
            <v>1087042</v>
          </cell>
          <cell r="I30">
            <v>264.17</v>
          </cell>
          <cell r="J30">
            <v>8696</v>
          </cell>
          <cell r="K30">
            <v>28263</v>
          </cell>
          <cell r="L30">
            <v>21741</v>
          </cell>
          <cell r="M30">
            <v>21741</v>
          </cell>
          <cell r="N30">
            <v>80441</v>
          </cell>
        </row>
        <row r="31">
          <cell r="B31" t="str">
            <v>JM000052</v>
          </cell>
          <cell r="C31" t="str">
            <v>28911160460709ផ</v>
          </cell>
          <cell r="D31">
            <v>0</v>
          </cell>
          <cell r="E31" t="str">
            <v>វ៉ន ផល្លា</v>
          </cell>
          <cell r="F31" t="str">
            <v>VORN PHALLA</v>
          </cell>
          <cell r="G31">
            <v>1023810</v>
          </cell>
          <cell r="H31">
            <v>1023810</v>
          </cell>
          <cell r="I31">
            <v>248.8</v>
          </cell>
          <cell r="J31">
            <v>8190</v>
          </cell>
          <cell r="K31">
            <v>26619</v>
          </cell>
          <cell r="L31">
            <v>20476</v>
          </cell>
          <cell r="M31">
            <v>20476</v>
          </cell>
          <cell r="N31">
            <v>75761</v>
          </cell>
        </row>
        <row r="32">
          <cell r="B32" t="str">
            <v>JM000054</v>
          </cell>
          <cell r="C32" t="str">
            <v>28502181283198យ</v>
          </cell>
          <cell r="D32">
            <v>0</v>
          </cell>
          <cell r="E32" t="str">
            <v>ញ៉ន សុភ័ក</v>
          </cell>
          <cell r="F32" t="str">
            <v>NHORN SOPHEAK</v>
          </cell>
          <cell r="G32">
            <v>978248</v>
          </cell>
          <cell r="H32">
            <v>978248</v>
          </cell>
          <cell r="I32">
            <v>237.73</v>
          </cell>
          <cell r="J32">
            <v>7826</v>
          </cell>
          <cell r="K32">
            <v>25434</v>
          </cell>
          <cell r="L32">
            <v>19565</v>
          </cell>
          <cell r="M32">
            <v>19565</v>
          </cell>
          <cell r="N32">
            <v>72390</v>
          </cell>
        </row>
        <row r="33">
          <cell r="B33" t="str">
            <v>JM000055</v>
          </cell>
          <cell r="C33" t="str">
            <v>0</v>
          </cell>
          <cell r="D33">
            <v>0</v>
          </cell>
          <cell r="E33" t="str">
            <v>ប៉ុន ចន្ថា</v>
          </cell>
          <cell r="F33" t="str">
            <v>PUN RATHA</v>
          </cell>
          <cell r="G33">
            <v>1028125</v>
          </cell>
          <cell r="H33">
            <v>1028125</v>
          </cell>
          <cell r="I33">
            <v>249.85</v>
          </cell>
          <cell r="J33">
            <v>8225</v>
          </cell>
          <cell r="K33">
            <v>26731</v>
          </cell>
          <cell r="L33">
            <v>20562</v>
          </cell>
          <cell r="M33">
            <v>20562</v>
          </cell>
          <cell r="N33">
            <v>76080</v>
          </cell>
        </row>
        <row r="34">
          <cell r="B34" t="str">
            <v>JM000056</v>
          </cell>
          <cell r="C34" t="str">
            <v>0</v>
          </cell>
          <cell r="D34">
            <v>0</v>
          </cell>
          <cell r="E34" t="str">
            <v>ម៉ាក់ មុំ</v>
          </cell>
          <cell r="F34" t="str">
            <v>MAK MOM</v>
          </cell>
          <cell r="G34">
            <v>1069142</v>
          </cell>
          <cell r="H34">
            <v>1069142</v>
          </cell>
          <cell r="I34">
            <v>259.82</v>
          </cell>
          <cell r="J34">
            <v>8553</v>
          </cell>
          <cell r="K34">
            <v>27798</v>
          </cell>
          <cell r="L34">
            <v>21383</v>
          </cell>
          <cell r="M34">
            <v>21383</v>
          </cell>
          <cell r="N34">
            <v>79117</v>
          </cell>
        </row>
        <row r="35">
          <cell r="B35" t="str">
            <v>JM000057</v>
          </cell>
          <cell r="C35" t="str">
            <v>29205170775661យ</v>
          </cell>
          <cell r="D35">
            <v>0</v>
          </cell>
          <cell r="E35" t="str">
            <v>ឆេង ផានិត</v>
          </cell>
          <cell r="F35" t="str">
            <v>CHHEN PHANIT</v>
          </cell>
          <cell r="G35">
            <v>1176681</v>
          </cell>
          <cell r="H35">
            <v>1176681</v>
          </cell>
          <cell r="I35">
            <v>285.95</v>
          </cell>
          <cell r="J35">
            <v>9413</v>
          </cell>
          <cell r="K35">
            <v>30594</v>
          </cell>
          <cell r="L35">
            <v>23534</v>
          </cell>
          <cell r="M35">
            <v>23534</v>
          </cell>
          <cell r="N35">
            <v>87075</v>
          </cell>
        </row>
        <row r="36">
          <cell r="B36" t="str">
            <v>JM000058</v>
          </cell>
          <cell r="C36" t="str">
            <v>28210160347426ឍ</v>
          </cell>
          <cell r="D36">
            <v>0</v>
          </cell>
          <cell r="E36" t="str">
            <v>អ៊ុក ចន្នី</v>
          </cell>
          <cell r="F36" t="str">
            <v>UOK CHANTHY</v>
          </cell>
          <cell r="G36">
            <v>1071775</v>
          </cell>
          <cell r="H36">
            <v>1071775</v>
          </cell>
          <cell r="I36">
            <v>260.46</v>
          </cell>
          <cell r="J36">
            <v>8574</v>
          </cell>
          <cell r="K36">
            <v>27866</v>
          </cell>
          <cell r="L36">
            <v>21436</v>
          </cell>
          <cell r="M36">
            <v>21436</v>
          </cell>
          <cell r="N36">
            <v>79312</v>
          </cell>
        </row>
        <row r="37">
          <cell r="B37" t="str">
            <v>JM000059</v>
          </cell>
          <cell r="C37" t="str">
            <v>0</v>
          </cell>
          <cell r="D37">
            <v>0</v>
          </cell>
          <cell r="E37" t="str">
            <v>សេក សុគន្ទា</v>
          </cell>
          <cell r="F37" t="str">
            <v>SEK SOKUNTHEA</v>
          </cell>
          <cell r="G37">
            <v>1071775</v>
          </cell>
          <cell r="H37">
            <v>1071775</v>
          </cell>
          <cell r="I37">
            <v>260.46</v>
          </cell>
          <cell r="J37">
            <v>8574</v>
          </cell>
          <cell r="K37">
            <v>27866</v>
          </cell>
          <cell r="L37">
            <v>21436</v>
          </cell>
          <cell r="M37">
            <v>21436</v>
          </cell>
          <cell r="N37">
            <v>79312</v>
          </cell>
        </row>
        <row r="38">
          <cell r="B38" t="str">
            <v>JM000061</v>
          </cell>
          <cell r="C38" t="str">
            <v>29607160168282យ</v>
          </cell>
          <cell r="D38">
            <v>0</v>
          </cell>
          <cell r="E38" t="str">
            <v>វ៉ាន់ ចន្នី</v>
          </cell>
          <cell r="F38" t="str">
            <v>VAN CHANNY</v>
          </cell>
          <cell r="G38">
            <v>1041635</v>
          </cell>
          <cell r="H38">
            <v>1041635</v>
          </cell>
          <cell r="I38">
            <v>253.13</v>
          </cell>
          <cell r="J38">
            <v>8333</v>
          </cell>
          <cell r="K38">
            <v>27083</v>
          </cell>
          <cell r="L38">
            <v>20833</v>
          </cell>
          <cell r="M38">
            <v>20833</v>
          </cell>
          <cell r="N38">
            <v>77082</v>
          </cell>
        </row>
        <row r="39">
          <cell r="B39" t="str">
            <v>JM000062</v>
          </cell>
          <cell r="C39" t="str">
            <v>19302222775594យ</v>
          </cell>
          <cell r="D39">
            <v>0</v>
          </cell>
          <cell r="E39" t="str">
            <v>ឡា ឃឹម</v>
          </cell>
          <cell r="F39" t="str">
            <v>LA KHIM</v>
          </cell>
          <cell r="G39">
            <v>999856</v>
          </cell>
          <cell r="H39">
            <v>999856</v>
          </cell>
          <cell r="I39">
            <v>242.98</v>
          </cell>
          <cell r="J39">
            <v>7999</v>
          </cell>
          <cell r="K39">
            <v>25996</v>
          </cell>
          <cell r="L39">
            <v>19997</v>
          </cell>
          <cell r="M39">
            <v>19997</v>
          </cell>
          <cell r="N39">
            <v>73989</v>
          </cell>
        </row>
        <row r="40">
          <cell r="B40" t="str">
            <v>JM000063</v>
          </cell>
          <cell r="C40" t="str">
            <v>19011170969953វ</v>
          </cell>
          <cell r="D40">
            <v>0</v>
          </cell>
          <cell r="E40" t="str">
            <v>ឆែម មាន</v>
          </cell>
          <cell r="F40" t="str">
            <v>CHHEM MAN</v>
          </cell>
          <cell r="G40">
            <v>1063045</v>
          </cell>
          <cell r="H40">
            <v>1063045</v>
          </cell>
          <cell r="I40">
            <v>258.33</v>
          </cell>
          <cell r="J40">
            <v>8504</v>
          </cell>
          <cell r="K40">
            <v>27639</v>
          </cell>
          <cell r="L40">
            <v>21261</v>
          </cell>
          <cell r="M40">
            <v>21261</v>
          </cell>
          <cell r="N40">
            <v>78665</v>
          </cell>
        </row>
        <row r="41">
          <cell r="B41" t="str">
            <v>JM000064</v>
          </cell>
          <cell r="C41" t="str">
            <v>29311170965198ស</v>
          </cell>
          <cell r="D41">
            <v>0</v>
          </cell>
          <cell r="E41" t="str">
            <v>ឆុំ ស្រីរ៉េន</v>
          </cell>
          <cell r="F41" t="str">
            <v>CHHOM SREYREN</v>
          </cell>
          <cell r="G41">
            <v>1213346</v>
          </cell>
          <cell r="H41">
            <v>1200000</v>
          </cell>
          <cell r="I41">
            <v>294.86</v>
          </cell>
          <cell r="J41">
            <v>9600</v>
          </cell>
          <cell r="K41">
            <v>31200</v>
          </cell>
          <cell r="L41">
            <v>24000</v>
          </cell>
          <cell r="M41">
            <v>24000</v>
          </cell>
          <cell r="N41">
            <v>88800</v>
          </cell>
        </row>
        <row r="42">
          <cell r="B42" t="str">
            <v>JM000065</v>
          </cell>
          <cell r="C42" t="str">
            <v>29210212659454ន</v>
          </cell>
          <cell r="D42">
            <v>0</v>
          </cell>
          <cell r="E42" t="str">
            <v>ផៅ សុភាព</v>
          </cell>
          <cell r="F42" t="str">
            <v>PHAO SOPHEAP</v>
          </cell>
          <cell r="G42">
            <v>1240229</v>
          </cell>
          <cell r="H42">
            <v>1200000</v>
          </cell>
          <cell r="I42">
            <v>301.39</v>
          </cell>
          <cell r="J42">
            <v>9600</v>
          </cell>
          <cell r="K42">
            <v>31200</v>
          </cell>
          <cell r="L42">
            <v>24000</v>
          </cell>
          <cell r="M42">
            <v>24000</v>
          </cell>
          <cell r="N42">
            <v>88800</v>
          </cell>
        </row>
        <row r="43">
          <cell r="B43" t="str">
            <v>JM000067</v>
          </cell>
          <cell r="C43" t="str">
            <v>20212223010422ភ</v>
          </cell>
          <cell r="D43">
            <v>0</v>
          </cell>
          <cell r="E43" t="str">
            <v>សេន ស្រីធីប</v>
          </cell>
          <cell r="F43" t="str">
            <v>SEN SREYTHIB</v>
          </cell>
          <cell r="G43">
            <v>1215258</v>
          </cell>
          <cell r="H43">
            <v>1200000</v>
          </cell>
          <cell r="I43">
            <v>295.32</v>
          </cell>
          <cell r="J43">
            <v>9600</v>
          </cell>
          <cell r="K43">
            <v>31200</v>
          </cell>
          <cell r="L43">
            <v>24000</v>
          </cell>
          <cell r="M43">
            <v>24000</v>
          </cell>
          <cell r="N43">
            <v>88800</v>
          </cell>
        </row>
        <row r="44">
          <cell r="B44" t="str">
            <v>JM000068</v>
          </cell>
          <cell r="C44" t="str">
            <v>29404222807627ព</v>
          </cell>
          <cell r="D44">
            <v>0</v>
          </cell>
          <cell r="E44" t="str">
            <v>ប្រាជ្ញ ឆដា</v>
          </cell>
          <cell r="F44" t="str">
            <v>BRACH CHHORDA</v>
          </cell>
          <cell r="G44">
            <v>1122881</v>
          </cell>
          <cell r="H44">
            <v>1122881</v>
          </cell>
          <cell r="I44">
            <v>272.88</v>
          </cell>
          <cell r="J44">
            <v>8983</v>
          </cell>
          <cell r="K44">
            <v>29195</v>
          </cell>
          <cell r="L44">
            <v>22458</v>
          </cell>
          <cell r="M44">
            <v>22458</v>
          </cell>
          <cell r="N44">
            <v>83094</v>
          </cell>
        </row>
        <row r="45">
          <cell r="B45" t="str">
            <v>JM000069</v>
          </cell>
          <cell r="C45" t="str">
            <v>19202181262841ណ</v>
          </cell>
          <cell r="D45">
            <v>0</v>
          </cell>
          <cell r="E45" t="str">
            <v>ង៉ែត វិរះយុទ្ធ</v>
          </cell>
          <cell r="F45" t="str">
            <v>NGET VIRAKYUTH</v>
          </cell>
          <cell r="G45">
            <v>2062970</v>
          </cell>
          <cell r="H45">
            <v>1200000</v>
          </cell>
          <cell r="I45">
            <v>501.33</v>
          </cell>
          <cell r="J45">
            <v>9600</v>
          </cell>
          <cell r="K45">
            <v>31200</v>
          </cell>
          <cell r="L45">
            <v>24000</v>
          </cell>
          <cell r="M45">
            <v>24000</v>
          </cell>
          <cell r="N45">
            <v>88800</v>
          </cell>
        </row>
        <row r="46">
          <cell r="B46" t="str">
            <v>JM000070</v>
          </cell>
          <cell r="C46" t="str">
            <v>0</v>
          </cell>
          <cell r="D46">
            <v>0</v>
          </cell>
          <cell r="E46" t="str">
            <v>អ៊ឹម ធឿន</v>
          </cell>
          <cell r="F46" t="str">
            <v>OEM THOEUN</v>
          </cell>
          <cell r="G46">
            <v>2116633</v>
          </cell>
          <cell r="H46">
            <v>1200000</v>
          </cell>
          <cell r="I46">
            <v>514.37</v>
          </cell>
          <cell r="J46">
            <v>9600</v>
          </cell>
          <cell r="K46">
            <v>31200</v>
          </cell>
          <cell r="L46">
            <v>24000</v>
          </cell>
          <cell r="M46">
            <v>24000</v>
          </cell>
          <cell r="N46">
            <v>88800</v>
          </cell>
        </row>
        <row r="47">
          <cell r="B47" t="str">
            <v>JM000075</v>
          </cell>
          <cell r="C47" t="str">
            <v>18411202507759ន</v>
          </cell>
          <cell r="D47">
            <v>0</v>
          </cell>
          <cell r="E47" t="str">
            <v>ជា សម្បត្តិ</v>
          </cell>
          <cell r="F47" t="str">
            <v>CHEA SAMBATH</v>
          </cell>
          <cell r="G47">
            <v>1434609</v>
          </cell>
          <cell r="H47">
            <v>1200000</v>
          </cell>
          <cell r="I47">
            <v>348.63</v>
          </cell>
          <cell r="J47">
            <v>9600</v>
          </cell>
          <cell r="K47">
            <v>31200</v>
          </cell>
          <cell r="L47">
            <v>24000</v>
          </cell>
          <cell r="M47">
            <v>24000</v>
          </cell>
          <cell r="N47">
            <v>88800</v>
          </cell>
        </row>
        <row r="48">
          <cell r="B48" t="str">
            <v>JM000078</v>
          </cell>
          <cell r="C48" t="str">
            <v>29303222796752រ</v>
          </cell>
          <cell r="D48">
            <v>0</v>
          </cell>
          <cell r="E48" t="str">
            <v>ទឹម ចរិយា</v>
          </cell>
          <cell r="F48" t="str">
            <v>TOEM CHAKRIYA</v>
          </cell>
          <cell r="G48">
            <v>973059</v>
          </cell>
          <cell r="H48">
            <v>973059</v>
          </cell>
          <cell r="I48">
            <v>236.47</v>
          </cell>
          <cell r="J48">
            <v>7784</v>
          </cell>
          <cell r="K48">
            <v>25300</v>
          </cell>
          <cell r="L48">
            <v>19461</v>
          </cell>
          <cell r="M48">
            <v>19461</v>
          </cell>
          <cell r="N48">
            <v>72006</v>
          </cell>
        </row>
        <row r="49">
          <cell r="B49" t="str">
            <v>JM000084</v>
          </cell>
          <cell r="C49" t="str">
            <v>20303222789841ធ</v>
          </cell>
          <cell r="D49">
            <v>0</v>
          </cell>
          <cell r="E49" t="str">
            <v>នឹំម ស្រីម៉ៅ</v>
          </cell>
          <cell r="F49" t="str">
            <v>NIM SREYMAO</v>
          </cell>
          <cell r="G49">
            <v>1029917</v>
          </cell>
          <cell r="H49">
            <v>1029917</v>
          </cell>
          <cell r="I49">
            <v>250.28</v>
          </cell>
          <cell r="J49">
            <v>8239</v>
          </cell>
          <cell r="K49">
            <v>26778</v>
          </cell>
          <cell r="L49">
            <v>20598</v>
          </cell>
          <cell r="M49">
            <v>20598</v>
          </cell>
          <cell r="N49">
            <v>76213</v>
          </cell>
        </row>
        <row r="50">
          <cell r="B50" t="str">
            <v>JM000085</v>
          </cell>
          <cell r="C50" t="str">
            <v>0</v>
          </cell>
          <cell r="D50">
            <v>0</v>
          </cell>
          <cell r="E50" t="str">
            <v>កែវ សម្ភស័</v>
          </cell>
          <cell r="F50" t="str">
            <v>KEO SAMPHORS</v>
          </cell>
          <cell r="G50">
            <v>962673</v>
          </cell>
          <cell r="H50">
            <v>962673</v>
          </cell>
          <cell r="I50">
            <v>233.94</v>
          </cell>
          <cell r="J50">
            <v>7701</v>
          </cell>
          <cell r="K50">
            <v>25029</v>
          </cell>
          <cell r="L50">
            <v>19253</v>
          </cell>
          <cell r="M50">
            <v>19253</v>
          </cell>
          <cell r="N50">
            <v>71236</v>
          </cell>
        </row>
        <row r="51">
          <cell r="B51" t="str">
            <v>JM000086</v>
          </cell>
          <cell r="C51" t="str">
            <v>29704222808201ណ</v>
          </cell>
          <cell r="D51">
            <v>0</v>
          </cell>
          <cell r="E51" t="str">
            <v>កេន ស្រីពេជ</v>
          </cell>
          <cell r="F51" t="str">
            <v>KEN SREYPECH</v>
          </cell>
          <cell r="G51">
            <v>932958</v>
          </cell>
          <cell r="H51">
            <v>932958</v>
          </cell>
          <cell r="I51">
            <v>226.72</v>
          </cell>
          <cell r="J51">
            <v>7464</v>
          </cell>
          <cell r="K51">
            <v>24257</v>
          </cell>
          <cell r="L51">
            <v>18659</v>
          </cell>
          <cell r="M51">
            <v>18659</v>
          </cell>
          <cell r="N51">
            <v>69039</v>
          </cell>
        </row>
        <row r="52">
          <cell r="B52" t="str">
            <v>JM000088</v>
          </cell>
          <cell r="C52" t="str">
            <v>18705181414654ព</v>
          </cell>
          <cell r="D52">
            <v>0</v>
          </cell>
          <cell r="E52" t="str">
            <v>ឃុត ពិសិទ្ធិ</v>
          </cell>
          <cell r="F52" t="str">
            <v>KHOT PISETH</v>
          </cell>
          <cell r="G52">
            <v>1509888</v>
          </cell>
          <cell r="H52">
            <v>1200000</v>
          </cell>
          <cell r="I52">
            <v>366.92</v>
          </cell>
          <cell r="J52">
            <v>9600</v>
          </cell>
          <cell r="K52">
            <v>31200</v>
          </cell>
          <cell r="L52">
            <v>24000</v>
          </cell>
          <cell r="M52">
            <v>24000</v>
          </cell>
          <cell r="N52">
            <v>88800</v>
          </cell>
        </row>
        <row r="53">
          <cell r="B53" t="str">
            <v>JM000089</v>
          </cell>
          <cell r="C53" t="str">
            <v>20201222729301ក</v>
          </cell>
          <cell r="D53">
            <v>0</v>
          </cell>
          <cell r="E53" t="str">
            <v>អ៊ឹម ស្រីនូ</v>
          </cell>
          <cell r="F53" t="str">
            <v>OEM SREYNU</v>
          </cell>
          <cell r="G53">
            <v>1040610</v>
          </cell>
          <cell r="H53">
            <v>1040610</v>
          </cell>
          <cell r="I53">
            <v>252.88</v>
          </cell>
          <cell r="J53">
            <v>8325</v>
          </cell>
          <cell r="K53">
            <v>27056</v>
          </cell>
          <cell r="L53">
            <v>20812</v>
          </cell>
          <cell r="M53">
            <v>20812</v>
          </cell>
          <cell r="N53">
            <v>77005</v>
          </cell>
        </row>
        <row r="54">
          <cell r="B54" t="str">
            <v>JM000095</v>
          </cell>
          <cell r="C54" t="str">
            <v>28807160151776រ</v>
          </cell>
          <cell r="D54">
            <v>0</v>
          </cell>
          <cell r="E54" t="str">
            <v>គឹម ឡាន</v>
          </cell>
          <cell r="F54" t="str">
            <v>KIM LAN</v>
          </cell>
          <cell r="G54">
            <v>1019016</v>
          </cell>
          <cell r="H54">
            <v>1019016</v>
          </cell>
          <cell r="I54">
            <v>247.63</v>
          </cell>
          <cell r="J54">
            <v>8152</v>
          </cell>
          <cell r="K54">
            <v>26494</v>
          </cell>
          <cell r="L54">
            <v>20380</v>
          </cell>
          <cell r="M54">
            <v>20380</v>
          </cell>
          <cell r="N54">
            <v>75406</v>
          </cell>
        </row>
        <row r="55">
          <cell r="B55" t="str">
            <v>JM000097</v>
          </cell>
          <cell r="C55" t="str">
            <v>29407170858284អ</v>
          </cell>
          <cell r="D55">
            <v>0</v>
          </cell>
          <cell r="E55" t="str">
            <v>នាង សម្ផស្ស</v>
          </cell>
          <cell r="F55" t="str">
            <v>NEANG SAMPHORS</v>
          </cell>
          <cell r="G55">
            <v>1040610</v>
          </cell>
          <cell r="H55">
            <v>1040610</v>
          </cell>
          <cell r="I55">
            <v>252.88</v>
          </cell>
          <cell r="J55">
            <v>8325</v>
          </cell>
          <cell r="K55">
            <v>27056</v>
          </cell>
          <cell r="L55">
            <v>20812</v>
          </cell>
          <cell r="M55">
            <v>20812</v>
          </cell>
          <cell r="N55">
            <v>77005</v>
          </cell>
        </row>
        <row r="56">
          <cell r="B56" t="str">
            <v>JM000098</v>
          </cell>
          <cell r="C56" t="str">
            <v>29410222959212ទ</v>
          </cell>
          <cell r="D56">
            <v>0</v>
          </cell>
          <cell r="E56" t="str">
            <v>នួន សារេត</v>
          </cell>
          <cell r="F56" t="str">
            <v>NOUN SARET</v>
          </cell>
          <cell r="G56">
            <v>1051303</v>
          </cell>
          <cell r="H56">
            <v>1051303</v>
          </cell>
          <cell r="I56">
            <v>255.48</v>
          </cell>
          <cell r="J56">
            <v>8410</v>
          </cell>
          <cell r="K56">
            <v>27334</v>
          </cell>
          <cell r="L56">
            <v>21026</v>
          </cell>
          <cell r="M56">
            <v>21026</v>
          </cell>
          <cell r="N56">
            <v>77796</v>
          </cell>
        </row>
        <row r="57">
          <cell r="B57" t="str">
            <v>JM000106</v>
          </cell>
          <cell r="C57" t="str">
            <v>18807160136738វ</v>
          </cell>
          <cell r="D57">
            <v>0</v>
          </cell>
          <cell r="E57" t="str">
            <v>ដុង វណ្ណឌី</v>
          </cell>
          <cell r="F57" t="str">
            <v>DONG VANNDY</v>
          </cell>
          <cell r="G57">
            <v>987758</v>
          </cell>
          <cell r="H57">
            <v>987758</v>
          </cell>
          <cell r="I57">
            <v>240.04</v>
          </cell>
          <cell r="J57">
            <v>7902</v>
          </cell>
          <cell r="K57">
            <v>25682</v>
          </cell>
          <cell r="L57">
            <v>19755</v>
          </cell>
          <cell r="M57">
            <v>19755</v>
          </cell>
          <cell r="N57">
            <v>73094</v>
          </cell>
        </row>
        <row r="58">
          <cell r="B58" t="str">
            <v>JM000107</v>
          </cell>
          <cell r="C58" t="str">
            <v>18306170803733ទ</v>
          </cell>
          <cell r="D58">
            <v>0</v>
          </cell>
          <cell r="E58" t="str">
            <v>ដុល ពឿន</v>
          </cell>
          <cell r="F58" t="str">
            <v>DOL POEUN</v>
          </cell>
          <cell r="G58">
            <v>1019224</v>
          </cell>
          <cell r="H58">
            <v>1019224</v>
          </cell>
          <cell r="I58">
            <v>247.69</v>
          </cell>
          <cell r="J58">
            <v>8154</v>
          </cell>
          <cell r="K58">
            <v>26500</v>
          </cell>
          <cell r="L58">
            <v>20384</v>
          </cell>
          <cell r="M58">
            <v>20384</v>
          </cell>
          <cell r="N58">
            <v>75422</v>
          </cell>
        </row>
        <row r="59">
          <cell r="B59" t="str">
            <v>JM000108</v>
          </cell>
          <cell r="C59" t="str">
            <v>19107160156074ត</v>
          </cell>
          <cell r="D59">
            <v>0</v>
          </cell>
          <cell r="E59" t="str">
            <v>ខឹម មុត</v>
          </cell>
          <cell r="F59" t="str">
            <v>KHOEM MUT</v>
          </cell>
          <cell r="G59">
            <v>1054182</v>
          </cell>
          <cell r="H59">
            <v>1054182</v>
          </cell>
          <cell r="I59">
            <v>256.18</v>
          </cell>
          <cell r="J59">
            <v>8433</v>
          </cell>
          <cell r="K59">
            <v>27409</v>
          </cell>
          <cell r="L59">
            <v>21084</v>
          </cell>
          <cell r="M59">
            <v>21084</v>
          </cell>
          <cell r="N59">
            <v>78010</v>
          </cell>
        </row>
        <row r="60">
          <cell r="B60" t="str">
            <v>JM000113</v>
          </cell>
          <cell r="C60" t="str">
            <v>18010160360968ថ</v>
          </cell>
          <cell r="D60">
            <v>0</v>
          </cell>
          <cell r="E60" t="str">
            <v>ជិន វន</v>
          </cell>
          <cell r="F60" t="str">
            <v>CHEN VORN</v>
          </cell>
          <cell r="G60">
            <v>1261327</v>
          </cell>
          <cell r="H60">
            <v>1200000</v>
          </cell>
          <cell r="I60">
            <v>306.52</v>
          </cell>
          <cell r="J60">
            <v>9600</v>
          </cell>
          <cell r="K60">
            <v>31200</v>
          </cell>
          <cell r="L60">
            <v>24000</v>
          </cell>
          <cell r="M60">
            <v>24000</v>
          </cell>
          <cell r="N60">
            <v>88800</v>
          </cell>
        </row>
        <row r="61">
          <cell r="B61" t="str">
            <v>JM000119</v>
          </cell>
          <cell r="C61" t="str">
            <v>28104170684436ផ</v>
          </cell>
          <cell r="D61">
            <v>0</v>
          </cell>
          <cell r="E61" t="str">
            <v>សម មករា</v>
          </cell>
          <cell r="F61" t="str">
            <v>SAM MAKARA</v>
          </cell>
          <cell r="G61">
            <v>1035674</v>
          </cell>
          <cell r="H61">
            <v>1035674</v>
          </cell>
          <cell r="I61">
            <v>251.68</v>
          </cell>
          <cell r="J61">
            <v>8285</v>
          </cell>
          <cell r="K61">
            <v>26928</v>
          </cell>
          <cell r="L61">
            <v>20713</v>
          </cell>
          <cell r="M61">
            <v>20713</v>
          </cell>
          <cell r="N61">
            <v>76639</v>
          </cell>
        </row>
        <row r="62">
          <cell r="B62" t="str">
            <v>JM000121</v>
          </cell>
          <cell r="C62" t="str">
            <v>29005170766419ម</v>
          </cell>
          <cell r="D62">
            <v>0</v>
          </cell>
          <cell r="E62" t="str">
            <v>យ៉ាង ផល្លី</v>
          </cell>
          <cell r="F62" t="str">
            <v>YANG PHALLY</v>
          </cell>
          <cell r="G62">
            <v>954245</v>
          </cell>
          <cell r="H62">
            <v>954245</v>
          </cell>
          <cell r="I62">
            <v>231.89</v>
          </cell>
          <cell r="J62">
            <v>7634</v>
          </cell>
          <cell r="K62">
            <v>24810</v>
          </cell>
          <cell r="L62">
            <v>19085</v>
          </cell>
          <cell r="M62">
            <v>19085</v>
          </cell>
          <cell r="N62">
            <v>70614</v>
          </cell>
        </row>
        <row r="63">
          <cell r="B63" t="str">
            <v>JM000122</v>
          </cell>
          <cell r="C63" t="str">
            <v>29210222961523ឍ</v>
          </cell>
          <cell r="D63">
            <v>0</v>
          </cell>
          <cell r="E63" t="str">
            <v>ស៊ុន ស្រីនី</v>
          </cell>
          <cell r="F63" t="str">
            <v>SUN SREYNY</v>
          </cell>
          <cell r="G63">
            <v>857384</v>
          </cell>
          <cell r="H63">
            <v>857384</v>
          </cell>
          <cell r="I63">
            <v>208.36</v>
          </cell>
          <cell r="J63">
            <v>6859</v>
          </cell>
          <cell r="K63">
            <v>22292</v>
          </cell>
          <cell r="L63">
            <v>17148</v>
          </cell>
          <cell r="M63">
            <v>17148</v>
          </cell>
          <cell r="N63">
            <v>63447</v>
          </cell>
        </row>
        <row r="64">
          <cell r="B64" t="str">
            <v>JM000125</v>
          </cell>
          <cell r="C64" t="str">
            <v>28905192073419ល</v>
          </cell>
          <cell r="D64">
            <v>0</v>
          </cell>
          <cell r="E64" t="str">
            <v>យិន ស្រីនឿន</v>
          </cell>
          <cell r="F64" t="str">
            <v>YIN SREYNOEURN</v>
          </cell>
          <cell r="G64">
            <v>1022103</v>
          </cell>
          <cell r="H64">
            <v>1022103</v>
          </cell>
          <cell r="I64">
            <v>248.38</v>
          </cell>
          <cell r="J64">
            <v>8177</v>
          </cell>
          <cell r="K64">
            <v>26575</v>
          </cell>
          <cell r="L64">
            <v>20442</v>
          </cell>
          <cell r="M64">
            <v>20442</v>
          </cell>
          <cell r="N64">
            <v>75636</v>
          </cell>
        </row>
        <row r="65">
          <cell r="B65" t="str">
            <v>JM000126</v>
          </cell>
          <cell r="C65" t="str">
            <v>29607170843195ស</v>
          </cell>
          <cell r="D65">
            <v>0</v>
          </cell>
          <cell r="E65" t="str">
            <v>អូន ដានី</v>
          </cell>
          <cell r="F65" t="str">
            <v>ON DAVY</v>
          </cell>
          <cell r="G65">
            <v>935529</v>
          </cell>
          <cell r="H65">
            <v>935529</v>
          </cell>
          <cell r="I65">
            <v>227.35</v>
          </cell>
          <cell r="J65">
            <v>7484</v>
          </cell>
          <cell r="K65">
            <v>24324</v>
          </cell>
          <cell r="L65">
            <v>18711</v>
          </cell>
          <cell r="M65">
            <v>18711</v>
          </cell>
          <cell r="N65">
            <v>69230</v>
          </cell>
        </row>
        <row r="66">
          <cell r="B66" t="str">
            <v>JM000130</v>
          </cell>
          <cell r="C66" t="str">
            <v>19302160059922ប</v>
          </cell>
          <cell r="D66">
            <v>0</v>
          </cell>
          <cell r="E66" t="str">
            <v>អ៊ុន រ៉ុម</v>
          </cell>
          <cell r="F66" t="str">
            <v>UN ROM</v>
          </cell>
          <cell r="G66">
            <v>971100</v>
          </cell>
          <cell r="H66">
            <v>971100</v>
          </cell>
          <cell r="I66">
            <v>235.99</v>
          </cell>
          <cell r="J66">
            <v>7769</v>
          </cell>
          <cell r="K66">
            <v>25249</v>
          </cell>
          <cell r="L66">
            <v>19422</v>
          </cell>
          <cell r="M66">
            <v>19422</v>
          </cell>
          <cell r="N66">
            <v>71862</v>
          </cell>
        </row>
        <row r="67">
          <cell r="B67" t="str">
            <v>JM000133</v>
          </cell>
          <cell r="C67" t="str">
            <v>28608160222025ឋ</v>
          </cell>
          <cell r="D67">
            <v>0</v>
          </cell>
          <cell r="E67" t="str">
            <v>ដាំ កុលធីដា</v>
          </cell>
          <cell r="F67" t="str">
            <v>DIAM KOLTHYDA</v>
          </cell>
          <cell r="G67">
            <v>1196357</v>
          </cell>
          <cell r="H67">
            <v>1196357</v>
          </cell>
          <cell r="I67">
            <v>290.73</v>
          </cell>
          <cell r="J67">
            <v>9571</v>
          </cell>
          <cell r="K67">
            <v>31105</v>
          </cell>
          <cell r="L67">
            <v>23927</v>
          </cell>
          <cell r="M67">
            <v>23927</v>
          </cell>
          <cell r="N67">
            <v>88530</v>
          </cell>
        </row>
        <row r="68">
          <cell r="B68" t="str">
            <v>JM000134</v>
          </cell>
          <cell r="C68" t="str">
            <v>28709222956317ហ</v>
          </cell>
          <cell r="D68">
            <v>0</v>
          </cell>
          <cell r="E68" t="str">
            <v>មុំ ចាន់ថូ</v>
          </cell>
          <cell r="F68" t="str">
            <v>MOM CHANTHO</v>
          </cell>
          <cell r="G68">
            <v>841241</v>
          </cell>
          <cell r="H68">
            <v>841241</v>
          </cell>
          <cell r="I68">
            <v>204.43</v>
          </cell>
          <cell r="J68">
            <v>6730</v>
          </cell>
          <cell r="K68">
            <v>21872</v>
          </cell>
          <cell r="L68">
            <v>16825</v>
          </cell>
          <cell r="M68">
            <v>16825</v>
          </cell>
          <cell r="N68">
            <v>62252</v>
          </cell>
        </row>
        <row r="69">
          <cell r="B69" t="str">
            <v>JM000138</v>
          </cell>
          <cell r="C69" t="str">
            <v>28409222296331ភ</v>
          </cell>
          <cell r="D69">
            <v>0</v>
          </cell>
          <cell r="E69" t="str">
            <v>ជន ប៉ុនថន</v>
          </cell>
          <cell r="F69" t="str">
            <v>CHORN BUNTHAN</v>
          </cell>
          <cell r="G69">
            <v>857384</v>
          </cell>
          <cell r="H69">
            <v>857384</v>
          </cell>
          <cell r="I69">
            <v>208.36</v>
          </cell>
          <cell r="J69">
            <v>6859</v>
          </cell>
          <cell r="K69">
            <v>22292</v>
          </cell>
          <cell r="L69">
            <v>17148</v>
          </cell>
          <cell r="M69">
            <v>17148</v>
          </cell>
          <cell r="N69">
            <v>63447</v>
          </cell>
        </row>
        <row r="70">
          <cell r="B70" t="str">
            <v>JM000139</v>
          </cell>
          <cell r="C70" t="str">
            <v>28505170774974ក</v>
          </cell>
          <cell r="D70">
            <v>0</v>
          </cell>
          <cell r="E70" t="str">
            <v>ជិន ស្រីពៅ</v>
          </cell>
          <cell r="F70" t="str">
            <v>CHIN SREYPOV</v>
          </cell>
          <cell r="G70">
            <v>841241</v>
          </cell>
          <cell r="H70">
            <v>841241</v>
          </cell>
          <cell r="I70">
            <v>204.43</v>
          </cell>
          <cell r="J70">
            <v>6730</v>
          </cell>
          <cell r="K70">
            <v>21872</v>
          </cell>
          <cell r="L70">
            <v>16825</v>
          </cell>
          <cell r="M70">
            <v>16825</v>
          </cell>
          <cell r="N70">
            <v>62252</v>
          </cell>
        </row>
        <row r="71">
          <cell r="B71" t="str">
            <v>JM000145</v>
          </cell>
          <cell r="C71" t="str">
            <v>0</v>
          </cell>
          <cell r="D71">
            <v>0</v>
          </cell>
          <cell r="E71" t="str">
            <v>ផាត វ៉ាន់នី</v>
          </cell>
          <cell r="F71" t="str">
            <v>PHAT VANNY</v>
          </cell>
          <cell r="G71">
            <v>865456</v>
          </cell>
          <cell r="H71">
            <v>865456</v>
          </cell>
          <cell r="I71">
            <v>210.32</v>
          </cell>
          <cell r="J71">
            <v>6924</v>
          </cell>
          <cell r="K71">
            <v>22502</v>
          </cell>
          <cell r="L71">
            <v>17309</v>
          </cell>
          <cell r="M71">
            <v>17309</v>
          </cell>
          <cell r="N71">
            <v>64044</v>
          </cell>
        </row>
        <row r="72">
          <cell r="B72" t="str">
            <v>JM000146</v>
          </cell>
          <cell r="C72" t="str">
            <v>28907170855220ភ</v>
          </cell>
          <cell r="D72">
            <v>0</v>
          </cell>
          <cell r="E72" t="str">
            <v>នាង ស្រីប៉ុល</v>
          </cell>
          <cell r="F72" t="str">
            <v>NEANG SREYBOL</v>
          </cell>
          <cell r="G72">
            <v>857384</v>
          </cell>
          <cell r="H72">
            <v>857384</v>
          </cell>
          <cell r="I72">
            <v>208.36</v>
          </cell>
          <cell r="J72">
            <v>6859</v>
          </cell>
          <cell r="K72">
            <v>22292</v>
          </cell>
          <cell r="L72">
            <v>17148</v>
          </cell>
          <cell r="M72">
            <v>17148</v>
          </cell>
          <cell r="N72">
            <v>63447</v>
          </cell>
        </row>
        <row r="73">
          <cell r="B73" t="str">
            <v>JM000147</v>
          </cell>
          <cell r="C73" t="str">
            <v>28108170866472ល</v>
          </cell>
          <cell r="D73">
            <v>0</v>
          </cell>
          <cell r="E73" t="str">
            <v>សៀក លុន</v>
          </cell>
          <cell r="F73" t="str">
            <v>SIEK LON</v>
          </cell>
          <cell r="G73">
            <v>765667</v>
          </cell>
          <cell r="H73">
            <v>765667</v>
          </cell>
          <cell r="I73">
            <v>186.07</v>
          </cell>
          <cell r="J73">
            <v>6125</v>
          </cell>
          <cell r="K73">
            <v>19907</v>
          </cell>
          <cell r="L73">
            <v>15313</v>
          </cell>
          <cell r="M73">
            <v>15313</v>
          </cell>
          <cell r="N73">
            <v>56658</v>
          </cell>
        </row>
        <row r="74">
          <cell r="B74" t="str">
            <v>JM000150</v>
          </cell>
          <cell r="C74" t="str">
            <v>18310222960977ម</v>
          </cell>
          <cell r="D74">
            <v>0</v>
          </cell>
          <cell r="E74" t="str">
            <v>រ័ត្ន គន្ធា</v>
          </cell>
          <cell r="F74" t="str">
            <v>ROT KONTHEA</v>
          </cell>
          <cell r="G74">
            <v>800882</v>
          </cell>
          <cell r="H74">
            <v>800882</v>
          </cell>
          <cell r="I74">
            <v>194.62</v>
          </cell>
          <cell r="J74">
            <v>6407</v>
          </cell>
          <cell r="K74">
            <v>20823</v>
          </cell>
          <cell r="L74">
            <v>16018</v>
          </cell>
          <cell r="M74">
            <v>16018</v>
          </cell>
          <cell r="N74">
            <v>59266</v>
          </cell>
        </row>
        <row r="75">
          <cell r="B75" t="str">
            <v>JM000151</v>
          </cell>
          <cell r="C75" t="str">
            <v>28801181162016ឌ</v>
          </cell>
          <cell r="D75">
            <v>0</v>
          </cell>
          <cell r="E75" t="str">
            <v>ញ៉ សារ៉ាន់</v>
          </cell>
          <cell r="F75" t="str">
            <v>NHOR SARAN</v>
          </cell>
          <cell r="G75">
            <v>865456</v>
          </cell>
          <cell r="H75">
            <v>865456</v>
          </cell>
          <cell r="I75">
            <v>210.32</v>
          </cell>
          <cell r="J75">
            <v>6924</v>
          </cell>
          <cell r="K75">
            <v>22502</v>
          </cell>
          <cell r="L75">
            <v>17309</v>
          </cell>
          <cell r="M75">
            <v>17309</v>
          </cell>
          <cell r="N75">
            <v>64044</v>
          </cell>
        </row>
        <row r="76">
          <cell r="B76" t="str">
            <v>JM000152</v>
          </cell>
          <cell r="C76" t="str">
            <v>28105170773408ប</v>
          </cell>
          <cell r="D76">
            <v>0</v>
          </cell>
          <cell r="E76" t="str">
            <v>សេន ឆវី</v>
          </cell>
          <cell r="F76" t="str">
            <v>SEN CHORVY</v>
          </cell>
          <cell r="G76">
            <v>865456</v>
          </cell>
          <cell r="H76">
            <v>865456</v>
          </cell>
          <cell r="I76">
            <v>210.32</v>
          </cell>
          <cell r="J76">
            <v>6924</v>
          </cell>
          <cell r="K76">
            <v>22502</v>
          </cell>
          <cell r="L76">
            <v>17309</v>
          </cell>
          <cell r="M76">
            <v>17309</v>
          </cell>
          <cell r="N76">
            <v>64044</v>
          </cell>
        </row>
        <row r="77">
          <cell r="B77" t="str">
            <v>JM000153</v>
          </cell>
          <cell r="C77" t="str">
            <v>20211181899880យ</v>
          </cell>
          <cell r="D77">
            <v>0</v>
          </cell>
          <cell r="E77" t="str">
            <v>ទូច ស្រីអីន</v>
          </cell>
          <cell r="F77" t="str">
            <v>TOUCH SREYIN</v>
          </cell>
          <cell r="G77">
            <v>865456</v>
          </cell>
          <cell r="H77">
            <v>865456</v>
          </cell>
          <cell r="I77">
            <v>210.32</v>
          </cell>
          <cell r="J77">
            <v>6924</v>
          </cell>
          <cell r="K77">
            <v>22502</v>
          </cell>
          <cell r="L77">
            <v>17309</v>
          </cell>
          <cell r="M77">
            <v>17309</v>
          </cell>
          <cell r="N77">
            <v>64044</v>
          </cell>
        </row>
        <row r="78">
          <cell r="B78" t="str">
            <v>JM000156</v>
          </cell>
          <cell r="C78" t="str">
            <v>28705170782930រ</v>
          </cell>
          <cell r="D78">
            <v>0</v>
          </cell>
          <cell r="E78" t="str">
            <v>ទុយ ស្រីមុំ</v>
          </cell>
          <cell r="F78" t="str">
            <v>TUY SREYMOM</v>
          </cell>
          <cell r="G78">
            <v>1016959</v>
          </cell>
          <cell r="H78">
            <v>1016959</v>
          </cell>
          <cell r="I78">
            <v>247.13</v>
          </cell>
          <cell r="J78">
            <v>8136</v>
          </cell>
          <cell r="K78">
            <v>26441</v>
          </cell>
          <cell r="L78">
            <v>20339</v>
          </cell>
          <cell r="M78">
            <v>20339</v>
          </cell>
          <cell r="N78">
            <v>75255</v>
          </cell>
        </row>
        <row r="79">
          <cell r="B79" t="str">
            <v>JM000157</v>
          </cell>
          <cell r="C79" t="str">
            <v>29303160092456ថ</v>
          </cell>
          <cell r="D79">
            <v>0</v>
          </cell>
          <cell r="E79" t="str">
            <v>ណៃ សីហា</v>
          </cell>
          <cell r="F79" t="str">
            <v>NAI SEYHA</v>
          </cell>
          <cell r="G79">
            <v>921958</v>
          </cell>
          <cell r="H79">
            <v>921958</v>
          </cell>
          <cell r="I79">
            <v>224.05</v>
          </cell>
          <cell r="J79">
            <v>7376</v>
          </cell>
          <cell r="K79">
            <v>23971</v>
          </cell>
          <cell r="L79">
            <v>18439</v>
          </cell>
          <cell r="M79">
            <v>18439</v>
          </cell>
          <cell r="N79">
            <v>68225</v>
          </cell>
        </row>
        <row r="80">
          <cell r="B80" t="str">
            <v>JM000158</v>
          </cell>
          <cell r="C80" t="str">
            <v>0</v>
          </cell>
          <cell r="D80">
            <v>0</v>
          </cell>
          <cell r="E80" t="str">
            <v>នាង សាវឿន</v>
          </cell>
          <cell r="F80" t="str">
            <v>NEANG SAVOEUN</v>
          </cell>
          <cell r="G80">
            <v>967816</v>
          </cell>
          <cell r="H80">
            <v>967816</v>
          </cell>
          <cell r="I80">
            <v>235.19</v>
          </cell>
          <cell r="J80">
            <v>7743</v>
          </cell>
          <cell r="K80">
            <v>25163</v>
          </cell>
          <cell r="L80">
            <v>19356</v>
          </cell>
          <cell r="M80">
            <v>19356</v>
          </cell>
          <cell r="N80">
            <v>71618</v>
          </cell>
        </row>
        <row r="81">
          <cell r="B81" t="str">
            <v>JM000162</v>
          </cell>
          <cell r="C81" t="str">
            <v>29510222966934ល</v>
          </cell>
          <cell r="D81">
            <v>0</v>
          </cell>
          <cell r="E81" t="str">
            <v>តូច ផ្កាយព្រឹក</v>
          </cell>
          <cell r="F81" t="str">
            <v>TOUCH PHKAYPROEK</v>
          </cell>
          <cell r="G81">
            <v>976244</v>
          </cell>
          <cell r="H81">
            <v>976244</v>
          </cell>
          <cell r="I81">
            <v>237.24</v>
          </cell>
          <cell r="J81">
            <v>7810</v>
          </cell>
          <cell r="K81">
            <v>25382</v>
          </cell>
          <cell r="L81">
            <v>19525</v>
          </cell>
          <cell r="M81">
            <v>19525</v>
          </cell>
          <cell r="N81">
            <v>72242</v>
          </cell>
        </row>
        <row r="82">
          <cell r="B82" t="str">
            <v>JM000163</v>
          </cell>
          <cell r="C82" t="str">
            <v>10009222956414ឌ</v>
          </cell>
          <cell r="D82">
            <v>0</v>
          </cell>
          <cell r="E82" t="str">
            <v>ណៃ មីណា</v>
          </cell>
          <cell r="F82" t="str">
            <v>NAI MINA</v>
          </cell>
          <cell r="G82">
            <v>1056032</v>
          </cell>
          <cell r="H82">
            <v>1056032</v>
          </cell>
          <cell r="I82">
            <v>256.63</v>
          </cell>
          <cell r="J82">
            <v>8448</v>
          </cell>
          <cell r="K82">
            <v>27457</v>
          </cell>
          <cell r="L82">
            <v>21121</v>
          </cell>
          <cell r="M82">
            <v>21121</v>
          </cell>
          <cell r="N82">
            <v>78147</v>
          </cell>
        </row>
        <row r="83">
          <cell r="B83" t="str">
            <v>JM000164</v>
          </cell>
          <cell r="C83" t="str">
            <v>10212202526332ឡ</v>
          </cell>
          <cell r="D83">
            <v>0</v>
          </cell>
          <cell r="E83" t="str">
            <v>អ៊ុំ សំម៉ឺន</v>
          </cell>
          <cell r="F83" t="str">
            <v>OUM SAMMEURN</v>
          </cell>
          <cell r="G83">
            <v>930386</v>
          </cell>
          <cell r="H83">
            <v>930386</v>
          </cell>
          <cell r="I83">
            <v>226.1</v>
          </cell>
          <cell r="J83">
            <v>7443</v>
          </cell>
          <cell r="K83">
            <v>24190</v>
          </cell>
          <cell r="L83">
            <v>18608</v>
          </cell>
          <cell r="M83">
            <v>18608</v>
          </cell>
          <cell r="N83">
            <v>68849</v>
          </cell>
        </row>
        <row r="84">
          <cell r="B84" t="str">
            <v>JM000168</v>
          </cell>
          <cell r="C84" t="str">
            <v>28207160162319ត</v>
          </cell>
          <cell r="D84">
            <v>0</v>
          </cell>
          <cell r="E84" t="str">
            <v>ប្រាក់ ទូច</v>
          </cell>
          <cell r="F84" t="str">
            <v>BRAK TUOCH</v>
          </cell>
          <cell r="G84">
            <v>887099</v>
          </cell>
          <cell r="H84">
            <v>887099</v>
          </cell>
          <cell r="I84">
            <v>215.58</v>
          </cell>
          <cell r="J84">
            <v>7097</v>
          </cell>
          <cell r="K84">
            <v>23065</v>
          </cell>
          <cell r="L84">
            <v>17742</v>
          </cell>
          <cell r="M84">
            <v>17742</v>
          </cell>
          <cell r="N84">
            <v>65646</v>
          </cell>
        </row>
        <row r="85">
          <cell r="B85" t="str">
            <v>JM000169</v>
          </cell>
          <cell r="C85" t="str">
            <v>19011212667954ផ</v>
          </cell>
          <cell r="D85">
            <v>0</v>
          </cell>
          <cell r="E85" t="str">
            <v>ភឿក ភក្ដី</v>
          </cell>
          <cell r="F85" t="str">
            <v>PHOEUK PHEAKDEY</v>
          </cell>
          <cell r="G85">
            <v>865456</v>
          </cell>
          <cell r="H85">
            <v>865456</v>
          </cell>
          <cell r="I85">
            <v>210.32</v>
          </cell>
          <cell r="J85">
            <v>6924</v>
          </cell>
          <cell r="K85">
            <v>22502</v>
          </cell>
          <cell r="L85">
            <v>17309</v>
          </cell>
          <cell r="M85">
            <v>17309</v>
          </cell>
          <cell r="N85">
            <v>64044</v>
          </cell>
        </row>
        <row r="86">
          <cell r="B86" t="str">
            <v>JM000172</v>
          </cell>
          <cell r="C86" t="str">
            <v>28805170772658ក</v>
          </cell>
          <cell r="D86">
            <v>0</v>
          </cell>
          <cell r="E86" t="str">
            <v>ប៉ក់ ស្រីពៅ</v>
          </cell>
          <cell r="F86" t="str">
            <v>PORK SREYPOV</v>
          </cell>
          <cell r="G86">
            <v>967816</v>
          </cell>
          <cell r="H86">
            <v>967816</v>
          </cell>
          <cell r="I86">
            <v>235.19</v>
          </cell>
          <cell r="J86">
            <v>7743</v>
          </cell>
          <cell r="K86">
            <v>25163</v>
          </cell>
          <cell r="L86">
            <v>19356</v>
          </cell>
          <cell r="M86">
            <v>19356</v>
          </cell>
          <cell r="N86">
            <v>71618</v>
          </cell>
        </row>
        <row r="87">
          <cell r="B87" t="str">
            <v>JM000174</v>
          </cell>
          <cell r="C87" t="str">
            <v>19003192015926ត</v>
          </cell>
          <cell r="D87">
            <v>0</v>
          </cell>
          <cell r="E87" t="str">
            <v>ហុក ប៊ុនហេង</v>
          </cell>
          <cell r="F87" t="str">
            <v>HOK BUNHENG</v>
          </cell>
          <cell r="G87">
            <v>841241</v>
          </cell>
          <cell r="H87">
            <v>841241</v>
          </cell>
          <cell r="I87">
            <v>204.43</v>
          </cell>
          <cell r="J87">
            <v>6730</v>
          </cell>
          <cell r="K87">
            <v>21872</v>
          </cell>
          <cell r="L87">
            <v>16825</v>
          </cell>
          <cell r="M87">
            <v>16825</v>
          </cell>
          <cell r="N87">
            <v>62252</v>
          </cell>
        </row>
        <row r="88">
          <cell r="B88" t="str">
            <v>JM000175</v>
          </cell>
          <cell r="C88" t="str">
            <v>28507202412248ណ</v>
          </cell>
          <cell r="D88">
            <v>0</v>
          </cell>
          <cell r="E88" t="str">
            <v>ង៉ែត ពៅ</v>
          </cell>
          <cell r="F88" t="str">
            <v>NGET POV</v>
          </cell>
          <cell r="G88">
            <v>800882</v>
          </cell>
          <cell r="H88">
            <v>800882</v>
          </cell>
          <cell r="I88">
            <v>194.62</v>
          </cell>
          <cell r="J88">
            <v>6407</v>
          </cell>
          <cell r="K88">
            <v>20823</v>
          </cell>
          <cell r="L88">
            <v>16018</v>
          </cell>
          <cell r="M88">
            <v>16018</v>
          </cell>
          <cell r="N88">
            <v>59266</v>
          </cell>
        </row>
        <row r="89">
          <cell r="B89" t="str">
            <v>JM000177</v>
          </cell>
          <cell r="C89" t="str">
            <v>29408160224139ធ</v>
          </cell>
          <cell r="D89">
            <v>0</v>
          </cell>
          <cell r="E89" t="str">
            <v>សោម បូរី</v>
          </cell>
          <cell r="F89" t="str">
            <v>SORM BOREY</v>
          </cell>
          <cell r="G89">
            <v>752451</v>
          </cell>
          <cell r="H89">
            <v>752451</v>
          </cell>
          <cell r="I89">
            <v>182.86</v>
          </cell>
          <cell r="J89">
            <v>6020</v>
          </cell>
          <cell r="K89">
            <v>19564</v>
          </cell>
          <cell r="L89">
            <v>15049</v>
          </cell>
          <cell r="M89">
            <v>15049</v>
          </cell>
          <cell r="N89">
            <v>55682</v>
          </cell>
        </row>
        <row r="90">
          <cell r="B90" t="str">
            <v>JM000178</v>
          </cell>
          <cell r="C90" t="str">
            <v>28803181319543ភ</v>
          </cell>
          <cell r="D90">
            <v>0</v>
          </cell>
          <cell r="E90" t="str">
            <v>ភួង ស្រីមុំ</v>
          </cell>
          <cell r="F90" t="str">
            <v>PHUONG SREYMOM</v>
          </cell>
          <cell r="G90">
            <v>843812</v>
          </cell>
          <cell r="H90">
            <v>843812</v>
          </cell>
          <cell r="I90">
            <v>205.06</v>
          </cell>
          <cell r="J90">
            <v>6750</v>
          </cell>
          <cell r="K90">
            <v>21939</v>
          </cell>
          <cell r="L90">
            <v>16876</v>
          </cell>
          <cell r="M90">
            <v>16876</v>
          </cell>
          <cell r="N90">
            <v>62441</v>
          </cell>
        </row>
        <row r="91">
          <cell r="B91" t="str">
            <v>JM000179</v>
          </cell>
          <cell r="C91" t="str">
            <v>28402160078497យ</v>
          </cell>
          <cell r="D91">
            <v>0</v>
          </cell>
          <cell r="E91" t="str">
            <v>រស់ រឿន</v>
          </cell>
          <cell r="F91" t="str">
            <v>ROS ROEUN</v>
          </cell>
          <cell r="G91">
            <v>865456</v>
          </cell>
          <cell r="H91">
            <v>865456</v>
          </cell>
          <cell r="I91">
            <v>210.32</v>
          </cell>
          <cell r="J91">
            <v>6924</v>
          </cell>
          <cell r="K91">
            <v>22502</v>
          </cell>
          <cell r="L91">
            <v>17309</v>
          </cell>
          <cell r="M91">
            <v>17309</v>
          </cell>
          <cell r="N91">
            <v>64044</v>
          </cell>
        </row>
        <row r="92">
          <cell r="B92" t="str">
            <v>JM000180</v>
          </cell>
          <cell r="C92" t="str">
            <v>29102160056146ដ</v>
          </cell>
          <cell r="D92">
            <v>0</v>
          </cell>
          <cell r="E92" t="str">
            <v>យន់ អម្ពរ</v>
          </cell>
          <cell r="F92" t="str">
            <v>YON AMPOR</v>
          </cell>
          <cell r="G92">
            <v>833169</v>
          </cell>
          <cell r="H92">
            <v>833169</v>
          </cell>
          <cell r="I92">
            <v>202.47</v>
          </cell>
          <cell r="J92">
            <v>6665</v>
          </cell>
          <cell r="K92">
            <v>21662</v>
          </cell>
          <cell r="L92">
            <v>16663</v>
          </cell>
          <cell r="M92">
            <v>16663</v>
          </cell>
          <cell r="N92">
            <v>61653</v>
          </cell>
        </row>
        <row r="93">
          <cell r="B93" t="str">
            <v>JM000181</v>
          </cell>
          <cell r="C93" t="str">
            <v>28908181641112ន</v>
          </cell>
          <cell r="D93">
            <v>0</v>
          </cell>
          <cell r="E93" t="str">
            <v>ឈេន អឿន</v>
          </cell>
          <cell r="F93" t="str">
            <v>CHHEN OEURN</v>
          </cell>
          <cell r="G93">
            <v>879027</v>
          </cell>
          <cell r="H93">
            <v>879027</v>
          </cell>
          <cell r="I93">
            <v>213.62</v>
          </cell>
          <cell r="J93">
            <v>7032</v>
          </cell>
          <cell r="K93">
            <v>22855</v>
          </cell>
          <cell r="L93">
            <v>17581</v>
          </cell>
          <cell r="M93">
            <v>17581</v>
          </cell>
          <cell r="N93">
            <v>65049</v>
          </cell>
        </row>
        <row r="94">
          <cell r="B94" t="str">
            <v>JM000185</v>
          </cell>
          <cell r="C94" t="str">
            <v>28111222990329ធ</v>
          </cell>
          <cell r="D94">
            <v>0</v>
          </cell>
          <cell r="E94" t="str">
            <v>ង៉ែត សុភាព</v>
          </cell>
          <cell r="F94" t="str">
            <v>NGET SOPHEAP</v>
          </cell>
          <cell r="G94">
            <v>865456</v>
          </cell>
          <cell r="H94">
            <v>865456</v>
          </cell>
          <cell r="I94">
            <v>210.32</v>
          </cell>
          <cell r="J94">
            <v>6924</v>
          </cell>
          <cell r="K94">
            <v>22502</v>
          </cell>
          <cell r="L94">
            <v>17309</v>
          </cell>
          <cell r="M94">
            <v>17309</v>
          </cell>
          <cell r="N94">
            <v>64044</v>
          </cell>
        </row>
        <row r="95">
          <cell r="B95" t="str">
            <v>JM000187</v>
          </cell>
          <cell r="C95" t="str">
            <v>0</v>
          </cell>
          <cell r="D95">
            <v>0</v>
          </cell>
          <cell r="E95" t="str">
            <v>សាក់ ស៊ីថៃ</v>
          </cell>
          <cell r="F95" t="str">
            <v>SAK SITHAI</v>
          </cell>
          <cell r="G95">
            <v>792810</v>
          </cell>
          <cell r="H95">
            <v>792810</v>
          </cell>
          <cell r="I95">
            <v>192.66</v>
          </cell>
          <cell r="J95">
            <v>6342</v>
          </cell>
          <cell r="K95">
            <v>20613</v>
          </cell>
          <cell r="L95">
            <v>15856</v>
          </cell>
          <cell r="M95">
            <v>15856</v>
          </cell>
          <cell r="N95">
            <v>58667</v>
          </cell>
        </row>
        <row r="96">
          <cell r="B96" t="str">
            <v>JM000189</v>
          </cell>
          <cell r="C96" t="str">
            <v>28309160304821ណ</v>
          </cell>
          <cell r="D96">
            <v>0</v>
          </cell>
          <cell r="E96" t="str">
            <v>ប៊ុន សុភ័ណ្ឌ</v>
          </cell>
          <cell r="F96" t="str">
            <v>BUN SOPHORN</v>
          </cell>
          <cell r="G96">
            <v>849312</v>
          </cell>
          <cell r="H96">
            <v>849312</v>
          </cell>
          <cell r="I96">
            <v>206.39</v>
          </cell>
          <cell r="J96">
            <v>6794</v>
          </cell>
          <cell r="K96">
            <v>22082</v>
          </cell>
          <cell r="L96">
            <v>16986</v>
          </cell>
          <cell r="M96">
            <v>16986</v>
          </cell>
          <cell r="N96">
            <v>62848</v>
          </cell>
        </row>
        <row r="97">
          <cell r="B97" t="str">
            <v>JM000190</v>
          </cell>
          <cell r="C97" t="str">
            <v>28710192208878ហ</v>
          </cell>
          <cell r="D97">
            <v>0</v>
          </cell>
          <cell r="E97" t="str">
            <v>ង៉ែត ពៅ</v>
          </cell>
          <cell r="F97" t="str">
            <v>NGET POV</v>
          </cell>
          <cell r="G97">
            <v>865456</v>
          </cell>
          <cell r="H97">
            <v>865456</v>
          </cell>
          <cell r="I97">
            <v>210.32</v>
          </cell>
          <cell r="J97">
            <v>6924</v>
          </cell>
          <cell r="K97">
            <v>22502</v>
          </cell>
          <cell r="L97">
            <v>17309</v>
          </cell>
          <cell r="M97">
            <v>17309</v>
          </cell>
          <cell r="N97">
            <v>64044</v>
          </cell>
        </row>
        <row r="98">
          <cell r="B98" t="str">
            <v>JM000192</v>
          </cell>
          <cell r="C98" t="str">
            <v>28901191954000ថ</v>
          </cell>
          <cell r="D98">
            <v>0</v>
          </cell>
          <cell r="E98" t="str">
            <v>ទឹម ចន្លាក់</v>
          </cell>
          <cell r="F98" t="str">
            <v>TOEM CHANNATH</v>
          </cell>
          <cell r="G98">
            <v>959745</v>
          </cell>
          <cell r="H98">
            <v>959745</v>
          </cell>
          <cell r="I98">
            <v>233.23</v>
          </cell>
          <cell r="J98">
            <v>7678</v>
          </cell>
          <cell r="K98">
            <v>24953</v>
          </cell>
          <cell r="L98">
            <v>19195</v>
          </cell>
          <cell r="M98">
            <v>19195</v>
          </cell>
          <cell r="N98">
            <v>71021</v>
          </cell>
        </row>
        <row r="99">
          <cell r="B99" t="str">
            <v>JM000193</v>
          </cell>
          <cell r="C99" t="str">
            <v>20303222789827ព</v>
          </cell>
          <cell r="D99">
            <v>0</v>
          </cell>
          <cell r="E99" t="str">
            <v>ប៊ុត ចាន់ស្រីពៅ</v>
          </cell>
          <cell r="F99" t="str">
            <v>BUT CHANSREYPOV</v>
          </cell>
          <cell r="G99">
            <v>841241</v>
          </cell>
          <cell r="H99">
            <v>841241</v>
          </cell>
          <cell r="I99">
            <v>204.43</v>
          </cell>
          <cell r="J99">
            <v>6730</v>
          </cell>
          <cell r="K99">
            <v>21872</v>
          </cell>
          <cell r="L99">
            <v>16825</v>
          </cell>
          <cell r="M99">
            <v>16825</v>
          </cell>
          <cell r="N99">
            <v>62252</v>
          </cell>
        </row>
        <row r="100">
          <cell r="B100" t="str">
            <v>JM000197</v>
          </cell>
          <cell r="C100" t="str">
            <v>29503181304767ភ</v>
          </cell>
          <cell r="D100">
            <v>0</v>
          </cell>
          <cell r="E100" t="str">
            <v>អ៊ុក ស្រីពោ</v>
          </cell>
          <cell r="F100" t="str">
            <v>UK SREYPOU</v>
          </cell>
          <cell r="G100">
            <v>959487</v>
          </cell>
          <cell r="H100">
            <v>959487</v>
          </cell>
          <cell r="I100">
            <v>233.17</v>
          </cell>
          <cell r="J100">
            <v>7676</v>
          </cell>
          <cell r="K100">
            <v>24947</v>
          </cell>
          <cell r="L100">
            <v>19190</v>
          </cell>
          <cell r="M100">
            <v>19190</v>
          </cell>
          <cell r="N100">
            <v>71003</v>
          </cell>
        </row>
        <row r="101">
          <cell r="B101" t="str">
            <v>JM000199</v>
          </cell>
          <cell r="C101" t="str">
            <v>28910192220941ទ</v>
          </cell>
          <cell r="D101">
            <v>0</v>
          </cell>
          <cell r="E101" t="str">
            <v>ញ៉ក កែវ</v>
          </cell>
          <cell r="F101" t="str">
            <v>NHOK KEO</v>
          </cell>
          <cell r="G101">
            <v>857384</v>
          </cell>
          <cell r="H101">
            <v>857384</v>
          </cell>
          <cell r="I101">
            <v>208.36</v>
          </cell>
          <cell r="J101">
            <v>6859</v>
          </cell>
          <cell r="K101">
            <v>22292</v>
          </cell>
          <cell r="L101">
            <v>17148</v>
          </cell>
          <cell r="M101">
            <v>17148</v>
          </cell>
          <cell r="N101">
            <v>63447</v>
          </cell>
        </row>
        <row r="102">
          <cell r="B102" t="str">
            <v>JM000203</v>
          </cell>
          <cell r="C102" t="str">
            <v>0</v>
          </cell>
          <cell r="D102">
            <v>0</v>
          </cell>
          <cell r="E102" t="str">
            <v>វ៉ន ភេត</v>
          </cell>
          <cell r="F102" t="str">
            <v>VORN PHET</v>
          </cell>
          <cell r="G102">
            <v>1729566</v>
          </cell>
          <cell r="H102">
            <v>1200000</v>
          </cell>
          <cell r="I102">
            <v>420.31</v>
          </cell>
          <cell r="J102">
            <v>9600</v>
          </cell>
          <cell r="K102">
            <v>31200</v>
          </cell>
          <cell r="L102">
            <v>24000</v>
          </cell>
          <cell r="M102">
            <v>24000</v>
          </cell>
          <cell r="N102">
            <v>88800</v>
          </cell>
        </row>
        <row r="103">
          <cell r="B103" t="str">
            <v>JM000204</v>
          </cell>
          <cell r="C103" t="str">
            <v>29003160091783ថ</v>
          </cell>
          <cell r="D103">
            <v>0</v>
          </cell>
          <cell r="E103" t="str">
            <v>តុប ស្រីទុំ</v>
          </cell>
          <cell r="F103" t="str">
            <v>TOP SREYTOM</v>
          </cell>
          <cell r="G103">
            <v>959745</v>
          </cell>
          <cell r="H103">
            <v>959745</v>
          </cell>
          <cell r="I103">
            <v>233.23</v>
          </cell>
          <cell r="J103">
            <v>7678</v>
          </cell>
          <cell r="K103">
            <v>24953</v>
          </cell>
          <cell r="L103">
            <v>19195</v>
          </cell>
          <cell r="M103">
            <v>19195</v>
          </cell>
          <cell r="N103">
            <v>71021</v>
          </cell>
        </row>
        <row r="104">
          <cell r="B104" t="str">
            <v>JM000205</v>
          </cell>
          <cell r="C104" t="str">
            <v>19201181161339ឍ</v>
          </cell>
          <cell r="D104">
            <v>0</v>
          </cell>
          <cell r="E104" t="str">
            <v>អ៊ុន ចំរើន</v>
          </cell>
          <cell r="F104" t="str">
            <v>UN CHAMROEUN</v>
          </cell>
          <cell r="G104">
            <v>1022103</v>
          </cell>
          <cell r="H104">
            <v>1022103</v>
          </cell>
          <cell r="I104">
            <v>248.38</v>
          </cell>
          <cell r="J104">
            <v>8177</v>
          </cell>
          <cell r="K104">
            <v>26575</v>
          </cell>
          <cell r="L104">
            <v>20442</v>
          </cell>
          <cell r="M104">
            <v>20442</v>
          </cell>
          <cell r="N104">
            <v>75636</v>
          </cell>
        </row>
        <row r="105">
          <cell r="B105" t="str">
            <v>JM000206</v>
          </cell>
          <cell r="C105" t="str">
            <v>20311222988935ព</v>
          </cell>
          <cell r="D105">
            <v>0</v>
          </cell>
          <cell r="E105" t="str">
            <v>អ៊ាង ឌឿន</v>
          </cell>
          <cell r="F105" t="str">
            <v>EANG DOEURN</v>
          </cell>
          <cell r="G105">
            <v>975631</v>
          </cell>
          <cell r="H105">
            <v>975631</v>
          </cell>
          <cell r="I105">
            <v>237.09</v>
          </cell>
          <cell r="J105">
            <v>7805</v>
          </cell>
          <cell r="K105">
            <v>25366</v>
          </cell>
          <cell r="L105">
            <v>19513</v>
          </cell>
          <cell r="M105">
            <v>19513</v>
          </cell>
          <cell r="N105">
            <v>72197</v>
          </cell>
        </row>
        <row r="106">
          <cell r="B106" t="str">
            <v>JM000208</v>
          </cell>
          <cell r="C106" t="str">
            <v>19409160280139ប</v>
          </cell>
          <cell r="D106">
            <v>0</v>
          </cell>
          <cell r="E106" t="str">
            <v>វ៉ិត បូរី</v>
          </cell>
          <cell r="F106" t="str">
            <v>VITH BOREY</v>
          </cell>
          <cell r="G106">
            <v>811525</v>
          </cell>
          <cell r="H106">
            <v>811525</v>
          </cell>
          <cell r="I106">
            <v>197.21</v>
          </cell>
          <cell r="J106">
            <v>6492</v>
          </cell>
          <cell r="K106">
            <v>21100</v>
          </cell>
          <cell r="L106">
            <v>16231</v>
          </cell>
          <cell r="M106">
            <v>16231</v>
          </cell>
          <cell r="N106">
            <v>60054</v>
          </cell>
        </row>
        <row r="107">
          <cell r="B107" t="str">
            <v>JM000209</v>
          </cell>
          <cell r="C107" t="str">
            <v>28607170853891អ</v>
          </cell>
          <cell r="D107">
            <v>0</v>
          </cell>
          <cell r="E107" t="str">
            <v>ភឿក ប៊ុន</v>
          </cell>
          <cell r="F107" t="str">
            <v>PHOEURK BUN</v>
          </cell>
          <cell r="G107">
            <v>1213608</v>
          </cell>
          <cell r="H107">
            <v>1200000</v>
          </cell>
          <cell r="I107">
            <v>294.92</v>
          </cell>
          <cell r="J107">
            <v>9600</v>
          </cell>
          <cell r="K107">
            <v>31200</v>
          </cell>
          <cell r="L107">
            <v>24000</v>
          </cell>
          <cell r="M107">
            <v>24000</v>
          </cell>
          <cell r="N107">
            <v>88800</v>
          </cell>
        </row>
        <row r="108">
          <cell r="B108" t="str">
            <v>JM000210</v>
          </cell>
          <cell r="C108" t="str">
            <v>18812160507424ថ</v>
          </cell>
          <cell r="D108">
            <v>0</v>
          </cell>
          <cell r="E108" t="str">
            <v>ម៉ន ម៉េង</v>
          </cell>
          <cell r="F108" t="str">
            <v>MORM MENG</v>
          </cell>
          <cell r="G108">
            <v>1213608</v>
          </cell>
          <cell r="H108">
            <v>1200000</v>
          </cell>
          <cell r="I108">
            <v>294.92</v>
          </cell>
          <cell r="J108">
            <v>9600</v>
          </cell>
          <cell r="K108">
            <v>31200</v>
          </cell>
          <cell r="L108">
            <v>24000</v>
          </cell>
          <cell r="M108">
            <v>24000</v>
          </cell>
          <cell r="N108">
            <v>88800</v>
          </cell>
        </row>
        <row r="109">
          <cell r="B109" t="str">
            <v>JM000212</v>
          </cell>
          <cell r="C109" t="str">
            <v>28503222779523ម</v>
          </cell>
          <cell r="D109">
            <v>0</v>
          </cell>
          <cell r="E109" t="str">
            <v>ភោ អូន</v>
          </cell>
          <cell r="F109" t="str">
            <v>PHOR OUN</v>
          </cell>
          <cell r="G109">
            <v>954245</v>
          </cell>
          <cell r="H109">
            <v>954245</v>
          </cell>
          <cell r="I109">
            <v>231.89</v>
          </cell>
          <cell r="J109">
            <v>7634</v>
          </cell>
          <cell r="K109">
            <v>24810</v>
          </cell>
          <cell r="L109">
            <v>19085</v>
          </cell>
          <cell r="M109">
            <v>19085</v>
          </cell>
          <cell r="N109">
            <v>70614</v>
          </cell>
        </row>
        <row r="110">
          <cell r="B110" t="str">
            <v>JM000214</v>
          </cell>
          <cell r="C110" t="str">
            <v>28710222959923វ</v>
          </cell>
          <cell r="D110">
            <v>0</v>
          </cell>
          <cell r="E110" t="str">
            <v>ទូច ស្រីដា</v>
          </cell>
          <cell r="F110" t="str">
            <v>TOUCH SREYDA</v>
          </cell>
          <cell r="G110">
            <v>954245</v>
          </cell>
          <cell r="H110">
            <v>954245</v>
          </cell>
          <cell r="I110">
            <v>231.89</v>
          </cell>
          <cell r="J110">
            <v>7634</v>
          </cell>
          <cell r="K110">
            <v>24810</v>
          </cell>
          <cell r="L110">
            <v>19085</v>
          </cell>
          <cell r="M110">
            <v>19085</v>
          </cell>
          <cell r="N110">
            <v>70614</v>
          </cell>
        </row>
        <row r="111">
          <cell r="B111" t="str">
            <v>JM000217</v>
          </cell>
          <cell r="C111" t="str">
            <v>29109160244081ណ</v>
          </cell>
          <cell r="D111">
            <v>0</v>
          </cell>
          <cell r="E111" t="str">
            <v>សេន ស៊ីណាត</v>
          </cell>
          <cell r="F111" t="str">
            <v>SEN SINATH</v>
          </cell>
          <cell r="G111">
            <v>1901526</v>
          </cell>
          <cell r="H111">
            <v>1200000</v>
          </cell>
          <cell r="I111">
            <v>462.1</v>
          </cell>
          <cell r="J111">
            <v>9600</v>
          </cell>
          <cell r="K111">
            <v>31200</v>
          </cell>
          <cell r="L111">
            <v>24000</v>
          </cell>
          <cell r="M111">
            <v>24000</v>
          </cell>
          <cell r="N111">
            <v>88800</v>
          </cell>
        </row>
        <row r="112">
          <cell r="B112" t="str">
            <v>JM000218</v>
          </cell>
          <cell r="C112" t="str">
            <v>28809170894118ក</v>
          </cell>
          <cell r="D112">
            <v>0</v>
          </cell>
          <cell r="E112" t="str">
            <v>ចក់ ស្រីនាង</v>
          </cell>
          <cell r="F112" t="str">
            <v>CHOK SREYNEANG</v>
          </cell>
          <cell r="G112">
            <v>865100</v>
          </cell>
          <cell r="H112">
            <v>865100</v>
          </cell>
          <cell r="I112">
            <v>210.23</v>
          </cell>
          <cell r="J112">
            <v>6921</v>
          </cell>
          <cell r="K112">
            <v>22493</v>
          </cell>
          <cell r="L112">
            <v>17302</v>
          </cell>
          <cell r="M112">
            <v>17302</v>
          </cell>
          <cell r="N112">
            <v>64018</v>
          </cell>
        </row>
        <row r="113">
          <cell r="B113" t="str">
            <v>JM000219</v>
          </cell>
          <cell r="C113" t="str">
            <v>29403160089634ព</v>
          </cell>
          <cell r="D113">
            <v>0</v>
          </cell>
          <cell r="E113" t="str">
            <v>អ៊ុយ សុខឃុន</v>
          </cell>
          <cell r="F113" t="str">
            <v>UY SOKKHUN</v>
          </cell>
          <cell r="G113">
            <v>854812</v>
          </cell>
          <cell r="H113">
            <v>854812</v>
          </cell>
          <cell r="I113">
            <v>207.73</v>
          </cell>
          <cell r="J113">
            <v>6838</v>
          </cell>
          <cell r="K113">
            <v>22225</v>
          </cell>
          <cell r="L113">
            <v>17096</v>
          </cell>
          <cell r="M113">
            <v>17096</v>
          </cell>
          <cell r="N113">
            <v>63255</v>
          </cell>
        </row>
        <row r="114">
          <cell r="B114" t="str">
            <v>JM000224</v>
          </cell>
          <cell r="C114" t="str">
            <v>28002160079587ព</v>
          </cell>
          <cell r="D114">
            <v>0</v>
          </cell>
          <cell r="E114" t="str">
            <v>ឡាច ហ៊ុន</v>
          </cell>
          <cell r="F114" t="str">
            <v>LACH HUN</v>
          </cell>
          <cell r="G114">
            <v>973732</v>
          </cell>
          <cell r="H114">
            <v>973732</v>
          </cell>
          <cell r="I114">
            <v>236.63</v>
          </cell>
          <cell r="J114">
            <v>7790</v>
          </cell>
          <cell r="K114">
            <v>25317</v>
          </cell>
          <cell r="L114">
            <v>19475</v>
          </cell>
          <cell r="M114">
            <v>19475</v>
          </cell>
          <cell r="N114">
            <v>72057</v>
          </cell>
        </row>
        <row r="115">
          <cell r="B115" t="str">
            <v>JM000225</v>
          </cell>
          <cell r="C115" t="str">
            <v>19007160169312ថ</v>
          </cell>
          <cell r="D115">
            <v>0</v>
          </cell>
          <cell r="E115" t="str">
            <v>អែម សារិត</v>
          </cell>
          <cell r="F115" t="str">
            <v>EM SARITH</v>
          </cell>
          <cell r="G115">
            <v>1282218</v>
          </cell>
          <cell r="H115">
            <v>1200000</v>
          </cell>
          <cell r="I115">
            <v>311.6</v>
          </cell>
          <cell r="J115">
            <v>9600</v>
          </cell>
          <cell r="K115">
            <v>31200</v>
          </cell>
          <cell r="L115">
            <v>24000</v>
          </cell>
          <cell r="M115">
            <v>24000</v>
          </cell>
          <cell r="N115">
            <v>88800</v>
          </cell>
        </row>
        <row r="116">
          <cell r="B116" t="str">
            <v>JM000226</v>
          </cell>
          <cell r="C116" t="str">
            <v>0</v>
          </cell>
          <cell r="D116">
            <v>0</v>
          </cell>
          <cell r="E116" t="str">
            <v>កន សុផារ៉ា</v>
          </cell>
          <cell r="F116" t="str">
            <v>KORN SOPHARA</v>
          </cell>
          <cell r="G116">
            <v>1646000</v>
          </cell>
          <cell r="H116">
            <v>1200000</v>
          </cell>
          <cell r="I116">
            <v>400</v>
          </cell>
          <cell r="J116">
            <v>9600</v>
          </cell>
          <cell r="K116">
            <v>31200</v>
          </cell>
          <cell r="L116">
            <v>24000</v>
          </cell>
          <cell r="M116">
            <v>24000</v>
          </cell>
          <cell r="N116">
            <v>88800</v>
          </cell>
        </row>
        <row r="117">
          <cell r="B117" t="str">
            <v>JM000228</v>
          </cell>
          <cell r="C117" t="str">
            <v>19110222966875រ</v>
          </cell>
          <cell r="D117">
            <v>0</v>
          </cell>
          <cell r="E117" t="str">
            <v>អឺម ឃឿន</v>
          </cell>
          <cell r="F117" t="str">
            <v>OEM KHOEUN</v>
          </cell>
          <cell r="G117">
            <v>784996</v>
          </cell>
          <cell r="H117">
            <v>784996</v>
          </cell>
          <cell r="I117">
            <v>190.76</v>
          </cell>
          <cell r="J117">
            <v>6280</v>
          </cell>
          <cell r="K117">
            <v>20410</v>
          </cell>
          <cell r="L117">
            <v>15700</v>
          </cell>
          <cell r="M117">
            <v>15700</v>
          </cell>
          <cell r="N117">
            <v>58090</v>
          </cell>
        </row>
        <row r="118">
          <cell r="B118" t="str">
            <v>JM000229</v>
          </cell>
          <cell r="C118" t="str">
            <v>19410181863969ក</v>
          </cell>
          <cell r="D118">
            <v>0</v>
          </cell>
          <cell r="E118" t="str">
            <v>ណុប ផានិត</v>
          </cell>
          <cell r="F118" t="str">
            <v>NOB PHANIT</v>
          </cell>
          <cell r="G118">
            <v>946430</v>
          </cell>
          <cell r="H118">
            <v>946430</v>
          </cell>
          <cell r="I118">
            <v>230</v>
          </cell>
          <cell r="J118">
            <v>7571</v>
          </cell>
          <cell r="K118">
            <v>24607</v>
          </cell>
          <cell r="L118">
            <v>18929</v>
          </cell>
          <cell r="M118">
            <v>18929</v>
          </cell>
          <cell r="N118">
            <v>70036</v>
          </cell>
        </row>
        <row r="119">
          <cell r="B119" t="str">
            <v>JM000230</v>
          </cell>
          <cell r="C119" t="str">
            <v>19501160018963ធ</v>
          </cell>
          <cell r="D119">
            <v>0</v>
          </cell>
          <cell r="E119" t="str">
            <v>អាន់ ម៉ាប់</v>
          </cell>
          <cell r="F119" t="str">
            <v>ANN MAB</v>
          </cell>
          <cell r="G119">
            <v>1022103</v>
          </cell>
          <cell r="H119">
            <v>1022103</v>
          </cell>
          <cell r="I119">
            <v>248.38</v>
          </cell>
          <cell r="J119">
            <v>8177</v>
          </cell>
          <cell r="K119">
            <v>26575</v>
          </cell>
          <cell r="L119">
            <v>20442</v>
          </cell>
          <cell r="M119">
            <v>20442</v>
          </cell>
          <cell r="N119">
            <v>75636</v>
          </cell>
        </row>
        <row r="120">
          <cell r="B120" t="str">
            <v>JM000233</v>
          </cell>
          <cell r="C120" t="str">
            <v>19609222956394ខ</v>
          </cell>
          <cell r="D120">
            <v>0</v>
          </cell>
          <cell r="E120" t="str">
            <v>សួស ណៃ</v>
          </cell>
          <cell r="F120" t="str">
            <v>SOUS NAVY</v>
          </cell>
          <cell r="G120">
            <v>1056032</v>
          </cell>
          <cell r="H120">
            <v>1056032</v>
          </cell>
          <cell r="I120">
            <v>256.63</v>
          </cell>
          <cell r="J120">
            <v>8448</v>
          </cell>
          <cell r="K120">
            <v>27457</v>
          </cell>
          <cell r="L120">
            <v>21121</v>
          </cell>
          <cell r="M120">
            <v>21121</v>
          </cell>
          <cell r="N120">
            <v>78147</v>
          </cell>
        </row>
        <row r="121">
          <cell r="B121" t="str">
            <v>JM000238</v>
          </cell>
          <cell r="C121" t="str">
            <v>19510222966882វ</v>
          </cell>
          <cell r="D121">
            <v>0</v>
          </cell>
          <cell r="E121" t="str">
            <v>ឈួន អ៊ូខុង</v>
          </cell>
          <cell r="F121" t="str">
            <v>CHHUON OUKHONG</v>
          </cell>
          <cell r="G121">
            <v>1041431</v>
          </cell>
          <cell r="H121">
            <v>1041431</v>
          </cell>
          <cell r="I121">
            <v>253.08</v>
          </cell>
          <cell r="J121">
            <v>8331</v>
          </cell>
          <cell r="K121">
            <v>27077</v>
          </cell>
          <cell r="L121">
            <v>20829</v>
          </cell>
          <cell r="M121">
            <v>20829</v>
          </cell>
          <cell r="N121">
            <v>77066</v>
          </cell>
        </row>
        <row r="122">
          <cell r="B122" t="str">
            <v>JM000239</v>
          </cell>
          <cell r="C122" t="str">
            <v>28502160065084ឌ</v>
          </cell>
          <cell r="D122">
            <v>0</v>
          </cell>
          <cell r="E122" t="str">
            <v>ញ៉ង់ មុំ</v>
          </cell>
          <cell r="F122" t="str">
            <v>NHANG MOM</v>
          </cell>
          <cell r="G122">
            <v>919386</v>
          </cell>
          <cell r="H122">
            <v>919386</v>
          </cell>
          <cell r="I122">
            <v>223.42</v>
          </cell>
          <cell r="J122">
            <v>7355</v>
          </cell>
          <cell r="K122">
            <v>23904</v>
          </cell>
          <cell r="L122">
            <v>18388</v>
          </cell>
          <cell r="M122">
            <v>18388</v>
          </cell>
          <cell r="N122">
            <v>68035</v>
          </cell>
        </row>
        <row r="123">
          <cell r="B123" t="str">
            <v>JM000241</v>
          </cell>
          <cell r="C123" t="str">
            <v>29408160210112ង</v>
          </cell>
          <cell r="D123">
            <v>0</v>
          </cell>
          <cell r="E123" t="str">
            <v>យិន សោក</v>
          </cell>
          <cell r="F123" t="str">
            <v>YEN SOK</v>
          </cell>
          <cell r="G123">
            <v>919386</v>
          </cell>
          <cell r="H123">
            <v>919386</v>
          </cell>
          <cell r="I123">
            <v>223.42</v>
          </cell>
          <cell r="J123">
            <v>7355</v>
          </cell>
          <cell r="K123">
            <v>23904</v>
          </cell>
          <cell r="L123">
            <v>18388</v>
          </cell>
          <cell r="M123">
            <v>18388</v>
          </cell>
          <cell r="N123">
            <v>68035</v>
          </cell>
        </row>
        <row r="124">
          <cell r="B124" t="str">
            <v>JM000242</v>
          </cell>
          <cell r="C124" t="str">
            <v>29507160138975ហ</v>
          </cell>
          <cell r="D124">
            <v>0</v>
          </cell>
          <cell r="E124" t="str">
            <v>គង់ ស្ដើង</v>
          </cell>
          <cell r="F124" t="str">
            <v>KONG SDOEUNG</v>
          </cell>
          <cell r="G124">
            <v>903243</v>
          </cell>
          <cell r="H124">
            <v>903243</v>
          </cell>
          <cell r="I124">
            <v>219.5</v>
          </cell>
          <cell r="J124">
            <v>7226</v>
          </cell>
          <cell r="K124">
            <v>23484</v>
          </cell>
          <cell r="L124">
            <v>18065</v>
          </cell>
          <cell r="M124">
            <v>18065</v>
          </cell>
          <cell r="N124">
            <v>66840</v>
          </cell>
        </row>
        <row r="125">
          <cell r="B125" t="str">
            <v>JM000243</v>
          </cell>
          <cell r="C125" t="str">
            <v>28503181336292ប</v>
          </cell>
          <cell r="D125">
            <v>0</v>
          </cell>
          <cell r="E125" t="str">
            <v>ណុប ចាន់ណា</v>
          </cell>
          <cell r="F125" t="str">
            <v>NOP CHANNA</v>
          </cell>
          <cell r="G125">
            <v>887099</v>
          </cell>
          <cell r="H125">
            <v>887099</v>
          </cell>
          <cell r="I125">
            <v>215.58</v>
          </cell>
          <cell r="J125">
            <v>7097</v>
          </cell>
          <cell r="K125">
            <v>23065</v>
          </cell>
          <cell r="L125">
            <v>17742</v>
          </cell>
          <cell r="M125">
            <v>17742</v>
          </cell>
          <cell r="N125">
            <v>65646</v>
          </cell>
        </row>
        <row r="126">
          <cell r="B126" t="str">
            <v>JM000245</v>
          </cell>
          <cell r="C126" t="str">
            <v>28108160227318ថ</v>
          </cell>
          <cell r="D126">
            <v>0</v>
          </cell>
          <cell r="E126" t="str">
            <v>ជុន យឿន</v>
          </cell>
          <cell r="F126" t="str">
            <v>CHUN YOEURN</v>
          </cell>
          <cell r="G126">
            <v>935529</v>
          </cell>
          <cell r="H126">
            <v>935529</v>
          </cell>
          <cell r="I126">
            <v>227.35</v>
          </cell>
          <cell r="J126">
            <v>7484</v>
          </cell>
          <cell r="K126">
            <v>24324</v>
          </cell>
          <cell r="L126">
            <v>18711</v>
          </cell>
          <cell r="M126">
            <v>18711</v>
          </cell>
          <cell r="N126">
            <v>69230</v>
          </cell>
        </row>
        <row r="127">
          <cell r="B127" t="str">
            <v>JM000247</v>
          </cell>
          <cell r="C127" t="str">
            <v>28702160070732ឌ</v>
          </cell>
          <cell r="D127">
            <v>0</v>
          </cell>
          <cell r="E127" t="str">
            <v>សិត ម៉ៅ</v>
          </cell>
          <cell r="F127" t="str">
            <v>SIT MAO</v>
          </cell>
          <cell r="G127">
            <v>919386</v>
          </cell>
          <cell r="H127">
            <v>919386</v>
          </cell>
          <cell r="I127">
            <v>223.42</v>
          </cell>
          <cell r="J127">
            <v>7355</v>
          </cell>
          <cell r="K127">
            <v>23904</v>
          </cell>
          <cell r="L127">
            <v>18388</v>
          </cell>
          <cell r="M127">
            <v>18388</v>
          </cell>
          <cell r="N127">
            <v>68035</v>
          </cell>
        </row>
        <row r="128">
          <cell r="B128" t="str">
            <v>JM000250</v>
          </cell>
          <cell r="C128" t="str">
            <v>29507170855645ឡ</v>
          </cell>
          <cell r="D128">
            <v>0</v>
          </cell>
          <cell r="E128" t="str">
            <v>សន ស្រីធូ</v>
          </cell>
          <cell r="F128" t="str">
            <v>SORN SREYTHOU</v>
          </cell>
          <cell r="G128">
            <v>876099</v>
          </cell>
          <cell r="H128">
            <v>876099</v>
          </cell>
          <cell r="I128">
            <v>212.9</v>
          </cell>
          <cell r="J128">
            <v>7009</v>
          </cell>
          <cell r="K128">
            <v>22779</v>
          </cell>
          <cell r="L128">
            <v>17522</v>
          </cell>
          <cell r="M128">
            <v>17522</v>
          </cell>
          <cell r="N128">
            <v>64832</v>
          </cell>
        </row>
        <row r="129">
          <cell r="B129" t="str">
            <v>JM000251</v>
          </cell>
          <cell r="C129" t="str">
            <v>29406170796241យ</v>
          </cell>
          <cell r="D129">
            <v>0</v>
          </cell>
          <cell r="E129" t="str">
            <v>ជី សុភ័ណ្ឌ</v>
          </cell>
          <cell r="F129" t="str">
            <v>CHY SOPHORN</v>
          </cell>
          <cell r="G129">
            <v>827669</v>
          </cell>
          <cell r="H129">
            <v>827669</v>
          </cell>
          <cell r="I129">
            <v>201.13</v>
          </cell>
          <cell r="J129">
            <v>6621</v>
          </cell>
          <cell r="K129">
            <v>21519</v>
          </cell>
          <cell r="L129">
            <v>16553</v>
          </cell>
          <cell r="M129">
            <v>16553</v>
          </cell>
          <cell r="N129">
            <v>61246</v>
          </cell>
        </row>
        <row r="130">
          <cell r="B130" t="str">
            <v>JM000255</v>
          </cell>
          <cell r="C130" t="str">
            <v>29107160138385ឌ</v>
          </cell>
          <cell r="D130">
            <v>0</v>
          </cell>
          <cell r="E130" t="str">
            <v>អៀម ជូរី</v>
          </cell>
          <cell r="F130" t="str">
            <v>IEM CHUORY</v>
          </cell>
          <cell r="G130">
            <v>921958</v>
          </cell>
          <cell r="H130">
            <v>921958</v>
          </cell>
          <cell r="I130">
            <v>224.05</v>
          </cell>
          <cell r="J130">
            <v>7376</v>
          </cell>
          <cell r="K130">
            <v>23971</v>
          </cell>
          <cell r="L130">
            <v>18439</v>
          </cell>
          <cell r="M130">
            <v>18439</v>
          </cell>
          <cell r="N130">
            <v>68225</v>
          </cell>
        </row>
        <row r="131">
          <cell r="B131" t="str">
            <v>JM000256</v>
          </cell>
          <cell r="C131" t="str">
            <v>29302160065112ច</v>
          </cell>
          <cell r="D131">
            <v>0</v>
          </cell>
          <cell r="E131" t="str">
            <v>សេង ចាន់ស្រីល័ក្ខ</v>
          </cell>
          <cell r="F131" t="str">
            <v>SENG LEAK</v>
          </cell>
          <cell r="G131">
            <v>889671</v>
          </cell>
          <cell r="H131">
            <v>889671</v>
          </cell>
          <cell r="I131">
            <v>216.2</v>
          </cell>
          <cell r="J131">
            <v>7117</v>
          </cell>
          <cell r="K131">
            <v>23131</v>
          </cell>
          <cell r="L131">
            <v>17793</v>
          </cell>
          <cell r="M131">
            <v>17793</v>
          </cell>
          <cell r="N131">
            <v>65834</v>
          </cell>
        </row>
        <row r="132">
          <cell r="B132" t="str">
            <v>JM000259</v>
          </cell>
          <cell r="C132" t="str">
            <v>28810192234159ព</v>
          </cell>
          <cell r="D132">
            <v>0</v>
          </cell>
          <cell r="E132" t="str">
            <v>ភីន សុភ័ណ្ឌ</v>
          </cell>
          <cell r="F132" t="str">
            <v>PHIN SOPHORN</v>
          </cell>
          <cell r="G132">
            <v>903243</v>
          </cell>
          <cell r="H132">
            <v>903243</v>
          </cell>
          <cell r="I132">
            <v>219.5</v>
          </cell>
          <cell r="J132">
            <v>7226</v>
          </cell>
          <cell r="K132">
            <v>23484</v>
          </cell>
          <cell r="L132">
            <v>18065</v>
          </cell>
          <cell r="M132">
            <v>18065</v>
          </cell>
          <cell r="N132">
            <v>66840</v>
          </cell>
        </row>
        <row r="133">
          <cell r="B133" t="str">
            <v>JM000260</v>
          </cell>
          <cell r="C133" t="str">
            <v>29307170855531ភ</v>
          </cell>
          <cell r="D133">
            <v>0</v>
          </cell>
          <cell r="E133" t="str">
            <v>ឈួន ហឿន</v>
          </cell>
          <cell r="F133" t="str">
            <v>CHHUON HOEUN</v>
          </cell>
          <cell r="G133">
            <v>951673</v>
          </cell>
          <cell r="H133">
            <v>951673</v>
          </cell>
          <cell r="I133">
            <v>231.27</v>
          </cell>
          <cell r="J133">
            <v>7613</v>
          </cell>
          <cell r="K133">
            <v>24743</v>
          </cell>
          <cell r="L133">
            <v>19033</v>
          </cell>
          <cell r="M133">
            <v>19033</v>
          </cell>
          <cell r="N133">
            <v>70422</v>
          </cell>
        </row>
        <row r="134">
          <cell r="B134" t="str">
            <v>JM000261</v>
          </cell>
          <cell r="C134" t="str">
            <v>28407170855322ផ</v>
          </cell>
          <cell r="D134">
            <v>0</v>
          </cell>
          <cell r="E134" t="str">
            <v>ភឿន ស្រីទូច</v>
          </cell>
          <cell r="F134" t="str">
            <v>POEURN SREYTOUCH</v>
          </cell>
          <cell r="G134">
            <v>854812</v>
          </cell>
          <cell r="H134">
            <v>854812</v>
          </cell>
          <cell r="I134">
            <v>207.73</v>
          </cell>
          <cell r="J134">
            <v>6838</v>
          </cell>
          <cell r="K134">
            <v>22225</v>
          </cell>
          <cell r="L134">
            <v>17096</v>
          </cell>
          <cell r="M134">
            <v>17096</v>
          </cell>
          <cell r="N134">
            <v>63255</v>
          </cell>
        </row>
        <row r="135">
          <cell r="B135" t="str">
            <v>JM000262</v>
          </cell>
          <cell r="C135" t="str">
            <v>29210160361381ដ</v>
          </cell>
          <cell r="D135">
            <v>0</v>
          </cell>
          <cell r="E135" t="str">
            <v>ភឹម ចន្ធូ</v>
          </cell>
          <cell r="F135" t="str">
            <v>PHIM CHANTHOU</v>
          </cell>
          <cell r="G135">
            <v>935529</v>
          </cell>
          <cell r="H135">
            <v>935529</v>
          </cell>
          <cell r="I135">
            <v>227.35</v>
          </cell>
          <cell r="J135">
            <v>7484</v>
          </cell>
          <cell r="K135">
            <v>24324</v>
          </cell>
          <cell r="L135">
            <v>18711</v>
          </cell>
          <cell r="M135">
            <v>18711</v>
          </cell>
          <cell r="N135">
            <v>69230</v>
          </cell>
        </row>
        <row r="136">
          <cell r="B136" t="str">
            <v>JM000265</v>
          </cell>
          <cell r="C136" t="str">
            <v>18101212538828ទ</v>
          </cell>
          <cell r="D136">
            <v>0</v>
          </cell>
          <cell r="E136" t="str">
            <v>ហ៊ឹម វឿន</v>
          </cell>
          <cell r="F136" t="str">
            <v>HOEM VOEUN</v>
          </cell>
          <cell r="G136">
            <v>1143954</v>
          </cell>
          <cell r="H136">
            <v>1143954</v>
          </cell>
          <cell r="I136">
            <v>278</v>
          </cell>
          <cell r="J136">
            <v>9152</v>
          </cell>
          <cell r="K136">
            <v>29743</v>
          </cell>
          <cell r="L136">
            <v>22879</v>
          </cell>
          <cell r="M136">
            <v>22879</v>
          </cell>
          <cell r="N136">
            <v>84653</v>
          </cell>
        </row>
        <row r="137">
          <cell r="B137" t="str">
            <v>JM000267</v>
          </cell>
          <cell r="C137" t="str">
            <v>29705170773111ធ</v>
          </cell>
          <cell r="D137">
            <v>0</v>
          </cell>
          <cell r="E137" t="str">
            <v>អ៊ួន សុខចាន់</v>
          </cell>
          <cell r="F137" t="str">
            <v>UON SOKCHAN</v>
          </cell>
          <cell r="G137">
            <v>919386</v>
          </cell>
          <cell r="H137">
            <v>919386</v>
          </cell>
          <cell r="I137">
            <v>223.42</v>
          </cell>
          <cell r="J137">
            <v>7355</v>
          </cell>
          <cell r="K137">
            <v>23904</v>
          </cell>
          <cell r="L137">
            <v>18388</v>
          </cell>
          <cell r="M137">
            <v>18388</v>
          </cell>
          <cell r="N137">
            <v>68035</v>
          </cell>
        </row>
        <row r="138">
          <cell r="B138" t="str">
            <v>JM000268</v>
          </cell>
          <cell r="C138" t="str">
            <v>20302222763019ឆ</v>
          </cell>
          <cell r="D138">
            <v>0</v>
          </cell>
          <cell r="E138" t="str">
            <v>វ៉ាត បញ្ញា</v>
          </cell>
          <cell r="F138" t="str">
            <v>VAT PANHA</v>
          </cell>
          <cell r="G138">
            <v>900057</v>
          </cell>
          <cell r="H138">
            <v>900057</v>
          </cell>
          <cell r="I138">
            <v>218.73</v>
          </cell>
          <cell r="J138">
            <v>7200</v>
          </cell>
          <cell r="K138">
            <v>23401</v>
          </cell>
          <cell r="L138">
            <v>18001</v>
          </cell>
          <cell r="M138">
            <v>18001</v>
          </cell>
          <cell r="N138">
            <v>66603</v>
          </cell>
        </row>
        <row r="139">
          <cell r="B139" t="str">
            <v>JM000269</v>
          </cell>
          <cell r="C139" t="str">
            <v>0</v>
          </cell>
          <cell r="D139">
            <v>0</v>
          </cell>
          <cell r="E139" t="str">
            <v>គឹម បូរី</v>
          </cell>
          <cell r="F139" t="str">
            <v>KIM BOREY</v>
          </cell>
          <cell r="G139">
            <v>857384</v>
          </cell>
          <cell r="H139">
            <v>857384</v>
          </cell>
          <cell r="I139">
            <v>208.36</v>
          </cell>
          <cell r="J139">
            <v>6859</v>
          </cell>
          <cell r="K139">
            <v>22292</v>
          </cell>
          <cell r="L139">
            <v>17148</v>
          </cell>
          <cell r="M139">
            <v>17148</v>
          </cell>
          <cell r="N139">
            <v>63447</v>
          </cell>
        </row>
        <row r="140">
          <cell r="B140" t="str">
            <v>JM000270</v>
          </cell>
          <cell r="C140" t="str">
            <v>29709170912570រ</v>
          </cell>
          <cell r="D140">
            <v>0</v>
          </cell>
          <cell r="E140" t="str">
            <v>អេង រ៉េនដា</v>
          </cell>
          <cell r="F140" t="str">
            <v>ENG RENDA</v>
          </cell>
          <cell r="G140">
            <v>1231058</v>
          </cell>
          <cell r="H140">
            <v>1200000</v>
          </cell>
          <cell r="I140">
            <v>299.16</v>
          </cell>
          <cell r="J140">
            <v>9600</v>
          </cell>
          <cell r="K140">
            <v>31200</v>
          </cell>
          <cell r="L140">
            <v>24000</v>
          </cell>
          <cell r="M140">
            <v>24000</v>
          </cell>
          <cell r="N140">
            <v>88800</v>
          </cell>
        </row>
        <row r="141">
          <cell r="B141" t="str">
            <v>JM000272</v>
          </cell>
          <cell r="C141" t="str">
            <v>29105192075687ស</v>
          </cell>
          <cell r="D141">
            <v>0</v>
          </cell>
          <cell r="E141" t="str">
            <v>ណាំ ស្រីមុំ</v>
          </cell>
          <cell r="F141" t="str">
            <v>NAM SREYMOM</v>
          </cell>
          <cell r="G141">
            <v>927458</v>
          </cell>
          <cell r="H141">
            <v>927458</v>
          </cell>
          <cell r="I141">
            <v>225.38</v>
          </cell>
          <cell r="J141">
            <v>7420</v>
          </cell>
          <cell r="K141">
            <v>24114</v>
          </cell>
          <cell r="L141">
            <v>18549</v>
          </cell>
          <cell r="M141">
            <v>18549</v>
          </cell>
          <cell r="N141">
            <v>68632</v>
          </cell>
        </row>
        <row r="142">
          <cell r="B142" t="str">
            <v>JM000273</v>
          </cell>
          <cell r="C142" t="str">
            <v>27904170709793អ</v>
          </cell>
          <cell r="D142">
            <v>0</v>
          </cell>
          <cell r="E142" t="str">
            <v>បូ សូភី</v>
          </cell>
          <cell r="F142" t="str">
            <v>BO SOPHY</v>
          </cell>
          <cell r="G142">
            <v>865456</v>
          </cell>
          <cell r="H142">
            <v>865456</v>
          </cell>
          <cell r="I142">
            <v>210.32</v>
          </cell>
          <cell r="J142">
            <v>6924</v>
          </cell>
          <cell r="K142">
            <v>22502</v>
          </cell>
          <cell r="L142">
            <v>17309</v>
          </cell>
          <cell r="M142">
            <v>17309</v>
          </cell>
          <cell r="N142">
            <v>64044</v>
          </cell>
        </row>
        <row r="143">
          <cell r="B143" t="str">
            <v>JM000274</v>
          </cell>
          <cell r="C143" t="str">
            <v>28811222990326ព</v>
          </cell>
          <cell r="D143">
            <v>0</v>
          </cell>
          <cell r="E143" t="str">
            <v>ឈន លុន</v>
          </cell>
          <cell r="F143" t="str">
            <v>CHHORN LUN</v>
          </cell>
          <cell r="G143">
            <v>865456</v>
          </cell>
          <cell r="H143">
            <v>865456</v>
          </cell>
          <cell r="I143">
            <v>210.32</v>
          </cell>
          <cell r="J143">
            <v>6924</v>
          </cell>
          <cell r="K143">
            <v>22502</v>
          </cell>
          <cell r="L143">
            <v>17309</v>
          </cell>
          <cell r="M143">
            <v>17309</v>
          </cell>
          <cell r="N143">
            <v>64044</v>
          </cell>
        </row>
        <row r="144">
          <cell r="B144" t="str">
            <v>JM000278</v>
          </cell>
          <cell r="C144" t="str">
            <v>28203181334075ណ</v>
          </cell>
          <cell r="D144">
            <v>0</v>
          </cell>
          <cell r="E144" t="str">
            <v>ញ៉ែម សាវេត</v>
          </cell>
          <cell r="F144" t="str">
            <v>NHEM SAVET</v>
          </cell>
          <cell r="G144">
            <v>865456</v>
          </cell>
          <cell r="H144">
            <v>865456</v>
          </cell>
          <cell r="I144">
            <v>210.32</v>
          </cell>
          <cell r="J144">
            <v>6924</v>
          </cell>
          <cell r="K144">
            <v>22502</v>
          </cell>
          <cell r="L144">
            <v>17309</v>
          </cell>
          <cell r="M144">
            <v>17309</v>
          </cell>
          <cell r="N144">
            <v>64044</v>
          </cell>
        </row>
        <row r="145">
          <cell r="B145" t="str">
            <v>JM000279</v>
          </cell>
          <cell r="C145" t="str">
            <v>28410160360363ដ</v>
          </cell>
          <cell r="D145">
            <v>0</v>
          </cell>
          <cell r="E145" t="str">
            <v>ឃុន ធា</v>
          </cell>
          <cell r="F145" t="str">
            <v>KHUT THEA</v>
          </cell>
          <cell r="G145">
            <v>865456</v>
          </cell>
          <cell r="H145">
            <v>865456</v>
          </cell>
          <cell r="I145">
            <v>210.32</v>
          </cell>
          <cell r="J145">
            <v>6924</v>
          </cell>
          <cell r="K145">
            <v>22502</v>
          </cell>
          <cell r="L145">
            <v>17309</v>
          </cell>
          <cell r="M145">
            <v>17309</v>
          </cell>
          <cell r="N145">
            <v>64044</v>
          </cell>
        </row>
        <row r="146">
          <cell r="B146" t="str">
            <v>JM000280</v>
          </cell>
          <cell r="C146" t="str">
            <v>28204170710059ឍ</v>
          </cell>
          <cell r="D146">
            <v>0</v>
          </cell>
          <cell r="E146" t="str">
            <v>ឃុត មន្ថា</v>
          </cell>
          <cell r="F146" t="str">
            <v>KHOTH MONTHA</v>
          </cell>
          <cell r="G146">
            <v>857384</v>
          </cell>
          <cell r="H146">
            <v>857384</v>
          </cell>
          <cell r="I146">
            <v>208.36</v>
          </cell>
          <cell r="J146">
            <v>6859</v>
          </cell>
          <cell r="K146">
            <v>22292</v>
          </cell>
          <cell r="L146">
            <v>17148</v>
          </cell>
          <cell r="M146">
            <v>17148</v>
          </cell>
          <cell r="N146">
            <v>63447</v>
          </cell>
        </row>
        <row r="147">
          <cell r="B147" t="str">
            <v>JM000281</v>
          </cell>
          <cell r="C147" t="str">
            <v>28910192208422ទ</v>
          </cell>
          <cell r="D147">
            <v>0</v>
          </cell>
          <cell r="E147" t="str">
            <v>មុះ ពៅ</v>
          </cell>
          <cell r="F147" t="str">
            <v>MOS POV</v>
          </cell>
          <cell r="G147">
            <v>857384</v>
          </cell>
          <cell r="H147">
            <v>857384</v>
          </cell>
          <cell r="I147">
            <v>208.36</v>
          </cell>
          <cell r="J147">
            <v>6859</v>
          </cell>
          <cell r="K147">
            <v>22292</v>
          </cell>
          <cell r="L147">
            <v>17148</v>
          </cell>
          <cell r="M147">
            <v>17148</v>
          </cell>
          <cell r="N147">
            <v>63447</v>
          </cell>
        </row>
        <row r="148">
          <cell r="B148" t="str">
            <v>JM000288</v>
          </cell>
          <cell r="C148" t="str">
            <v>19611202590147ត</v>
          </cell>
          <cell r="D148">
            <v>0</v>
          </cell>
          <cell r="E148" t="str">
            <v>ជា សាវី</v>
          </cell>
          <cell r="F148" t="str">
            <v>CHEA SAVY</v>
          </cell>
          <cell r="G148">
            <v>949101</v>
          </cell>
          <cell r="H148">
            <v>949101</v>
          </cell>
          <cell r="I148">
            <v>230.64</v>
          </cell>
          <cell r="J148">
            <v>7593</v>
          </cell>
          <cell r="K148">
            <v>24677</v>
          </cell>
          <cell r="L148">
            <v>18982</v>
          </cell>
          <cell r="M148">
            <v>18982</v>
          </cell>
          <cell r="N148">
            <v>70234</v>
          </cell>
        </row>
        <row r="149">
          <cell r="B149" t="str">
            <v>JM000289</v>
          </cell>
          <cell r="C149" t="str">
            <v>29509160302149ធ</v>
          </cell>
          <cell r="D149">
            <v>0</v>
          </cell>
          <cell r="E149" t="str">
            <v>តុក រេន</v>
          </cell>
          <cell r="F149" t="str">
            <v>TOK REN</v>
          </cell>
          <cell r="G149">
            <v>967816</v>
          </cell>
          <cell r="H149">
            <v>967816</v>
          </cell>
          <cell r="I149">
            <v>235.19</v>
          </cell>
          <cell r="J149">
            <v>7743</v>
          </cell>
          <cell r="K149">
            <v>25163</v>
          </cell>
          <cell r="L149">
            <v>19356</v>
          </cell>
          <cell r="M149">
            <v>19356</v>
          </cell>
          <cell r="N149">
            <v>71618</v>
          </cell>
        </row>
        <row r="150">
          <cell r="B150" t="str">
            <v>JM000290</v>
          </cell>
          <cell r="C150" t="str">
            <v>27509192196639ឃ</v>
          </cell>
          <cell r="D150">
            <v>0</v>
          </cell>
          <cell r="E150" t="str">
            <v>ម៉ាក សាមី</v>
          </cell>
          <cell r="F150" t="str">
            <v>MAK SAMY</v>
          </cell>
          <cell r="G150">
            <v>857384</v>
          </cell>
          <cell r="H150">
            <v>857384</v>
          </cell>
          <cell r="I150">
            <v>208.36</v>
          </cell>
          <cell r="J150">
            <v>6859</v>
          </cell>
          <cell r="K150">
            <v>22292</v>
          </cell>
          <cell r="L150">
            <v>17148</v>
          </cell>
          <cell r="M150">
            <v>17148</v>
          </cell>
          <cell r="N150">
            <v>63447</v>
          </cell>
        </row>
        <row r="151">
          <cell r="B151" t="str">
            <v>JM000292</v>
          </cell>
          <cell r="C151" t="str">
            <v>29208160200640ជ</v>
          </cell>
          <cell r="D151">
            <v>0</v>
          </cell>
          <cell r="E151" t="str">
            <v>អុន សាវន</v>
          </cell>
          <cell r="F151" t="str">
            <v>ON SAVAN</v>
          </cell>
          <cell r="G151">
            <v>825097</v>
          </cell>
          <cell r="H151">
            <v>825097</v>
          </cell>
          <cell r="I151">
            <v>200.51</v>
          </cell>
          <cell r="J151">
            <v>6601</v>
          </cell>
          <cell r="K151">
            <v>21453</v>
          </cell>
          <cell r="L151">
            <v>16502</v>
          </cell>
          <cell r="M151">
            <v>16502</v>
          </cell>
          <cell r="N151">
            <v>61058</v>
          </cell>
        </row>
        <row r="152">
          <cell r="B152" t="str">
            <v>JM000298</v>
          </cell>
          <cell r="C152" t="str">
            <v>0</v>
          </cell>
          <cell r="D152">
            <v>0</v>
          </cell>
          <cell r="E152" t="str">
            <v>មឿង សុភាព</v>
          </cell>
          <cell r="F152" t="str">
            <v>MORUNG SOPHEAP</v>
          </cell>
          <cell r="G152">
            <v>1234500</v>
          </cell>
          <cell r="H152">
            <v>1200000</v>
          </cell>
          <cell r="I152">
            <v>300</v>
          </cell>
          <cell r="J152">
            <v>9600</v>
          </cell>
          <cell r="K152">
            <v>31200</v>
          </cell>
          <cell r="L152">
            <v>24000</v>
          </cell>
          <cell r="M152">
            <v>24000</v>
          </cell>
          <cell r="N152">
            <v>88800</v>
          </cell>
        </row>
        <row r="153">
          <cell r="B153" t="str">
            <v>JM000299</v>
          </cell>
          <cell r="C153" t="str">
            <v>28409170906369ឡ</v>
          </cell>
          <cell r="D153">
            <v>0</v>
          </cell>
          <cell r="E153" t="str">
            <v>ទ្រេន អុក</v>
          </cell>
          <cell r="F153" t="str">
            <v>TREN UK</v>
          </cell>
          <cell r="G153">
            <v>951673</v>
          </cell>
          <cell r="H153">
            <v>951673</v>
          </cell>
          <cell r="I153">
            <v>231.27</v>
          </cell>
          <cell r="J153">
            <v>7613</v>
          </cell>
          <cell r="K153">
            <v>24743</v>
          </cell>
          <cell r="L153">
            <v>19033</v>
          </cell>
          <cell r="M153">
            <v>19033</v>
          </cell>
          <cell r="N153">
            <v>70422</v>
          </cell>
        </row>
        <row r="154">
          <cell r="B154" t="str">
            <v>JM000300</v>
          </cell>
          <cell r="C154" t="str">
            <v>0</v>
          </cell>
          <cell r="D154">
            <v>0</v>
          </cell>
          <cell r="E154" t="str">
            <v>ង៉ិល គុន្ធី</v>
          </cell>
          <cell r="F154" t="str">
            <v>NGIL KUNTHY</v>
          </cell>
          <cell r="G154">
            <v>1058145</v>
          </cell>
          <cell r="H154">
            <v>1058145</v>
          </cell>
          <cell r="I154">
            <v>257.14</v>
          </cell>
          <cell r="J154">
            <v>8465</v>
          </cell>
          <cell r="K154">
            <v>27512</v>
          </cell>
          <cell r="L154">
            <v>21163</v>
          </cell>
          <cell r="M154">
            <v>21163</v>
          </cell>
          <cell r="N154">
            <v>78303</v>
          </cell>
        </row>
        <row r="155">
          <cell r="B155" t="str">
            <v>JM000301</v>
          </cell>
          <cell r="C155" t="str">
            <v>28804181372886ក</v>
          </cell>
          <cell r="D155">
            <v>0</v>
          </cell>
          <cell r="E155" t="str">
            <v>ជួង អន</v>
          </cell>
          <cell r="F155" t="str">
            <v>CHUONG ORN</v>
          </cell>
          <cell r="G155">
            <v>919386</v>
          </cell>
          <cell r="H155">
            <v>919386</v>
          </cell>
          <cell r="I155">
            <v>223.42</v>
          </cell>
          <cell r="J155">
            <v>7355</v>
          </cell>
          <cell r="K155">
            <v>23904</v>
          </cell>
          <cell r="L155">
            <v>18388</v>
          </cell>
          <cell r="M155">
            <v>18388</v>
          </cell>
          <cell r="N155">
            <v>68035</v>
          </cell>
        </row>
        <row r="156">
          <cell r="B156" t="str">
            <v>JM000302</v>
          </cell>
          <cell r="C156" t="str">
            <v>28606160107803ត</v>
          </cell>
          <cell r="D156">
            <v>0</v>
          </cell>
          <cell r="E156" t="str">
            <v>ម៉ក់ ស្រី</v>
          </cell>
          <cell r="F156" t="str">
            <v>MAKK SREY</v>
          </cell>
          <cell r="G156">
            <v>859600</v>
          </cell>
          <cell r="H156">
            <v>859600</v>
          </cell>
          <cell r="I156">
            <v>208.89</v>
          </cell>
          <cell r="J156">
            <v>6877</v>
          </cell>
          <cell r="K156">
            <v>22350</v>
          </cell>
          <cell r="L156">
            <v>17192</v>
          </cell>
          <cell r="M156">
            <v>17192</v>
          </cell>
          <cell r="N156">
            <v>63611</v>
          </cell>
        </row>
        <row r="157">
          <cell r="B157" t="str">
            <v>JM000303</v>
          </cell>
          <cell r="C157" t="str">
            <v>28602170627114ណ</v>
          </cell>
          <cell r="D157">
            <v>0</v>
          </cell>
          <cell r="E157" t="str">
            <v>ស៊ុន ង៉ោល</v>
          </cell>
          <cell r="F157" t="str">
            <v>SUN NGOUL</v>
          </cell>
          <cell r="G157">
            <v>951673</v>
          </cell>
          <cell r="H157">
            <v>951673</v>
          </cell>
          <cell r="I157">
            <v>231.27</v>
          </cell>
          <cell r="J157">
            <v>7613</v>
          </cell>
          <cell r="K157">
            <v>24743</v>
          </cell>
          <cell r="L157">
            <v>19033</v>
          </cell>
          <cell r="M157">
            <v>19033</v>
          </cell>
          <cell r="N157">
            <v>70422</v>
          </cell>
        </row>
        <row r="158">
          <cell r="B158" t="str">
            <v>JM000304</v>
          </cell>
          <cell r="C158" t="str">
            <v>28611181912053ត</v>
          </cell>
          <cell r="D158">
            <v>0</v>
          </cell>
          <cell r="E158" t="str">
            <v>ខែម ម៉ៅ</v>
          </cell>
          <cell r="F158" t="str">
            <v>KHEM MAO</v>
          </cell>
          <cell r="G158">
            <v>981131</v>
          </cell>
          <cell r="H158">
            <v>981131</v>
          </cell>
          <cell r="I158">
            <v>238.43</v>
          </cell>
          <cell r="J158">
            <v>7849</v>
          </cell>
          <cell r="K158">
            <v>25509</v>
          </cell>
          <cell r="L158">
            <v>19623</v>
          </cell>
          <cell r="M158">
            <v>19623</v>
          </cell>
          <cell r="N158">
            <v>72604</v>
          </cell>
        </row>
        <row r="159">
          <cell r="B159" t="str">
            <v>JM000308</v>
          </cell>
          <cell r="C159" t="str">
            <v>19412181951735ម</v>
          </cell>
          <cell r="D159">
            <v>0</v>
          </cell>
          <cell r="E159" t="str">
            <v>ឡុក ពេជ</v>
          </cell>
          <cell r="F159" t="str">
            <v>LOK PECH</v>
          </cell>
          <cell r="G159">
            <v>1156518</v>
          </cell>
          <cell r="H159">
            <v>1156518</v>
          </cell>
          <cell r="I159">
            <v>281.05</v>
          </cell>
          <cell r="J159">
            <v>9252</v>
          </cell>
          <cell r="K159">
            <v>30069</v>
          </cell>
          <cell r="L159">
            <v>23130</v>
          </cell>
          <cell r="M159">
            <v>23130</v>
          </cell>
          <cell r="N159">
            <v>85581</v>
          </cell>
        </row>
        <row r="160">
          <cell r="B160" t="str">
            <v>JM000310</v>
          </cell>
          <cell r="C160" t="str">
            <v>20108192185309ថ</v>
          </cell>
          <cell r="D160">
            <v>0</v>
          </cell>
          <cell r="E160" t="str">
            <v>អេង ស្រីនិច</v>
          </cell>
          <cell r="F160" t="str">
            <v>ENG SREYNICH</v>
          </cell>
          <cell r="G160">
            <v>1252961</v>
          </cell>
          <cell r="H160">
            <v>1200000</v>
          </cell>
          <cell r="I160">
            <v>304.49</v>
          </cell>
          <cell r="J160">
            <v>9600</v>
          </cell>
          <cell r="K160">
            <v>31200</v>
          </cell>
          <cell r="L160">
            <v>24000</v>
          </cell>
          <cell r="M160">
            <v>24000</v>
          </cell>
          <cell r="N160">
            <v>88800</v>
          </cell>
        </row>
        <row r="161">
          <cell r="B161" t="str">
            <v>JM000311</v>
          </cell>
          <cell r="C161" t="str">
            <v>27204170702786ប</v>
          </cell>
          <cell r="D161">
            <v>0</v>
          </cell>
          <cell r="E161" t="str">
            <v>ញឺម ស្រី</v>
          </cell>
          <cell r="F161" t="str">
            <v>HOEM SREY</v>
          </cell>
          <cell r="G161">
            <v>1260895</v>
          </cell>
          <cell r="H161">
            <v>1200000</v>
          </cell>
          <cell r="I161">
            <v>306.41</v>
          </cell>
          <cell r="J161">
            <v>9600</v>
          </cell>
          <cell r="K161">
            <v>31200</v>
          </cell>
          <cell r="L161">
            <v>24000</v>
          </cell>
          <cell r="M161">
            <v>24000</v>
          </cell>
          <cell r="N161">
            <v>88800</v>
          </cell>
        </row>
        <row r="162">
          <cell r="B162" t="str">
            <v>JM000313</v>
          </cell>
          <cell r="C162" t="str">
            <v>28406181439936ឡ</v>
          </cell>
          <cell r="D162">
            <v>0</v>
          </cell>
          <cell r="E162" t="str">
            <v>ស៊ន សុភា</v>
          </cell>
          <cell r="F162" t="str">
            <v>SORN SOPHEA</v>
          </cell>
          <cell r="G162">
            <v>903243</v>
          </cell>
          <cell r="H162">
            <v>903243</v>
          </cell>
          <cell r="I162">
            <v>219.5</v>
          </cell>
          <cell r="J162">
            <v>7226</v>
          </cell>
          <cell r="K162">
            <v>23484</v>
          </cell>
          <cell r="L162">
            <v>18065</v>
          </cell>
          <cell r="M162">
            <v>18065</v>
          </cell>
          <cell r="N162">
            <v>66840</v>
          </cell>
        </row>
        <row r="163">
          <cell r="B163" t="str">
            <v>JM000315</v>
          </cell>
          <cell r="C163" t="str">
            <v>0</v>
          </cell>
          <cell r="D163">
            <v>0</v>
          </cell>
          <cell r="E163" t="str">
            <v>សែម ពៅ</v>
          </cell>
          <cell r="F163" t="str">
            <v>SEM POV</v>
          </cell>
          <cell r="G163">
            <v>943601</v>
          </cell>
          <cell r="H163">
            <v>943601</v>
          </cell>
          <cell r="I163">
            <v>229.31</v>
          </cell>
          <cell r="J163">
            <v>7549</v>
          </cell>
          <cell r="K163">
            <v>24534</v>
          </cell>
          <cell r="L163">
            <v>18872</v>
          </cell>
          <cell r="M163">
            <v>18872</v>
          </cell>
          <cell r="N163">
            <v>69827</v>
          </cell>
        </row>
        <row r="164">
          <cell r="B164" t="str">
            <v>JM000318</v>
          </cell>
          <cell r="C164" t="str">
            <v>10101191952604ជ</v>
          </cell>
          <cell r="D164">
            <v>0</v>
          </cell>
          <cell r="E164" t="str">
            <v>សួរ ដាវីត</v>
          </cell>
          <cell r="F164" t="str">
            <v>SUO DAVIT</v>
          </cell>
          <cell r="G164">
            <v>566802</v>
          </cell>
          <cell r="H164">
            <v>566802</v>
          </cell>
          <cell r="I164">
            <v>137.74</v>
          </cell>
          <cell r="J164">
            <v>4534</v>
          </cell>
          <cell r="K164">
            <v>14737</v>
          </cell>
          <cell r="L164">
            <v>11336</v>
          </cell>
          <cell r="M164">
            <v>11336</v>
          </cell>
          <cell r="N164">
            <v>41943</v>
          </cell>
        </row>
        <row r="165">
          <cell r="B165" t="str">
            <v>JM000319</v>
          </cell>
          <cell r="C165" t="str">
            <v>0</v>
          </cell>
          <cell r="D165">
            <v>0</v>
          </cell>
          <cell r="E165" t="str">
            <v>ញ៉ែម ស្រី</v>
          </cell>
          <cell r="F165" t="str">
            <v>NHEM SREY</v>
          </cell>
          <cell r="G165">
            <v>865456</v>
          </cell>
          <cell r="H165">
            <v>865456</v>
          </cell>
          <cell r="I165">
            <v>210.32</v>
          </cell>
          <cell r="J165">
            <v>6924</v>
          </cell>
          <cell r="K165">
            <v>22502</v>
          </cell>
          <cell r="L165">
            <v>17309</v>
          </cell>
          <cell r="M165">
            <v>17309</v>
          </cell>
          <cell r="N165">
            <v>64044</v>
          </cell>
        </row>
        <row r="166">
          <cell r="B166" t="str">
            <v>JM000320</v>
          </cell>
          <cell r="C166" t="str">
            <v>28611192252423ត</v>
          </cell>
          <cell r="D166">
            <v>0</v>
          </cell>
          <cell r="E166" t="str">
            <v>ពៅ ចាន់រ៉ា</v>
          </cell>
          <cell r="F166" t="str">
            <v>POV CHANRA</v>
          </cell>
          <cell r="G166">
            <v>950130</v>
          </cell>
          <cell r="H166">
            <v>950130</v>
          </cell>
          <cell r="I166">
            <v>230.89</v>
          </cell>
          <cell r="J166">
            <v>7601</v>
          </cell>
          <cell r="K166">
            <v>24703</v>
          </cell>
          <cell r="L166">
            <v>19003</v>
          </cell>
          <cell r="M166">
            <v>19003</v>
          </cell>
          <cell r="N166">
            <v>70310</v>
          </cell>
        </row>
        <row r="167">
          <cell r="B167" t="str">
            <v>JM000321</v>
          </cell>
          <cell r="C167" t="str">
            <v>28201160019239ឋ</v>
          </cell>
          <cell r="D167">
            <v>0</v>
          </cell>
          <cell r="E167" t="str">
            <v>អ៊ន់ សុខុម</v>
          </cell>
          <cell r="F167" t="str">
            <v>ORN SOKHOM</v>
          </cell>
          <cell r="G167">
            <v>954245</v>
          </cell>
          <cell r="H167">
            <v>954245</v>
          </cell>
          <cell r="I167">
            <v>231.89</v>
          </cell>
          <cell r="J167">
            <v>7634</v>
          </cell>
          <cell r="K167">
            <v>24810</v>
          </cell>
          <cell r="L167">
            <v>19085</v>
          </cell>
          <cell r="M167">
            <v>19085</v>
          </cell>
          <cell r="N167">
            <v>70614</v>
          </cell>
        </row>
        <row r="168">
          <cell r="B168" t="str">
            <v>JM000324</v>
          </cell>
          <cell r="C168" t="str">
            <v>18502160082662ណ</v>
          </cell>
          <cell r="D168">
            <v>0</v>
          </cell>
          <cell r="E168" t="str">
            <v>ស ប្រុស</v>
          </cell>
          <cell r="F168" t="str">
            <v>SOR BROS</v>
          </cell>
          <cell r="G168">
            <v>945659</v>
          </cell>
          <cell r="H168">
            <v>945659</v>
          </cell>
          <cell r="I168">
            <v>229.81</v>
          </cell>
          <cell r="J168">
            <v>7565</v>
          </cell>
          <cell r="K168">
            <v>24587</v>
          </cell>
          <cell r="L168">
            <v>18913</v>
          </cell>
          <cell r="M168">
            <v>18913</v>
          </cell>
          <cell r="N168">
            <v>69978</v>
          </cell>
        </row>
        <row r="169">
          <cell r="B169" t="str">
            <v>JM000325</v>
          </cell>
          <cell r="C169" t="str">
            <v>29003160084812ឋ</v>
          </cell>
          <cell r="D169">
            <v>0</v>
          </cell>
          <cell r="E169" t="str">
            <v>យឺម សាបាន</v>
          </cell>
          <cell r="F169" t="str">
            <v>YOEM SABAN</v>
          </cell>
          <cell r="G169">
            <v>945659</v>
          </cell>
          <cell r="H169">
            <v>945659</v>
          </cell>
          <cell r="I169">
            <v>229.81</v>
          </cell>
          <cell r="J169">
            <v>7565</v>
          </cell>
          <cell r="K169">
            <v>24587</v>
          </cell>
          <cell r="L169">
            <v>18913</v>
          </cell>
          <cell r="M169">
            <v>18913</v>
          </cell>
          <cell r="N169">
            <v>69978</v>
          </cell>
        </row>
        <row r="170">
          <cell r="B170" t="str">
            <v>JM000326</v>
          </cell>
          <cell r="C170" t="str">
            <v>0</v>
          </cell>
          <cell r="D170">
            <v>0</v>
          </cell>
          <cell r="E170" t="str">
            <v>យឿន ស្រីចន្ធូ</v>
          </cell>
          <cell r="F170" t="str">
            <v>YOEUN THOU</v>
          </cell>
          <cell r="G170">
            <v>929673</v>
          </cell>
          <cell r="H170">
            <v>929673</v>
          </cell>
          <cell r="I170">
            <v>225.92</v>
          </cell>
          <cell r="J170">
            <v>7437</v>
          </cell>
          <cell r="K170">
            <v>24172</v>
          </cell>
          <cell r="L170">
            <v>18593</v>
          </cell>
          <cell r="M170">
            <v>18593</v>
          </cell>
          <cell r="N170">
            <v>68795</v>
          </cell>
        </row>
        <row r="171">
          <cell r="B171" t="str">
            <v>JM000328</v>
          </cell>
          <cell r="C171" t="str">
            <v>28107160139055ណ</v>
          </cell>
          <cell r="D171">
            <v>0</v>
          </cell>
          <cell r="E171" t="str">
            <v>ឈាង ថាវី</v>
          </cell>
          <cell r="F171" t="str">
            <v>CHHEANG THAVY</v>
          </cell>
          <cell r="G171">
            <v>911156</v>
          </cell>
          <cell r="H171">
            <v>911156</v>
          </cell>
          <cell r="I171">
            <v>221.42</v>
          </cell>
          <cell r="J171">
            <v>7289</v>
          </cell>
          <cell r="K171">
            <v>23690</v>
          </cell>
          <cell r="L171">
            <v>18223</v>
          </cell>
          <cell r="M171">
            <v>18223</v>
          </cell>
          <cell r="N171">
            <v>67425</v>
          </cell>
        </row>
        <row r="172">
          <cell r="B172" t="str">
            <v>JM000329</v>
          </cell>
          <cell r="C172" t="str">
            <v>28711160416254ត</v>
          </cell>
          <cell r="D172">
            <v>0</v>
          </cell>
          <cell r="E172" t="str">
            <v>អ៊ួន ចន្ដា</v>
          </cell>
          <cell r="F172" t="str">
            <v>OURN CHANDA</v>
          </cell>
          <cell r="G172">
            <v>911156</v>
          </cell>
          <cell r="H172">
            <v>911156</v>
          </cell>
          <cell r="I172">
            <v>221.42</v>
          </cell>
          <cell r="J172">
            <v>7289</v>
          </cell>
          <cell r="K172">
            <v>23690</v>
          </cell>
          <cell r="L172">
            <v>18223</v>
          </cell>
          <cell r="M172">
            <v>18223</v>
          </cell>
          <cell r="N172">
            <v>67425</v>
          </cell>
        </row>
        <row r="173">
          <cell r="B173" t="str">
            <v>JM000330</v>
          </cell>
          <cell r="C173" t="str">
            <v>28311160445232ញ</v>
          </cell>
          <cell r="D173">
            <v>0</v>
          </cell>
          <cell r="E173" t="str">
            <v>អ៊ិន ហាន</v>
          </cell>
          <cell r="F173" t="str">
            <v>IN HAN</v>
          </cell>
          <cell r="G173">
            <v>895171</v>
          </cell>
          <cell r="H173">
            <v>895171</v>
          </cell>
          <cell r="I173">
            <v>217.54</v>
          </cell>
          <cell r="J173">
            <v>7161</v>
          </cell>
          <cell r="K173">
            <v>23274</v>
          </cell>
          <cell r="L173">
            <v>17903</v>
          </cell>
          <cell r="M173">
            <v>17903</v>
          </cell>
          <cell r="N173">
            <v>66241</v>
          </cell>
        </row>
        <row r="174">
          <cell r="B174" t="str">
            <v>JM000331</v>
          </cell>
          <cell r="C174" t="str">
            <v>29207170844783ស</v>
          </cell>
          <cell r="D174">
            <v>0</v>
          </cell>
          <cell r="E174" t="str">
            <v>សាន់ ស្រីរ័ត្ន</v>
          </cell>
          <cell r="F174" t="str">
            <v>SAN SREYROTH</v>
          </cell>
          <cell r="G174">
            <v>841755</v>
          </cell>
          <cell r="H174">
            <v>841755</v>
          </cell>
          <cell r="I174">
            <v>204.56</v>
          </cell>
          <cell r="J174">
            <v>6734</v>
          </cell>
          <cell r="K174">
            <v>21886</v>
          </cell>
          <cell r="L174">
            <v>16835</v>
          </cell>
          <cell r="M174">
            <v>16835</v>
          </cell>
          <cell r="N174">
            <v>62290</v>
          </cell>
        </row>
        <row r="175">
          <cell r="B175" t="str">
            <v>JM000332</v>
          </cell>
          <cell r="C175" t="str">
            <v>29201160018831ញ</v>
          </cell>
          <cell r="D175">
            <v>0</v>
          </cell>
          <cell r="E175" t="str">
            <v>កយ មុំ</v>
          </cell>
          <cell r="F175" t="str">
            <v>KORY MOM</v>
          </cell>
          <cell r="G175">
            <v>849748</v>
          </cell>
          <cell r="H175">
            <v>849748</v>
          </cell>
          <cell r="I175">
            <v>206.5</v>
          </cell>
          <cell r="J175">
            <v>6798</v>
          </cell>
          <cell r="K175">
            <v>22093</v>
          </cell>
          <cell r="L175">
            <v>16995</v>
          </cell>
          <cell r="M175">
            <v>16995</v>
          </cell>
          <cell r="N175">
            <v>62881</v>
          </cell>
        </row>
        <row r="176">
          <cell r="B176" t="str">
            <v>JM000334</v>
          </cell>
          <cell r="C176" t="str">
            <v>0</v>
          </cell>
          <cell r="D176">
            <v>0</v>
          </cell>
          <cell r="E176" t="str">
            <v>ញឺម សេង</v>
          </cell>
          <cell r="F176" t="str">
            <v>NHOEM SENG</v>
          </cell>
          <cell r="G176">
            <v>929673</v>
          </cell>
          <cell r="H176">
            <v>929673</v>
          </cell>
          <cell r="I176">
            <v>225.92</v>
          </cell>
          <cell r="J176">
            <v>7437</v>
          </cell>
          <cell r="K176">
            <v>24172</v>
          </cell>
          <cell r="L176">
            <v>18593</v>
          </cell>
          <cell r="M176">
            <v>18593</v>
          </cell>
          <cell r="N176">
            <v>68795</v>
          </cell>
        </row>
        <row r="177">
          <cell r="B177" t="str">
            <v>JM000336</v>
          </cell>
          <cell r="C177" t="str">
            <v>29307170854686ក</v>
          </cell>
          <cell r="D177">
            <v>0</v>
          </cell>
          <cell r="E177" t="str">
            <v>មាស រច្ថនា</v>
          </cell>
          <cell r="F177" t="str">
            <v>MEAS RACHANA</v>
          </cell>
          <cell r="G177">
            <v>993773</v>
          </cell>
          <cell r="H177">
            <v>993773</v>
          </cell>
          <cell r="I177">
            <v>241.5</v>
          </cell>
          <cell r="J177">
            <v>7950</v>
          </cell>
          <cell r="K177">
            <v>25838</v>
          </cell>
          <cell r="L177">
            <v>19875</v>
          </cell>
          <cell r="M177">
            <v>19875</v>
          </cell>
          <cell r="N177">
            <v>73538</v>
          </cell>
        </row>
        <row r="178">
          <cell r="B178" t="str">
            <v>JM000337</v>
          </cell>
          <cell r="C178" t="str">
            <v>20110192226254ង</v>
          </cell>
          <cell r="D178">
            <v>0</v>
          </cell>
          <cell r="E178" t="str">
            <v>ខាត់ ស្រីពៅ</v>
          </cell>
          <cell r="F178" t="str">
            <v>KHATH SREYPOV</v>
          </cell>
          <cell r="G178">
            <v>929673</v>
          </cell>
          <cell r="H178">
            <v>929673</v>
          </cell>
          <cell r="I178">
            <v>225.92</v>
          </cell>
          <cell r="J178">
            <v>7437</v>
          </cell>
          <cell r="K178">
            <v>24172</v>
          </cell>
          <cell r="L178">
            <v>18593</v>
          </cell>
          <cell r="M178">
            <v>18593</v>
          </cell>
          <cell r="N178">
            <v>68795</v>
          </cell>
        </row>
        <row r="179">
          <cell r="B179" t="str">
            <v>JM000339</v>
          </cell>
          <cell r="C179" t="str">
            <v>20309222955255ធ</v>
          </cell>
          <cell r="D179">
            <v>0</v>
          </cell>
          <cell r="E179" t="str">
            <v>អ៊ុំ ស្រីមាស</v>
          </cell>
          <cell r="F179" t="str">
            <v>UM SREYMEAS</v>
          </cell>
          <cell r="G179">
            <v>913688</v>
          </cell>
          <cell r="H179">
            <v>913688</v>
          </cell>
          <cell r="I179">
            <v>222.04</v>
          </cell>
          <cell r="J179">
            <v>7310</v>
          </cell>
          <cell r="K179">
            <v>23756</v>
          </cell>
          <cell r="L179">
            <v>18274</v>
          </cell>
          <cell r="M179">
            <v>18274</v>
          </cell>
          <cell r="N179">
            <v>67614</v>
          </cell>
        </row>
        <row r="180">
          <cell r="B180" t="str">
            <v>JM000340</v>
          </cell>
          <cell r="C180" t="str">
            <v>0</v>
          </cell>
          <cell r="D180">
            <v>0</v>
          </cell>
          <cell r="E180" t="str">
            <v>អ៊ឺម បុល</v>
          </cell>
          <cell r="F180" t="str">
            <v>OEM BOL</v>
          </cell>
          <cell r="G180">
            <v>1395302</v>
          </cell>
          <cell r="H180">
            <v>1200000</v>
          </cell>
          <cell r="I180">
            <v>339.08</v>
          </cell>
          <cell r="J180">
            <v>9600</v>
          </cell>
          <cell r="K180">
            <v>31200</v>
          </cell>
          <cell r="L180">
            <v>24000</v>
          </cell>
          <cell r="M180">
            <v>24000</v>
          </cell>
          <cell r="N180">
            <v>88800</v>
          </cell>
        </row>
        <row r="181">
          <cell r="B181" t="str">
            <v>JM000342</v>
          </cell>
          <cell r="C181" t="str">
            <v>28808170867204វ</v>
          </cell>
          <cell r="D181">
            <v>0</v>
          </cell>
          <cell r="E181" t="str">
            <v>ម៉ម សុភ័ក្ដ</v>
          </cell>
          <cell r="F181" t="str">
            <v>MORM SOPHEAK</v>
          </cell>
          <cell r="G181">
            <v>1012923</v>
          </cell>
          <cell r="H181">
            <v>1012923</v>
          </cell>
          <cell r="I181">
            <v>246.15</v>
          </cell>
          <cell r="J181">
            <v>8103</v>
          </cell>
          <cell r="K181">
            <v>26336</v>
          </cell>
          <cell r="L181">
            <v>20258</v>
          </cell>
          <cell r="M181">
            <v>20258</v>
          </cell>
          <cell r="N181">
            <v>74955</v>
          </cell>
        </row>
        <row r="182">
          <cell r="B182" t="str">
            <v>JM000343</v>
          </cell>
          <cell r="C182" t="str">
            <v>29609160253125ធ</v>
          </cell>
          <cell r="D182">
            <v>0</v>
          </cell>
          <cell r="E182" t="str">
            <v>ចយ ស្រីនាង</v>
          </cell>
          <cell r="F182" t="str">
            <v>CHORY SREUMEAMG</v>
          </cell>
          <cell r="G182">
            <v>943126</v>
          </cell>
          <cell r="H182">
            <v>943126</v>
          </cell>
          <cell r="I182">
            <v>229.19</v>
          </cell>
          <cell r="J182">
            <v>7545</v>
          </cell>
          <cell r="K182">
            <v>24521</v>
          </cell>
          <cell r="L182">
            <v>18863</v>
          </cell>
          <cell r="M182">
            <v>18863</v>
          </cell>
          <cell r="N182">
            <v>69792</v>
          </cell>
        </row>
        <row r="183">
          <cell r="B183" t="str">
            <v>JM000344</v>
          </cell>
          <cell r="C183" t="str">
            <v>0</v>
          </cell>
          <cell r="D183">
            <v>0</v>
          </cell>
          <cell r="E183" t="str">
            <v>ម៉ច ឆេមរតនា</v>
          </cell>
          <cell r="F183" t="str">
            <v>MACH CHHEMRATHAN</v>
          </cell>
          <cell r="G183">
            <v>1440250</v>
          </cell>
          <cell r="H183">
            <v>1200000</v>
          </cell>
          <cell r="I183">
            <v>350</v>
          </cell>
          <cell r="J183">
            <v>9600</v>
          </cell>
          <cell r="K183">
            <v>31200</v>
          </cell>
          <cell r="L183">
            <v>24000</v>
          </cell>
          <cell r="M183">
            <v>24000</v>
          </cell>
          <cell r="N183">
            <v>88800</v>
          </cell>
        </row>
        <row r="184">
          <cell r="B184" t="str">
            <v>JM000346</v>
          </cell>
          <cell r="C184" t="str">
            <v>29308160188610ប</v>
          </cell>
          <cell r="D184">
            <v>0</v>
          </cell>
          <cell r="E184" t="str">
            <v>ហ៊ឹម ស្រីនាង</v>
          </cell>
          <cell r="F184" t="str">
            <v>HIM SREYNEANG</v>
          </cell>
          <cell r="G184">
            <v>1012923</v>
          </cell>
          <cell r="H184">
            <v>1012923</v>
          </cell>
          <cell r="I184">
            <v>246.15</v>
          </cell>
          <cell r="J184">
            <v>8103</v>
          </cell>
          <cell r="K184">
            <v>26336</v>
          </cell>
          <cell r="L184">
            <v>20258</v>
          </cell>
          <cell r="M184">
            <v>20258</v>
          </cell>
          <cell r="N184">
            <v>74955</v>
          </cell>
        </row>
        <row r="185">
          <cell r="B185" t="str">
            <v>JM000347</v>
          </cell>
          <cell r="C185" t="str">
            <v>29909170884591ឆ</v>
          </cell>
          <cell r="D185">
            <v>0</v>
          </cell>
          <cell r="E185" t="str">
            <v>អ៊ួន ស្រីធីម</v>
          </cell>
          <cell r="F185" t="str">
            <v>UON SREYTHIM</v>
          </cell>
          <cell r="G185">
            <v>1012923</v>
          </cell>
          <cell r="H185">
            <v>1012923</v>
          </cell>
          <cell r="I185">
            <v>246.15</v>
          </cell>
          <cell r="J185">
            <v>8103</v>
          </cell>
          <cell r="K185">
            <v>26336</v>
          </cell>
          <cell r="L185">
            <v>20258</v>
          </cell>
          <cell r="M185">
            <v>20258</v>
          </cell>
          <cell r="N185">
            <v>74955</v>
          </cell>
        </row>
        <row r="186">
          <cell r="B186" t="str">
            <v>JM000348</v>
          </cell>
          <cell r="C186" t="str">
            <v>0</v>
          </cell>
          <cell r="D186">
            <v>0</v>
          </cell>
          <cell r="E186" t="str">
            <v>វ៉ាន់ ស្រីនិត</v>
          </cell>
          <cell r="F186" t="str">
            <v>VAN SREYNIT</v>
          </cell>
          <cell r="G186">
            <v>959112</v>
          </cell>
          <cell r="H186">
            <v>959112</v>
          </cell>
          <cell r="I186">
            <v>233.08</v>
          </cell>
          <cell r="J186">
            <v>7673</v>
          </cell>
          <cell r="K186">
            <v>24937</v>
          </cell>
          <cell r="L186">
            <v>19182</v>
          </cell>
          <cell r="M186">
            <v>19182</v>
          </cell>
          <cell r="N186">
            <v>70974</v>
          </cell>
        </row>
        <row r="187">
          <cell r="B187" t="str">
            <v>JM000349</v>
          </cell>
          <cell r="C187" t="str">
            <v>28709160315394យ</v>
          </cell>
          <cell r="D187">
            <v>0</v>
          </cell>
          <cell r="E187" t="str">
            <v>ចាន់ សុភ័ក្ដ</v>
          </cell>
          <cell r="F187" t="str">
            <v>CHAN SOPHEAK</v>
          </cell>
          <cell r="G187">
            <v>959112</v>
          </cell>
          <cell r="H187">
            <v>959112</v>
          </cell>
          <cell r="I187">
            <v>233.08</v>
          </cell>
          <cell r="J187">
            <v>7673</v>
          </cell>
          <cell r="K187">
            <v>24937</v>
          </cell>
          <cell r="L187">
            <v>19182</v>
          </cell>
          <cell r="M187">
            <v>19182</v>
          </cell>
          <cell r="N187">
            <v>70974</v>
          </cell>
        </row>
        <row r="188">
          <cell r="B188" t="str">
            <v>JM000350</v>
          </cell>
          <cell r="C188" t="str">
            <v>28508181543292ឃ</v>
          </cell>
          <cell r="D188">
            <v>0</v>
          </cell>
          <cell r="E188" t="str">
            <v>ឈិន ច័ន្ទណា</v>
          </cell>
          <cell r="F188" t="str">
            <v>CHHEN CHANNA</v>
          </cell>
          <cell r="G188">
            <v>889710</v>
          </cell>
          <cell r="H188">
            <v>889710</v>
          </cell>
          <cell r="I188">
            <v>216.21</v>
          </cell>
          <cell r="J188">
            <v>7118</v>
          </cell>
          <cell r="K188">
            <v>23132</v>
          </cell>
          <cell r="L188">
            <v>17794</v>
          </cell>
          <cell r="M188">
            <v>17794</v>
          </cell>
          <cell r="N188">
            <v>65838</v>
          </cell>
        </row>
        <row r="189">
          <cell r="B189" t="str">
            <v>JM000351</v>
          </cell>
          <cell r="C189" t="str">
            <v>28803181325525ប</v>
          </cell>
          <cell r="D189">
            <v>0</v>
          </cell>
          <cell r="E189" t="str">
            <v>ឈឺន សុជាតិ</v>
          </cell>
          <cell r="F189" t="str">
            <v>CHHEUN SOCHET</v>
          </cell>
          <cell r="G189">
            <v>935134</v>
          </cell>
          <cell r="H189">
            <v>935134</v>
          </cell>
          <cell r="I189">
            <v>227.25</v>
          </cell>
          <cell r="J189">
            <v>7481</v>
          </cell>
          <cell r="K189">
            <v>24313</v>
          </cell>
          <cell r="L189">
            <v>18703</v>
          </cell>
          <cell r="M189">
            <v>18703</v>
          </cell>
          <cell r="N189">
            <v>69200</v>
          </cell>
        </row>
        <row r="190">
          <cell r="B190" t="str">
            <v>JM000353</v>
          </cell>
          <cell r="C190" t="str">
            <v>28607160176618រ</v>
          </cell>
          <cell r="D190">
            <v>0</v>
          </cell>
          <cell r="E190" t="str">
            <v>សុគុណ សីហា</v>
          </cell>
          <cell r="F190" t="str">
            <v>SOKUN SEYHA</v>
          </cell>
          <cell r="G190">
            <v>849748</v>
          </cell>
          <cell r="H190">
            <v>849748</v>
          </cell>
          <cell r="I190">
            <v>206.5</v>
          </cell>
          <cell r="J190">
            <v>6798</v>
          </cell>
          <cell r="K190">
            <v>22093</v>
          </cell>
          <cell r="L190">
            <v>16995</v>
          </cell>
          <cell r="M190">
            <v>16995</v>
          </cell>
          <cell r="N190">
            <v>62881</v>
          </cell>
        </row>
        <row r="191">
          <cell r="B191" t="str">
            <v>JM000354</v>
          </cell>
          <cell r="C191" t="str">
            <v>0</v>
          </cell>
          <cell r="D191">
            <v>0</v>
          </cell>
          <cell r="E191" t="str">
            <v>កន ស្រីយ៉ា</v>
          </cell>
          <cell r="F191" t="str">
            <v>KORN SREYYA</v>
          </cell>
          <cell r="G191">
            <v>927141</v>
          </cell>
          <cell r="H191">
            <v>927141</v>
          </cell>
          <cell r="I191">
            <v>225.31</v>
          </cell>
          <cell r="J191">
            <v>7417</v>
          </cell>
          <cell r="K191">
            <v>24106</v>
          </cell>
          <cell r="L191">
            <v>18543</v>
          </cell>
          <cell r="M191">
            <v>18543</v>
          </cell>
          <cell r="N191">
            <v>68609</v>
          </cell>
        </row>
        <row r="192">
          <cell r="B192" t="str">
            <v>JM000355</v>
          </cell>
          <cell r="C192" t="str">
            <v>0</v>
          </cell>
          <cell r="D192">
            <v>0</v>
          </cell>
          <cell r="E192" t="str">
            <v>អែល ស្រីទូច</v>
          </cell>
          <cell r="F192" t="str">
            <v>EL SREYTOUCH</v>
          </cell>
          <cell r="G192">
            <v>841764</v>
          </cell>
          <cell r="H192">
            <v>841764</v>
          </cell>
          <cell r="I192">
            <v>204.56</v>
          </cell>
          <cell r="J192">
            <v>6734</v>
          </cell>
          <cell r="K192">
            <v>21886</v>
          </cell>
          <cell r="L192">
            <v>16835</v>
          </cell>
          <cell r="M192">
            <v>16835</v>
          </cell>
          <cell r="N192">
            <v>62290</v>
          </cell>
        </row>
        <row r="193">
          <cell r="B193" t="str">
            <v>JM000356</v>
          </cell>
          <cell r="C193" t="str">
            <v>0</v>
          </cell>
          <cell r="D193">
            <v>0</v>
          </cell>
          <cell r="E193" t="str">
            <v>ម៉ែន សាវឌី</v>
          </cell>
          <cell r="F193" t="str">
            <v>MEN SAVEDY</v>
          </cell>
          <cell r="G193">
            <v>1246611</v>
          </cell>
          <cell r="H193">
            <v>1200000</v>
          </cell>
          <cell r="I193">
            <v>302.94</v>
          </cell>
          <cell r="J193">
            <v>9600</v>
          </cell>
          <cell r="K193">
            <v>31200</v>
          </cell>
          <cell r="L193">
            <v>24000</v>
          </cell>
          <cell r="M193">
            <v>24000</v>
          </cell>
          <cell r="N193">
            <v>88800</v>
          </cell>
        </row>
        <row r="194">
          <cell r="B194" t="str">
            <v>JM000357</v>
          </cell>
          <cell r="C194" t="str">
            <v>28609160328119ភ</v>
          </cell>
          <cell r="D194">
            <v>0</v>
          </cell>
          <cell r="E194" t="str">
            <v>ខុន សុលីនដា</v>
          </cell>
          <cell r="F194" t="str">
            <v>KHON SOLINDA</v>
          </cell>
          <cell r="G194">
            <v>929673</v>
          </cell>
          <cell r="H194">
            <v>929673</v>
          </cell>
          <cell r="I194">
            <v>225.92</v>
          </cell>
          <cell r="J194">
            <v>7437</v>
          </cell>
          <cell r="K194">
            <v>24172</v>
          </cell>
          <cell r="L194">
            <v>18593</v>
          </cell>
          <cell r="M194">
            <v>18593</v>
          </cell>
          <cell r="N194">
            <v>68795</v>
          </cell>
        </row>
        <row r="195">
          <cell r="B195" t="str">
            <v>JM000358</v>
          </cell>
          <cell r="C195" t="str">
            <v>28712160493469ស</v>
          </cell>
          <cell r="D195">
            <v>0</v>
          </cell>
          <cell r="E195" t="str">
            <v>ម៉ម ខេត</v>
          </cell>
          <cell r="F195" t="str">
            <v>MORM KHET</v>
          </cell>
          <cell r="G195">
            <v>889710</v>
          </cell>
          <cell r="H195">
            <v>889710</v>
          </cell>
          <cell r="I195">
            <v>216.21</v>
          </cell>
          <cell r="J195">
            <v>7118</v>
          </cell>
          <cell r="K195">
            <v>23132</v>
          </cell>
          <cell r="L195">
            <v>17794</v>
          </cell>
          <cell r="M195">
            <v>17794</v>
          </cell>
          <cell r="N195">
            <v>65838</v>
          </cell>
        </row>
        <row r="196">
          <cell r="B196" t="str">
            <v>JM000359</v>
          </cell>
          <cell r="C196" t="str">
            <v>0</v>
          </cell>
          <cell r="D196">
            <v>0</v>
          </cell>
          <cell r="E196" t="str">
            <v>ហោ លីដា</v>
          </cell>
          <cell r="F196" t="str">
            <v>HOR LIDA</v>
          </cell>
          <cell r="G196">
            <v>932206</v>
          </cell>
          <cell r="H196">
            <v>932206</v>
          </cell>
          <cell r="I196">
            <v>226.54</v>
          </cell>
          <cell r="J196">
            <v>7458</v>
          </cell>
          <cell r="K196">
            <v>24237</v>
          </cell>
          <cell r="L196">
            <v>18644</v>
          </cell>
          <cell r="M196">
            <v>18644</v>
          </cell>
          <cell r="N196">
            <v>68983</v>
          </cell>
        </row>
        <row r="197">
          <cell r="B197" t="str">
            <v>JM000360</v>
          </cell>
          <cell r="C197" t="str">
            <v>0</v>
          </cell>
          <cell r="D197">
            <v>0</v>
          </cell>
          <cell r="E197" t="str">
            <v>មុំ ចាន់ថា</v>
          </cell>
          <cell r="F197" t="str">
            <v>MOM CHANTHA</v>
          </cell>
          <cell r="G197">
            <v>811525</v>
          </cell>
          <cell r="H197">
            <v>811525</v>
          </cell>
          <cell r="I197">
            <v>197.21</v>
          </cell>
          <cell r="J197">
            <v>6492</v>
          </cell>
          <cell r="K197">
            <v>21100</v>
          </cell>
          <cell r="L197">
            <v>16231</v>
          </cell>
          <cell r="M197">
            <v>16231</v>
          </cell>
          <cell r="N197">
            <v>60054</v>
          </cell>
        </row>
        <row r="198">
          <cell r="B198" t="str">
            <v>JM000361</v>
          </cell>
          <cell r="C198" t="str">
            <v>28402181281937ភ</v>
          </cell>
          <cell r="D198">
            <v>0</v>
          </cell>
          <cell r="E198" t="str">
            <v>នាង បុល</v>
          </cell>
          <cell r="F198" t="str">
            <v>NEANG BUL</v>
          </cell>
          <cell r="G198">
            <v>811525</v>
          </cell>
          <cell r="H198">
            <v>811525</v>
          </cell>
          <cell r="I198">
            <v>197.21</v>
          </cell>
          <cell r="J198">
            <v>6492</v>
          </cell>
          <cell r="K198">
            <v>21100</v>
          </cell>
          <cell r="L198">
            <v>16231</v>
          </cell>
          <cell r="M198">
            <v>16231</v>
          </cell>
          <cell r="N198">
            <v>60054</v>
          </cell>
        </row>
        <row r="199">
          <cell r="B199" t="str">
            <v>JM000362</v>
          </cell>
          <cell r="C199" t="str">
            <v>28404170716704ធ</v>
          </cell>
          <cell r="D199">
            <v>0</v>
          </cell>
          <cell r="E199" t="str">
            <v>ឃឹម ហន</v>
          </cell>
          <cell r="F199" t="str">
            <v>KHOEM HORN</v>
          </cell>
          <cell r="G199">
            <v>913688</v>
          </cell>
          <cell r="H199">
            <v>913688</v>
          </cell>
          <cell r="I199">
            <v>222.04</v>
          </cell>
          <cell r="J199">
            <v>7310</v>
          </cell>
          <cell r="K199">
            <v>23756</v>
          </cell>
          <cell r="L199">
            <v>18274</v>
          </cell>
          <cell r="M199">
            <v>18274</v>
          </cell>
          <cell r="N199">
            <v>67614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nnual Leave "/>
      <sheetName val="Annual Leave and contract for "/>
    </sheetNames>
    <sheetDataSet>
      <sheetData sheetId="0">
        <row r="7">
          <cell r="B7" t="str">
            <v>JM000002</v>
          </cell>
          <cell r="C7" t="str">
            <v>អុក ​ច្រឹម</v>
          </cell>
          <cell r="D7">
            <v>44642</v>
          </cell>
          <cell r="E7" t="str">
            <v>Cooker</v>
          </cell>
          <cell r="F7" t="str">
            <v>ចុងភោ</v>
          </cell>
          <cell r="G7">
            <v>44866</v>
          </cell>
          <cell r="H7">
            <v>44957</v>
          </cell>
          <cell r="I7">
            <v>3</v>
          </cell>
          <cell r="J7">
            <v>220</v>
          </cell>
          <cell r="K7">
            <v>212.230769230769</v>
          </cell>
          <cell r="L7">
            <v>220</v>
          </cell>
          <cell r="M7">
            <v>652.230769230769</v>
          </cell>
          <cell r="N7">
            <v>32.61</v>
          </cell>
          <cell r="O7">
            <v>4.5</v>
          </cell>
          <cell r="P7">
            <v>37.6286982248521</v>
          </cell>
          <cell r="Q7">
            <v>70.24</v>
          </cell>
        </row>
        <row r="8">
          <cell r="B8" t="str">
            <v>JM000078</v>
          </cell>
          <cell r="C8" t="str">
            <v>ទឹម ចរិយា</v>
          </cell>
          <cell r="D8">
            <v>44726</v>
          </cell>
          <cell r="E8" t="str">
            <v>QC</v>
          </cell>
          <cell r="F8" t="str">
            <v>អ្នកពិនិត្យ</v>
          </cell>
          <cell r="G8">
            <v>44866</v>
          </cell>
          <cell r="H8">
            <v>44957</v>
          </cell>
          <cell r="I8">
            <v>3</v>
          </cell>
          <cell r="J8">
            <v>194</v>
          </cell>
          <cell r="K8">
            <v>236.466346153846</v>
          </cell>
          <cell r="L8">
            <v>210.538461538462</v>
          </cell>
          <cell r="M8">
            <v>641.004807692308</v>
          </cell>
          <cell r="N8">
            <v>32.05</v>
          </cell>
          <cell r="O8">
            <v>4.5</v>
          </cell>
          <cell r="P8">
            <v>36.9810465976331</v>
          </cell>
          <cell r="Q8">
            <v>69.03</v>
          </cell>
        </row>
        <row r="9">
          <cell r="B9" t="str">
            <v>JM000084</v>
          </cell>
          <cell r="C9" t="str">
            <v>នឹំម ស្រីម៉ៅ</v>
          </cell>
          <cell r="D9">
            <v>44726</v>
          </cell>
          <cell r="E9" t="str">
            <v>QC</v>
          </cell>
          <cell r="F9" t="str">
            <v>អ្នកពិនិត្យ</v>
          </cell>
          <cell r="G9">
            <v>44866</v>
          </cell>
          <cell r="H9">
            <v>44957</v>
          </cell>
          <cell r="I9">
            <v>3</v>
          </cell>
          <cell r="J9">
            <v>244.461538461538</v>
          </cell>
          <cell r="K9">
            <v>250.283653846154</v>
          </cell>
          <cell r="L9">
            <v>194</v>
          </cell>
          <cell r="M9">
            <v>688.745192307692</v>
          </cell>
          <cell r="N9">
            <v>34.44</v>
          </cell>
          <cell r="O9">
            <v>4.5</v>
          </cell>
          <cell r="P9">
            <v>39.735299556213</v>
          </cell>
          <cell r="Q9">
            <v>74.18</v>
          </cell>
        </row>
        <row r="10">
          <cell r="B10" t="str">
            <v>JM000085</v>
          </cell>
          <cell r="C10" t="str">
            <v>កែវ សម្ភស័</v>
          </cell>
          <cell r="D10">
            <v>44726</v>
          </cell>
          <cell r="E10" t="str">
            <v>QC</v>
          </cell>
          <cell r="F10" t="str">
            <v>អ្នកពិនិត្យ</v>
          </cell>
          <cell r="G10">
            <v>44866</v>
          </cell>
          <cell r="H10">
            <v>44957</v>
          </cell>
          <cell r="I10">
            <v>3</v>
          </cell>
          <cell r="J10">
            <v>248.384615384615</v>
          </cell>
          <cell r="K10">
            <v>233.942307692308</v>
          </cell>
          <cell r="L10">
            <v>199.730769230769</v>
          </cell>
          <cell r="M10">
            <v>682.057692307692</v>
          </cell>
          <cell r="N10">
            <v>34.1</v>
          </cell>
          <cell r="O10">
            <v>4.5</v>
          </cell>
          <cell r="P10">
            <v>39.3494822485207</v>
          </cell>
          <cell r="Q10">
            <v>73.45</v>
          </cell>
        </row>
        <row r="11">
          <cell r="B11" t="str">
            <v>JM000086</v>
          </cell>
          <cell r="C11" t="str">
            <v>កេន ស្រីពេជ</v>
          </cell>
          <cell r="D11">
            <v>44726</v>
          </cell>
          <cell r="E11" t="str">
            <v>QC</v>
          </cell>
          <cell r="F11" t="str">
            <v>អ្នកពិនិត្យ</v>
          </cell>
          <cell r="G11">
            <v>44866</v>
          </cell>
          <cell r="H11">
            <v>44957</v>
          </cell>
          <cell r="I11">
            <v>3</v>
          </cell>
          <cell r="J11">
            <v>248.384615384615</v>
          </cell>
          <cell r="K11">
            <v>226.721153846154</v>
          </cell>
          <cell r="L11">
            <v>194</v>
          </cell>
          <cell r="M11">
            <v>669.105769230769</v>
          </cell>
          <cell r="N11">
            <v>33.46</v>
          </cell>
          <cell r="O11">
            <v>4.5</v>
          </cell>
          <cell r="P11">
            <v>38.6022559171598</v>
          </cell>
          <cell r="Q11">
            <v>72.06</v>
          </cell>
        </row>
        <row r="12">
          <cell r="B12" t="str">
            <v>JM000088</v>
          </cell>
          <cell r="C12" t="str">
            <v>ឃុត​ ពិសិដ្ធ</v>
          </cell>
          <cell r="D12">
            <v>44726</v>
          </cell>
          <cell r="E12" t="str">
            <v>Engineer</v>
          </cell>
          <cell r="F12" t="str">
            <v>ជាងម៉ាស៊ីន</v>
          </cell>
          <cell r="G12">
            <v>44866</v>
          </cell>
          <cell r="H12">
            <v>44957</v>
          </cell>
          <cell r="I12">
            <v>3</v>
          </cell>
          <cell r="J12">
            <v>385.788461538461</v>
          </cell>
          <cell r="K12">
            <v>366.923076923077</v>
          </cell>
          <cell r="L12">
            <v>368.896153846154</v>
          </cell>
          <cell r="M12">
            <v>1121.60769230769</v>
          </cell>
          <cell r="N12">
            <v>56.08</v>
          </cell>
          <cell r="O12">
            <v>4.5</v>
          </cell>
          <cell r="P12">
            <v>64.7081360946745</v>
          </cell>
          <cell r="Q12">
            <v>120.79</v>
          </cell>
        </row>
        <row r="13">
          <cell r="B13" t="str">
            <v>JM000089</v>
          </cell>
          <cell r="C13" t="str">
            <v>អ៊ឹម ស្រីនូ</v>
          </cell>
          <cell r="D13">
            <v>44726</v>
          </cell>
          <cell r="E13" t="str">
            <v>QC</v>
          </cell>
          <cell r="F13" t="str">
            <v>អ្នកពិនិត្យ</v>
          </cell>
          <cell r="G13">
            <v>44866</v>
          </cell>
          <cell r="H13">
            <v>44957</v>
          </cell>
          <cell r="I13">
            <v>3</v>
          </cell>
          <cell r="J13">
            <v>245.086538461538</v>
          </cell>
          <cell r="K13">
            <v>252.882211538462</v>
          </cell>
          <cell r="L13">
            <v>194</v>
          </cell>
          <cell r="M13">
            <v>691.96875</v>
          </cell>
          <cell r="N13">
            <v>34.6</v>
          </cell>
          <cell r="O13">
            <v>4.5</v>
          </cell>
          <cell r="P13">
            <v>39.9212740384615</v>
          </cell>
          <cell r="Q13">
            <v>74.52</v>
          </cell>
        </row>
        <row r="14">
          <cell r="B14" t="str">
            <v>JM000095</v>
          </cell>
          <cell r="C14" t="str">
            <v>គឹម ឡាន</v>
          </cell>
          <cell r="D14">
            <v>44727</v>
          </cell>
          <cell r="E14" t="str">
            <v>QC</v>
          </cell>
          <cell r="F14" t="str">
            <v>អ្នកពិនិត្យ</v>
          </cell>
          <cell r="G14">
            <v>44866</v>
          </cell>
          <cell r="H14">
            <v>44957</v>
          </cell>
          <cell r="I14">
            <v>3</v>
          </cell>
          <cell r="J14">
            <v>248.384615384615</v>
          </cell>
          <cell r="K14">
            <v>247.634615384615</v>
          </cell>
          <cell r="L14">
            <v>194</v>
          </cell>
          <cell r="M14">
            <v>690.01923076923</v>
          </cell>
          <cell r="N14">
            <v>34.5</v>
          </cell>
          <cell r="O14">
            <v>4.5</v>
          </cell>
          <cell r="P14">
            <v>39.8088017751479</v>
          </cell>
          <cell r="Q14">
            <v>74.31</v>
          </cell>
        </row>
        <row r="15">
          <cell r="B15" t="str">
            <v>JM000097</v>
          </cell>
          <cell r="C15" t="str">
            <v>នាង សម្ផស្ស</v>
          </cell>
          <cell r="D15">
            <v>44727</v>
          </cell>
          <cell r="E15" t="str">
            <v>QC</v>
          </cell>
          <cell r="F15" t="str">
            <v>អ្នកពិនិត្យ</v>
          </cell>
          <cell r="G15">
            <v>44866</v>
          </cell>
          <cell r="H15">
            <v>44957</v>
          </cell>
          <cell r="I15">
            <v>3</v>
          </cell>
          <cell r="J15">
            <v>244.461538461538</v>
          </cell>
          <cell r="K15">
            <v>252.882211538462</v>
          </cell>
          <cell r="L15">
            <v>195.692307692308</v>
          </cell>
          <cell r="M15">
            <v>693.036057692308</v>
          </cell>
          <cell r="N15">
            <v>34.65</v>
          </cell>
          <cell r="O15">
            <v>4.5</v>
          </cell>
          <cell r="P15">
            <v>39.9828494822485</v>
          </cell>
          <cell r="Q15">
            <v>74.63</v>
          </cell>
        </row>
        <row r="16">
          <cell r="B16" t="str">
            <v>JM000098</v>
          </cell>
          <cell r="C16" t="str">
            <v>នួន សារេត</v>
          </cell>
          <cell r="D16">
            <v>44727</v>
          </cell>
          <cell r="E16" t="str">
            <v>QC</v>
          </cell>
          <cell r="F16" t="str">
            <v>អ្នកពិនិត្យ</v>
          </cell>
          <cell r="G16">
            <v>44866</v>
          </cell>
          <cell r="H16">
            <v>44957</v>
          </cell>
          <cell r="I16">
            <v>3</v>
          </cell>
          <cell r="J16">
            <v>248.384615384615</v>
          </cell>
          <cell r="K16">
            <v>255.480769230769</v>
          </cell>
          <cell r="L16">
            <v>194</v>
          </cell>
          <cell r="M16">
            <v>697.865384615384</v>
          </cell>
          <cell r="N16">
            <v>34.89</v>
          </cell>
          <cell r="O16">
            <v>4.5</v>
          </cell>
          <cell r="P16">
            <v>40.2614644970414</v>
          </cell>
          <cell r="Q16">
            <v>75.15</v>
          </cell>
        </row>
        <row r="17">
          <cell r="B17" t="str">
            <v>JM000106</v>
          </cell>
          <cell r="C17" t="str">
            <v>ដុង វណ្ណឌី</v>
          </cell>
          <cell r="D17">
            <v>44727</v>
          </cell>
          <cell r="E17" t="str">
            <v>Ironer</v>
          </cell>
          <cell r="F17" t="str">
            <v>អ្នកអ៊ុត</v>
          </cell>
          <cell r="G17">
            <v>44866</v>
          </cell>
          <cell r="H17">
            <v>44957</v>
          </cell>
          <cell r="I17">
            <v>3</v>
          </cell>
          <cell r="J17">
            <v>248.384615384615</v>
          </cell>
          <cell r="K17">
            <v>240.038461538462</v>
          </cell>
          <cell r="L17">
            <v>194</v>
          </cell>
          <cell r="M17">
            <v>682.423076923077</v>
          </cell>
          <cell r="N17">
            <v>34.12</v>
          </cell>
          <cell r="O17">
            <v>4.5</v>
          </cell>
          <cell r="P17">
            <v>39.3705621301775</v>
          </cell>
          <cell r="Q17">
            <v>73.49</v>
          </cell>
        </row>
        <row r="18">
          <cell r="B18" t="str">
            <v>JM000107</v>
          </cell>
          <cell r="C18" t="str">
            <v>ដុល ពឿន</v>
          </cell>
          <cell r="D18">
            <v>44727</v>
          </cell>
          <cell r="E18" t="str">
            <v>Ironer</v>
          </cell>
          <cell r="F18" t="str">
            <v>អ្នកអ៊ុត</v>
          </cell>
          <cell r="G18">
            <v>44866</v>
          </cell>
          <cell r="H18">
            <v>44957</v>
          </cell>
          <cell r="I18">
            <v>3</v>
          </cell>
          <cell r="J18">
            <v>245.086538461538</v>
          </cell>
          <cell r="K18">
            <v>247.685096153846</v>
          </cell>
          <cell r="L18">
            <v>204.903846153846</v>
          </cell>
          <cell r="M18">
            <v>697.67548076923</v>
          </cell>
          <cell r="N18">
            <v>34.88</v>
          </cell>
          <cell r="O18">
            <v>4.5</v>
          </cell>
          <cell r="P18">
            <v>40.2505085059171</v>
          </cell>
          <cell r="Q18">
            <v>75.13</v>
          </cell>
        </row>
        <row r="19">
          <cell r="B19" t="str">
            <v>JM000108</v>
          </cell>
          <cell r="C19" t="str">
            <v>ខឹម មុត</v>
          </cell>
          <cell r="D19">
            <v>44727</v>
          </cell>
          <cell r="E19" t="str">
            <v>Ironer</v>
          </cell>
          <cell r="F19" t="str">
            <v>អ្នកអ៊ុត</v>
          </cell>
          <cell r="G19">
            <v>44866</v>
          </cell>
          <cell r="H19">
            <v>44957</v>
          </cell>
          <cell r="I19">
            <v>3</v>
          </cell>
          <cell r="J19">
            <v>248.384615384615</v>
          </cell>
          <cell r="K19">
            <v>256.180288461538</v>
          </cell>
          <cell r="L19">
            <v>194</v>
          </cell>
          <cell r="M19">
            <v>698.564903846153</v>
          </cell>
          <cell r="N19">
            <v>34.93</v>
          </cell>
          <cell r="O19">
            <v>4.5</v>
          </cell>
          <cell r="P19">
            <v>40.3018213757396</v>
          </cell>
          <cell r="Q19">
            <v>75.23</v>
          </cell>
        </row>
        <row r="20">
          <cell r="B20" t="str">
            <v>JM000113</v>
          </cell>
          <cell r="C20" t="str">
            <v>ជិន វន</v>
          </cell>
          <cell r="D20">
            <v>44729</v>
          </cell>
          <cell r="E20" t="str">
            <v>Leader</v>
          </cell>
          <cell r="F20" t="str">
            <v>ប្រធានអ៊ុត</v>
          </cell>
          <cell r="G20">
            <v>44866</v>
          </cell>
          <cell r="H20">
            <v>44957</v>
          </cell>
          <cell r="I20">
            <v>3</v>
          </cell>
          <cell r="J20">
            <v>305.076923076923</v>
          </cell>
          <cell r="K20">
            <v>306.519230769231</v>
          </cell>
          <cell r="L20">
            <v>249.941538461538</v>
          </cell>
          <cell r="M20">
            <v>861.537692307693</v>
          </cell>
          <cell r="N20">
            <v>43.08</v>
          </cell>
          <cell r="O20">
            <v>4.5</v>
          </cell>
          <cell r="P20">
            <v>49.7040976331361</v>
          </cell>
          <cell r="Q20">
            <v>92.78</v>
          </cell>
        </row>
        <row r="21">
          <cell r="B21" t="str">
            <v>JM000121</v>
          </cell>
          <cell r="C21" t="str">
            <v>យ៉ាង ផល្លី</v>
          </cell>
          <cell r="D21">
            <v>44729</v>
          </cell>
          <cell r="E21" t="str">
            <v>PK</v>
          </cell>
          <cell r="F21" t="str">
            <v>អ្នកវេចខ្ចប់</v>
          </cell>
          <cell r="G21">
            <v>44866</v>
          </cell>
          <cell r="H21">
            <v>44957</v>
          </cell>
          <cell r="I21">
            <v>3</v>
          </cell>
          <cell r="J21">
            <v>241.163461538462</v>
          </cell>
          <cell r="K21">
            <v>231.894230769231</v>
          </cell>
          <cell r="L21">
            <v>194</v>
          </cell>
          <cell r="M21">
            <v>667.057692307693</v>
          </cell>
          <cell r="N21">
            <v>33.35</v>
          </cell>
          <cell r="O21">
            <v>4.5</v>
          </cell>
          <cell r="P21">
            <v>38.4840976331361</v>
          </cell>
          <cell r="Q21">
            <v>71.83</v>
          </cell>
        </row>
        <row r="22">
          <cell r="B22" t="str">
            <v>JM000122</v>
          </cell>
          <cell r="C22" t="str">
            <v>ស៊ុន ស្រីនី</v>
          </cell>
          <cell r="D22">
            <v>44729</v>
          </cell>
          <cell r="E22" t="str">
            <v>PK</v>
          </cell>
          <cell r="F22" t="str">
            <v>អ្នកវេចខ្ចប់</v>
          </cell>
          <cell r="G22">
            <v>44866</v>
          </cell>
          <cell r="H22">
            <v>44957</v>
          </cell>
          <cell r="I22">
            <v>3</v>
          </cell>
          <cell r="J22">
            <v>229.394230769231</v>
          </cell>
          <cell r="K22">
            <v>208.355769230769</v>
          </cell>
          <cell r="L22">
            <v>194</v>
          </cell>
          <cell r="M22">
            <v>631.75</v>
          </cell>
          <cell r="N22">
            <v>31.59</v>
          </cell>
          <cell r="O22">
            <v>4.5</v>
          </cell>
          <cell r="P22">
            <v>36.4471153846154</v>
          </cell>
          <cell r="Q22">
            <v>68.04</v>
          </cell>
        </row>
        <row r="23">
          <cell r="B23" t="str">
            <v>JM000125</v>
          </cell>
          <cell r="C23" t="str">
            <v>យិន ស្រីនឿន</v>
          </cell>
          <cell r="D23">
            <v>44729</v>
          </cell>
          <cell r="E23" t="str">
            <v>PK</v>
          </cell>
          <cell r="F23" t="str">
            <v>អ្នកវេចខ្ចប់</v>
          </cell>
          <cell r="G23">
            <v>44866</v>
          </cell>
          <cell r="H23">
            <v>44957</v>
          </cell>
          <cell r="I23">
            <v>3</v>
          </cell>
          <cell r="J23">
            <v>233.942307692308</v>
          </cell>
          <cell r="K23">
            <v>248.384615384615</v>
          </cell>
          <cell r="L23">
            <v>194</v>
          </cell>
          <cell r="M23">
            <v>676.326923076923</v>
          </cell>
          <cell r="N23">
            <v>33.82</v>
          </cell>
          <cell r="O23">
            <v>4.5</v>
          </cell>
          <cell r="P23">
            <v>39.0188609467456</v>
          </cell>
          <cell r="Q23">
            <v>72.84</v>
          </cell>
        </row>
        <row r="24">
          <cell r="B24" t="str">
            <v>JM000126</v>
          </cell>
          <cell r="C24" t="str">
            <v>អូន ដានី</v>
          </cell>
          <cell r="D24">
            <v>44729</v>
          </cell>
          <cell r="E24" t="str">
            <v>PK</v>
          </cell>
          <cell r="F24" t="str">
            <v>អ្នកវេចខ្ចប់</v>
          </cell>
          <cell r="G24">
            <v>44866</v>
          </cell>
          <cell r="H24">
            <v>44957</v>
          </cell>
          <cell r="I24">
            <v>3</v>
          </cell>
          <cell r="J24">
            <v>240.538461538462</v>
          </cell>
          <cell r="K24">
            <v>227.346153846154</v>
          </cell>
          <cell r="L24">
            <v>209.221153846154</v>
          </cell>
          <cell r="M24">
            <v>677.10576923077</v>
          </cell>
          <cell r="N24">
            <v>33.86</v>
          </cell>
          <cell r="O24">
            <v>4.5</v>
          </cell>
          <cell r="P24">
            <v>39.0637943786983</v>
          </cell>
          <cell r="Q24">
            <v>72.92</v>
          </cell>
        </row>
        <row r="25">
          <cell r="B25" t="str">
            <v>JM000130</v>
          </cell>
          <cell r="C25" t="str">
            <v>អ៊ុន រ៉ុម</v>
          </cell>
          <cell r="D25">
            <v>44729</v>
          </cell>
          <cell r="E25" t="str">
            <v>PK</v>
          </cell>
          <cell r="F25" t="str">
            <v>វេចខ្ចប់</v>
          </cell>
          <cell r="G25">
            <v>44866</v>
          </cell>
          <cell r="H25">
            <v>44957</v>
          </cell>
          <cell r="I25">
            <v>3</v>
          </cell>
          <cell r="J25">
            <v>237.240384615385</v>
          </cell>
          <cell r="K25">
            <v>235.990384615385</v>
          </cell>
          <cell r="L25">
            <v>194</v>
          </cell>
          <cell r="M25">
            <v>667.23076923077</v>
          </cell>
          <cell r="N25">
            <v>33.36</v>
          </cell>
          <cell r="O25">
            <v>4.5</v>
          </cell>
          <cell r="P25">
            <v>38.4940828402367</v>
          </cell>
          <cell r="Q25">
            <v>71.85</v>
          </cell>
        </row>
        <row r="26">
          <cell r="B26" t="str">
            <v>JM000133</v>
          </cell>
          <cell r="C26" t="str">
            <v>ដាំ កុលធីដា</v>
          </cell>
          <cell r="D26">
            <v>44732</v>
          </cell>
          <cell r="E26" t="str">
            <v>A04</v>
          </cell>
          <cell r="F26" t="str">
            <v>ប្រធាន</v>
          </cell>
          <cell r="G26">
            <v>44866</v>
          </cell>
          <cell r="H26">
            <v>44957</v>
          </cell>
          <cell r="I26">
            <v>3</v>
          </cell>
          <cell r="J26">
            <v>290.865384615385</v>
          </cell>
          <cell r="K26">
            <v>290.730769230769</v>
          </cell>
          <cell r="L26">
            <v>309.961538461538</v>
          </cell>
          <cell r="M26">
            <v>891.557692307692</v>
          </cell>
          <cell r="N26">
            <v>44.58</v>
          </cell>
          <cell r="O26">
            <v>4.5</v>
          </cell>
          <cell r="P26">
            <v>51.4360207100592</v>
          </cell>
          <cell r="Q26">
            <v>96.02</v>
          </cell>
        </row>
        <row r="27">
          <cell r="B27" t="str">
            <v>JM000134</v>
          </cell>
          <cell r="C27" t="str">
            <v>មុំ ចាន់ថូ</v>
          </cell>
          <cell r="D27">
            <v>44732</v>
          </cell>
          <cell r="E27" t="str">
            <v>A03</v>
          </cell>
          <cell r="F27" t="str">
            <v>ដេរ</v>
          </cell>
          <cell r="G27">
            <v>44866</v>
          </cell>
          <cell r="H27">
            <v>44957</v>
          </cell>
          <cell r="I27">
            <v>3</v>
          </cell>
          <cell r="J27">
            <v>256.254807692308</v>
          </cell>
          <cell r="K27">
            <v>204.432692307692</v>
          </cell>
          <cell r="L27">
            <v>220.807692307692</v>
          </cell>
          <cell r="M27">
            <v>681.495192307692</v>
          </cell>
          <cell r="N27">
            <v>34.07</v>
          </cell>
          <cell r="O27">
            <v>1.5</v>
          </cell>
          <cell r="P27">
            <v>13.1056767751479</v>
          </cell>
          <cell r="Q27">
            <v>47.18</v>
          </cell>
        </row>
        <row r="28">
          <cell r="B28" t="str">
            <v>JM000138</v>
          </cell>
          <cell r="C28" t="str">
            <v>ជន ប៉ុនថន</v>
          </cell>
          <cell r="D28">
            <v>44732</v>
          </cell>
          <cell r="E28" t="str">
            <v>A03</v>
          </cell>
          <cell r="F28" t="str">
            <v>ដេរ</v>
          </cell>
          <cell r="G28">
            <v>44866</v>
          </cell>
          <cell r="H28">
            <v>44957</v>
          </cell>
          <cell r="I28">
            <v>3</v>
          </cell>
          <cell r="J28">
            <v>241.8125</v>
          </cell>
          <cell r="K28">
            <v>208.355769230769</v>
          </cell>
          <cell r="L28">
            <v>218.788461538462</v>
          </cell>
          <cell r="M28">
            <v>668.95673076923</v>
          </cell>
          <cell r="N28">
            <v>33.45</v>
          </cell>
          <cell r="O28">
            <v>1.5</v>
          </cell>
          <cell r="P28">
            <v>12.8645525147929</v>
          </cell>
          <cell r="Q28">
            <v>46.31</v>
          </cell>
        </row>
        <row r="29">
          <cell r="B29" t="str">
            <v>JM000139</v>
          </cell>
          <cell r="C29" t="str">
            <v>ជិន ស្រីពៅ</v>
          </cell>
          <cell r="D29">
            <v>44732</v>
          </cell>
          <cell r="E29" t="str">
            <v>A03</v>
          </cell>
          <cell r="F29" t="str">
            <v>ដេរ</v>
          </cell>
          <cell r="G29">
            <v>44866</v>
          </cell>
          <cell r="H29">
            <v>44957</v>
          </cell>
          <cell r="I29">
            <v>3</v>
          </cell>
          <cell r="J29">
            <v>235.990384615385</v>
          </cell>
          <cell r="K29">
            <v>204.432692307692</v>
          </cell>
          <cell r="L29">
            <v>239.576923076923</v>
          </cell>
          <cell r="M29">
            <v>680</v>
          </cell>
          <cell r="N29">
            <v>34</v>
          </cell>
          <cell r="O29">
            <v>0.5</v>
          </cell>
          <cell r="P29">
            <v>4.35897435897436</v>
          </cell>
          <cell r="Q29">
            <v>38.36</v>
          </cell>
        </row>
        <row r="30">
          <cell r="B30" t="str">
            <v>JM000145</v>
          </cell>
          <cell r="C30" t="str">
            <v>ផាត វ៉ាន់នី</v>
          </cell>
          <cell r="D30">
            <v>44732</v>
          </cell>
          <cell r="E30" t="str">
            <v>A03</v>
          </cell>
          <cell r="F30" t="str">
            <v>ដេរ</v>
          </cell>
          <cell r="G30">
            <v>44866</v>
          </cell>
          <cell r="H30">
            <v>44957</v>
          </cell>
          <cell r="I30">
            <v>3</v>
          </cell>
          <cell r="J30">
            <v>205.230769230769</v>
          </cell>
          <cell r="K30">
            <v>210.317307692308</v>
          </cell>
          <cell r="L30">
            <v>194</v>
          </cell>
          <cell r="M30">
            <v>609.548076923077</v>
          </cell>
          <cell r="N30">
            <v>30.48</v>
          </cell>
          <cell r="O30">
            <v>1.5</v>
          </cell>
          <cell r="P30">
            <v>11.7220784023669</v>
          </cell>
          <cell r="Q30">
            <v>42.2</v>
          </cell>
        </row>
        <row r="31">
          <cell r="B31" t="str">
            <v>JM000146</v>
          </cell>
          <cell r="C31" t="str">
            <v>នាង ស្រីប៉ុល</v>
          </cell>
          <cell r="D31">
            <v>44732</v>
          </cell>
          <cell r="E31" t="str">
            <v>A03</v>
          </cell>
          <cell r="F31" t="str">
            <v>ដេរ</v>
          </cell>
          <cell r="G31">
            <v>44866</v>
          </cell>
          <cell r="H31">
            <v>44957</v>
          </cell>
          <cell r="I31">
            <v>3</v>
          </cell>
          <cell r="J31">
            <v>249.033653846154</v>
          </cell>
          <cell r="K31">
            <v>208.355769230769</v>
          </cell>
          <cell r="L31">
            <v>220.807692307692</v>
          </cell>
          <cell r="M31">
            <v>678.197115384615</v>
          </cell>
          <cell r="N31">
            <v>33.91</v>
          </cell>
          <cell r="O31">
            <v>4.5</v>
          </cell>
          <cell r="P31">
            <v>39.1267566568047</v>
          </cell>
          <cell r="Q31">
            <v>73.04</v>
          </cell>
        </row>
        <row r="32">
          <cell r="B32" t="str">
            <v>JM000147</v>
          </cell>
          <cell r="C32" t="str">
            <v>សៀក លុន</v>
          </cell>
          <cell r="D32">
            <v>44732</v>
          </cell>
          <cell r="E32" t="str">
            <v>A03</v>
          </cell>
          <cell r="F32" t="str">
            <v>ដេរ</v>
          </cell>
          <cell r="G32">
            <v>44866</v>
          </cell>
          <cell r="H32">
            <v>44957</v>
          </cell>
          <cell r="I32">
            <v>3</v>
          </cell>
          <cell r="J32">
            <v>235.990384615385</v>
          </cell>
          <cell r="K32">
            <v>194</v>
          </cell>
          <cell r="L32">
            <v>226.807692307692</v>
          </cell>
          <cell r="M32">
            <v>656.798076923077</v>
          </cell>
          <cell r="N32">
            <v>32.84</v>
          </cell>
          <cell r="O32">
            <v>0.5</v>
          </cell>
          <cell r="P32">
            <v>4.21024408284024</v>
          </cell>
          <cell r="Q32">
            <v>37.05</v>
          </cell>
        </row>
        <row r="33">
          <cell r="B33" t="str">
            <v>JM000151</v>
          </cell>
          <cell r="C33" t="str">
            <v>ញ៉ សារ៉ាន់</v>
          </cell>
          <cell r="D33">
            <v>44732</v>
          </cell>
          <cell r="E33" t="str">
            <v>A04</v>
          </cell>
          <cell r="F33" t="str">
            <v>ដេរ</v>
          </cell>
          <cell r="G33">
            <v>44866</v>
          </cell>
          <cell r="H33">
            <v>44957</v>
          </cell>
          <cell r="I33">
            <v>3</v>
          </cell>
          <cell r="J33">
            <v>249.033653846154</v>
          </cell>
          <cell r="K33">
            <v>210.317307692308</v>
          </cell>
          <cell r="L33">
            <v>224.076923076923</v>
          </cell>
          <cell r="M33">
            <v>683.427884615385</v>
          </cell>
          <cell r="N33">
            <v>34.17</v>
          </cell>
          <cell r="O33">
            <v>1.5</v>
          </cell>
          <cell r="P33">
            <v>13.1428439349113</v>
          </cell>
          <cell r="Q33">
            <v>47.31</v>
          </cell>
        </row>
        <row r="34">
          <cell r="B34" t="str">
            <v>JM000152</v>
          </cell>
          <cell r="C34" t="str">
            <v>សេន ឆវី</v>
          </cell>
          <cell r="D34">
            <v>44732</v>
          </cell>
          <cell r="E34" t="str">
            <v>A04</v>
          </cell>
          <cell r="F34" t="str">
            <v>ដេរ</v>
          </cell>
          <cell r="G34">
            <v>44866</v>
          </cell>
          <cell r="H34">
            <v>44957</v>
          </cell>
          <cell r="I34">
            <v>3</v>
          </cell>
          <cell r="J34">
            <v>256.254807692308</v>
          </cell>
          <cell r="K34">
            <v>210.317307692308</v>
          </cell>
          <cell r="L34">
            <v>217.307692307692</v>
          </cell>
          <cell r="M34">
            <v>683.879807692308</v>
          </cell>
          <cell r="N34">
            <v>34.19</v>
          </cell>
          <cell r="O34">
            <v>1.5</v>
          </cell>
          <cell r="P34">
            <v>13.1515347633136</v>
          </cell>
          <cell r="Q34">
            <v>47.34</v>
          </cell>
        </row>
        <row r="35">
          <cell r="B35" t="str">
            <v>JM000153</v>
          </cell>
          <cell r="C35" t="str">
            <v>ទូច ស្រីអីន</v>
          </cell>
          <cell r="D35">
            <v>44732</v>
          </cell>
          <cell r="E35" t="str">
            <v>A04</v>
          </cell>
          <cell r="F35" t="str">
            <v>ដេរ</v>
          </cell>
          <cell r="G35">
            <v>44866</v>
          </cell>
          <cell r="H35">
            <v>44957</v>
          </cell>
          <cell r="I35">
            <v>3</v>
          </cell>
          <cell r="J35">
            <v>252.956730769231</v>
          </cell>
          <cell r="K35">
            <v>210.317307692308</v>
          </cell>
          <cell r="L35">
            <v>194</v>
          </cell>
          <cell r="M35">
            <v>657.274038461539</v>
          </cell>
          <cell r="N35">
            <v>32.86</v>
          </cell>
          <cell r="O35">
            <v>3.5</v>
          </cell>
          <cell r="P35">
            <v>29.4930658284024</v>
          </cell>
          <cell r="Q35">
            <v>62.35</v>
          </cell>
        </row>
        <row r="36">
          <cell r="B36" t="str">
            <v>JM000156</v>
          </cell>
          <cell r="C36" t="str">
            <v>ទុយ ស្រីមុំ</v>
          </cell>
          <cell r="D36">
            <v>44732</v>
          </cell>
          <cell r="E36" t="str">
            <v>PK</v>
          </cell>
          <cell r="F36" t="str">
            <v>អ្នកវេចខ្ចប់</v>
          </cell>
          <cell r="G36">
            <v>44866</v>
          </cell>
          <cell r="H36">
            <v>44957</v>
          </cell>
          <cell r="I36">
            <v>3</v>
          </cell>
          <cell r="J36">
            <v>241.163461538462</v>
          </cell>
          <cell r="K36">
            <v>247.134615384615</v>
          </cell>
          <cell r="L36">
            <v>236.576923076923</v>
          </cell>
          <cell r="M36">
            <v>724.875</v>
          </cell>
          <cell r="N36">
            <v>36.24</v>
          </cell>
          <cell r="O36">
            <v>4.5</v>
          </cell>
          <cell r="P36">
            <v>41.8197115384615</v>
          </cell>
          <cell r="Q36">
            <v>78.06</v>
          </cell>
        </row>
        <row r="37">
          <cell r="B37" t="str">
            <v>JM000157</v>
          </cell>
          <cell r="C37" t="str">
            <v>ណៃ សីហា</v>
          </cell>
          <cell r="D37">
            <v>44732</v>
          </cell>
          <cell r="E37" t="str">
            <v>PK</v>
          </cell>
          <cell r="F37" t="str">
            <v>អ្នកវេចខ្ចប់</v>
          </cell>
          <cell r="G37">
            <v>44866</v>
          </cell>
          <cell r="H37">
            <v>44957</v>
          </cell>
          <cell r="I37">
            <v>3</v>
          </cell>
          <cell r="J37">
            <v>237.240384615385</v>
          </cell>
          <cell r="K37">
            <v>224.048076923077</v>
          </cell>
          <cell r="L37">
            <v>194.384615384615</v>
          </cell>
          <cell r="M37">
            <v>655.673076923077</v>
          </cell>
          <cell r="N37">
            <v>32.78</v>
          </cell>
          <cell r="O37">
            <v>4.5</v>
          </cell>
          <cell r="P37">
            <v>37.8272928994083</v>
          </cell>
          <cell r="Q37">
            <v>70.61</v>
          </cell>
        </row>
        <row r="38">
          <cell r="B38" t="str">
            <v>JM000158</v>
          </cell>
          <cell r="C38" t="str">
            <v>នាង សាវឿន</v>
          </cell>
          <cell r="D38">
            <v>44732</v>
          </cell>
          <cell r="E38" t="str">
            <v>PK</v>
          </cell>
          <cell r="F38" t="str">
            <v>អ្នកវេចខ្ចប់</v>
          </cell>
          <cell r="G38">
            <v>44866</v>
          </cell>
          <cell r="H38">
            <v>44957</v>
          </cell>
          <cell r="I38">
            <v>3</v>
          </cell>
          <cell r="J38">
            <v>245.086538461538</v>
          </cell>
          <cell r="K38">
            <v>235.192307692308</v>
          </cell>
          <cell r="L38">
            <v>194</v>
          </cell>
          <cell r="M38">
            <v>674.278846153846</v>
          </cell>
          <cell r="N38">
            <v>33.71</v>
          </cell>
          <cell r="O38">
            <v>4.5</v>
          </cell>
          <cell r="P38">
            <v>38.9007026627219</v>
          </cell>
          <cell r="Q38">
            <v>72.61</v>
          </cell>
        </row>
        <row r="39">
          <cell r="B39" t="str">
            <v>JM000162</v>
          </cell>
          <cell r="C39" t="str">
            <v>តូច ផ្កាយព្រឹក</v>
          </cell>
          <cell r="D39">
            <v>44732</v>
          </cell>
          <cell r="E39" t="str">
            <v>CT</v>
          </cell>
          <cell r="F39" t="str">
            <v>តុកាត់</v>
          </cell>
          <cell r="G39">
            <v>44866</v>
          </cell>
          <cell r="H39">
            <v>44957</v>
          </cell>
          <cell r="I39">
            <v>3</v>
          </cell>
          <cell r="J39">
            <v>238.490384615385</v>
          </cell>
          <cell r="K39">
            <v>237.240384615385</v>
          </cell>
          <cell r="L39">
            <v>231.442307692308</v>
          </cell>
          <cell r="M39">
            <v>707.173076923078</v>
          </cell>
          <cell r="N39">
            <v>35.36</v>
          </cell>
          <cell r="O39">
            <v>4.5</v>
          </cell>
          <cell r="P39">
            <v>40.7984467455622</v>
          </cell>
          <cell r="Q39">
            <v>76.16</v>
          </cell>
        </row>
        <row r="40">
          <cell r="B40" t="str">
            <v>JM000163</v>
          </cell>
          <cell r="C40" t="str">
            <v>ណៃ មីណា</v>
          </cell>
          <cell r="D40">
            <v>44732</v>
          </cell>
          <cell r="E40" t="str">
            <v>PK</v>
          </cell>
          <cell r="F40" t="str">
            <v>អ្នកវេចខ្ចប់</v>
          </cell>
          <cell r="G40">
            <v>44866</v>
          </cell>
          <cell r="H40">
            <v>44957</v>
          </cell>
          <cell r="I40">
            <v>3</v>
          </cell>
          <cell r="J40">
            <v>243.0625</v>
          </cell>
          <cell r="K40">
            <v>256.629807692308</v>
          </cell>
          <cell r="L40">
            <v>203.75</v>
          </cell>
          <cell r="M40">
            <v>703.442307692308</v>
          </cell>
          <cell r="N40">
            <v>35.17</v>
          </cell>
          <cell r="O40">
            <v>4.5</v>
          </cell>
          <cell r="P40">
            <v>40.5832100591716</v>
          </cell>
          <cell r="Q40">
            <v>75.75</v>
          </cell>
        </row>
        <row r="41">
          <cell r="B41" t="str">
            <v>JM000164</v>
          </cell>
          <cell r="C41" t="str">
            <v>អ៊ុំ សំម៉ឺន</v>
          </cell>
          <cell r="D41">
            <v>44732</v>
          </cell>
          <cell r="E41" t="str">
            <v>Ironer</v>
          </cell>
          <cell r="F41" t="str">
            <v>អ្នកវេចខ្ចប់</v>
          </cell>
          <cell r="G41">
            <v>44866</v>
          </cell>
          <cell r="H41">
            <v>44957</v>
          </cell>
          <cell r="I41">
            <v>3</v>
          </cell>
          <cell r="J41">
            <v>233.317307692308</v>
          </cell>
          <cell r="K41">
            <v>226.096153846154</v>
          </cell>
          <cell r="L41">
            <v>194</v>
          </cell>
          <cell r="M41">
            <v>653.413461538462</v>
          </cell>
          <cell r="N41">
            <v>32.67</v>
          </cell>
          <cell r="O41">
            <v>4.5</v>
          </cell>
          <cell r="P41">
            <v>37.6969304733728</v>
          </cell>
          <cell r="Q41">
            <v>70.37</v>
          </cell>
        </row>
        <row r="42">
          <cell r="B42" t="str">
            <v>JM000168</v>
          </cell>
          <cell r="C42" t="str">
            <v>ប្រាក់ ទូច</v>
          </cell>
          <cell r="D42">
            <v>44733</v>
          </cell>
          <cell r="E42" t="str">
            <v>A04</v>
          </cell>
          <cell r="F42" t="str">
            <v>ដេរ</v>
          </cell>
          <cell r="G42">
            <v>44866</v>
          </cell>
          <cell r="H42">
            <v>44957</v>
          </cell>
          <cell r="I42">
            <v>3</v>
          </cell>
          <cell r="J42">
            <v>235.990384615385</v>
          </cell>
          <cell r="K42">
            <v>215.576923076923</v>
          </cell>
          <cell r="L42">
            <v>194</v>
          </cell>
          <cell r="M42">
            <v>645.567307692308</v>
          </cell>
          <cell r="N42">
            <v>32.28</v>
          </cell>
          <cell r="O42">
            <v>1.5</v>
          </cell>
          <cell r="P42">
            <v>12.4147559171598</v>
          </cell>
          <cell r="Q42">
            <v>44.69</v>
          </cell>
        </row>
        <row r="43">
          <cell r="B43" t="str">
            <v>JM000169</v>
          </cell>
          <cell r="C43" t="str">
            <v>ភឿក ភក្ដី</v>
          </cell>
          <cell r="D43">
            <v>44733</v>
          </cell>
          <cell r="E43" t="str">
            <v>A04</v>
          </cell>
          <cell r="F43" t="str">
            <v>ដេរ</v>
          </cell>
          <cell r="G43">
            <v>44866</v>
          </cell>
          <cell r="H43">
            <v>44957</v>
          </cell>
          <cell r="I43">
            <v>3</v>
          </cell>
          <cell r="J43">
            <v>209.778846153846</v>
          </cell>
          <cell r="K43">
            <v>210.317307692308</v>
          </cell>
          <cell r="L43">
            <v>194</v>
          </cell>
          <cell r="M43">
            <v>614.096153846154</v>
          </cell>
          <cell r="N43">
            <v>30.7</v>
          </cell>
          <cell r="O43">
            <v>1.5</v>
          </cell>
          <cell r="P43">
            <v>11.8095414201183</v>
          </cell>
          <cell r="Q43">
            <v>42.51</v>
          </cell>
        </row>
        <row r="44">
          <cell r="B44" t="str">
            <v>JM000172</v>
          </cell>
          <cell r="C44" t="str">
            <v>ប៉ក់ ស្រីពៅ</v>
          </cell>
          <cell r="D44">
            <v>44733</v>
          </cell>
          <cell r="E44" t="str">
            <v>A04</v>
          </cell>
          <cell r="F44" t="str">
            <v>ដេរ</v>
          </cell>
          <cell r="G44">
            <v>44866</v>
          </cell>
          <cell r="H44">
            <v>44957</v>
          </cell>
          <cell r="I44">
            <v>3</v>
          </cell>
          <cell r="J44">
            <v>237.264423076923</v>
          </cell>
          <cell r="K44">
            <v>235.192307692308</v>
          </cell>
          <cell r="L44">
            <v>194</v>
          </cell>
          <cell r="M44">
            <v>666.456730769231</v>
          </cell>
          <cell r="N44">
            <v>33.32</v>
          </cell>
          <cell r="O44">
            <v>4.5</v>
          </cell>
          <cell r="P44">
            <v>38.4494267751479</v>
          </cell>
          <cell r="Q44">
            <v>71.77</v>
          </cell>
        </row>
        <row r="45">
          <cell r="B45" t="str">
            <v>JM000174</v>
          </cell>
          <cell r="C45" t="str">
            <v>ហុក ប៊ុនហេង</v>
          </cell>
          <cell r="D45">
            <v>44733</v>
          </cell>
          <cell r="E45" t="str">
            <v>A04</v>
          </cell>
          <cell r="F45" t="str">
            <v>ដេរ</v>
          </cell>
          <cell r="G45">
            <v>44866</v>
          </cell>
          <cell r="H45">
            <v>44957</v>
          </cell>
          <cell r="I45">
            <v>3</v>
          </cell>
          <cell r="J45">
            <v>218.25</v>
          </cell>
          <cell r="K45">
            <v>204.432692307692</v>
          </cell>
          <cell r="L45">
            <v>194</v>
          </cell>
          <cell r="M45">
            <v>616.682692307692</v>
          </cell>
          <cell r="N45">
            <v>30.83</v>
          </cell>
          <cell r="O45">
            <v>1.5</v>
          </cell>
          <cell r="P45">
            <v>11.8592825443787</v>
          </cell>
          <cell r="Q45">
            <v>42.69</v>
          </cell>
        </row>
        <row r="46">
          <cell r="B46" t="str">
            <v>JM000175</v>
          </cell>
          <cell r="C46" t="str">
            <v>ង៉ែត ពៅ</v>
          </cell>
          <cell r="D46">
            <v>44733</v>
          </cell>
          <cell r="E46" t="str">
            <v>A04</v>
          </cell>
          <cell r="F46" t="str">
            <v>ដេរ</v>
          </cell>
          <cell r="G46">
            <v>44866</v>
          </cell>
          <cell r="H46">
            <v>44957</v>
          </cell>
          <cell r="I46">
            <v>3</v>
          </cell>
          <cell r="J46">
            <v>249.033653846154</v>
          </cell>
          <cell r="K46">
            <v>194.625</v>
          </cell>
          <cell r="L46">
            <v>242.942307692308</v>
          </cell>
          <cell r="M46">
            <v>686.600961538462</v>
          </cell>
          <cell r="N46">
            <v>34.33</v>
          </cell>
          <cell r="O46">
            <v>3.5</v>
          </cell>
          <cell r="P46">
            <v>30.809017504931</v>
          </cell>
          <cell r="Q46">
            <v>65.14</v>
          </cell>
        </row>
        <row r="47">
          <cell r="B47" t="str">
            <v>JM000178</v>
          </cell>
          <cell r="C47" t="str">
            <v>ភួង ស្រីមុំ</v>
          </cell>
          <cell r="D47">
            <v>44733</v>
          </cell>
          <cell r="E47" t="str">
            <v>A03</v>
          </cell>
          <cell r="F47" t="str">
            <v>ដេរ</v>
          </cell>
          <cell r="G47">
            <v>44866</v>
          </cell>
          <cell r="H47">
            <v>44957</v>
          </cell>
          <cell r="I47">
            <v>3</v>
          </cell>
          <cell r="J47">
            <v>235.990384615385</v>
          </cell>
          <cell r="K47">
            <v>205.057692307692</v>
          </cell>
          <cell r="L47">
            <v>194</v>
          </cell>
          <cell r="M47">
            <v>635.048076923077</v>
          </cell>
          <cell r="N47">
            <v>31.75</v>
          </cell>
          <cell r="O47">
            <v>0.5</v>
          </cell>
          <cell r="P47">
            <v>4.07082100591716</v>
          </cell>
          <cell r="Q47">
            <v>35.82</v>
          </cell>
        </row>
        <row r="48">
          <cell r="B48" t="str">
            <v>JM000179</v>
          </cell>
          <cell r="C48" t="str">
            <v>រស់ រឿន</v>
          </cell>
          <cell r="D48">
            <v>44733</v>
          </cell>
          <cell r="E48" t="str">
            <v>A04</v>
          </cell>
          <cell r="F48" t="str">
            <v>ដេរ</v>
          </cell>
          <cell r="G48">
            <v>44866</v>
          </cell>
          <cell r="H48">
            <v>44957</v>
          </cell>
          <cell r="I48">
            <v>3</v>
          </cell>
          <cell r="J48">
            <v>224.846153846154</v>
          </cell>
          <cell r="K48">
            <v>210.317307692308</v>
          </cell>
          <cell r="L48">
            <v>195.692307692308</v>
          </cell>
          <cell r="M48">
            <v>630.85576923077</v>
          </cell>
          <cell r="N48">
            <v>31.54</v>
          </cell>
          <cell r="O48">
            <v>1.5</v>
          </cell>
          <cell r="P48">
            <v>12.1318417159763</v>
          </cell>
          <cell r="Q48">
            <v>43.67</v>
          </cell>
        </row>
        <row r="49">
          <cell r="B49" t="str">
            <v>JM000180</v>
          </cell>
          <cell r="C49" t="str">
            <v>យន់ អម្ពរ</v>
          </cell>
          <cell r="D49">
            <v>44733</v>
          </cell>
          <cell r="E49" t="str">
            <v>A04</v>
          </cell>
          <cell r="F49" t="str">
            <v>ដេរ</v>
          </cell>
          <cell r="G49">
            <v>44866</v>
          </cell>
          <cell r="H49">
            <v>44957</v>
          </cell>
          <cell r="I49">
            <v>3</v>
          </cell>
          <cell r="J49">
            <v>224.846153846154</v>
          </cell>
          <cell r="K49">
            <v>202.471153846154</v>
          </cell>
          <cell r="L49">
            <v>194</v>
          </cell>
          <cell r="M49">
            <v>621.317307692308</v>
          </cell>
          <cell r="N49">
            <v>31.07</v>
          </cell>
          <cell r="O49">
            <v>1.5</v>
          </cell>
          <cell r="P49">
            <v>11.9484097633136</v>
          </cell>
          <cell r="Q49">
            <v>43.02</v>
          </cell>
        </row>
        <row r="50">
          <cell r="B50" t="str">
            <v>JM000181</v>
          </cell>
          <cell r="C50" t="str">
            <v>ឈេន អឿន</v>
          </cell>
          <cell r="D50">
            <v>44733</v>
          </cell>
          <cell r="E50" t="str">
            <v>A04</v>
          </cell>
          <cell r="F50" t="str">
            <v>ដេរ</v>
          </cell>
          <cell r="G50">
            <v>44866</v>
          </cell>
          <cell r="H50">
            <v>44957</v>
          </cell>
          <cell r="I50">
            <v>3</v>
          </cell>
          <cell r="J50">
            <v>228.769230769231</v>
          </cell>
          <cell r="K50">
            <v>213.615384615385</v>
          </cell>
          <cell r="L50">
            <v>194</v>
          </cell>
          <cell r="M50">
            <v>636.384615384616</v>
          </cell>
          <cell r="N50">
            <v>31.82</v>
          </cell>
          <cell r="O50">
            <v>1.5</v>
          </cell>
          <cell r="P50">
            <v>12.2381656804734</v>
          </cell>
          <cell r="Q50">
            <v>44.06</v>
          </cell>
        </row>
        <row r="51">
          <cell r="B51" t="str">
            <v>JM000185</v>
          </cell>
          <cell r="C51" t="str">
            <v>ង៉ែត សុភាព</v>
          </cell>
          <cell r="D51">
            <v>44733</v>
          </cell>
          <cell r="E51" t="str">
            <v>A04</v>
          </cell>
          <cell r="F51" t="str">
            <v>ដេរ</v>
          </cell>
          <cell r="G51">
            <v>44866</v>
          </cell>
          <cell r="H51">
            <v>44957</v>
          </cell>
          <cell r="I51">
            <v>3</v>
          </cell>
          <cell r="J51">
            <v>228.769230769231</v>
          </cell>
          <cell r="K51">
            <v>210.317307692308</v>
          </cell>
          <cell r="L51">
            <v>194</v>
          </cell>
          <cell r="M51">
            <v>633.086538461539</v>
          </cell>
          <cell r="N51">
            <v>31.65</v>
          </cell>
          <cell r="O51">
            <v>1.5</v>
          </cell>
          <cell r="P51">
            <v>12.1747411242604</v>
          </cell>
          <cell r="Q51">
            <v>43.82</v>
          </cell>
        </row>
        <row r="52">
          <cell r="B52" t="str">
            <v>JM000187</v>
          </cell>
          <cell r="C52" t="str">
            <v>សាក់ ស៊ីថៃ</v>
          </cell>
          <cell r="D52">
            <v>44733</v>
          </cell>
          <cell r="E52" t="str">
            <v>A03</v>
          </cell>
          <cell r="F52" t="str">
            <v>ដេរ</v>
          </cell>
          <cell r="G52">
            <v>44866</v>
          </cell>
          <cell r="H52">
            <v>44957</v>
          </cell>
          <cell r="I52">
            <v>3</v>
          </cell>
          <cell r="J52">
            <v>232.692307692308</v>
          </cell>
          <cell r="K52">
            <v>194</v>
          </cell>
          <cell r="L52">
            <v>200.5</v>
          </cell>
          <cell r="M52">
            <v>627.192307692308</v>
          </cell>
          <cell r="N52">
            <v>31.36</v>
          </cell>
          <cell r="O52">
            <v>0.5</v>
          </cell>
          <cell r="P52">
            <v>4.02046351084813</v>
          </cell>
          <cell r="Q52">
            <v>35.38</v>
          </cell>
        </row>
        <row r="53">
          <cell r="B53" t="str">
            <v>JM000189</v>
          </cell>
          <cell r="C53" t="str">
            <v>ប៊ុន សុភ័ណ្ឌ</v>
          </cell>
          <cell r="D53">
            <v>44733</v>
          </cell>
          <cell r="E53" t="str">
            <v>A04</v>
          </cell>
          <cell r="F53" t="str">
            <v>ដេរ</v>
          </cell>
          <cell r="G53">
            <v>44866</v>
          </cell>
          <cell r="H53">
            <v>44957</v>
          </cell>
          <cell r="I53">
            <v>3</v>
          </cell>
          <cell r="J53">
            <v>230.043269230769</v>
          </cell>
          <cell r="K53">
            <v>206.394230769231</v>
          </cell>
          <cell r="L53">
            <v>203.769230769231</v>
          </cell>
          <cell r="M53">
            <v>640.206730769231</v>
          </cell>
          <cell r="N53">
            <v>32.01</v>
          </cell>
          <cell r="O53">
            <v>1.5</v>
          </cell>
          <cell r="P53">
            <v>12.3116678994083</v>
          </cell>
          <cell r="Q53">
            <v>44.32</v>
          </cell>
        </row>
        <row r="54">
          <cell r="B54" t="str">
            <v>JM000190</v>
          </cell>
          <cell r="C54" t="str">
            <v>ង៉ែត ពៅ</v>
          </cell>
          <cell r="D54">
            <v>44733</v>
          </cell>
          <cell r="E54" t="str">
            <v>A03</v>
          </cell>
          <cell r="F54" t="str">
            <v>ដេរ</v>
          </cell>
          <cell r="G54">
            <v>44866</v>
          </cell>
          <cell r="H54">
            <v>44957</v>
          </cell>
          <cell r="I54">
            <v>3</v>
          </cell>
          <cell r="J54">
            <v>224.846153846154</v>
          </cell>
          <cell r="K54">
            <v>210.317307692308</v>
          </cell>
          <cell r="L54">
            <v>194</v>
          </cell>
          <cell r="M54">
            <v>629.163461538462</v>
          </cell>
          <cell r="N54">
            <v>31.46</v>
          </cell>
          <cell r="O54">
            <v>1.5</v>
          </cell>
          <cell r="P54">
            <v>12.0992973372781</v>
          </cell>
          <cell r="Q54">
            <v>43.56</v>
          </cell>
        </row>
        <row r="55">
          <cell r="B55" t="str">
            <v>JM000192</v>
          </cell>
          <cell r="C55" t="str">
            <v>ទឹម ចន្លាក់</v>
          </cell>
          <cell r="D55">
            <v>44733</v>
          </cell>
          <cell r="E55" t="str">
            <v>A03</v>
          </cell>
          <cell r="F55" t="str">
            <v>ដេរ</v>
          </cell>
          <cell r="G55">
            <v>44866</v>
          </cell>
          <cell r="H55">
            <v>44957</v>
          </cell>
          <cell r="I55">
            <v>3</v>
          </cell>
          <cell r="J55">
            <v>252.956730769231</v>
          </cell>
          <cell r="K55">
            <v>233.230769230769</v>
          </cell>
          <cell r="L55">
            <v>194</v>
          </cell>
          <cell r="M55">
            <v>680.1875</v>
          </cell>
          <cell r="N55">
            <v>34.01</v>
          </cell>
          <cell r="O55">
            <v>2</v>
          </cell>
          <cell r="P55">
            <v>17.4407051282051</v>
          </cell>
          <cell r="Q55">
            <v>51.45</v>
          </cell>
        </row>
        <row r="56">
          <cell r="B56" t="str">
            <v>JM000193</v>
          </cell>
          <cell r="C56" t="str">
            <v>ប៊ុត ចាន់ស្រីពៅ</v>
          </cell>
          <cell r="D56">
            <v>44733</v>
          </cell>
          <cell r="E56" t="str">
            <v>A03</v>
          </cell>
          <cell r="F56" t="str">
            <v>ដេរ</v>
          </cell>
          <cell r="G56">
            <v>44866</v>
          </cell>
          <cell r="H56">
            <v>44957</v>
          </cell>
          <cell r="I56">
            <v>3</v>
          </cell>
          <cell r="J56">
            <v>237.889423076923</v>
          </cell>
          <cell r="K56">
            <v>204.432692307692</v>
          </cell>
          <cell r="L56">
            <v>214.038461538462</v>
          </cell>
          <cell r="M56">
            <v>656.360576923077</v>
          </cell>
          <cell r="N56">
            <v>32.82</v>
          </cell>
          <cell r="O56">
            <v>0.5</v>
          </cell>
          <cell r="P56">
            <v>4.20743959566075</v>
          </cell>
          <cell r="Q56">
            <v>37.03</v>
          </cell>
        </row>
        <row r="57">
          <cell r="B57" t="str">
            <v>JM000197</v>
          </cell>
          <cell r="C57" t="str">
            <v>អ៊ុក ស្រីពោ</v>
          </cell>
          <cell r="D57">
            <v>44734</v>
          </cell>
          <cell r="E57" t="str">
            <v>QC</v>
          </cell>
          <cell r="F57" t="str">
            <v>អ្នកពិនិត្យ</v>
          </cell>
          <cell r="G57">
            <v>44866</v>
          </cell>
          <cell r="H57">
            <v>44957</v>
          </cell>
          <cell r="I57">
            <v>3</v>
          </cell>
          <cell r="J57">
            <v>248.384615384615</v>
          </cell>
          <cell r="K57">
            <v>233.168269230769</v>
          </cell>
          <cell r="L57">
            <v>238.153846153846</v>
          </cell>
          <cell r="M57">
            <v>719.70673076923</v>
          </cell>
          <cell r="N57">
            <v>35.99</v>
          </cell>
          <cell r="O57">
            <v>4.5</v>
          </cell>
          <cell r="P57">
            <v>41.5215421597633</v>
          </cell>
          <cell r="Q57">
            <v>77.51</v>
          </cell>
        </row>
        <row r="58">
          <cell r="B58" t="str">
            <v>JM000199</v>
          </cell>
          <cell r="C58" t="str">
            <v>ញ៉ក កែវ</v>
          </cell>
          <cell r="D58">
            <v>44734</v>
          </cell>
          <cell r="E58" t="str">
            <v>A04</v>
          </cell>
          <cell r="F58" t="str">
            <v>ដេរ</v>
          </cell>
          <cell r="G58">
            <v>44866</v>
          </cell>
          <cell r="H58">
            <v>44957</v>
          </cell>
          <cell r="I58">
            <v>3</v>
          </cell>
          <cell r="J58">
            <v>256.254807692308</v>
          </cell>
          <cell r="K58">
            <v>208.355769230769</v>
          </cell>
          <cell r="L58">
            <v>194</v>
          </cell>
          <cell r="M58">
            <v>658.610576923077</v>
          </cell>
          <cell r="N58">
            <v>32.93</v>
          </cell>
          <cell r="O58">
            <v>2.5</v>
          </cell>
          <cell r="P58">
            <v>21.1093133629191</v>
          </cell>
          <cell r="Q58">
            <v>54.04</v>
          </cell>
        </row>
        <row r="59">
          <cell r="B59" t="str">
            <v>JM000203</v>
          </cell>
          <cell r="C59" t="str">
            <v>វ៉ន​ ភេត</v>
          </cell>
          <cell r="D59">
            <v>44736</v>
          </cell>
          <cell r="E59" t="str">
            <v>Translator</v>
          </cell>
          <cell r="F59" t="str">
            <v>អ្នកបកប្រែ</v>
          </cell>
          <cell r="G59">
            <v>44866</v>
          </cell>
          <cell r="H59">
            <v>44957</v>
          </cell>
          <cell r="I59">
            <v>3</v>
          </cell>
          <cell r="J59">
            <v>423.692307692308</v>
          </cell>
          <cell r="K59">
            <v>420.307692307692</v>
          </cell>
          <cell r="L59">
            <v>384.706923076923</v>
          </cell>
          <cell r="M59">
            <v>1228.70692307692</v>
          </cell>
          <cell r="N59">
            <v>61.44</v>
          </cell>
          <cell r="O59">
            <v>4.5</v>
          </cell>
          <cell r="P59">
            <v>70.8869378698225</v>
          </cell>
          <cell r="Q59">
            <v>132.33</v>
          </cell>
        </row>
        <row r="60">
          <cell r="B60" t="str">
            <v>JM000204</v>
          </cell>
          <cell r="C60" t="str">
            <v>តុប ស្រីទុំ​</v>
          </cell>
          <cell r="D60">
            <v>44736</v>
          </cell>
          <cell r="E60" t="str">
            <v>A04</v>
          </cell>
          <cell r="F60" t="str">
            <v>ដេរ</v>
          </cell>
          <cell r="G60">
            <v>44866</v>
          </cell>
          <cell r="H60">
            <v>44957</v>
          </cell>
          <cell r="I60">
            <v>3</v>
          </cell>
          <cell r="J60">
            <v>205.230769230769</v>
          </cell>
          <cell r="K60">
            <v>233.230769230769</v>
          </cell>
          <cell r="L60">
            <v>194</v>
          </cell>
          <cell r="M60">
            <v>632.461538461538</v>
          </cell>
          <cell r="N60">
            <v>31.62</v>
          </cell>
          <cell r="O60">
            <v>2.5</v>
          </cell>
          <cell r="P60">
            <v>20.2712031558185</v>
          </cell>
          <cell r="Q60">
            <v>51.89</v>
          </cell>
        </row>
        <row r="61">
          <cell r="B61" t="str">
            <v>JM000205</v>
          </cell>
          <cell r="C61" t="str">
            <v>អ៊ុន ចំរើន</v>
          </cell>
          <cell r="D61">
            <v>44738</v>
          </cell>
          <cell r="E61" t="str">
            <v>Lav</v>
          </cell>
          <cell r="F61" t="str">
            <v>វៃឡេវ</v>
          </cell>
          <cell r="G61">
            <v>44866</v>
          </cell>
          <cell r="H61">
            <v>44957</v>
          </cell>
          <cell r="I61">
            <v>3</v>
          </cell>
          <cell r="J61">
            <v>232.692307692308</v>
          </cell>
          <cell r="K61">
            <v>248.384615384615</v>
          </cell>
          <cell r="L61">
            <v>244.923076923077</v>
          </cell>
          <cell r="M61">
            <v>726</v>
          </cell>
          <cell r="N61">
            <v>36.3</v>
          </cell>
          <cell r="O61">
            <v>4.5</v>
          </cell>
          <cell r="P61">
            <v>41.8846153846154</v>
          </cell>
          <cell r="Q61">
            <v>78.18</v>
          </cell>
        </row>
        <row r="62">
          <cell r="B62" t="str">
            <v>JM000206</v>
          </cell>
          <cell r="C62" t="str">
            <v>អ៊ាង ឌឿន</v>
          </cell>
          <cell r="D62">
            <v>44740</v>
          </cell>
          <cell r="E62" t="str">
            <v>QA</v>
          </cell>
          <cell r="F62" t="str">
            <v>អ្នកពិនិត្យ</v>
          </cell>
          <cell r="G62">
            <v>44866</v>
          </cell>
          <cell r="H62">
            <v>44957</v>
          </cell>
          <cell r="I62">
            <v>3</v>
          </cell>
          <cell r="J62">
            <v>251.620192307692</v>
          </cell>
          <cell r="K62">
            <v>237.091346153846</v>
          </cell>
          <cell r="L62">
            <v>235.028846153846</v>
          </cell>
          <cell r="M62">
            <v>723.740384615384</v>
          </cell>
          <cell r="N62">
            <v>36.19</v>
          </cell>
          <cell r="O62">
            <v>2.5</v>
          </cell>
          <cell r="P62">
            <v>23.196807199211</v>
          </cell>
          <cell r="Q62">
            <v>59.39</v>
          </cell>
        </row>
        <row r="63">
          <cell r="B63" t="str">
            <v>JM000208</v>
          </cell>
          <cell r="C63" t="str">
            <v>វ៉ិត បូរី</v>
          </cell>
          <cell r="D63">
            <v>44740</v>
          </cell>
          <cell r="E63" t="str">
            <v>A03</v>
          </cell>
          <cell r="F63" t="str">
            <v>ដេរ</v>
          </cell>
          <cell r="G63">
            <v>44866</v>
          </cell>
          <cell r="H63">
            <v>44957</v>
          </cell>
          <cell r="I63">
            <v>3</v>
          </cell>
          <cell r="J63">
            <v>224.221153846154</v>
          </cell>
          <cell r="K63">
            <v>197.211538461538</v>
          </cell>
          <cell r="L63">
            <v>194</v>
          </cell>
          <cell r="M63">
            <v>615.432692307692</v>
          </cell>
          <cell r="N63">
            <v>30.77</v>
          </cell>
          <cell r="O63">
            <v>0.5</v>
          </cell>
          <cell r="P63">
            <v>3.94508136094674</v>
          </cell>
          <cell r="Q63">
            <v>34.72</v>
          </cell>
        </row>
        <row r="64">
          <cell r="B64" t="str">
            <v>JM000209</v>
          </cell>
          <cell r="C64" t="str">
            <v>ភឿក ប៊ុន</v>
          </cell>
          <cell r="D64">
            <v>44740</v>
          </cell>
          <cell r="E64" t="str">
            <v>A03</v>
          </cell>
          <cell r="F64" t="str">
            <v>ប្រធានក្រុម</v>
          </cell>
          <cell r="G64">
            <v>44866</v>
          </cell>
          <cell r="H64">
            <v>44957</v>
          </cell>
          <cell r="I64">
            <v>3</v>
          </cell>
          <cell r="J64">
            <v>309.096153846154</v>
          </cell>
          <cell r="K64">
            <v>294.923076923077</v>
          </cell>
          <cell r="L64">
            <v>315.230769230769</v>
          </cell>
          <cell r="M64">
            <v>919.25</v>
          </cell>
          <cell r="N64">
            <v>45.96</v>
          </cell>
          <cell r="O64">
            <v>4.5</v>
          </cell>
          <cell r="P64">
            <v>53.0336538461539</v>
          </cell>
          <cell r="Q64">
            <v>98.99</v>
          </cell>
        </row>
        <row r="65">
          <cell r="B65" t="str">
            <v>JM000210</v>
          </cell>
          <cell r="C65" t="str">
            <v>ម៉ន ម៉េង</v>
          </cell>
          <cell r="D65">
            <v>44740</v>
          </cell>
          <cell r="E65" t="str">
            <v>A02</v>
          </cell>
          <cell r="F65" t="str">
            <v>ដេរ</v>
          </cell>
          <cell r="G65">
            <v>44866</v>
          </cell>
          <cell r="H65">
            <v>44957</v>
          </cell>
          <cell r="I65">
            <v>3</v>
          </cell>
          <cell r="J65">
            <v>308.461538461538</v>
          </cell>
          <cell r="K65">
            <v>294.923076923077</v>
          </cell>
          <cell r="L65">
            <v>303.384615384615</v>
          </cell>
          <cell r="M65">
            <v>906.76923076923</v>
          </cell>
          <cell r="N65">
            <v>45.34</v>
          </cell>
          <cell r="O65">
            <v>4.5</v>
          </cell>
          <cell r="P65">
            <v>52.3136094674556</v>
          </cell>
          <cell r="Q65">
            <v>97.65</v>
          </cell>
        </row>
        <row r="66">
          <cell r="B66" t="str">
            <v>JM000212</v>
          </cell>
          <cell r="C66" t="str">
            <v>ភោ អូន</v>
          </cell>
          <cell r="D66">
            <v>44741</v>
          </cell>
          <cell r="E66" t="str">
            <v>A04</v>
          </cell>
          <cell r="F66" t="str">
            <v>ដេរ</v>
          </cell>
          <cell r="G66">
            <v>44866</v>
          </cell>
          <cell r="H66">
            <v>44957</v>
          </cell>
          <cell r="I66">
            <v>3</v>
          </cell>
          <cell r="J66">
            <v>224.870192307692</v>
          </cell>
          <cell r="K66">
            <v>231.894230769231</v>
          </cell>
          <cell r="L66">
            <v>260.538461538462</v>
          </cell>
          <cell r="M66">
            <v>717.302884615385</v>
          </cell>
          <cell r="N66">
            <v>35.87</v>
          </cell>
          <cell r="O66">
            <v>4.5</v>
          </cell>
          <cell r="P66">
            <v>41.3828587278106</v>
          </cell>
          <cell r="Q66">
            <v>77.25</v>
          </cell>
        </row>
        <row r="67">
          <cell r="B67" t="str">
            <v>JM000214</v>
          </cell>
          <cell r="C67" t="str">
            <v>ទូច ស្រីដា</v>
          </cell>
          <cell r="D67">
            <v>44741</v>
          </cell>
          <cell r="E67" t="str">
            <v>A04</v>
          </cell>
          <cell r="F67" t="str">
            <v>ដេរ</v>
          </cell>
          <cell r="G67">
            <v>44866</v>
          </cell>
          <cell r="H67">
            <v>44957</v>
          </cell>
          <cell r="I67">
            <v>3</v>
          </cell>
          <cell r="J67">
            <v>224.870192307692</v>
          </cell>
          <cell r="K67">
            <v>231.894230769231</v>
          </cell>
          <cell r="L67">
            <v>260.538461538462</v>
          </cell>
          <cell r="M67">
            <v>717.302884615385</v>
          </cell>
          <cell r="N67">
            <v>35.87</v>
          </cell>
          <cell r="O67">
            <v>4.5</v>
          </cell>
          <cell r="P67">
            <v>41.3828587278106</v>
          </cell>
          <cell r="Q67">
            <v>77.25</v>
          </cell>
        </row>
        <row r="68">
          <cell r="B68" t="str">
            <v>JM000217</v>
          </cell>
          <cell r="C68" t="str">
            <v>សេន ​ស៊ីណាត</v>
          </cell>
          <cell r="D68">
            <v>44743</v>
          </cell>
          <cell r="E68" t="str">
            <v>HR</v>
          </cell>
          <cell r="F68" t="str">
            <v>រដ្ធបាល</v>
          </cell>
          <cell r="G68">
            <v>44866</v>
          </cell>
          <cell r="H68">
            <v>44957</v>
          </cell>
          <cell r="I68">
            <v>3</v>
          </cell>
          <cell r="J68">
            <v>464.538461538461</v>
          </cell>
          <cell r="K68">
            <v>462.096153846154</v>
          </cell>
          <cell r="L68">
            <v>459.932692307692</v>
          </cell>
          <cell r="M68">
            <v>1386.56730769231</v>
          </cell>
          <cell r="N68">
            <v>69.33</v>
          </cell>
          <cell r="O68">
            <v>4.5</v>
          </cell>
          <cell r="P68">
            <v>79.9942677514793</v>
          </cell>
          <cell r="Q68">
            <v>149.32</v>
          </cell>
        </row>
        <row r="69">
          <cell r="B69" t="str">
            <v>JM000218</v>
          </cell>
          <cell r="C69" t="str">
            <v>ចក់ ស្រីនាង</v>
          </cell>
          <cell r="D69">
            <v>44743</v>
          </cell>
          <cell r="E69" t="str">
            <v>Warehouse</v>
          </cell>
          <cell r="F69" t="str">
            <v>ឃ្លាំង</v>
          </cell>
          <cell r="G69">
            <v>44866</v>
          </cell>
          <cell r="H69">
            <v>44957</v>
          </cell>
          <cell r="I69">
            <v>3</v>
          </cell>
          <cell r="J69">
            <v>241.737980769231</v>
          </cell>
          <cell r="K69">
            <v>210.230769230769</v>
          </cell>
          <cell r="L69">
            <v>248.307692307692</v>
          </cell>
          <cell r="M69">
            <v>700.276442307692</v>
          </cell>
          <cell r="N69">
            <v>35.01</v>
          </cell>
          <cell r="O69">
            <v>4.5</v>
          </cell>
          <cell r="P69">
            <v>40.4005639792899</v>
          </cell>
          <cell r="Q69">
            <v>75.41</v>
          </cell>
        </row>
        <row r="70">
          <cell r="B70" t="str">
            <v>JM000224</v>
          </cell>
          <cell r="C70" t="str">
            <v>ឡាច ហ៊ុន</v>
          </cell>
          <cell r="D70">
            <v>44742</v>
          </cell>
          <cell r="E70" t="str">
            <v>A05</v>
          </cell>
          <cell r="F70" t="str">
            <v>ប្រធានក្រុម</v>
          </cell>
          <cell r="G70">
            <v>44866</v>
          </cell>
          <cell r="H70">
            <v>44957</v>
          </cell>
          <cell r="I70">
            <v>3</v>
          </cell>
          <cell r="J70">
            <v>286.826923076923</v>
          </cell>
          <cell r="K70">
            <v>236.63</v>
          </cell>
          <cell r="L70">
            <v>301.692307692308</v>
          </cell>
          <cell r="M70">
            <v>825.149230769231</v>
          </cell>
          <cell r="N70">
            <v>41.26</v>
          </cell>
          <cell r="O70">
            <v>4.5</v>
          </cell>
          <cell r="P70">
            <v>47.6047633136095</v>
          </cell>
          <cell r="Q70">
            <v>88.86</v>
          </cell>
        </row>
        <row r="71">
          <cell r="B71" t="str">
            <v>JM000225</v>
          </cell>
          <cell r="C71" t="str">
            <v>អែម សារិត</v>
          </cell>
          <cell r="D71">
            <v>44746</v>
          </cell>
          <cell r="E71" t="str">
            <v>CT</v>
          </cell>
          <cell r="F71" t="str">
            <v>តុកាត់</v>
          </cell>
          <cell r="G71">
            <v>44866</v>
          </cell>
          <cell r="H71">
            <v>44957</v>
          </cell>
          <cell r="I71">
            <v>3</v>
          </cell>
          <cell r="J71">
            <v>313.538461538462</v>
          </cell>
          <cell r="K71">
            <v>311.596153846154</v>
          </cell>
          <cell r="L71">
            <v>301.496153846154</v>
          </cell>
          <cell r="M71">
            <v>926.63076923077</v>
          </cell>
          <cell r="N71">
            <v>46.33</v>
          </cell>
          <cell r="O71">
            <v>4.5</v>
          </cell>
          <cell r="P71">
            <v>53.4594674556213</v>
          </cell>
          <cell r="Q71">
            <v>99.79</v>
          </cell>
        </row>
        <row r="72">
          <cell r="B72" t="str">
            <v>JM000226</v>
          </cell>
          <cell r="C72" t="str">
            <v>កន សុផារ៉ា</v>
          </cell>
          <cell r="D72">
            <v>44746</v>
          </cell>
          <cell r="E72" t="str">
            <v>Marker</v>
          </cell>
          <cell r="F72" t="str">
            <v>ប្លង់</v>
          </cell>
          <cell r="G72">
            <v>44866</v>
          </cell>
          <cell r="H72">
            <v>44957</v>
          </cell>
          <cell r="I72">
            <v>3</v>
          </cell>
          <cell r="J72">
            <v>406.548076923077</v>
          </cell>
          <cell r="K72">
            <v>400</v>
          </cell>
          <cell r="L72">
            <v>400</v>
          </cell>
          <cell r="M72">
            <v>1206.54807692308</v>
          </cell>
          <cell r="N72">
            <v>60.33</v>
          </cell>
          <cell r="O72">
            <v>4</v>
          </cell>
          <cell r="P72">
            <v>61.8742603550296</v>
          </cell>
          <cell r="Q72">
            <v>122.2</v>
          </cell>
        </row>
        <row r="73">
          <cell r="B73" t="str">
            <v>JM000229</v>
          </cell>
          <cell r="C73" t="str">
            <v>ណុប ផានិត</v>
          </cell>
          <cell r="D73">
            <v>44746</v>
          </cell>
          <cell r="E73" t="str">
            <v>CT</v>
          </cell>
          <cell r="F73" t="str">
            <v>តុកាត់</v>
          </cell>
          <cell r="G73">
            <v>44866</v>
          </cell>
          <cell r="H73">
            <v>44957</v>
          </cell>
          <cell r="I73">
            <v>3</v>
          </cell>
          <cell r="J73">
            <v>228.596153846154</v>
          </cell>
          <cell r="K73">
            <v>229.995192307692</v>
          </cell>
          <cell r="L73">
            <v>207.509615384615</v>
          </cell>
          <cell r="M73">
            <v>666.100961538461</v>
          </cell>
          <cell r="N73">
            <v>33.31</v>
          </cell>
          <cell r="O73">
            <v>4.5</v>
          </cell>
          <cell r="P73">
            <v>38.4289016272189</v>
          </cell>
          <cell r="Q73">
            <v>71.74</v>
          </cell>
        </row>
        <row r="74">
          <cell r="B74" t="str">
            <v>JM000230</v>
          </cell>
          <cell r="C74" t="str">
            <v>អាន់ ម៉ាប់</v>
          </cell>
          <cell r="D74">
            <v>44746</v>
          </cell>
          <cell r="E74" t="str">
            <v>CT</v>
          </cell>
          <cell r="F74" t="str">
            <v>តុកាត់</v>
          </cell>
          <cell r="G74">
            <v>44866</v>
          </cell>
          <cell r="H74">
            <v>44957</v>
          </cell>
          <cell r="I74">
            <v>3</v>
          </cell>
          <cell r="J74">
            <v>241.788461538462</v>
          </cell>
          <cell r="K74">
            <v>248.384615384615</v>
          </cell>
          <cell r="L74">
            <v>250.307692307692</v>
          </cell>
          <cell r="M74">
            <v>740.480769230769</v>
          </cell>
          <cell r="N74">
            <v>37.02</v>
          </cell>
          <cell r="O74">
            <v>4.5</v>
          </cell>
          <cell r="P74">
            <v>42.7200443786982</v>
          </cell>
          <cell r="Q74">
            <v>79.74</v>
          </cell>
        </row>
        <row r="75">
          <cell r="B75" t="str">
            <v>JM000233</v>
          </cell>
          <cell r="C75" t="str">
            <v>សួស ណៃ</v>
          </cell>
          <cell r="D75">
            <v>44748</v>
          </cell>
          <cell r="E75" t="str">
            <v>PK</v>
          </cell>
          <cell r="F75" t="str">
            <v>អ្នកវេចខ្ចប់</v>
          </cell>
          <cell r="G75">
            <v>44866</v>
          </cell>
          <cell r="H75">
            <v>44957</v>
          </cell>
          <cell r="I75">
            <v>3</v>
          </cell>
          <cell r="J75">
            <v>237.865384615385</v>
          </cell>
          <cell r="K75">
            <v>256.629807692308</v>
          </cell>
          <cell r="L75">
            <v>226.480769230769</v>
          </cell>
          <cell r="M75">
            <v>720.975961538462</v>
          </cell>
          <cell r="N75">
            <v>36.05</v>
          </cell>
          <cell r="O75">
            <v>1.5</v>
          </cell>
          <cell r="P75">
            <v>13.8649223372781</v>
          </cell>
          <cell r="Q75">
            <v>49.91</v>
          </cell>
        </row>
        <row r="76">
          <cell r="B76" t="str">
            <v>JM000238</v>
          </cell>
          <cell r="C76" t="str">
            <v>ឈួន អ៊ូខុង</v>
          </cell>
          <cell r="D76">
            <v>44746</v>
          </cell>
          <cell r="E76" t="str">
            <v>CT</v>
          </cell>
          <cell r="F76" t="str">
            <v>តុកាត់</v>
          </cell>
          <cell r="G76">
            <v>44866</v>
          </cell>
          <cell r="H76">
            <v>44957</v>
          </cell>
          <cell r="I76">
            <v>3</v>
          </cell>
          <cell r="J76">
            <v>231.894230769231</v>
          </cell>
          <cell r="K76">
            <v>253.081730769231</v>
          </cell>
          <cell r="L76">
            <v>252.403846153846</v>
          </cell>
          <cell r="M76">
            <v>737.379807692308</v>
          </cell>
          <cell r="N76">
            <v>36.87</v>
          </cell>
          <cell r="O76">
            <v>4.5</v>
          </cell>
          <cell r="P76">
            <v>42.5411427514793</v>
          </cell>
          <cell r="Q76">
            <v>79.41</v>
          </cell>
        </row>
        <row r="77">
          <cell r="B77" t="str">
            <v>JM000239</v>
          </cell>
          <cell r="C77" t="str">
            <v>ញ៉ង់ មុំ</v>
          </cell>
          <cell r="D77">
            <v>44747</v>
          </cell>
          <cell r="E77" t="str">
            <v>A05</v>
          </cell>
          <cell r="F77" t="str">
            <v>ដេរ</v>
          </cell>
          <cell r="G77">
            <v>44866</v>
          </cell>
          <cell r="H77">
            <v>44957</v>
          </cell>
          <cell r="I77">
            <v>3</v>
          </cell>
          <cell r="J77">
            <v>232.692307692308</v>
          </cell>
          <cell r="K77">
            <v>223.423076923077</v>
          </cell>
          <cell r="L77">
            <v>217.307692307692</v>
          </cell>
          <cell r="M77">
            <v>673.423076923077</v>
          </cell>
          <cell r="N77">
            <v>33.67</v>
          </cell>
          <cell r="O77">
            <v>1.5</v>
          </cell>
          <cell r="P77">
            <v>12.9504437869823</v>
          </cell>
          <cell r="Q77">
            <v>46.62</v>
          </cell>
        </row>
        <row r="78">
          <cell r="B78" t="str">
            <v>JM000241</v>
          </cell>
          <cell r="C78" t="str">
            <v>យិន សោក</v>
          </cell>
          <cell r="D78">
            <v>44747</v>
          </cell>
          <cell r="E78" t="str">
            <v>A05</v>
          </cell>
          <cell r="F78" t="str">
            <v>ដេរ</v>
          </cell>
          <cell r="G78">
            <v>44866</v>
          </cell>
          <cell r="H78">
            <v>44957</v>
          </cell>
          <cell r="I78">
            <v>3</v>
          </cell>
          <cell r="J78">
            <v>232.692307692308</v>
          </cell>
          <cell r="K78">
            <v>223.423076923077</v>
          </cell>
          <cell r="L78">
            <v>213.923076923077</v>
          </cell>
          <cell r="M78">
            <v>670.038461538462</v>
          </cell>
          <cell r="N78">
            <v>33.5</v>
          </cell>
          <cell r="O78">
            <v>1.5</v>
          </cell>
          <cell r="P78">
            <v>12.8853550295858</v>
          </cell>
          <cell r="Q78">
            <v>46.39</v>
          </cell>
        </row>
        <row r="79">
          <cell r="B79" t="str">
            <v>JM000242</v>
          </cell>
          <cell r="C79" t="str">
            <v>គង់ ស្ដើង</v>
          </cell>
          <cell r="D79">
            <v>44747</v>
          </cell>
          <cell r="E79" t="str">
            <v>A05</v>
          </cell>
          <cell r="F79" t="str">
            <v>ដេរ</v>
          </cell>
          <cell r="G79">
            <v>44866</v>
          </cell>
          <cell r="H79">
            <v>44957</v>
          </cell>
          <cell r="I79">
            <v>3</v>
          </cell>
          <cell r="J79">
            <v>232.692307692308</v>
          </cell>
          <cell r="K79">
            <v>219.5</v>
          </cell>
          <cell r="L79">
            <v>220.692307692308</v>
          </cell>
          <cell r="M79">
            <v>672.884615384616</v>
          </cell>
          <cell r="N79">
            <v>33.64</v>
          </cell>
          <cell r="O79">
            <v>1.5</v>
          </cell>
          <cell r="P79">
            <v>12.9400887573965</v>
          </cell>
          <cell r="Q79">
            <v>46.58</v>
          </cell>
        </row>
        <row r="80">
          <cell r="B80" t="str">
            <v>JM000243</v>
          </cell>
          <cell r="C80" t="str">
            <v>ណុប ចាន់ណា</v>
          </cell>
          <cell r="D80">
            <v>44747</v>
          </cell>
          <cell r="E80" t="str">
            <v>A05</v>
          </cell>
          <cell r="F80" t="str">
            <v>ដេរ</v>
          </cell>
          <cell r="G80">
            <v>44866</v>
          </cell>
          <cell r="H80">
            <v>44957</v>
          </cell>
          <cell r="I80">
            <v>3</v>
          </cell>
          <cell r="J80">
            <v>229.394230769231</v>
          </cell>
          <cell r="K80">
            <v>215.576923076923</v>
          </cell>
          <cell r="L80">
            <v>217.307692307692</v>
          </cell>
          <cell r="M80">
            <v>662.278846153846</v>
          </cell>
          <cell r="N80">
            <v>33.11</v>
          </cell>
          <cell r="O80">
            <v>1.5</v>
          </cell>
          <cell r="P80">
            <v>12.7361316568047</v>
          </cell>
          <cell r="Q80">
            <v>45.85</v>
          </cell>
        </row>
        <row r="81">
          <cell r="B81" t="str">
            <v>JM000245</v>
          </cell>
          <cell r="C81" t="str">
            <v>ជុន យឿន</v>
          </cell>
          <cell r="D81">
            <v>44747</v>
          </cell>
          <cell r="E81" t="str">
            <v>A05</v>
          </cell>
          <cell r="F81" t="str">
            <v>ដេរ</v>
          </cell>
          <cell r="G81">
            <v>44866</v>
          </cell>
          <cell r="H81">
            <v>44957</v>
          </cell>
          <cell r="I81">
            <v>3</v>
          </cell>
          <cell r="J81">
            <v>232.692307692308</v>
          </cell>
          <cell r="K81">
            <v>227.346153846154</v>
          </cell>
          <cell r="L81">
            <v>244.384615384615</v>
          </cell>
          <cell r="M81">
            <v>704.423076923077</v>
          </cell>
          <cell r="N81">
            <v>35.22</v>
          </cell>
          <cell r="O81">
            <v>1.5</v>
          </cell>
          <cell r="P81">
            <v>13.5465976331361</v>
          </cell>
          <cell r="Q81">
            <v>48.77</v>
          </cell>
        </row>
        <row r="82">
          <cell r="B82" t="str">
            <v>JM000247</v>
          </cell>
          <cell r="C82" t="str">
            <v>សិត ម៉ៅ</v>
          </cell>
          <cell r="D82">
            <v>44747</v>
          </cell>
          <cell r="E82" t="str">
            <v>A05</v>
          </cell>
          <cell r="F82" t="str">
            <v>ដេរ</v>
          </cell>
          <cell r="G82">
            <v>44866</v>
          </cell>
          <cell r="H82">
            <v>44957</v>
          </cell>
          <cell r="I82">
            <v>3</v>
          </cell>
          <cell r="J82">
            <v>232.692307692308</v>
          </cell>
          <cell r="K82">
            <v>223.423076923077</v>
          </cell>
          <cell r="L82">
            <v>227.461538461538</v>
          </cell>
          <cell r="M82">
            <v>683.576923076923</v>
          </cell>
          <cell r="N82">
            <v>34.18</v>
          </cell>
          <cell r="O82">
            <v>1.5</v>
          </cell>
          <cell r="P82">
            <v>13.1457100591716</v>
          </cell>
          <cell r="Q82">
            <v>47.33</v>
          </cell>
        </row>
        <row r="83">
          <cell r="B83" t="str">
            <v>JM000250</v>
          </cell>
          <cell r="C83" t="str">
            <v>សន ស្រីធូ</v>
          </cell>
          <cell r="D83">
            <v>44747</v>
          </cell>
          <cell r="E83" t="str">
            <v>A05</v>
          </cell>
          <cell r="F83" t="str">
            <v>ដេរ</v>
          </cell>
          <cell r="G83">
            <v>44866</v>
          </cell>
          <cell r="H83">
            <v>44957</v>
          </cell>
          <cell r="I83">
            <v>3</v>
          </cell>
          <cell r="J83">
            <v>244.461538461538</v>
          </cell>
          <cell r="K83">
            <v>212.903846153846</v>
          </cell>
          <cell r="L83">
            <v>217.307692307692</v>
          </cell>
          <cell r="M83">
            <v>674.673076923076</v>
          </cell>
          <cell r="N83">
            <v>33.73</v>
          </cell>
          <cell r="O83">
            <v>1.5</v>
          </cell>
          <cell r="P83">
            <v>12.9744822485207</v>
          </cell>
          <cell r="Q83">
            <v>46.7</v>
          </cell>
        </row>
        <row r="84">
          <cell r="B84" t="str">
            <v>JM000251</v>
          </cell>
          <cell r="C84" t="str">
            <v>ជី សុភ័ណ្ឌ</v>
          </cell>
          <cell r="D84">
            <v>44747</v>
          </cell>
          <cell r="E84" t="str">
            <v>A05</v>
          </cell>
          <cell r="F84" t="str">
            <v>ដេរ</v>
          </cell>
          <cell r="G84">
            <v>44866</v>
          </cell>
          <cell r="H84">
            <v>44957</v>
          </cell>
          <cell r="I84">
            <v>3</v>
          </cell>
          <cell r="J84">
            <v>232.692307692308</v>
          </cell>
          <cell r="K84">
            <v>201.134615384615</v>
          </cell>
          <cell r="L84">
            <v>217.307692307692</v>
          </cell>
          <cell r="M84">
            <v>651.134615384615</v>
          </cell>
          <cell r="N84">
            <v>32.56</v>
          </cell>
          <cell r="O84">
            <v>2.5</v>
          </cell>
          <cell r="P84">
            <v>20.8696992110454</v>
          </cell>
          <cell r="Q84">
            <v>53.43</v>
          </cell>
        </row>
        <row r="85">
          <cell r="B85" t="str">
            <v>JM000255</v>
          </cell>
          <cell r="C85" t="str">
            <v>អៀម ជូរី</v>
          </cell>
          <cell r="D85">
            <v>44747</v>
          </cell>
          <cell r="E85" t="str">
            <v>A05</v>
          </cell>
          <cell r="F85" t="str">
            <v>ដេរ</v>
          </cell>
          <cell r="G85">
            <v>44866</v>
          </cell>
          <cell r="H85">
            <v>44957</v>
          </cell>
          <cell r="I85">
            <v>3</v>
          </cell>
          <cell r="J85">
            <v>232.692307692308</v>
          </cell>
          <cell r="K85">
            <v>224.048076923077</v>
          </cell>
          <cell r="L85">
            <v>203.769230769231</v>
          </cell>
          <cell r="M85">
            <v>660.509615384616</v>
          </cell>
          <cell r="N85">
            <v>33.03</v>
          </cell>
          <cell r="O85">
            <v>1.5</v>
          </cell>
          <cell r="P85">
            <v>12.7021079881657</v>
          </cell>
          <cell r="Q85">
            <v>45.73</v>
          </cell>
        </row>
        <row r="86">
          <cell r="B86" t="str">
            <v>JM000256</v>
          </cell>
          <cell r="C86" t="str">
            <v>សេង ចាន់ស្រីល័ក្ខ</v>
          </cell>
          <cell r="D86">
            <v>44747</v>
          </cell>
          <cell r="E86" t="str">
            <v>A05</v>
          </cell>
          <cell r="F86" t="str">
            <v>ដេរ</v>
          </cell>
          <cell r="G86">
            <v>44866</v>
          </cell>
          <cell r="H86">
            <v>44957</v>
          </cell>
          <cell r="I86">
            <v>3</v>
          </cell>
          <cell r="J86">
            <v>232.692307692308</v>
          </cell>
          <cell r="K86">
            <v>216.201923076923</v>
          </cell>
          <cell r="L86">
            <v>199.076923076923</v>
          </cell>
          <cell r="M86">
            <v>647.971153846154</v>
          </cell>
          <cell r="N86">
            <v>32.4</v>
          </cell>
          <cell r="O86">
            <v>2.5</v>
          </cell>
          <cell r="P86">
            <v>20.7683062130178</v>
          </cell>
          <cell r="Q86">
            <v>53.17</v>
          </cell>
        </row>
        <row r="87">
          <cell r="B87" t="str">
            <v>JM000259</v>
          </cell>
          <cell r="C87" t="str">
            <v>ភីន សុភ័ណ្ឌ</v>
          </cell>
          <cell r="D87">
            <v>44747</v>
          </cell>
          <cell r="E87" t="str">
            <v>A05</v>
          </cell>
          <cell r="F87" t="str">
            <v>ដេរ</v>
          </cell>
          <cell r="G87">
            <v>44866</v>
          </cell>
          <cell r="H87">
            <v>44957</v>
          </cell>
          <cell r="I87">
            <v>3</v>
          </cell>
          <cell r="J87">
            <v>224.846153846154</v>
          </cell>
          <cell r="K87">
            <v>219.5</v>
          </cell>
          <cell r="L87">
            <v>220.692307692308</v>
          </cell>
          <cell r="M87">
            <v>665.038461538462</v>
          </cell>
          <cell r="N87">
            <v>33.25</v>
          </cell>
          <cell r="O87">
            <v>2.5</v>
          </cell>
          <cell r="P87">
            <v>21.3153353057199</v>
          </cell>
          <cell r="Q87">
            <v>54.57</v>
          </cell>
        </row>
        <row r="88">
          <cell r="B88" t="str">
            <v>JM000260</v>
          </cell>
          <cell r="C88" t="str">
            <v>ឈួន ហឿន</v>
          </cell>
          <cell r="D88">
            <v>44747</v>
          </cell>
          <cell r="E88" t="str">
            <v>A05</v>
          </cell>
          <cell r="F88" t="str">
            <v>ដេរ</v>
          </cell>
          <cell r="G88">
            <v>44866</v>
          </cell>
          <cell r="H88">
            <v>44957</v>
          </cell>
          <cell r="I88">
            <v>3</v>
          </cell>
          <cell r="J88">
            <v>213.076923076923</v>
          </cell>
          <cell r="K88">
            <v>231.269230769231</v>
          </cell>
          <cell r="L88">
            <v>236.192307692308</v>
          </cell>
          <cell r="M88">
            <v>680.538461538462</v>
          </cell>
          <cell r="N88">
            <v>34.03</v>
          </cell>
          <cell r="O88">
            <v>1</v>
          </cell>
          <cell r="P88">
            <v>8.72485207100592</v>
          </cell>
          <cell r="Q88">
            <v>42.75</v>
          </cell>
        </row>
        <row r="89">
          <cell r="B89" t="str">
            <v>JM000261</v>
          </cell>
          <cell r="C89" t="str">
            <v>ភឿន ស្រីទូច</v>
          </cell>
          <cell r="D89">
            <v>44747</v>
          </cell>
          <cell r="E89" t="str">
            <v>A05</v>
          </cell>
          <cell r="F89" t="str">
            <v>ដេរ</v>
          </cell>
          <cell r="G89">
            <v>44866</v>
          </cell>
          <cell r="H89">
            <v>44957</v>
          </cell>
          <cell r="I89">
            <v>3</v>
          </cell>
          <cell r="J89">
            <v>232.692307692308</v>
          </cell>
          <cell r="K89">
            <v>207.730769230769</v>
          </cell>
          <cell r="L89">
            <v>197.769230769231</v>
          </cell>
          <cell r="M89">
            <v>638.192307692308</v>
          </cell>
          <cell r="N89">
            <v>31.91</v>
          </cell>
          <cell r="O89">
            <v>1</v>
          </cell>
          <cell r="P89">
            <v>8.1819526627219</v>
          </cell>
          <cell r="Q89">
            <v>40.09</v>
          </cell>
        </row>
        <row r="90">
          <cell r="B90" t="str">
            <v>JM000262</v>
          </cell>
          <cell r="C90" t="str">
            <v>ភឹម ចន្ធូ</v>
          </cell>
          <cell r="D90">
            <v>44747</v>
          </cell>
          <cell r="E90" t="str">
            <v>A05</v>
          </cell>
          <cell r="F90" t="str">
            <v>ដេរ</v>
          </cell>
          <cell r="G90">
            <v>44866</v>
          </cell>
          <cell r="H90">
            <v>44957</v>
          </cell>
          <cell r="I90">
            <v>3</v>
          </cell>
          <cell r="J90">
            <v>232.692307692308</v>
          </cell>
          <cell r="K90">
            <v>227.346153846154</v>
          </cell>
          <cell r="L90">
            <v>220.692307692308</v>
          </cell>
          <cell r="M90">
            <v>680.73076923077</v>
          </cell>
          <cell r="N90">
            <v>34.04</v>
          </cell>
          <cell r="O90">
            <v>1.5</v>
          </cell>
          <cell r="P90">
            <v>13.090976331361</v>
          </cell>
          <cell r="Q90">
            <v>47.13</v>
          </cell>
        </row>
        <row r="91">
          <cell r="B91" t="str">
            <v>JM000265</v>
          </cell>
          <cell r="C91" t="str">
            <v>ហ៊ឹម វឿន</v>
          </cell>
          <cell r="D91">
            <v>44748</v>
          </cell>
          <cell r="E91" t="str">
            <v>CT</v>
          </cell>
          <cell r="F91" t="str">
            <v>តុកាត់</v>
          </cell>
          <cell r="G91">
            <v>44866</v>
          </cell>
          <cell r="H91">
            <v>44957</v>
          </cell>
          <cell r="I91">
            <v>3</v>
          </cell>
          <cell r="J91">
            <v>286.769230769231</v>
          </cell>
          <cell r="K91">
            <v>277.996153846154</v>
          </cell>
          <cell r="L91">
            <v>265.609230769231</v>
          </cell>
          <cell r="M91">
            <v>830.374615384616</v>
          </cell>
          <cell r="N91">
            <v>41.52</v>
          </cell>
          <cell r="O91">
            <v>4.5</v>
          </cell>
          <cell r="P91">
            <v>47.9062278106509</v>
          </cell>
          <cell r="Q91">
            <v>89.43</v>
          </cell>
        </row>
        <row r="92">
          <cell r="B92" t="str">
            <v>JM000268</v>
          </cell>
          <cell r="C92" t="str">
            <v>វ៉ាត បញ្ញា</v>
          </cell>
          <cell r="D92">
            <v>44748</v>
          </cell>
          <cell r="E92" t="str">
            <v>QA</v>
          </cell>
          <cell r="F92" t="str">
            <v>អ្នកពិនិត្យ</v>
          </cell>
          <cell r="G92">
            <v>44866</v>
          </cell>
          <cell r="H92">
            <v>44957</v>
          </cell>
          <cell r="I92">
            <v>3</v>
          </cell>
          <cell r="J92">
            <v>230.019230769231</v>
          </cell>
          <cell r="K92">
            <v>218.725961538462</v>
          </cell>
          <cell r="L92">
            <v>194</v>
          </cell>
          <cell r="M92">
            <v>642.745192307693</v>
          </cell>
          <cell r="N92">
            <v>32.14</v>
          </cell>
          <cell r="O92">
            <v>4.5</v>
          </cell>
          <cell r="P92">
            <v>37.0814534023669</v>
          </cell>
          <cell r="Q92">
            <v>69.22</v>
          </cell>
        </row>
        <row r="93">
          <cell r="B93" t="str">
            <v>JM000269</v>
          </cell>
          <cell r="C93" t="str">
            <v>គឹម បូរី</v>
          </cell>
          <cell r="D93">
            <v>44749</v>
          </cell>
          <cell r="E93" t="str">
            <v>A02</v>
          </cell>
          <cell r="F93" t="str">
            <v>ដេរ</v>
          </cell>
          <cell r="G93">
            <v>44866</v>
          </cell>
          <cell r="H93">
            <v>44957</v>
          </cell>
          <cell r="I93">
            <v>3</v>
          </cell>
          <cell r="J93">
            <v>232.692307692308</v>
          </cell>
          <cell r="K93">
            <v>208.355769230769</v>
          </cell>
          <cell r="L93">
            <v>194</v>
          </cell>
          <cell r="M93">
            <v>635.048076923077</v>
          </cell>
          <cell r="N93">
            <v>31.75</v>
          </cell>
          <cell r="O93">
            <v>2.5</v>
          </cell>
          <cell r="P93">
            <v>20.3541050295858</v>
          </cell>
          <cell r="Q93">
            <v>52.1</v>
          </cell>
        </row>
        <row r="94">
          <cell r="B94" t="str">
            <v>JM000270</v>
          </cell>
          <cell r="C94" t="str">
            <v>អេង រ៉េនដា</v>
          </cell>
          <cell r="D94">
            <v>44750</v>
          </cell>
          <cell r="E94" t="str">
            <v>QA</v>
          </cell>
          <cell r="F94" t="str">
            <v>ប្រធាន</v>
          </cell>
          <cell r="G94">
            <v>44866</v>
          </cell>
          <cell r="H94">
            <v>44957</v>
          </cell>
          <cell r="I94">
            <v>3</v>
          </cell>
          <cell r="J94">
            <v>292.615384615385</v>
          </cell>
          <cell r="K94">
            <v>299.163461538462</v>
          </cell>
          <cell r="L94">
            <v>294.480769230769</v>
          </cell>
          <cell r="M94">
            <v>886.259615384616</v>
          </cell>
          <cell r="N94">
            <v>44.31</v>
          </cell>
          <cell r="O94">
            <v>3.5</v>
          </cell>
          <cell r="P94">
            <v>39.7680596646943</v>
          </cell>
          <cell r="Q94">
            <v>84.08</v>
          </cell>
        </row>
        <row r="95">
          <cell r="B95" t="str">
            <v>JM000313</v>
          </cell>
          <cell r="C95" t="str">
            <v>ស៊ន សុភា</v>
          </cell>
          <cell r="D95">
            <v>44823</v>
          </cell>
          <cell r="E95" t="str">
            <v>A05</v>
          </cell>
          <cell r="F95" t="str">
            <v>ដេរ</v>
          </cell>
          <cell r="G95">
            <v>44866</v>
          </cell>
          <cell r="H95">
            <v>44957</v>
          </cell>
          <cell r="I95">
            <v>3</v>
          </cell>
          <cell r="J95">
            <v>228.769230769231</v>
          </cell>
          <cell r="K95">
            <v>219.5</v>
          </cell>
          <cell r="L95">
            <v>226.038461538462</v>
          </cell>
          <cell r="M95">
            <v>674.307692307693</v>
          </cell>
          <cell r="N95">
            <v>33.72</v>
          </cell>
          <cell r="O95">
            <v>2</v>
          </cell>
          <cell r="P95">
            <v>17.2899408284024</v>
          </cell>
          <cell r="Q95">
            <v>51.01</v>
          </cell>
        </row>
        <row r="96">
          <cell r="B96" t="str">
            <v>JM000315</v>
          </cell>
          <cell r="C96" t="str">
            <v>សែម ពៅ</v>
          </cell>
          <cell r="D96">
            <v>44835</v>
          </cell>
          <cell r="E96" t="str">
            <v>A03</v>
          </cell>
          <cell r="F96" t="str">
            <v>ដេរ</v>
          </cell>
          <cell r="G96">
            <v>44866</v>
          </cell>
          <cell r="H96">
            <v>44957</v>
          </cell>
          <cell r="I96">
            <v>3</v>
          </cell>
          <cell r="J96">
            <v>248.408653846154</v>
          </cell>
          <cell r="K96">
            <v>229.307692307692</v>
          </cell>
          <cell r="L96">
            <v>220.807692307692</v>
          </cell>
          <cell r="M96">
            <v>698.524038461538</v>
          </cell>
          <cell r="N96">
            <v>34.93</v>
          </cell>
          <cell r="O96">
            <v>4.5</v>
          </cell>
          <cell r="P96">
            <v>40.2994637573964</v>
          </cell>
          <cell r="Q96">
            <v>75.23</v>
          </cell>
        </row>
        <row r="97">
          <cell r="B97" t="str">
            <v>JM000319</v>
          </cell>
          <cell r="C97" t="str">
            <v>ញ៉ែម ស្រី</v>
          </cell>
          <cell r="D97">
            <v>44837</v>
          </cell>
          <cell r="E97" t="str">
            <v>A04</v>
          </cell>
          <cell r="F97" t="str">
            <v>ដេរ</v>
          </cell>
          <cell r="G97">
            <v>44866</v>
          </cell>
          <cell r="H97">
            <v>44957</v>
          </cell>
          <cell r="I97">
            <v>3</v>
          </cell>
          <cell r="J97">
            <v>250.995192307692</v>
          </cell>
          <cell r="K97">
            <v>210.317307692308</v>
          </cell>
          <cell r="L97">
            <v>218.076923076923</v>
          </cell>
          <cell r="M97">
            <v>679.389423076923</v>
          </cell>
          <cell r="N97">
            <v>33.97</v>
          </cell>
          <cell r="O97">
            <v>1.5</v>
          </cell>
          <cell r="P97">
            <v>13.0651812130178</v>
          </cell>
          <cell r="Q97">
            <v>47.04</v>
          </cell>
        </row>
        <row r="98">
          <cell r="B98" t="str">
            <v>JM000320</v>
          </cell>
          <cell r="C98" t="str">
            <v>ពៅ ចាន់រ៉ា</v>
          </cell>
          <cell r="D98">
            <v>44837</v>
          </cell>
          <cell r="E98" t="str">
            <v>Cleaner</v>
          </cell>
          <cell r="F98" t="str">
            <v>អនាម័យ</v>
          </cell>
          <cell r="G98">
            <v>44866</v>
          </cell>
          <cell r="H98">
            <v>44957</v>
          </cell>
          <cell r="I98">
            <v>3</v>
          </cell>
          <cell r="J98">
            <v>232.692307692308</v>
          </cell>
          <cell r="K98">
            <v>230.894230769231</v>
          </cell>
          <cell r="L98">
            <v>228</v>
          </cell>
          <cell r="M98">
            <v>691.586538461539</v>
          </cell>
          <cell r="N98">
            <v>34.58</v>
          </cell>
          <cell r="O98">
            <v>4.5</v>
          </cell>
          <cell r="P98">
            <v>39.8992233727811</v>
          </cell>
          <cell r="Q98">
            <v>74.48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28"/>
  <sheetViews>
    <sheetView zoomScale="130" zoomScaleNormal="130" topLeftCell="A5" workbookViewId="0">
      <selection activeCell="B19" sqref="B19"/>
    </sheetView>
  </sheetViews>
  <sheetFormatPr defaultColWidth="9" defaultRowHeight="13.5"/>
  <cols>
    <col min="1" max="1" width="2.38333333333333" style="6" customWidth="1"/>
    <col min="2" max="2" width="6.15" style="6" customWidth="1"/>
    <col min="3" max="4" width="6.625" style="6" customWidth="1"/>
    <col min="5" max="5" width="7.75" style="6" customWidth="1"/>
    <col min="6" max="6" width="3.03333333333333" style="6" customWidth="1"/>
    <col min="7" max="7" width="2.39166666666667" style="6" customWidth="1"/>
    <col min="8" max="8" width="5.76666666666667" style="6" customWidth="1"/>
    <col min="9" max="10" width="3.25" style="6" customWidth="1"/>
    <col min="11" max="11" width="3.475" style="6" customWidth="1"/>
    <col min="12" max="12" width="5.575" customWidth="1"/>
    <col min="13" max="13" width="4.9" customWidth="1"/>
    <col min="14" max="14" width="2.60833333333333" customWidth="1"/>
    <col min="15" max="15" width="4.25833333333333" customWidth="1"/>
    <col min="16" max="16" width="2.28333333333333" customWidth="1"/>
    <col min="17" max="17" width="3.25833333333333" customWidth="1"/>
    <col min="18" max="18" width="2.71666666666667" customWidth="1"/>
    <col min="19" max="19" width="3.64166666666667" customWidth="1"/>
    <col min="20" max="20" width="3.58333333333333" customWidth="1"/>
    <col min="21" max="21" width="3.90833333333333" customWidth="1"/>
    <col min="22" max="23" width="4.03333333333333" customWidth="1"/>
    <col min="24" max="24" width="3.93333333333333" customWidth="1"/>
    <col min="25" max="25" width="2.49166666666667" customWidth="1"/>
    <col min="26" max="26" width="3.93333333333333" customWidth="1"/>
    <col min="27" max="27" width="4.825" customWidth="1"/>
    <col min="28" max="28" width="5.96666666666667" customWidth="1"/>
    <col min="29" max="30" width="3.25833333333333" customWidth="1"/>
    <col min="31" max="31" width="3.45833333333333" customWidth="1"/>
    <col min="32" max="32" width="3.69166666666667" customWidth="1"/>
    <col min="33" max="33" width="6.275" customWidth="1"/>
    <col min="34" max="34" width="6.25" hidden="1" customWidth="1"/>
    <col min="35" max="35" width="1.54166666666667" hidden="1" customWidth="1"/>
    <col min="36" max="36" width="9.59166666666667" customWidth="1"/>
    <col min="37" max="37" width="15.2833333333333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8" customHeight="1" spans="1:38">
      <c r="A5" s="10" t="s">
        <v>4</v>
      </c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230"/>
      <c r="AE5" s="231" t="s">
        <v>5</v>
      </c>
      <c r="AF5" s="231"/>
      <c r="AG5" s="231"/>
      <c r="AH5" s="231"/>
      <c r="AI5" s="231"/>
      <c r="AJ5" s="231"/>
      <c r="AK5" s="231"/>
      <c r="AL5" s="70"/>
    </row>
    <row r="6" s="2" customFormat="1" ht="52" customHeight="1" spans="1:37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27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57"/>
    </row>
    <row r="7" s="3" customFormat="1" ht="12" customHeight="1" spans="1:45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3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64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30" t="s">
        <v>70</v>
      </c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13" customHeight="1" spans="1:45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228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126" customFormat="1" ht="29" customHeight="1" spans="1:45">
      <c r="A9" s="85">
        <v>1</v>
      </c>
      <c r="B9" s="85" t="s">
        <v>93</v>
      </c>
      <c r="C9" s="81" t="s">
        <v>94</v>
      </c>
      <c r="D9" s="81" t="s">
        <v>95</v>
      </c>
      <c r="E9" s="127">
        <v>44642</v>
      </c>
      <c r="F9" s="85" t="s">
        <v>96</v>
      </c>
      <c r="G9" s="85" t="s">
        <v>97</v>
      </c>
      <c r="H9" s="85" t="s">
        <v>98</v>
      </c>
      <c r="I9" s="85">
        <v>26</v>
      </c>
      <c r="J9" s="85">
        <f t="shared" ref="J9:J21" si="0">26-I9</f>
        <v>0</v>
      </c>
      <c r="K9" s="85">
        <v>200</v>
      </c>
      <c r="L9" s="86">
        <f t="shared" ref="L9:L21" si="1">K9/26*I9</f>
        <v>200</v>
      </c>
      <c r="M9" s="86">
        <f t="shared" ref="M9:M21" si="2">K9/26*J9</f>
        <v>0</v>
      </c>
      <c r="N9" s="85">
        <v>0</v>
      </c>
      <c r="O9" s="85">
        <f t="shared" ref="O9:O21" si="3">K9/26/8*1.5*N9</f>
        <v>0</v>
      </c>
      <c r="P9" s="85">
        <v>0</v>
      </c>
      <c r="Q9" s="85">
        <f t="shared" ref="Q9:Q21" si="4">K9/26*2*P9</f>
        <v>0</v>
      </c>
      <c r="R9" s="85">
        <v>0</v>
      </c>
      <c r="S9" s="85">
        <f>10/26*I9</f>
        <v>10</v>
      </c>
      <c r="T9" s="85">
        <v>0</v>
      </c>
      <c r="U9" s="85">
        <v>0</v>
      </c>
      <c r="V9" s="86">
        <v>10</v>
      </c>
      <c r="W9" s="86">
        <v>0</v>
      </c>
      <c r="X9" s="86">
        <v>0</v>
      </c>
      <c r="Y9" s="85">
        <v>0</v>
      </c>
      <c r="Z9" s="85">
        <f>VLOOKUP(B9,'[3]Annual Leave '!$B$7:$N$98,13,0)</f>
        <v>32.61</v>
      </c>
      <c r="AA9" s="85">
        <f>VLOOKUP(B9,'[3]Annual Leave '!$B$7:$Q$98,15,0)</f>
        <v>37.6286982248521</v>
      </c>
      <c r="AB9" s="86">
        <f t="shared" ref="AB9:AB21" si="5">SUM(L9++O9+Q9+S9+T9+U9+V9+X9+Y9+Z9+AA9+W9)</f>
        <v>290.238698224852</v>
      </c>
      <c r="AC9" s="19">
        <f>17467/4000</f>
        <v>4.36675</v>
      </c>
      <c r="AD9" s="85">
        <v>0</v>
      </c>
      <c r="AE9" s="85">
        <f>VLOOKUP(B9,'[1]OF-10'!$E$7:$K$25,7,0)</f>
        <v>100</v>
      </c>
      <c r="AF9" s="85">
        <f>SUM(AC9:AE9)</f>
        <v>104.36675</v>
      </c>
      <c r="AG9" s="86">
        <f t="shared" ref="AG9:AG21" si="6">AB9-AF9</f>
        <v>185.871948224852</v>
      </c>
      <c r="AH9" s="35"/>
      <c r="AI9" s="232"/>
      <c r="AJ9" s="233"/>
      <c r="AK9" s="234"/>
      <c r="AL9" s="202">
        <v>100806873</v>
      </c>
      <c r="AM9" s="203">
        <v>30640</v>
      </c>
      <c r="AN9" s="91" t="s">
        <v>99</v>
      </c>
      <c r="AO9" s="91" t="s">
        <v>100</v>
      </c>
      <c r="AP9" s="91" t="s">
        <v>101</v>
      </c>
      <c r="AQ9" s="91" t="s">
        <v>102</v>
      </c>
      <c r="AR9" s="91" t="s">
        <v>103</v>
      </c>
      <c r="AS9" s="202" t="s">
        <v>104</v>
      </c>
    </row>
    <row r="10" s="5" customFormat="1" ht="29" customHeight="1" spans="1:45">
      <c r="A10" s="85">
        <v>2</v>
      </c>
      <c r="B10" s="19" t="s">
        <v>105</v>
      </c>
      <c r="C10" s="20" t="s">
        <v>106</v>
      </c>
      <c r="D10" s="20" t="s">
        <v>107</v>
      </c>
      <c r="E10" s="21">
        <v>44669</v>
      </c>
      <c r="F10" s="19" t="s">
        <v>108</v>
      </c>
      <c r="G10" s="19" t="s">
        <v>97</v>
      </c>
      <c r="H10" s="20" t="s">
        <v>109</v>
      </c>
      <c r="I10" s="19">
        <v>25.5</v>
      </c>
      <c r="J10" s="85">
        <f t="shared" si="0"/>
        <v>0.5</v>
      </c>
      <c r="K10" s="19">
        <v>200</v>
      </c>
      <c r="L10" s="36">
        <f t="shared" si="1"/>
        <v>196.153846153846</v>
      </c>
      <c r="M10" s="36">
        <f t="shared" si="2"/>
        <v>3.84615384615385</v>
      </c>
      <c r="N10" s="19">
        <v>0</v>
      </c>
      <c r="O10" s="19">
        <f t="shared" si="3"/>
        <v>0</v>
      </c>
      <c r="P10" s="19">
        <v>0</v>
      </c>
      <c r="Q10" s="19">
        <f t="shared" si="4"/>
        <v>0</v>
      </c>
      <c r="R10" s="19">
        <v>0</v>
      </c>
      <c r="S10" s="85">
        <f t="shared" ref="S10:S27" si="7">10/26*I10</f>
        <v>9.80769230769231</v>
      </c>
      <c r="T10" s="19">
        <v>39.3</v>
      </c>
      <c r="U10" s="19">
        <v>80</v>
      </c>
      <c r="V10" s="86">
        <v>10</v>
      </c>
      <c r="W10" s="36">
        <v>0</v>
      </c>
      <c r="X10" s="36">
        <v>8</v>
      </c>
      <c r="Y10" s="19">
        <v>0</v>
      </c>
      <c r="Z10" s="85">
        <v>0</v>
      </c>
      <c r="AA10" s="85">
        <v>0</v>
      </c>
      <c r="AB10" s="86">
        <f t="shared" si="5"/>
        <v>343.261538461538</v>
      </c>
      <c r="AC10" s="19">
        <f>24000/4000</f>
        <v>6</v>
      </c>
      <c r="AD10" s="85">
        <v>0</v>
      </c>
      <c r="AE10" s="85">
        <f>VLOOKUP(B10,'[1]OF-10'!$E$7:$K$25,7,0)</f>
        <v>100</v>
      </c>
      <c r="AF10" s="85">
        <f t="shared" ref="AF10:AF27" si="8">SUM(AC10:AE10)</f>
        <v>106</v>
      </c>
      <c r="AG10" s="36">
        <f t="shared" si="6"/>
        <v>237.261538461538</v>
      </c>
      <c r="AH10" s="129"/>
      <c r="AI10" s="130"/>
      <c r="AJ10" s="61"/>
      <c r="AK10" s="234"/>
      <c r="AL10" s="72">
        <v>101266504</v>
      </c>
      <c r="AM10" s="73">
        <v>31420</v>
      </c>
      <c r="AN10" s="74" t="s">
        <v>99</v>
      </c>
      <c r="AO10" s="72" t="s">
        <v>110</v>
      </c>
      <c r="AP10" s="74" t="s">
        <v>101</v>
      </c>
      <c r="AQ10" s="74" t="s">
        <v>102</v>
      </c>
      <c r="AR10" s="74" t="s">
        <v>103</v>
      </c>
      <c r="AS10" s="72" t="s">
        <v>111</v>
      </c>
    </row>
    <row r="11" s="5" customFormat="1" ht="29" customHeight="1" spans="1:45">
      <c r="A11" s="85">
        <v>3</v>
      </c>
      <c r="B11" s="19" t="s">
        <v>112</v>
      </c>
      <c r="C11" s="20" t="s">
        <v>113</v>
      </c>
      <c r="D11" s="20" t="s">
        <v>114</v>
      </c>
      <c r="E11" s="21">
        <v>44669</v>
      </c>
      <c r="F11" s="19" t="s">
        <v>108</v>
      </c>
      <c r="G11" s="19" t="s">
        <v>97</v>
      </c>
      <c r="H11" s="20" t="s">
        <v>109</v>
      </c>
      <c r="I11" s="19">
        <v>23</v>
      </c>
      <c r="J11" s="85">
        <f t="shared" si="0"/>
        <v>3</v>
      </c>
      <c r="K11" s="19">
        <v>200</v>
      </c>
      <c r="L11" s="36">
        <f t="shared" si="1"/>
        <v>176.923076923077</v>
      </c>
      <c r="M11" s="36">
        <f t="shared" si="2"/>
        <v>23.0769230769231</v>
      </c>
      <c r="N11" s="19">
        <v>4</v>
      </c>
      <c r="O11" s="19">
        <f t="shared" si="3"/>
        <v>5.76923076923077</v>
      </c>
      <c r="P11" s="19">
        <v>0</v>
      </c>
      <c r="Q11" s="19">
        <f t="shared" si="4"/>
        <v>0</v>
      </c>
      <c r="R11" s="19">
        <v>0</v>
      </c>
      <c r="S11" s="85">
        <f t="shared" si="7"/>
        <v>8.84615384615385</v>
      </c>
      <c r="T11" s="19">
        <v>33.84</v>
      </c>
      <c r="U11" s="19">
        <v>72</v>
      </c>
      <c r="V11" s="86">
        <v>10</v>
      </c>
      <c r="W11" s="36">
        <v>1</v>
      </c>
      <c r="X11" s="36">
        <v>8</v>
      </c>
      <c r="Y11" s="19">
        <v>0</v>
      </c>
      <c r="Z11" s="85">
        <v>0</v>
      </c>
      <c r="AA11" s="85">
        <v>0</v>
      </c>
      <c r="AB11" s="86">
        <f t="shared" si="5"/>
        <v>316.378461538462</v>
      </c>
      <c r="AC11" s="19">
        <f>24000/4000</f>
        <v>6</v>
      </c>
      <c r="AD11" s="85">
        <v>0</v>
      </c>
      <c r="AE11" s="85">
        <f>VLOOKUP(B11,'[1]OF-10'!$E$7:$K$25,7,0)</f>
        <v>100</v>
      </c>
      <c r="AF11" s="85">
        <f t="shared" si="8"/>
        <v>106</v>
      </c>
      <c r="AG11" s="36">
        <f t="shared" si="6"/>
        <v>210.378461538462</v>
      </c>
      <c r="AH11" s="129"/>
      <c r="AI11" s="130"/>
      <c r="AJ11" s="61"/>
      <c r="AK11" s="234"/>
      <c r="AL11" s="72">
        <v>101266929</v>
      </c>
      <c r="AM11" s="73">
        <v>34688</v>
      </c>
      <c r="AN11" s="74" t="s">
        <v>99</v>
      </c>
      <c r="AO11" s="72" t="s">
        <v>115</v>
      </c>
      <c r="AP11" s="74" t="s">
        <v>101</v>
      </c>
      <c r="AQ11" s="74" t="s">
        <v>102</v>
      </c>
      <c r="AR11" s="74" t="s">
        <v>103</v>
      </c>
      <c r="AS11" s="72" t="s">
        <v>116</v>
      </c>
    </row>
    <row r="12" s="5" customFormat="1" ht="29" customHeight="1" spans="1:45">
      <c r="A12" s="85">
        <v>4</v>
      </c>
      <c r="B12" s="19" t="s">
        <v>117</v>
      </c>
      <c r="C12" s="20" t="s">
        <v>118</v>
      </c>
      <c r="D12" s="20" t="s">
        <v>119</v>
      </c>
      <c r="E12" s="21">
        <v>44670</v>
      </c>
      <c r="F12" s="19" t="s">
        <v>108</v>
      </c>
      <c r="G12" s="19" t="s">
        <v>97</v>
      </c>
      <c r="H12" s="19" t="s">
        <v>120</v>
      </c>
      <c r="I12" s="19">
        <v>26</v>
      </c>
      <c r="J12" s="85">
        <f t="shared" si="0"/>
        <v>0</v>
      </c>
      <c r="K12" s="19">
        <v>200</v>
      </c>
      <c r="L12" s="36">
        <f t="shared" si="1"/>
        <v>200</v>
      </c>
      <c r="M12" s="36">
        <f t="shared" si="2"/>
        <v>0</v>
      </c>
      <c r="N12" s="19">
        <v>29</v>
      </c>
      <c r="O12" s="19">
        <f t="shared" si="3"/>
        <v>41.8269230769231</v>
      </c>
      <c r="P12" s="19">
        <v>0</v>
      </c>
      <c r="Q12" s="19">
        <f t="shared" si="4"/>
        <v>0</v>
      </c>
      <c r="R12" s="19">
        <v>0</v>
      </c>
      <c r="S12" s="85">
        <f t="shared" si="7"/>
        <v>10</v>
      </c>
      <c r="T12" s="19">
        <v>42</v>
      </c>
      <c r="U12" s="19">
        <v>80</v>
      </c>
      <c r="V12" s="86">
        <v>10</v>
      </c>
      <c r="W12" s="36">
        <v>7.5</v>
      </c>
      <c r="X12" s="36">
        <v>8</v>
      </c>
      <c r="Y12" s="19">
        <v>0</v>
      </c>
      <c r="Z12" s="85">
        <v>0</v>
      </c>
      <c r="AA12" s="85">
        <v>0</v>
      </c>
      <c r="AB12" s="86">
        <f t="shared" si="5"/>
        <v>399.326923076923</v>
      </c>
      <c r="AC12" s="19">
        <f t="shared" ref="AC12:AC19" si="9">24000/4000</f>
        <v>6</v>
      </c>
      <c r="AD12" s="85">
        <v>2.358</v>
      </c>
      <c r="AE12" s="85">
        <f>VLOOKUP(B12,'[1]OF-10'!$E$7:$K$25,7,0)</f>
        <v>100</v>
      </c>
      <c r="AF12" s="85">
        <f t="shared" si="8"/>
        <v>108.358</v>
      </c>
      <c r="AG12" s="36">
        <f t="shared" si="6"/>
        <v>290.968923076923</v>
      </c>
      <c r="AH12" s="129"/>
      <c r="AI12" s="130"/>
      <c r="AJ12" s="61"/>
      <c r="AK12" s="234"/>
      <c r="AL12" s="72">
        <v>240090738</v>
      </c>
      <c r="AM12" s="73">
        <v>33853</v>
      </c>
      <c r="AN12" s="74" t="s">
        <v>99</v>
      </c>
      <c r="AO12" s="72">
        <v>0</v>
      </c>
      <c r="AP12" s="74" t="s">
        <v>101</v>
      </c>
      <c r="AQ12" s="74" t="s">
        <v>102</v>
      </c>
      <c r="AR12" s="74" t="s">
        <v>103</v>
      </c>
      <c r="AS12" s="72" t="s">
        <v>121</v>
      </c>
    </row>
    <row r="13" s="126" customFormat="1" ht="29" customHeight="1" spans="1:45">
      <c r="A13" s="85">
        <v>5</v>
      </c>
      <c r="B13" s="85" t="s">
        <v>122</v>
      </c>
      <c r="C13" s="81" t="s">
        <v>123</v>
      </c>
      <c r="D13" s="81" t="s">
        <v>124</v>
      </c>
      <c r="E13" s="127">
        <v>44671</v>
      </c>
      <c r="F13" s="85" t="s">
        <v>96</v>
      </c>
      <c r="G13" s="85" t="s">
        <v>97</v>
      </c>
      <c r="H13" s="85" t="s">
        <v>125</v>
      </c>
      <c r="I13" s="85">
        <v>25</v>
      </c>
      <c r="J13" s="85">
        <f t="shared" si="0"/>
        <v>1</v>
      </c>
      <c r="K13" s="85">
        <v>200</v>
      </c>
      <c r="L13" s="86">
        <f t="shared" si="1"/>
        <v>192.307692307692</v>
      </c>
      <c r="M13" s="86">
        <f t="shared" si="2"/>
        <v>7.69230769230769</v>
      </c>
      <c r="N13" s="85">
        <v>26</v>
      </c>
      <c r="O13" s="85">
        <f t="shared" si="3"/>
        <v>37.5</v>
      </c>
      <c r="P13" s="85">
        <v>0</v>
      </c>
      <c r="Q13" s="85">
        <f t="shared" si="4"/>
        <v>0</v>
      </c>
      <c r="R13" s="85">
        <v>0</v>
      </c>
      <c r="S13" s="85">
        <f t="shared" si="7"/>
        <v>9.61538461538462</v>
      </c>
      <c r="T13" s="85">
        <v>57</v>
      </c>
      <c r="U13" s="85">
        <v>300</v>
      </c>
      <c r="V13" s="86">
        <v>10</v>
      </c>
      <c r="W13" s="36">
        <v>7</v>
      </c>
      <c r="X13" s="86">
        <v>8</v>
      </c>
      <c r="Y13" s="85">
        <v>0</v>
      </c>
      <c r="Z13" s="85">
        <v>0</v>
      </c>
      <c r="AA13" s="85">
        <v>0</v>
      </c>
      <c r="AB13" s="86">
        <f t="shared" si="5"/>
        <v>621.423076923077</v>
      </c>
      <c r="AC13" s="19">
        <f t="shared" si="9"/>
        <v>6</v>
      </c>
      <c r="AD13" s="85">
        <v>7.25</v>
      </c>
      <c r="AE13" s="85">
        <f>VLOOKUP(B13,'[1]OF-10'!$E$7:$K$25,7,0)</f>
        <v>100</v>
      </c>
      <c r="AF13" s="85">
        <f t="shared" si="8"/>
        <v>113.25</v>
      </c>
      <c r="AG13" s="86">
        <f t="shared" si="6"/>
        <v>508.173076923077</v>
      </c>
      <c r="AH13" s="35"/>
      <c r="AI13" s="232"/>
      <c r="AJ13" s="201"/>
      <c r="AK13" s="234"/>
      <c r="AL13" s="237" t="s">
        <v>126</v>
      </c>
      <c r="AM13" s="203">
        <v>31413</v>
      </c>
      <c r="AN13" s="91" t="s">
        <v>99</v>
      </c>
      <c r="AO13" s="202" t="s">
        <v>100</v>
      </c>
      <c r="AP13" s="91" t="s">
        <v>102</v>
      </c>
      <c r="AQ13" s="91" t="s">
        <v>102</v>
      </c>
      <c r="AR13" s="91" t="s">
        <v>103</v>
      </c>
      <c r="AS13" s="202" t="s">
        <v>127</v>
      </c>
    </row>
    <row r="14" s="5" customFormat="1" ht="29" customHeight="1" spans="1:45">
      <c r="A14" s="85">
        <v>6</v>
      </c>
      <c r="B14" s="19" t="s">
        <v>128</v>
      </c>
      <c r="C14" s="20" t="s">
        <v>129</v>
      </c>
      <c r="D14" s="20" t="s">
        <v>130</v>
      </c>
      <c r="E14" s="21">
        <v>44673</v>
      </c>
      <c r="F14" s="19" t="s">
        <v>108</v>
      </c>
      <c r="G14" s="19" t="s">
        <v>97</v>
      </c>
      <c r="H14" s="19" t="s">
        <v>131</v>
      </c>
      <c r="I14" s="19">
        <v>25</v>
      </c>
      <c r="J14" s="85">
        <f t="shared" si="0"/>
        <v>1</v>
      </c>
      <c r="K14" s="19">
        <v>200</v>
      </c>
      <c r="L14" s="36">
        <f t="shared" si="1"/>
        <v>192.307692307692</v>
      </c>
      <c r="M14" s="36">
        <f t="shared" si="2"/>
        <v>7.69230769230769</v>
      </c>
      <c r="N14" s="19">
        <v>0</v>
      </c>
      <c r="O14" s="19">
        <f t="shared" si="3"/>
        <v>0</v>
      </c>
      <c r="P14" s="19">
        <v>0</v>
      </c>
      <c r="Q14" s="19">
        <f t="shared" si="4"/>
        <v>0</v>
      </c>
      <c r="R14" s="19">
        <v>0</v>
      </c>
      <c r="S14" s="85">
        <f t="shared" si="7"/>
        <v>9.61538461538462</v>
      </c>
      <c r="T14" s="19">
        <v>36.61</v>
      </c>
      <c r="U14" s="19">
        <v>80</v>
      </c>
      <c r="V14" s="86">
        <v>10</v>
      </c>
      <c r="W14" s="36">
        <v>0</v>
      </c>
      <c r="X14" s="36">
        <v>8</v>
      </c>
      <c r="Y14" s="19">
        <v>0</v>
      </c>
      <c r="Z14" s="85">
        <v>0</v>
      </c>
      <c r="AA14" s="85">
        <v>0</v>
      </c>
      <c r="AB14" s="86">
        <f t="shared" si="5"/>
        <v>336.533076923077</v>
      </c>
      <c r="AC14" s="19">
        <f t="shared" si="9"/>
        <v>6</v>
      </c>
      <c r="AD14" s="85">
        <v>0</v>
      </c>
      <c r="AE14" s="85">
        <f>VLOOKUP(B14,'[1]OF-10'!$E$7:$K$25,7,0)</f>
        <v>100</v>
      </c>
      <c r="AF14" s="85">
        <f t="shared" si="8"/>
        <v>106</v>
      </c>
      <c r="AG14" s="36">
        <f t="shared" si="6"/>
        <v>230.533076923077</v>
      </c>
      <c r="AH14" s="129"/>
      <c r="AI14" s="130"/>
      <c r="AJ14" s="61"/>
      <c r="AK14" s="234"/>
      <c r="AL14" s="72">
        <v>100930732</v>
      </c>
      <c r="AM14" s="73">
        <v>30010</v>
      </c>
      <c r="AN14" s="74" t="s">
        <v>99</v>
      </c>
      <c r="AO14" s="72" t="s">
        <v>100</v>
      </c>
      <c r="AP14" s="74" t="s">
        <v>101</v>
      </c>
      <c r="AQ14" s="74" t="s">
        <v>102</v>
      </c>
      <c r="AR14" s="74" t="s">
        <v>103</v>
      </c>
      <c r="AS14" s="72" t="s">
        <v>132</v>
      </c>
    </row>
    <row r="15" s="5" customFormat="1" ht="29" customHeight="1" spans="1:45">
      <c r="A15" s="85">
        <v>7</v>
      </c>
      <c r="B15" s="19" t="s">
        <v>133</v>
      </c>
      <c r="C15" s="20" t="s">
        <v>134</v>
      </c>
      <c r="D15" s="20" t="s">
        <v>135</v>
      </c>
      <c r="E15" s="21">
        <v>44677</v>
      </c>
      <c r="F15" s="19" t="s">
        <v>108</v>
      </c>
      <c r="G15" s="19" t="s">
        <v>97</v>
      </c>
      <c r="H15" s="19" t="s">
        <v>131</v>
      </c>
      <c r="I15" s="19">
        <v>24.5</v>
      </c>
      <c r="J15" s="85">
        <f t="shared" si="0"/>
        <v>1.5</v>
      </c>
      <c r="K15" s="19">
        <v>200</v>
      </c>
      <c r="L15" s="36">
        <f t="shared" si="1"/>
        <v>188.461538461538</v>
      </c>
      <c r="M15" s="36">
        <f t="shared" si="2"/>
        <v>11.5384615384615</v>
      </c>
      <c r="N15" s="19">
        <v>2</v>
      </c>
      <c r="O15" s="19">
        <f t="shared" si="3"/>
        <v>2.88461538461538</v>
      </c>
      <c r="P15" s="19">
        <v>0</v>
      </c>
      <c r="Q15" s="19">
        <f t="shared" si="4"/>
        <v>0</v>
      </c>
      <c r="R15" s="19">
        <v>0</v>
      </c>
      <c r="S15" s="85">
        <f t="shared" si="7"/>
        <v>9.42307692307692</v>
      </c>
      <c r="T15" s="19">
        <v>33.92</v>
      </c>
      <c r="U15" s="19">
        <v>80</v>
      </c>
      <c r="V15" s="86">
        <v>10</v>
      </c>
      <c r="W15" s="36">
        <v>0.5</v>
      </c>
      <c r="X15" s="36">
        <v>8</v>
      </c>
      <c r="Y15" s="19">
        <v>0</v>
      </c>
      <c r="Z15" s="85">
        <v>0</v>
      </c>
      <c r="AA15" s="85">
        <v>0</v>
      </c>
      <c r="AB15" s="86">
        <f t="shared" si="5"/>
        <v>333.189230769231</v>
      </c>
      <c r="AC15" s="19">
        <f t="shared" si="9"/>
        <v>6</v>
      </c>
      <c r="AD15" s="85">
        <v>0</v>
      </c>
      <c r="AE15" s="85">
        <f>VLOOKUP(B15,'[1]OF-10'!$E$7:$K$25,7,0)</f>
        <v>100</v>
      </c>
      <c r="AF15" s="85">
        <f t="shared" si="8"/>
        <v>106</v>
      </c>
      <c r="AG15" s="36">
        <f t="shared" si="6"/>
        <v>227.189230769231</v>
      </c>
      <c r="AH15" s="129"/>
      <c r="AI15" s="130"/>
      <c r="AJ15" s="61"/>
      <c r="AK15" s="234"/>
      <c r="AL15" s="72">
        <v>101046840</v>
      </c>
      <c r="AM15" s="73">
        <v>35197</v>
      </c>
      <c r="AN15" s="74" t="s">
        <v>99</v>
      </c>
      <c r="AO15" s="72" t="s">
        <v>115</v>
      </c>
      <c r="AP15" s="74" t="s">
        <v>101</v>
      </c>
      <c r="AQ15" s="74" t="s">
        <v>102</v>
      </c>
      <c r="AR15" s="74" t="s">
        <v>103</v>
      </c>
      <c r="AS15" s="72" t="s">
        <v>136</v>
      </c>
    </row>
    <row r="16" s="5" customFormat="1" ht="29" customHeight="1" spans="1:45">
      <c r="A16" s="85">
        <v>8</v>
      </c>
      <c r="B16" s="19" t="s">
        <v>137</v>
      </c>
      <c r="C16" s="20" t="s">
        <v>138</v>
      </c>
      <c r="D16" s="20" t="s">
        <v>139</v>
      </c>
      <c r="E16" s="21">
        <v>44713</v>
      </c>
      <c r="F16" s="19" t="s">
        <v>108</v>
      </c>
      <c r="G16" s="19" t="s">
        <v>97</v>
      </c>
      <c r="H16" s="19" t="s">
        <v>140</v>
      </c>
      <c r="I16" s="19">
        <v>26</v>
      </c>
      <c r="J16" s="85">
        <f t="shared" si="0"/>
        <v>0</v>
      </c>
      <c r="K16" s="19">
        <v>200</v>
      </c>
      <c r="L16" s="36">
        <f t="shared" si="1"/>
        <v>200</v>
      </c>
      <c r="M16" s="36">
        <f t="shared" si="2"/>
        <v>0</v>
      </c>
      <c r="N16" s="19">
        <v>29</v>
      </c>
      <c r="O16" s="19">
        <f t="shared" si="3"/>
        <v>41.8269230769231</v>
      </c>
      <c r="P16" s="19">
        <v>0</v>
      </c>
      <c r="Q16" s="19">
        <f t="shared" si="4"/>
        <v>0</v>
      </c>
      <c r="R16" s="19">
        <v>0</v>
      </c>
      <c r="S16" s="85">
        <f t="shared" si="7"/>
        <v>10</v>
      </c>
      <c r="T16" s="19">
        <v>42</v>
      </c>
      <c r="U16" s="19">
        <v>80</v>
      </c>
      <c r="V16" s="86">
        <v>10</v>
      </c>
      <c r="W16" s="36">
        <v>7.25</v>
      </c>
      <c r="X16" s="36">
        <v>8</v>
      </c>
      <c r="Y16" s="19">
        <v>0</v>
      </c>
      <c r="Z16" s="85">
        <v>0</v>
      </c>
      <c r="AA16" s="85">
        <v>0</v>
      </c>
      <c r="AB16" s="86">
        <f t="shared" si="5"/>
        <v>399.076923076923</v>
      </c>
      <c r="AC16" s="19">
        <f t="shared" si="9"/>
        <v>6</v>
      </c>
      <c r="AD16" s="85">
        <v>8.36</v>
      </c>
      <c r="AE16" s="85">
        <f>VLOOKUP(B16,'[1]OF-10'!$E$7:$K$25,7,0)</f>
        <v>100</v>
      </c>
      <c r="AF16" s="85">
        <f t="shared" si="8"/>
        <v>114.36</v>
      </c>
      <c r="AG16" s="36">
        <f t="shared" si="6"/>
        <v>284.716923076923</v>
      </c>
      <c r="AH16" s="129"/>
      <c r="AI16" s="130"/>
      <c r="AJ16" s="61"/>
      <c r="AK16" s="234"/>
      <c r="AL16" s="72">
        <v>100806838</v>
      </c>
      <c r="AM16" s="73">
        <v>33706</v>
      </c>
      <c r="AN16" s="74" t="s">
        <v>141</v>
      </c>
      <c r="AO16" s="72"/>
      <c r="AP16" s="74" t="s">
        <v>102</v>
      </c>
      <c r="AQ16" s="74" t="s">
        <v>102</v>
      </c>
      <c r="AR16" s="74" t="s">
        <v>103</v>
      </c>
      <c r="AS16" s="72" t="s">
        <v>142</v>
      </c>
    </row>
    <row r="17" s="126" customFormat="1" ht="29" customHeight="1" spans="1:45">
      <c r="A17" s="85">
        <v>9</v>
      </c>
      <c r="B17" s="85" t="s">
        <v>143</v>
      </c>
      <c r="C17" s="81" t="s">
        <v>144</v>
      </c>
      <c r="D17" s="81" t="s">
        <v>145</v>
      </c>
      <c r="E17" s="127">
        <v>44719</v>
      </c>
      <c r="F17" s="85" t="s">
        <v>108</v>
      </c>
      <c r="G17" s="85" t="s">
        <v>97</v>
      </c>
      <c r="H17" s="85" t="s">
        <v>146</v>
      </c>
      <c r="I17" s="85">
        <v>26</v>
      </c>
      <c r="J17" s="85">
        <f t="shared" si="0"/>
        <v>0</v>
      </c>
      <c r="K17" s="85">
        <v>200</v>
      </c>
      <c r="L17" s="86">
        <f t="shared" si="1"/>
        <v>200</v>
      </c>
      <c r="M17" s="86">
        <f t="shared" si="2"/>
        <v>0</v>
      </c>
      <c r="N17" s="85">
        <v>33</v>
      </c>
      <c r="O17" s="85">
        <f>1*N17</f>
        <v>33</v>
      </c>
      <c r="P17" s="85">
        <v>0</v>
      </c>
      <c r="Q17" s="85">
        <f t="shared" si="4"/>
        <v>0</v>
      </c>
      <c r="R17" s="85">
        <v>0</v>
      </c>
      <c r="S17" s="85">
        <f t="shared" si="7"/>
        <v>10</v>
      </c>
      <c r="T17" s="85">
        <v>42</v>
      </c>
      <c r="U17" s="85">
        <v>80</v>
      </c>
      <c r="V17" s="86">
        <v>10</v>
      </c>
      <c r="W17" s="36">
        <v>0</v>
      </c>
      <c r="X17" s="86">
        <v>8</v>
      </c>
      <c r="Y17" s="85">
        <v>0</v>
      </c>
      <c r="Z17" s="85">
        <v>0</v>
      </c>
      <c r="AA17" s="85">
        <v>0</v>
      </c>
      <c r="AB17" s="86">
        <f t="shared" si="5"/>
        <v>383</v>
      </c>
      <c r="AC17" s="19">
        <f t="shared" si="9"/>
        <v>6</v>
      </c>
      <c r="AD17" s="85">
        <v>3.62</v>
      </c>
      <c r="AE17" s="85">
        <f>VLOOKUP(B17,'[1]OF-10'!$E$7:$K$25,7,0)</f>
        <v>100</v>
      </c>
      <c r="AF17" s="85">
        <f t="shared" si="8"/>
        <v>109.62</v>
      </c>
      <c r="AG17" s="86">
        <f t="shared" si="6"/>
        <v>273.38</v>
      </c>
      <c r="AH17" s="35"/>
      <c r="AI17" s="232"/>
      <c r="AJ17" s="201"/>
      <c r="AK17" s="234"/>
      <c r="AL17" s="202">
        <v>100770869</v>
      </c>
      <c r="AM17" s="203">
        <v>29226</v>
      </c>
      <c r="AN17" s="91" t="s">
        <v>99</v>
      </c>
      <c r="AO17" s="202" t="s">
        <v>100</v>
      </c>
      <c r="AP17" s="91" t="s">
        <v>101</v>
      </c>
      <c r="AQ17" s="91" t="s">
        <v>102</v>
      </c>
      <c r="AR17" s="91" t="s">
        <v>103</v>
      </c>
      <c r="AS17" s="193" t="s">
        <v>147</v>
      </c>
    </row>
    <row r="18" s="5" customFormat="1" ht="29" customHeight="1" spans="1:45">
      <c r="A18" s="85">
        <v>10</v>
      </c>
      <c r="B18" s="19" t="s">
        <v>148</v>
      </c>
      <c r="C18" s="20" t="s">
        <v>149</v>
      </c>
      <c r="D18" s="20" t="s">
        <v>150</v>
      </c>
      <c r="E18" s="21">
        <v>44726</v>
      </c>
      <c r="F18" s="19" t="s">
        <v>108</v>
      </c>
      <c r="G18" s="19" t="s">
        <v>97</v>
      </c>
      <c r="H18" s="19" t="s">
        <v>131</v>
      </c>
      <c r="I18" s="19">
        <v>25.5</v>
      </c>
      <c r="J18" s="85">
        <f t="shared" si="0"/>
        <v>0.5</v>
      </c>
      <c r="K18" s="19">
        <v>200</v>
      </c>
      <c r="L18" s="36">
        <f t="shared" si="1"/>
        <v>196.153846153846</v>
      </c>
      <c r="M18" s="36">
        <f t="shared" si="2"/>
        <v>3.84615384615385</v>
      </c>
      <c r="N18" s="19">
        <v>15</v>
      </c>
      <c r="O18" s="19">
        <f t="shared" si="3"/>
        <v>21.6346153846154</v>
      </c>
      <c r="P18" s="19">
        <v>0</v>
      </c>
      <c r="Q18" s="19">
        <f t="shared" si="4"/>
        <v>0</v>
      </c>
      <c r="R18" s="19">
        <v>0</v>
      </c>
      <c r="S18" s="85">
        <f t="shared" si="7"/>
        <v>9.80769230769231</v>
      </c>
      <c r="T18" s="19">
        <v>39.3</v>
      </c>
      <c r="U18" s="19">
        <v>80</v>
      </c>
      <c r="V18" s="86">
        <v>10</v>
      </c>
      <c r="W18" s="36">
        <v>4</v>
      </c>
      <c r="X18" s="36">
        <v>8</v>
      </c>
      <c r="Y18" s="19">
        <v>0</v>
      </c>
      <c r="Z18" s="85">
        <f>VLOOKUP(B18,'[3]Annual Leave '!$B$7:$N$98,13,0)</f>
        <v>56.08</v>
      </c>
      <c r="AA18" s="85">
        <f>VLOOKUP(B18,'[3]Annual Leave '!$B$7:$Q$98,15,0)</f>
        <v>64.7081360946745</v>
      </c>
      <c r="AB18" s="86">
        <f t="shared" si="5"/>
        <v>489.684289940828</v>
      </c>
      <c r="AC18" s="19">
        <f t="shared" si="9"/>
        <v>6</v>
      </c>
      <c r="AD18" s="85">
        <v>0</v>
      </c>
      <c r="AE18" s="85">
        <f>VLOOKUP(B18,'[1]OF-10'!$E$7:$K$25,7,0)</f>
        <v>100</v>
      </c>
      <c r="AF18" s="85">
        <f t="shared" si="8"/>
        <v>106</v>
      </c>
      <c r="AG18" s="36">
        <f t="shared" si="6"/>
        <v>383.684289940828</v>
      </c>
      <c r="AH18" s="129"/>
      <c r="AI18" s="130"/>
      <c r="AJ18" s="61"/>
      <c r="AK18" s="234"/>
      <c r="AL18" s="72" t="s">
        <v>151</v>
      </c>
      <c r="AM18" s="73">
        <v>31795</v>
      </c>
      <c r="AN18" s="74" t="s">
        <v>99</v>
      </c>
      <c r="AO18" s="72" t="s">
        <v>152</v>
      </c>
      <c r="AP18" s="74" t="s">
        <v>101</v>
      </c>
      <c r="AQ18" s="74" t="s">
        <v>102</v>
      </c>
      <c r="AR18" s="74" t="s">
        <v>103</v>
      </c>
      <c r="AS18" s="92" t="s">
        <v>153</v>
      </c>
    </row>
    <row r="19" s="5" customFormat="1" ht="29" customHeight="1" spans="1:45">
      <c r="A19" s="85">
        <v>11</v>
      </c>
      <c r="B19" s="19" t="s">
        <v>154</v>
      </c>
      <c r="C19" s="20" t="s">
        <v>155</v>
      </c>
      <c r="D19" s="20" t="s">
        <v>156</v>
      </c>
      <c r="E19" s="21">
        <v>44743</v>
      </c>
      <c r="F19" s="19" t="s">
        <v>96</v>
      </c>
      <c r="G19" s="19" t="s">
        <v>97</v>
      </c>
      <c r="H19" s="19" t="s">
        <v>157</v>
      </c>
      <c r="I19" s="19">
        <v>26</v>
      </c>
      <c r="J19" s="85">
        <f t="shared" si="0"/>
        <v>0</v>
      </c>
      <c r="K19" s="19">
        <v>200</v>
      </c>
      <c r="L19" s="36">
        <f t="shared" si="1"/>
        <v>200</v>
      </c>
      <c r="M19" s="36">
        <f t="shared" si="2"/>
        <v>0</v>
      </c>
      <c r="N19" s="19">
        <v>5.5</v>
      </c>
      <c r="O19" s="19">
        <f t="shared" si="3"/>
        <v>7.93269230769231</v>
      </c>
      <c r="P19" s="19">
        <v>0</v>
      </c>
      <c r="Q19" s="19">
        <f t="shared" si="4"/>
        <v>0</v>
      </c>
      <c r="R19" s="19">
        <v>0</v>
      </c>
      <c r="S19" s="85">
        <f t="shared" si="7"/>
        <v>10</v>
      </c>
      <c r="T19" s="19">
        <v>72</v>
      </c>
      <c r="U19" s="19">
        <v>150</v>
      </c>
      <c r="V19" s="86">
        <v>10</v>
      </c>
      <c r="W19" s="36">
        <v>2</v>
      </c>
      <c r="X19" s="36">
        <v>8</v>
      </c>
      <c r="Y19" s="19">
        <v>0</v>
      </c>
      <c r="Z19" s="85">
        <f>VLOOKUP(B19,'[3]Annual Leave '!$B$7:$N$98,13,0)</f>
        <v>69.33</v>
      </c>
      <c r="AA19" s="85">
        <f>VLOOKUP(B19,'[3]Annual Leave '!$B$7:$Q$98,15,0)</f>
        <v>79.9942677514793</v>
      </c>
      <c r="AB19" s="86">
        <f t="shared" si="5"/>
        <v>609.256960059172</v>
      </c>
      <c r="AC19" s="19">
        <f t="shared" si="9"/>
        <v>6</v>
      </c>
      <c r="AD19" s="85">
        <v>4.58</v>
      </c>
      <c r="AE19" s="85">
        <f>VLOOKUP(B19,'[1]OF-10'!$E$7:$K$25,7,0)</f>
        <v>100</v>
      </c>
      <c r="AF19" s="85">
        <f t="shared" si="8"/>
        <v>110.58</v>
      </c>
      <c r="AG19" s="36">
        <f t="shared" si="6"/>
        <v>498.676960059172</v>
      </c>
      <c r="AH19" s="129"/>
      <c r="AI19" s="130"/>
      <c r="AJ19" s="61"/>
      <c r="AK19" s="234"/>
      <c r="AL19" s="72" t="s">
        <v>158</v>
      </c>
      <c r="AM19" s="73">
        <v>33391</v>
      </c>
      <c r="AN19" s="74" t="s">
        <v>99</v>
      </c>
      <c r="AO19" s="72">
        <v>0</v>
      </c>
      <c r="AP19" s="74" t="s">
        <v>102</v>
      </c>
      <c r="AQ19" s="74" t="s">
        <v>102</v>
      </c>
      <c r="AR19" s="74" t="s">
        <v>103</v>
      </c>
      <c r="AS19" s="92" t="s">
        <v>159</v>
      </c>
    </row>
    <row r="20" s="5" customFormat="1" ht="29" customHeight="1" spans="1:45">
      <c r="A20" s="85">
        <v>12</v>
      </c>
      <c r="B20" s="19" t="s">
        <v>160</v>
      </c>
      <c r="C20" s="20" t="s">
        <v>161</v>
      </c>
      <c r="D20" s="20" t="s">
        <v>162</v>
      </c>
      <c r="E20" s="21">
        <v>44743</v>
      </c>
      <c r="F20" s="19" t="s">
        <v>96</v>
      </c>
      <c r="G20" s="19" t="s">
        <v>97</v>
      </c>
      <c r="H20" s="19" t="s">
        <v>140</v>
      </c>
      <c r="I20" s="19">
        <v>26</v>
      </c>
      <c r="J20" s="85">
        <f t="shared" si="0"/>
        <v>0</v>
      </c>
      <c r="K20" s="19">
        <v>200</v>
      </c>
      <c r="L20" s="36">
        <f t="shared" si="1"/>
        <v>200</v>
      </c>
      <c r="M20" s="36">
        <f t="shared" si="2"/>
        <v>0</v>
      </c>
      <c r="N20" s="19">
        <v>12</v>
      </c>
      <c r="O20" s="19">
        <f t="shared" si="3"/>
        <v>17.3076923076923</v>
      </c>
      <c r="P20" s="19">
        <v>0</v>
      </c>
      <c r="Q20" s="19">
        <f t="shared" si="4"/>
        <v>0</v>
      </c>
      <c r="R20" s="19">
        <v>0</v>
      </c>
      <c r="S20" s="85">
        <f t="shared" si="7"/>
        <v>10</v>
      </c>
      <c r="T20" s="19">
        <v>0</v>
      </c>
      <c r="U20" s="19">
        <v>0</v>
      </c>
      <c r="V20" s="86">
        <v>10</v>
      </c>
      <c r="W20" s="36">
        <v>3</v>
      </c>
      <c r="X20" s="36">
        <v>8</v>
      </c>
      <c r="Y20" s="19">
        <v>0</v>
      </c>
      <c r="Z20" s="85">
        <f>VLOOKUP(B20,'[3]Annual Leave '!$B$7:$N$98,13,0)</f>
        <v>35.01</v>
      </c>
      <c r="AA20" s="85">
        <f>VLOOKUP(B20,'[3]Annual Leave '!$B$7:$Q$98,15,0)</f>
        <v>40.4005639792899</v>
      </c>
      <c r="AB20" s="86">
        <f t="shared" si="5"/>
        <v>323.718256286982</v>
      </c>
      <c r="AC20" s="19">
        <f>17302/4000</f>
        <v>4.3255</v>
      </c>
      <c r="AD20" s="85">
        <v>0</v>
      </c>
      <c r="AE20" s="85">
        <f>VLOOKUP(B20,'[1]OF-10'!$E$7:$K$25,7,0)</f>
        <v>100</v>
      </c>
      <c r="AF20" s="85">
        <f t="shared" si="8"/>
        <v>104.3255</v>
      </c>
      <c r="AG20" s="36">
        <f t="shared" si="6"/>
        <v>219.392756286982</v>
      </c>
      <c r="AH20" s="129"/>
      <c r="AI20" s="130"/>
      <c r="AJ20" s="61"/>
      <c r="AK20" s="234"/>
      <c r="AL20" s="72" t="s">
        <v>163</v>
      </c>
      <c r="AM20" s="73">
        <v>32188</v>
      </c>
      <c r="AN20" s="74" t="s">
        <v>99</v>
      </c>
      <c r="AO20" s="72" t="s">
        <v>164</v>
      </c>
      <c r="AP20" s="74" t="s">
        <v>101</v>
      </c>
      <c r="AQ20" s="74" t="s">
        <v>102</v>
      </c>
      <c r="AR20" s="74" t="s">
        <v>103</v>
      </c>
      <c r="AS20" s="72" t="s">
        <v>165</v>
      </c>
    </row>
    <row r="21" s="5" customFormat="1" ht="29" customHeight="1" spans="1:45">
      <c r="A21" s="85">
        <v>13</v>
      </c>
      <c r="B21" s="85" t="s">
        <v>166</v>
      </c>
      <c r="C21" s="81" t="s">
        <v>167</v>
      </c>
      <c r="D21" s="81" t="s">
        <v>168</v>
      </c>
      <c r="E21" s="127">
        <v>44746</v>
      </c>
      <c r="F21" s="85" t="s">
        <v>108</v>
      </c>
      <c r="G21" s="19" t="s">
        <v>97</v>
      </c>
      <c r="H21" s="85" t="s">
        <v>169</v>
      </c>
      <c r="I21" s="19">
        <v>26</v>
      </c>
      <c r="J21" s="85">
        <f t="shared" si="0"/>
        <v>0</v>
      </c>
      <c r="K21" s="19">
        <v>200</v>
      </c>
      <c r="L21" s="36">
        <f t="shared" si="1"/>
        <v>200</v>
      </c>
      <c r="M21" s="36">
        <f t="shared" si="2"/>
        <v>0</v>
      </c>
      <c r="N21" s="19">
        <v>0</v>
      </c>
      <c r="O21" s="19">
        <f t="shared" si="3"/>
        <v>0</v>
      </c>
      <c r="P21" s="19">
        <v>0</v>
      </c>
      <c r="Q21" s="19">
        <f t="shared" si="4"/>
        <v>0</v>
      </c>
      <c r="R21" s="19">
        <v>0</v>
      </c>
      <c r="S21" s="85">
        <f t="shared" si="7"/>
        <v>10</v>
      </c>
      <c r="T21" s="19">
        <v>52</v>
      </c>
      <c r="U21" s="19">
        <v>120</v>
      </c>
      <c r="V21" s="86">
        <v>10</v>
      </c>
      <c r="W21" s="36">
        <v>0</v>
      </c>
      <c r="X21" s="36">
        <v>8</v>
      </c>
      <c r="Y21" s="19">
        <v>0</v>
      </c>
      <c r="Z21" s="85">
        <f>VLOOKUP(B21,'[3]Annual Leave '!$B$7:$N$98,13,0)</f>
        <v>60.33</v>
      </c>
      <c r="AA21" s="85">
        <f>VLOOKUP(B21,'[3]Annual Leave '!$B$7:$Q$98,15,0)</f>
        <v>61.8742603550296</v>
      </c>
      <c r="AB21" s="86">
        <f t="shared" si="5"/>
        <v>522.20426035503</v>
      </c>
      <c r="AC21" s="19">
        <f>24000/4000</f>
        <v>6</v>
      </c>
      <c r="AD21" s="85">
        <v>3.37</v>
      </c>
      <c r="AE21" s="85">
        <f>VLOOKUP(B21,'[1]OF-10'!$E$7:$K$25,7,0)</f>
        <v>100</v>
      </c>
      <c r="AF21" s="85">
        <f t="shared" si="8"/>
        <v>109.37</v>
      </c>
      <c r="AG21" s="36">
        <f t="shared" si="6"/>
        <v>412.83426035503</v>
      </c>
      <c r="AH21" s="35"/>
      <c r="AI21" s="130"/>
      <c r="AJ21" s="61"/>
      <c r="AK21" s="234"/>
      <c r="AL21" s="72" t="s">
        <v>170</v>
      </c>
      <c r="AM21" s="73">
        <v>36214</v>
      </c>
      <c r="AN21" s="74" t="s">
        <v>99</v>
      </c>
      <c r="AO21" s="72">
        <v>0</v>
      </c>
      <c r="AP21" s="74" t="s">
        <v>101</v>
      </c>
      <c r="AQ21" s="74" t="s">
        <v>102</v>
      </c>
      <c r="AR21" s="74" t="s">
        <v>103</v>
      </c>
      <c r="AS21" s="72" t="s">
        <v>171</v>
      </c>
    </row>
    <row r="22" s="5" customFormat="1" ht="29" customHeight="1" spans="1:45">
      <c r="A22" s="85">
        <v>14</v>
      </c>
      <c r="B22" s="85" t="s">
        <v>172</v>
      </c>
      <c r="C22" s="81" t="s">
        <v>173</v>
      </c>
      <c r="D22" s="81" t="s">
        <v>174</v>
      </c>
      <c r="E22" s="127">
        <v>44760</v>
      </c>
      <c r="F22" s="85" t="s">
        <v>96</v>
      </c>
      <c r="G22" s="19" t="s">
        <v>97</v>
      </c>
      <c r="H22" s="85" t="s">
        <v>175</v>
      </c>
      <c r="I22" s="19">
        <v>26</v>
      </c>
      <c r="J22" s="85">
        <f t="shared" ref="J22:J27" si="10">26-I22</f>
        <v>0</v>
      </c>
      <c r="K22" s="19">
        <v>200</v>
      </c>
      <c r="L22" s="36">
        <f t="shared" ref="L22:L27" si="11">K22/26*I22</f>
        <v>200</v>
      </c>
      <c r="M22" s="36">
        <f t="shared" ref="M22:M27" si="12">K22/26*J22</f>
        <v>0</v>
      </c>
      <c r="N22" s="19">
        <v>0</v>
      </c>
      <c r="O22" s="19">
        <f t="shared" ref="O22:O27" si="13">K22/26/8*1.5*N22</f>
        <v>0</v>
      </c>
      <c r="P22" s="19">
        <v>0</v>
      </c>
      <c r="Q22" s="19">
        <f t="shared" ref="Q22:Q27" si="14">K22/26*2*P22</f>
        <v>0</v>
      </c>
      <c r="R22" s="19">
        <v>0</v>
      </c>
      <c r="S22" s="85">
        <f t="shared" si="7"/>
        <v>10</v>
      </c>
      <c r="T22" s="19">
        <v>22</v>
      </c>
      <c r="U22" s="19">
        <v>50</v>
      </c>
      <c r="V22" s="86">
        <v>10</v>
      </c>
      <c r="W22" s="36">
        <v>0</v>
      </c>
      <c r="X22" s="36">
        <v>8</v>
      </c>
      <c r="Y22" s="19">
        <v>0</v>
      </c>
      <c r="Z22" s="85">
        <v>0</v>
      </c>
      <c r="AA22" s="85">
        <v>0</v>
      </c>
      <c r="AB22" s="86">
        <f t="shared" ref="AB22:AB27" si="15">SUM(L22++O22+Q22+S22+T22+U22+V22+X22+Y22+Z22+AA22+W22)</f>
        <v>300</v>
      </c>
      <c r="AC22" s="19">
        <f>24000/4000</f>
        <v>6</v>
      </c>
      <c r="AD22" s="85">
        <v>0</v>
      </c>
      <c r="AE22" s="85">
        <f>VLOOKUP(B22,'[1]OF-10'!$E$7:$K$25,7,0)</f>
        <v>100</v>
      </c>
      <c r="AF22" s="85">
        <f t="shared" si="8"/>
        <v>106</v>
      </c>
      <c r="AG22" s="36">
        <f t="shared" ref="AG22:AG27" si="16">AB22-AF22</f>
        <v>194</v>
      </c>
      <c r="AH22" s="35"/>
      <c r="AI22" s="130"/>
      <c r="AJ22" s="61"/>
      <c r="AK22" s="234"/>
      <c r="AL22" s="72" t="s">
        <v>176</v>
      </c>
      <c r="AM22" s="73">
        <v>36106</v>
      </c>
      <c r="AN22" s="74" t="s">
        <v>99</v>
      </c>
      <c r="AO22" s="72">
        <v>0</v>
      </c>
      <c r="AP22" s="74" t="s">
        <v>101</v>
      </c>
      <c r="AQ22" s="74" t="s">
        <v>102</v>
      </c>
      <c r="AR22" s="74" t="s">
        <v>103</v>
      </c>
      <c r="AS22" s="92" t="s">
        <v>177</v>
      </c>
    </row>
    <row r="23" s="5" customFormat="1" ht="29" customHeight="1" spans="1:45">
      <c r="A23" s="85">
        <v>15</v>
      </c>
      <c r="B23" s="85" t="s">
        <v>178</v>
      </c>
      <c r="C23" s="81" t="s">
        <v>179</v>
      </c>
      <c r="D23" s="81" t="s">
        <v>180</v>
      </c>
      <c r="E23" s="127">
        <v>44805</v>
      </c>
      <c r="F23" s="85" t="s">
        <v>96</v>
      </c>
      <c r="G23" s="19" t="s">
        <v>97</v>
      </c>
      <c r="H23" s="85" t="s">
        <v>181</v>
      </c>
      <c r="I23" s="19">
        <v>26</v>
      </c>
      <c r="J23" s="85">
        <f t="shared" si="10"/>
        <v>0</v>
      </c>
      <c r="K23" s="19">
        <v>200</v>
      </c>
      <c r="L23" s="36">
        <f t="shared" si="11"/>
        <v>200</v>
      </c>
      <c r="M23" s="36">
        <f t="shared" si="12"/>
        <v>0</v>
      </c>
      <c r="N23" s="19">
        <v>0</v>
      </c>
      <c r="O23" s="19">
        <f t="shared" si="13"/>
        <v>0</v>
      </c>
      <c r="P23" s="19">
        <v>0</v>
      </c>
      <c r="Q23" s="19">
        <f t="shared" si="14"/>
        <v>0</v>
      </c>
      <c r="R23" s="19">
        <v>0</v>
      </c>
      <c r="S23" s="85">
        <f t="shared" si="7"/>
        <v>10</v>
      </c>
      <c r="T23" s="19">
        <v>0</v>
      </c>
      <c r="U23" s="19">
        <v>0</v>
      </c>
      <c r="V23" s="86">
        <v>10</v>
      </c>
      <c r="W23" s="36">
        <v>0</v>
      </c>
      <c r="X23" s="36">
        <v>8</v>
      </c>
      <c r="Y23" s="19">
        <v>0</v>
      </c>
      <c r="Z23" s="85">
        <v>0</v>
      </c>
      <c r="AA23" s="85">
        <v>0</v>
      </c>
      <c r="AB23" s="86">
        <f t="shared" si="15"/>
        <v>228</v>
      </c>
      <c r="AC23" s="19">
        <f>24000/4000</f>
        <v>6</v>
      </c>
      <c r="AD23" s="85">
        <v>0</v>
      </c>
      <c r="AE23" s="85">
        <f>VLOOKUP(B23,'[1]OF-10'!$E$7:$K$25,7,0)</f>
        <v>100</v>
      </c>
      <c r="AF23" s="85">
        <f t="shared" si="8"/>
        <v>106</v>
      </c>
      <c r="AG23" s="36">
        <f t="shared" si="16"/>
        <v>122</v>
      </c>
      <c r="AH23" s="35"/>
      <c r="AI23" s="130"/>
      <c r="AJ23" s="61"/>
      <c r="AK23" s="234"/>
      <c r="AL23" s="72">
        <v>100807132</v>
      </c>
      <c r="AM23" s="73">
        <v>26602</v>
      </c>
      <c r="AN23" s="74" t="s">
        <v>99</v>
      </c>
      <c r="AO23" s="72">
        <v>4</v>
      </c>
      <c r="AP23" s="74" t="s">
        <v>101</v>
      </c>
      <c r="AQ23" s="74" t="s">
        <v>102</v>
      </c>
      <c r="AR23" s="74" t="s">
        <v>103</v>
      </c>
      <c r="AS23" s="92"/>
    </row>
    <row r="24" s="5" customFormat="1" ht="29" customHeight="1" spans="1:45">
      <c r="A24" s="85">
        <v>16</v>
      </c>
      <c r="B24" s="85" t="s">
        <v>182</v>
      </c>
      <c r="C24" s="81" t="s">
        <v>183</v>
      </c>
      <c r="D24" s="81" t="s">
        <v>184</v>
      </c>
      <c r="E24" s="127">
        <v>44837</v>
      </c>
      <c r="F24" s="85" t="s">
        <v>96</v>
      </c>
      <c r="G24" s="19" t="s">
        <v>97</v>
      </c>
      <c r="H24" s="85" t="s">
        <v>181</v>
      </c>
      <c r="I24" s="19">
        <v>26</v>
      </c>
      <c r="J24" s="85">
        <f t="shared" si="10"/>
        <v>0</v>
      </c>
      <c r="K24" s="19">
        <v>200</v>
      </c>
      <c r="L24" s="36">
        <f t="shared" si="11"/>
        <v>200</v>
      </c>
      <c r="M24" s="36">
        <f t="shared" si="12"/>
        <v>0</v>
      </c>
      <c r="N24" s="19">
        <v>0</v>
      </c>
      <c r="O24" s="19">
        <f t="shared" si="13"/>
        <v>0</v>
      </c>
      <c r="P24" s="19">
        <v>0</v>
      </c>
      <c r="Q24" s="19">
        <f t="shared" si="14"/>
        <v>0</v>
      </c>
      <c r="R24" s="19">
        <v>0</v>
      </c>
      <c r="S24" s="85">
        <f t="shared" si="7"/>
        <v>10</v>
      </c>
      <c r="T24" s="19">
        <v>0</v>
      </c>
      <c r="U24" s="19">
        <v>0</v>
      </c>
      <c r="V24" s="86">
        <v>10</v>
      </c>
      <c r="W24" s="36">
        <v>0</v>
      </c>
      <c r="X24" s="36">
        <v>8</v>
      </c>
      <c r="Y24" s="19">
        <v>0</v>
      </c>
      <c r="Z24" s="85">
        <f>VLOOKUP(B24,'[3]Annual Leave '!$B$7:$N$98,13,0)</f>
        <v>34.58</v>
      </c>
      <c r="AA24" s="85">
        <f>VLOOKUP(B24,'[3]Annual Leave '!$B$7:$Q$98,15,0)</f>
        <v>39.8992233727811</v>
      </c>
      <c r="AB24" s="86">
        <f t="shared" si="15"/>
        <v>302.479223372781</v>
      </c>
      <c r="AC24" s="19">
        <f>19003/4000</f>
        <v>4.75075</v>
      </c>
      <c r="AD24" s="85">
        <v>0</v>
      </c>
      <c r="AE24" s="85">
        <f>VLOOKUP(B24,'[1]OF-10'!$E$7:$K$25,7,0)</f>
        <v>100</v>
      </c>
      <c r="AF24" s="85">
        <f t="shared" si="8"/>
        <v>104.75075</v>
      </c>
      <c r="AG24" s="36">
        <f t="shared" si="16"/>
        <v>197.728473372781</v>
      </c>
      <c r="AH24" s="35"/>
      <c r="AI24" s="130"/>
      <c r="AJ24" s="61"/>
      <c r="AK24" s="234"/>
      <c r="AL24" s="72" t="s">
        <v>185</v>
      </c>
      <c r="AM24" s="73">
        <v>31479</v>
      </c>
      <c r="AN24" s="74" t="s">
        <v>99</v>
      </c>
      <c r="AO24" s="72">
        <v>1</v>
      </c>
      <c r="AP24" s="74" t="s">
        <v>102</v>
      </c>
      <c r="AQ24" s="74" t="s">
        <v>102</v>
      </c>
      <c r="AR24" s="74" t="s">
        <v>103</v>
      </c>
      <c r="AS24" s="92" t="s">
        <v>186</v>
      </c>
    </row>
    <row r="25" s="5" customFormat="1" ht="29" customHeight="1" spans="1:45">
      <c r="A25" s="85">
        <v>17</v>
      </c>
      <c r="B25" s="85" t="s">
        <v>187</v>
      </c>
      <c r="C25" s="81" t="s">
        <v>188</v>
      </c>
      <c r="D25" s="81" t="s">
        <v>189</v>
      </c>
      <c r="E25" s="127">
        <v>44886</v>
      </c>
      <c r="F25" s="85" t="s">
        <v>108</v>
      </c>
      <c r="G25" s="19" t="s">
        <v>97</v>
      </c>
      <c r="H25" s="85" t="s">
        <v>190</v>
      </c>
      <c r="I25" s="19">
        <v>20.75</v>
      </c>
      <c r="J25" s="85">
        <f t="shared" si="10"/>
        <v>5.25</v>
      </c>
      <c r="K25" s="19">
        <v>200</v>
      </c>
      <c r="L25" s="36">
        <f t="shared" si="11"/>
        <v>159.615384615385</v>
      </c>
      <c r="M25" s="36">
        <f t="shared" si="12"/>
        <v>40.3846153846154</v>
      </c>
      <c r="N25" s="19">
        <v>25</v>
      </c>
      <c r="O25" s="19">
        <f t="shared" si="13"/>
        <v>36.0576923076923</v>
      </c>
      <c r="P25" s="19">
        <v>0</v>
      </c>
      <c r="Q25" s="19">
        <f t="shared" si="14"/>
        <v>0</v>
      </c>
      <c r="R25" s="19">
        <v>0</v>
      </c>
      <c r="S25" s="85">
        <f t="shared" si="7"/>
        <v>7.98076923076923</v>
      </c>
      <c r="T25" s="19">
        <v>0</v>
      </c>
      <c r="U25" s="19">
        <v>0</v>
      </c>
      <c r="V25" s="86">
        <v>10</v>
      </c>
      <c r="W25" s="36">
        <v>7</v>
      </c>
      <c r="X25" s="36">
        <v>8</v>
      </c>
      <c r="Y25" s="19">
        <v>0</v>
      </c>
      <c r="Z25" s="85">
        <v>0</v>
      </c>
      <c r="AA25" s="85">
        <v>0</v>
      </c>
      <c r="AB25" s="86">
        <f t="shared" si="15"/>
        <v>228.653846153847</v>
      </c>
      <c r="AC25" s="19">
        <f>24000/4000</f>
        <v>6</v>
      </c>
      <c r="AD25" s="85">
        <v>0</v>
      </c>
      <c r="AE25" s="85">
        <f>VLOOKUP(B25,'[1]OF-10'!$E$7:$K$25,7,0)</f>
        <v>100</v>
      </c>
      <c r="AF25" s="85">
        <f t="shared" si="8"/>
        <v>106</v>
      </c>
      <c r="AG25" s="36">
        <f t="shared" si="16"/>
        <v>122.653846153847</v>
      </c>
      <c r="AH25" s="35"/>
      <c r="AI25" s="130"/>
      <c r="AJ25" s="61"/>
      <c r="AK25" s="234"/>
      <c r="AL25" s="72">
        <v>100813002</v>
      </c>
      <c r="AM25" s="73">
        <v>31209</v>
      </c>
      <c r="AN25" s="74" t="s">
        <v>99</v>
      </c>
      <c r="AO25" s="72">
        <v>2</v>
      </c>
      <c r="AP25" s="74" t="s">
        <v>102</v>
      </c>
      <c r="AQ25" s="74" t="s">
        <v>102</v>
      </c>
      <c r="AR25" s="74" t="s">
        <v>103</v>
      </c>
      <c r="AS25" s="92"/>
    </row>
    <row r="26" s="5" customFormat="1" ht="29" customHeight="1" spans="1:45">
      <c r="A26" s="85">
        <v>18</v>
      </c>
      <c r="B26" s="85" t="s">
        <v>191</v>
      </c>
      <c r="C26" s="81" t="s">
        <v>192</v>
      </c>
      <c r="D26" s="81" t="s">
        <v>193</v>
      </c>
      <c r="E26" s="127">
        <v>44888</v>
      </c>
      <c r="F26" s="85" t="s">
        <v>96</v>
      </c>
      <c r="G26" s="19" t="s">
        <v>97</v>
      </c>
      <c r="H26" s="85" t="s">
        <v>194</v>
      </c>
      <c r="I26" s="19">
        <v>26</v>
      </c>
      <c r="J26" s="85">
        <f t="shared" si="10"/>
        <v>0</v>
      </c>
      <c r="K26" s="19">
        <v>200</v>
      </c>
      <c r="L26" s="36">
        <f t="shared" si="11"/>
        <v>200</v>
      </c>
      <c r="M26" s="36">
        <f t="shared" si="12"/>
        <v>0</v>
      </c>
      <c r="N26" s="19">
        <v>0</v>
      </c>
      <c r="O26" s="19">
        <f t="shared" si="13"/>
        <v>0</v>
      </c>
      <c r="P26" s="19">
        <v>0</v>
      </c>
      <c r="Q26" s="19">
        <f t="shared" si="14"/>
        <v>0</v>
      </c>
      <c r="R26" s="19">
        <v>0</v>
      </c>
      <c r="S26" s="85">
        <f t="shared" si="7"/>
        <v>10</v>
      </c>
      <c r="T26" s="19">
        <v>42</v>
      </c>
      <c r="U26" s="19">
        <v>80</v>
      </c>
      <c r="V26" s="86">
        <v>10</v>
      </c>
      <c r="W26" s="36">
        <v>0</v>
      </c>
      <c r="X26" s="36">
        <v>8</v>
      </c>
      <c r="Y26" s="19">
        <v>0</v>
      </c>
      <c r="Z26" s="85">
        <v>0</v>
      </c>
      <c r="AA26" s="85">
        <v>0</v>
      </c>
      <c r="AB26" s="86">
        <f t="shared" si="15"/>
        <v>350</v>
      </c>
      <c r="AC26" s="19">
        <f>24000/4000</f>
        <v>6</v>
      </c>
      <c r="AD26" s="85">
        <v>0.8</v>
      </c>
      <c r="AE26" s="85">
        <f>VLOOKUP(B26,'[1]OF-10'!$E$7:$K$25,7,0)</f>
        <v>100</v>
      </c>
      <c r="AF26" s="85">
        <f t="shared" si="8"/>
        <v>106.8</v>
      </c>
      <c r="AG26" s="36">
        <f t="shared" si="16"/>
        <v>243.2</v>
      </c>
      <c r="AH26" s="35"/>
      <c r="AI26" s="130"/>
      <c r="AJ26" s="61"/>
      <c r="AK26" s="234"/>
      <c r="AL26" s="72">
        <v>100806653</v>
      </c>
      <c r="AM26" s="73">
        <v>35872</v>
      </c>
      <c r="AN26" s="74" t="s">
        <v>141</v>
      </c>
      <c r="AO26" s="72">
        <v>0</v>
      </c>
      <c r="AP26" s="74" t="s">
        <v>101</v>
      </c>
      <c r="AQ26" s="74" t="s">
        <v>102</v>
      </c>
      <c r="AR26" s="74" t="s">
        <v>103</v>
      </c>
      <c r="AS26" s="92"/>
    </row>
    <row r="27" s="5" customFormat="1" ht="29" customHeight="1" spans="1:45">
      <c r="A27" s="85">
        <v>19</v>
      </c>
      <c r="B27" s="85" t="s">
        <v>195</v>
      </c>
      <c r="C27" s="81" t="s">
        <v>196</v>
      </c>
      <c r="D27" s="81" t="s">
        <v>197</v>
      </c>
      <c r="E27" s="127">
        <v>44889</v>
      </c>
      <c r="F27" s="85" t="s">
        <v>96</v>
      </c>
      <c r="G27" s="19" t="s">
        <v>97</v>
      </c>
      <c r="H27" s="85" t="s">
        <v>198</v>
      </c>
      <c r="I27" s="19">
        <v>24.5</v>
      </c>
      <c r="J27" s="85">
        <f t="shared" si="10"/>
        <v>1.5</v>
      </c>
      <c r="K27" s="19">
        <v>200</v>
      </c>
      <c r="L27" s="36">
        <f t="shared" si="11"/>
        <v>188.461538461538</v>
      </c>
      <c r="M27" s="36">
        <f t="shared" si="12"/>
        <v>11.5384615384615</v>
      </c>
      <c r="N27" s="19">
        <v>4</v>
      </c>
      <c r="O27" s="19">
        <f t="shared" si="13"/>
        <v>5.76923076923077</v>
      </c>
      <c r="P27" s="19">
        <v>0</v>
      </c>
      <c r="Q27" s="19">
        <f t="shared" si="14"/>
        <v>0</v>
      </c>
      <c r="R27" s="19">
        <v>0</v>
      </c>
      <c r="S27" s="85">
        <f t="shared" si="7"/>
        <v>9.42307692307692</v>
      </c>
      <c r="T27" s="19">
        <v>0</v>
      </c>
      <c r="U27" s="19">
        <v>66.81</v>
      </c>
      <c r="V27" s="86">
        <v>10</v>
      </c>
      <c r="W27" s="36">
        <v>1.5</v>
      </c>
      <c r="X27" s="36">
        <v>8</v>
      </c>
      <c r="Y27" s="19">
        <v>0</v>
      </c>
      <c r="Z27" s="85">
        <v>0</v>
      </c>
      <c r="AA27" s="85">
        <v>0</v>
      </c>
      <c r="AB27" s="86">
        <f t="shared" si="15"/>
        <v>289.963846153846</v>
      </c>
      <c r="AC27" s="19">
        <f>24000/4000</f>
        <v>6</v>
      </c>
      <c r="AD27" s="85">
        <v>0</v>
      </c>
      <c r="AE27" s="85">
        <f>VLOOKUP(B27,'[1]OF-10'!$E$7:$K$25,7,0)</f>
        <v>100</v>
      </c>
      <c r="AF27" s="85">
        <f t="shared" si="8"/>
        <v>106</v>
      </c>
      <c r="AG27" s="36">
        <f t="shared" si="16"/>
        <v>183.963846153846</v>
      </c>
      <c r="AH27" s="35"/>
      <c r="AI27" s="130"/>
      <c r="AJ27" s="61"/>
      <c r="AK27" s="234"/>
      <c r="AL27" s="72">
        <v>101317120</v>
      </c>
      <c r="AM27" s="73">
        <v>36840</v>
      </c>
      <c r="AN27" s="74" t="s">
        <v>99</v>
      </c>
      <c r="AO27" s="72">
        <v>0</v>
      </c>
      <c r="AP27" s="74" t="s">
        <v>102</v>
      </c>
      <c r="AQ27" s="74" t="s">
        <v>102</v>
      </c>
      <c r="AR27" s="74" t="s">
        <v>103</v>
      </c>
      <c r="AS27" s="92" t="s">
        <v>199</v>
      </c>
    </row>
    <row r="28" ht="28" customHeight="1" spans="1:37">
      <c r="A28" s="225"/>
      <c r="B28" s="226"/>
      <c r="C28" s="226"/>
      <c r="D28" s="226"/>
      <c r="E28" s="226"/>
      <c r="F28" s="226"/>
      <c r="G28" s="226"/>
      <c r="H28" s="226"/>
      <c r="I28" s="229"/>
      <c r="J28" s="229"/>
      <c r="K28" s="78">
        <f t="shared" ref="K28:V28" si="17">SUM(K9:K27)</f>
        <v>3800</v>
      </c>
      <c r="L28" s="190">
        <f t="shared" si="17"/>
        <v>3690.38461538462</v>
      </c>
      <c r="M28" s="190">
        <f t="shared" si="17"/>
        <v>109.615384615385</v>
      </c>
      <c r="N28" s="78">
        <f t="shared" si="17"/>
        <v>184.5</v>
      </c>
      <c r="O28" s="78">
        <f t="shared" si="17"/>
        <v>251.509615384615</v>
      </c>
      <c r="P28" s="78">
        <f t="shared" si="17"/>
        <v>0</v>
      </c>
      <c r="Q28" s="78">
        <f t="shared" si="17"/>
        <v>0</v>
      </c>
      <c r="R28" s="78">
        <f t="shared" si="17"/>
        <v>0</v>
      </c>
      <c r="S28" s="78">
        <f t="shared" si="17"/>
        <v>184.519230769231</v>
      </c>
      <c r="T28" s="78">
        <f t="shared" si="17"/>
        <v>553.97</v>
      </c>
      <c r="U28" s="78">
        <f t="shared" si="17"/>
        <v>1398.81</v>
      </c>
      <c r="V28" s="78">
        <f t="shared" si="17"/>
        <v>190</v>
      </c>
      <c r="W28" s="78"/>
      <c r="X28" s="78">
        <f t="shared" ref="X28:AG28" si="18">SUM(X9:X27)</f>
        <v>144</v>
      </c>
      <c r="Y28" s="78">
        <f t="shared" si="18"/>
        <v>0</v>
      </c>
      <c r="Z28" s="78">
        <f t="shared" si="18"/>
        <v>287.94</v>
      </c>
      <c r="AA28" s="78">
        <f t="shared" si="18"/>
        <v>324.505149778106</v>
      </c>
      <c r="AB28" s="190">
        <f t="shared" si="18"/>
        <v>7066.38861131657</v>
      </c>
      <c r="AC28" s="78">
        <f t="shared" si="18"/>
        <v>109.443</v>
      </c>
      <c r="AD28" s="78">
        <f t="shared" si="18"/>
        <v>30.338</v>
      </c>
      <c r="AE28" s="78">
        <f t="shared" si="18"/>
        <v>1900</v>
      </c>
      <c r="AF28" s="78">
        <f t="shared" si="18"/>
        <v>2039.781</v>
      </c>
      <c r="AG28" s="190">
        <f t="shared" si="18"/>
        <v>5026.60761131657</v>
      </c>
      <c r="AH28" s="220">
        <f>SUM(AH9:AH23)</f>
        <v>0</v>
      </c>
      <c r="AI28" s="235">
        <f>SUM(AI9:AI23)</f>
        <v>0</v>
      </c>
      <c r="AJ28" s="220">
        <f>SUM(AJ9:AJ23)</f>
        <v>0</v>
      </c>
      <c r="AK28" s="236"/>
    </row>
  </sheetData>
  <autoFilter ref="A8:AY28">
    <extLst/>
  </autoFilter>
  <mergeCells count="30">
    <mergeCell ref="A1:AJ1"/>
    <mergeCell ref="A2:AJ2"/>
    <mergeCell ref="A3:AJ3"/>
    <mergeCell ref="A4:AJ4"/>
    <mergeCell ref="A5:C5"/>
    <mergeCell ref="F5:L5"/>
    <mergeCell ref="N7:Q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ignoredErrors>
    <ignoredError sqref="AE9:AE27" emptyCellReference="1"/>
    <ignoredError sqref="O17 AC20 AC24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27"/>
  <sheetViews>
    <sheetView zoomScale="145" zoomScaleNormal="145" topLeftCell="A17" workbookViewId="0">
      <selection activeCell="P11" sqref="P11"/>
    </sheetView>
  </sheetViews>
  <sheetFormatPr defaultColWidth="9" defaultRowHeight="13.5"/>
  <cols>
    <col min="1" max="1" width="2.58333333333333" style="6" customWidth="1"/>
    <col min="2" max="2" width="5.68333333333333" style="170" customWidth="1"/>
    <col min="3" max="4" width="7.84166666666667" style="170" customWidth="1"/>
    <col min="5" max="5" width="6.80833333333333" style="6" customWidth="1"/>
    <col min="6" max="6" width="3.61666666666667" style="6" customWidth="1"/>
    <col min="7" max="7" width="3.1" style="6" customWidth="1"/>
    <col min="8" max="8" width="4.13333333333333" style="6" customWidth="1"/>
    <col min="9" max="9" width="3.875" style="6" customWidth="1"/>
    <col min="10" max="11" width="2.925" style="6" customWidth="1"/>
    <col min="12" max="12" width="5.16666666666667" customWidth="1"/>
    <col min="13" max="13" width="4.05" customWidth="1"/>
    <col min="14" max="14" width="3.29166666666667" customWidth="1"/>
    <col min="15" max="15" width="3.5" customWidth="1"/>
    <col min="16" max="18" width="2.75833333333333" customWidth="1"/>
    <col min="19" max="19" width="5.08333333333333" customWidth="1"/>
    <col min="20" max="20" width="3.625" customWidth="1"/>
    <col min="21" max="22" width="3.61666666666667" customWidth="1"/>
    <col min="23" max="27" width="3.375" customWidth="1"/>
    <col min="28" max="28" width="5.625" customWidth="1"/>
    <col min="29" max="29" width="4.59166666666667" customWidth="1"/>
    <col min="30" max="30" width="4.125" customWidth="1"/>
    <col min="31" max="31" width="4.25" customWidth="1"/>
    <col min="32" max="32" width="4.375" customWidth="1"/>
    <col min="33" max="33" width="6.625" customWidth="1"/>
    <col min="34" max="34" width="6.25" hidden="1" customWidth="1"/>
    <col min="35" max="35" width="8.75" hidden="1" customWidth="1"/>
    <col min="36" max="36" width="8.15" customWidth="1"/>
    <col min="37" max="37" width="16.725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171"/>
      <c r="C1" s="171"/>
      <c r="D1" s="17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172"/>
      <c r="C2" s="172"/>
      <c r="D2" s="17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173"/>
      <c r="C3" s="173"/>
      <c r="D3" s="1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832</v>
      </c>
      <c r="B5" s="174"/>
      <c r="C5" s="175"/>
      <c r="D5" s="175"/>
      <c r="E5" s="56"/>
      <c r="F5" s="56"/>
      <c r="G5" s="56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56" t="s">
        <v>5</v>
      </c>
      <c r="AF5" s="56"/>
      <c r="AG5" s="56"/>
      <c r="AH5" s="56"/>
      <c r="AI5" s="56"/>
      <c r="AJ5" s="56"/>
      <c r="AK5" s="56"/>
      <c r="AL5" s="70"/>
    </row>
    <row r="6" s="2" customFormat="1" ht="36" customHeight="1" spans="1:37">
      <c r="A6" s="13" t="s">
        <v>6</v>
      </c>
      <c r="B6" s="29" t="s">
        <v>7</v>
      </c>
      <c r="C6" s="29" t="s">
        <v>8</v>
      </c>
      <c r="D6" s="29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9" t="s">
        <v>70</v>
      </c>
    </row>
    <row r="7" s="3" customFormat="1" ht="12" customHeight="1" spans="1:45">
      <c r="A7" s="15" t="s">
        <v>39</v>
      </c>
      <c r="B7" s="15" t="s">
        <v>40</v>
      </c>
      <c r="C7" s="15" t="s">
        <v>41</v>
      </c>
      <c r="D7" s="15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17" customHeight="1" spans="1:45">
      <c r="A8" s="17"/>
      <c r="B8" s="17"/>
      <c r="C8" s="17"/>
      <c r="D8" s="17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77" customFormat="1" ht="26" customHeight="1" spans="1:45">
      <c r="A9" s="19">
        <v>1</v>
      </c>
      <c r="B9" s="19" t="s">
        <v>833</v>
      </c>
      <c r="C9" s="20" t="s">
        <v>834</v>
      </c>
      <c r="D9" s="20" t="s">
        <v>835</v>
      </c>
      <c r="E9" s="21">
        <v>44736</v>
      </c>
      <c r="F9" s="19" t="s">
        <v>96</v>
      </c>
      <c r="G9" s="19" t="s">
        <v>97</v>
      </c>
      <c r="H9" s="19" t="s">
        <v>125</v>
      </c>
      <c r="I9" s="19">
        <v>24</v>
      </c>
      <c r="J9" s="85">
        <f>26-I9</f>
        <v>2</v>
      </c>
      <c r="K9" s="19">
        <v>200</v>
      </c>
      <c r="L9" s="36">
        <f t="shared" ref="L9:L11" si="0">K9/26*I9</f>
        <v>184.615384615385</v>
      </c>
      <c r="M9" s="36">
        <f>K9/26*J9</f>
        <v>15.3846153846154</v>
      </c>
      <c r="N9" s="19">
        <v>9</v>
      </c>
      <c r="O9" s="19">
        <f t="shared" ref="O9:O11" si="1">K9/26/8*1.5*N9</f>
        <v>12.9807692307692</v>
      </c>
      <c r="P9" s="19">
        <v>0</v>
      </c>
      <c r="Q9" s="19">
        <f t="shared" ref="Q9:Q11" si="2">K9/26*2*P9</f>
        <v>0</v>
      </c>
      <c r="R9" s="19">
        <v>0</v>
      </c>
      <c r="S9" s="36">
        <f>10/26*I9</f>
        <v>9.23076923076923</v>
      </c>
      <c r="T9" s="19">
        <v>7.38</v>
      </c>
      <c r="U9" s="19">
        <v>150</v>
      </c>
      <c r="V9" s="54">
        <v>10</v>
      </c>
      <c r="W9" s="36">
        <v>2.5</v>
      </c>
      <c r="X9" s="36">
        <v>8</v>
      </c>
      <c r="Y9" s="19">
        <v>0</v>
      </c>
      <c r="Z9" s="85">
        <f>VLOOKUP(B9,'[3]Annual Leave '!$B$7:$Q$98,13,0)</f>
        <v>61.44</v>
      </c>
      <c r="AA9" s="85">
        <f>VLOOKUP(B9,'[3]Annual Leave '!$B$7:$Q$98,15,0)</f>
        <v>70.8869378698225</v>
      </c>
      <c r="AB9" s="86">
        <f>SUM(L9++O9+Q9+S9+T9+U9+V9+X9+Y9+Z9+AA9+W9)</f>
        <v>517.033860946746</v>
      </c>
      <c r="AC9" s="19">
        <f>VLOOKUP(B9,[2]Sheet1!$B$2:$L$199,11,0)/4000</f>
        <v>6</v>
      </c>
      <c r="AD9" s="19">
        <v>0</v>
      </c>
      <c r="AE9" s="85">
        <f>VLOOKUP(B9,[1]包装!$E$7:$L$25,7,0)</f>
        <v>100</v>
      </c>
      <c r="AF9" s="19">
        <f>SUM(AC9:AE9)</f>
        <v>106</v>
      </c>
      <c r="AG9" s="36">
        <f t="shared" ref="AG9:AG11" si="3">AB9-AF9</f>
        <v>411.033860946746</v>
      </c>
      <c r="AH9" s="129"/>
      <c r="AI9" s="130"/>
      <c r="AJ9" s="74"/>
      <c r="AK9" s="34"/>
      <c r="AL9" s="72" t="s">
        <v>836</v>
      </c>
      <c r="AM9" s="73">
        <v>34106</v>
      </c>
      <c r="AN9" s="74" t="s">
        <v>99</v>
      </c>
      <c r="AO9" s="72" t="s">
        <v>224</v>
      </c>
      <c r="AP9" s="74" t="s">
        <v>102</v>
      </c>
      <c r="AQ9" s="74" t="s">
        <v>102</v>
      </c>
      <c r="AR9" s="74" t="s">
        <v>103</v>
      </c>
      <c r="AS9" s="92" t="s">
        <v>837</v>
      </c>
    </row>
    <row r="10" s="77" customFormat="1" ht="26" customHeight="1" spans="1:45">
      <c r="A10" s="19">
        <v>2</v>
      </c>
      <c r="B10" s="19" t="s">
        <v>838</v>
      </c>
      <c r="C10" s="20" t="s">
        <v>839</v>
      </c>
      <c r="D10" s="20" t="s">
        <v>840</v>
      </c>
      <c r="E10" s="21">
        <v>44709</v>
      </c>
      <c r="F10" s="19" t="s">
        <v>96</v>
      </c>
      <c r="G10" s="19" t="s">
        <v>205</v>
      </c>
      <c r="H10" s="19" t="s">
        <v>206</v>
      </c>
      <c r="I10" s="19">
        <v>19.5</v>
      </c>
      <c r="J10" s="85">
        <f>26-I10</f>
        <v>6.5</v>
      </c>
      <c r="K10" s="19">
        <v>200</v>
      </c>
      <c r="L10" s="36">
        <f t="shared" si="0"/>
        <v>150</v>
      </c>
      <c r="M10" s="36">
        <f>K10/26*J10</f>
        <v>50</v>
      </c>
      <c r="N10" s="19">
        <v>0</v>
      </c>
      <c r="O10" s="19">
        <f t="shared" si="1"/>
        <v>0</v>
      </c>
      <c r="P10" s="19">
        <v>0</v>
      </c>
      <c r="Q10" s="19">
        <f t="shared" si="2"/>
        <v>0</v>
      </c>
      <c r="R10" s="19">
        <v>0</v>
      </c>
      <c r="S10" s="36">
        <f>10/26*I10</f>
        <v>7.5</v>
      </c>
      <c r="T10" s="19">
        <v>0</v>
      </c>
      <c r="U10" s="19">
        <v>0</v>
      </c>
      <c r="V10" s="54">
        <v>10</v>
      </c>
      <c r="W10" s="36">
        <v>0</v>
      </c>
      <c r="X10" s="36">
        <v>8</v>
      </c>
      <c r="Y10" s="19">
        <v>0</v>
      </c>
      <c r="Z10" s="85">
        <v>0</v>
      </c>
      <c r="AA10" s="85">
        <v>0</v>
      </c>
      <c r="AB10" s="86">
        <f>SUM(L10+O10+Q10+R10+S10+T10+U10+V10+X10+Y10+Z10+AA10+W10)</f>
        <v>175.5</v>
      </c>
      <c r="AC10" s="19">
        <f>VLOOKUP(B10,[2]Sheet1!$B$2:$L$199,11,0)/4000</f>
        <v>6</v>
      </c>
      <c r="AD10" s="19">
        <v>0</v>
      </c>
      <c r="AE10" s="85">
        <f>VLOOKUP(B10,[1]包装!$E$7:$L$25,7,0)</f>
        <v>50</v>
      </c>
      <c r="AF10" s="19">
        <f>SUM(AC10:AE10)</f>
        <v>56</v>
      </c>
      <c r="AG10" s="36">
        <f t="shared" si="3"/>
        <v>119.5</v>
      </c>
      <c r="AH10" s="129"/>
      <c r="AI10" s="130"/>
      <c r="AJ10" s="74"/>
      <c r="AK10" s="34"/>
      <c r="AL10" s="72">
        <v>101356885</v>
      </c>
      <c r="AM10" s="73">
        <v>37288</v>
      </c>
      <c r="AN10" s="74" t="s">
        <v>99</v>
      </c>
      <c r="AO10" s="72" t="s">
        <v>234</v>
      </c>
      <c r="AP10" s="74" t="s">
        <v>101</v>
      </c>
      <c r="AQ10" s="74" t="s">
        <v>102</v>
      </c>
      <c r="AR10" s="74" t="s">
        <v>103</v>
      </c>
      <c r="AS10" s="92" t="s">
        <v>841</v>
      </c>
    </row>
    <row r="11" s="77" customFormat="1" ht="26" customHeight="1" spans="1:45">
      <c r="A11" s="19">
        <v>3</v>
      </c>
      <c r="B11" s="19" t="s">
        <v>842</v>
      </c>
      <c r="C11" s="20" t="s">
        <v>843</v>
      </c>
      <c r="D11" s="20" t="s">
        <v>844</v>
      </c>
      <c r="E11" s="21">
        <v>44726</v>
      </c>
      <c r="F11" s="19" t="s">
        <v>96</v>
      </c>
      <c r="G11" s="19" t="s">
        <v>826</v>
      </c>
      <c r="H11" s="19" t="s">
        <v>773</v>
      </c>
      <c r="I11" s="19">
        <v>22.5</v>
      </c>
      <c r="J11" s="85">
        <f>26-I11</f>
        <v>3.5</v>
      </c>
      <c r="K11" s="19">
        <v>200</v>
      </c>
      <c r="L11" s="36">
        <f t="shared" si="0"/>
        <v>173.076923076923</v>
      </c>
      <c r="M11" s="36">
        <f>K11/26*J11</f>
        <v>26.9230769230769</v>
      </c>
      <c r="N11" s="19">
        <v>0</v>
      </c>
      <c r="O11" s="19">
        <f t="shared" si="1"/>
        <v>0</v>
      </c>
      <c r="P11" s="19">
        <v>0</v>
      </c>
      <c r="Q11" s="19">
        <f t="shared" si="2"/>
        <v>0</v>
      </c>
      <c r="R11" s="19">
        <v>0</v>
      </c>
      <c r="S11" s="36">
        <f>10/26*I11</f>
        <v>8.65384615384616</v>
      </c>
      <c r="T11" s="19">
        <v>0</v>
      </c>
      <c r="U11" s="19">
        <v>0</v>
      </c>
      <c r="V11" s="54">
        <v>10</v>
      </c>
      <c r="W11" s="36">
        <v>0</v>
      </c>
      <c r="X11" s="36">
        <v>8</v>
      </c>
      <c r="Y11" s="19">
        <v>0</v>
      </c>
      <c r="Z11" s="85">
        <f>VLOOKUP(B11,'[3]Annual Leave '!$B$7:$Q$98,13,0)</f>
        <v>34.1</v>
      </c>
      <c r="AA11" s="85">
        <f>VLOOKUP(B11,'[3]Annual Leave '!$B$7:$Q$98,15,0)</f>
        <v>39.3494822485207</v>
      </c>
      <c r="AB11" s="86">
        <f>SUM(L11+O11+Q11+R11+S11+T11+U11+V11+X11+Y11+Z11+AA11+W11)</f>
        <v>273.18025147929</v>
      </c>
      <c r="AC11" s="19">
        <f>VLOOKUP(B11,[2]Sheet1!$B$2:$L$199,11,0)/4000</f>
        <v>4.81325</v>
      </c>
      <c r="AD11" s="19">
        <v>0</v>
      </c>
      <c r="AE11" s="85">
        <f>VLOOKUP(B11,[1]包装!$E$7:$L$25,7,0)</f>
        <v>100</v>
      </c>
      <c r="AF11" s="19">
        <f>SUM(AC11:AE11)</f>
        <v>104.81325</v>
      </c>
      <c r="AG11" s="36">
        <f t="shared" si="3"/>
        <v>168.36700147929</v>
      </c>
      <c r="AH11" s="129"/>
      <c r="AI11" s="130"/>
      <c r="AJ11" s="74"/>
      <c r="AK11" s="34"/>
      <c r="AL11" s="72">
        <v>101410070</v>
      </c>
      <c r="AM11" s="73">
        <v>37079</v>
      </c>
      <c r="AN11" s="74" t="s">
        <v>99</v>
      </c>
      <c r="AO11" s="72">
        <v>0</v>
      </c>
      <c r="AP11" s="74" t="s">
        <v>101</v>
      </c>
      <c r="AQ11" s="74" t="s">
        <v>102</v>
      </c>
      <c r="AR11" s="74" t="s">
        <v>103</v>
      </c>
      <c r="AS11" s="92" t="s">
        <v>845</v>
      </c>
    </row>
    <row r="12" s="77" customFormat="1" ht="26" customHeight="1" spans="1:45">
      <c r="A12" s="19">
        <v>4</v>
      </c>
      <c r="B12" s="19" t="s">
        <v>846</v>
      </c>
      <c r="C12" s="20" t="s">
        <v>847</v>
      </c>
      <c r="D12" s="20" t="s">
        <v>848</v>
      </c>
      <c r="E12" s="21">
        <v>44729</v>
      </c>
      <c r="F12" s="19" t="s">
        <v>96</v>
      </c>
      <c r="G12" s="19" t="s">
        <v>849</v>
      </c>
      <c r="H12" s="19" t="s">
        <v>850</v>
      </c>
      <c r="I12" s="19">
        <v>19</v>
      </c>
      <c r="J12" s="85">
        <f t="shared" ref="J12:J26" si="4">26-I12</f>
        <v>7</v>
      </c>
      <c r="K12" s="19">
        <v>200</v>
      </c>
      <c r="L12" s="36">
        <f t="shared" ref="L12:L19" si="5">K12/26*I12</f>
        <v>146.153846153846</v>
      </c>
      <c r="M12" s="36">
        <f t="shared" ref="M12:M26" si="6">K12/26*J12</f>
        <v>53.8461538461538</v>
      </c>
      <c r="N12" s="19">
        <v>4</v>
      </c>
      <c r="O12" s="19">
        <f t="shared" ref="O12:O26" si="7">K12/26/8*1.5*N12</f>
        <v>5.76923076923077</v>
      </c>
      <c r="P12" s="19">
        <v>0</v>
      </c>
      <c r="Q12" s="19">
        <f t="shared" ref="Q12:Q26" si="8">K12/26*2*P12</f>
        <v>0</v>
      </c>
      <c r="R12" s="19">
        <v>0</v>
      </c>
      <c r="S12" s="36">
        <f t="shared" ref="S12:S26" si="9">10/26*I12</f>
        <v>7.30769230769231</v>
      </c>
      <c r="T12" s="19">
        <v>0</v>
      </c>
      <c r="U12" s="19">
        <v>0</v>
      </c>
      <c r="V12" s="54">
        <v>10</v>
      </c>
      <c r="W12" s="36">
        <v>1</v>
      </c>
      <c r="X12" s="36">
        <v>8</v>
      </c>
      <c r="Y12" s="19">
        <v>0</v>
      </c>
      <c r="Z12" s="85">
        <f>VLOOKUP(B12,'[3]Annual Leave '!$B$7:$Q$98,13,0)</f>
        <v>33.35</v>
      </c>
      <c r="AA12" s="85">
        <f>VLOOKUP(B12,'[3]Annual Leave '!$B$7:$Q$98,15,0)</f>
        <v>38.4840976331361</v>
      </c>
      <c r="AB12" s="86">
        <f t="shared" ref="AB12:AB23" si="10">SUM(L12+O12+Q12+R12+S12+T12+U12+V12+X12+Y12+Z12+AA12+W12)</f>
        <v>250.064866863905</v>
      </c>
      <c r="AC12" s="19">
        <f>VLOOKUP(B12,[2]Sheet1!$B$2:$L$199,11,0)/4000</f>
        <v>4.77125</v>
      </c>
      <c r="AD12" s="19">
        <v>0</v>
      </c>
      <c r="AE12" s="85">
        <f>VLOOKUP(B12,[1]包装!$E$7:$L$25,7,0)</f>
        <v>50</v>
      </c>
      <c r="AF12" s="19">
        <f t="shared" ref="AF12:AF26" si="11">SUM(AC12:AE12)</f>
        <v>54.77125</v>
      </c>
      <c r="AG12" s="36">
        <f t="shared" ref="AG12:AG19" si="12">AB12-AF12</f>
        <v>195.293616863905</v>
      </c>
      <c r="AH12" s="129"/>
      <c r="AI12" s="130"/>
      <c r="AJ12" s="74"/>
      <c r="AK12" s="34"/>
      <c r="AL12" s="72">
        <v>101318853</v>
      </c>
      <c r="AM12" s="73">
        <v>33042</v>
      </c>
      <c r="AN12" s="74" t="s">
        <v>99</v>
      </c>
      <c r="AO12" s="72">
        <v>1</v>
      </c>
      <c r="AP12" s="74" t="s">
        <v>102</v>
      </c>
      <c r="AQ12" s="74" t="s">
        <v>102</v>
      </c>
      <c r="AR12" s="74" t="s">
        <v>103</v>
      </c>
      <c r="AS12" s="92" t="s">
        <v>851</v>
      </c>
    </row>
    <row r="13" s="77" customFormat="1" ht="26" customHeight="1" spans="1:45">
      <c r="A13" s="19">
        <v>5</v>
      </c>
      <c r="B13" s="19" t="s">
        <v>852</v>
      </c>
      <c r="C13" s="20" t="s">
        <v>853</v>
      </c>
      <c r="D13" s="20" t="s">
        <v>854</v>
      </c>
      <c r="E13" s="21">
        <v>44729</v>
      </c>
      <c r="F13" s="19" t="s">
        <v>96</v>
      </c>
      <c r="G13" s="19" t="s">
        <v>849</v>
      </c>
      <c r="H13" s="19" t="s">
        <v>850</v>
      </c>
      <c r="I13" s="19">
        <v>20</v>
      </c>
      <c r="J13" s="85">
        <f t="shared" si="4"/>
        <v>6</v>
      </c>
      <c r="K13" s="19">
        <v>200</v>
      </c>
      <c r="L13" s="36">
        <f t="shared" si="5"/>
        <v>153.846153846154</v>
      </c>
      <c r="M13" s="36">
        <f t="shared" si="6"/>
        <v>46.1538461538462</v>
      </c>
      <c r="N13" s="19">
        <v>4</v>
      </c>
      <c r="O13" s="19">
        <f t="shared" si="7"/>
        <v>5.76923076923077</v>
      </c>
      <c r="P13" s="19">
        <v>0</v>
      </c>
      <c r="Q13" s="19">
        <f t="shared" si="8"/>
        <v>0</v>
      </c>
      <c r="R13" s="19">
        <v>0</v>
      </c>
      <c r="S13" s="36">
        <f t="shared" si="9"/>
        <v>7.69230769230769</v>
      </c>
      <c r="T13" s="19">
        <v>0</v>
      </c>
      <c r="U13" s="19">
        <v>0</v>
      </c>
      <c r="V13" s="54">
        <v>10</v>
      </c>
      <c r="W13" s="36">
        <v>1</v>
      </c>
      <c r="X13" s="36">
        <v>8</v>
      </c>
      <c r="Y13" s="19">
        <v>0</v>
      </c>
      <c r="Z13" s="85">
        <f>VLOOKUP(B13,'[3]Annual Leave '!$B$7:$Q$98,13,0)</f>
        <v>31.59</v>
      </c>
      <c r="AA13" s="85">
        <f>VLOOKUP(B13,'[3]Annual Leave '!$B$7:$Q$98,15,0)</f>
        <v>36.4471153846154</v>
      </c>
      <c r="AB13" s="86">
        <f t="shared" si="10"/>
        <v>254.344807692308</v>
      </c>
      <c r="AC13" s="19">
        <f>VLOOKUP(B13,[2]Sheet1!$B$2:$L$199,11,0)/4000</f>
        <v>4.287</v>
      </c>
      <c r="AD13" s="19">
        <v>0</v>
      </c>
      <c r="AE13" s="85">
        <f>VLOOKUP(B13,[1]包装!$E$7:$L$25,7,0)</f>
        <v>50</v>
      </c>
      <c r="AF13" s="19">
        <f t="shared" si="11"/>
        <v>54.287</v>
      </c>
      <c r="AG13" s="36">
        <f t="shared" si="12"/>
        <v>200.057807692308</v>
      </c>
      <c r="AH13" s="129"/>
      <c r="AI13" s="130"/>
      <c r="AJ13" s="74"/>
      <c r="AK13" s="34"/>
      <c r="AL13" s="72">
        <v>101446165</v>
      </c>
      <c r="AM13" s="73">
        <v>33604</v>
      </c>
      <c r="AN13" s="74" t="s">
        <v>99</v>
      </c>
      <c r="AO13" s="72">
        <v>1</v>
      </c>
      <c r="AP13" s="74" t="s">
        <v>102</v>
      </c>
      <c r="AQ13" s="74" t="s">
        <v>102</v>
      </c>
      <c r="AR13" s="74" t="s">
        <v>103</v>
      </c>
      <c r="AS13" s="92" t="s">
        <v>855</v>
      </c>
    </row>
    <row r="14" s="77" customFormat="1" ht="26" customHeight="1" spans="1:45">
      <c r="A14" s="19">
        <v>6</v>
      </c>
      <c r="B14" s="19" t="s">
        <v>856</v>
      </c>
      <c r="C14" s="20" t="s">
        <v>857</v>
      </c>
      <c r="D14" s="20" t="s">
        <v>858</v>
      </c>
      <c r="E14" s="21">
        <v>44729</v>
      </c>
      <c r="F14" s="19" t="s">
        <v>96</v>
      </c>
      <c r="G14" s="19" t="s">
        <v>849</v>
      </c>
      <c r="H14" s="19" t="s">
        <v>850</v>
      </c>
      <c r="I14" s="19">
        <v>20.5</v>
      </c>
      <c r="J14" s="85">
        <f t="shared" si="4"/>
        <v>5.5</v>
      </c>
      <c r="K14" s="19">
        <v>200</v>
      </c>
      <c r="L14" s="36">
        <f t="shared" si="5"/>
        <v>157.692307692308</v>
      </c>
      <c r="M14" s="36">
        <f t="shared" si="6"/>
        <v>42.3076923076923</v>
      </c>
      <c r="N14" s="19">
        <v>6</v>
      </c>
      <c r="O14" s="19">
        <f t="shared" si="7"/>
        <v>8.65384615384615</v>
      </c>
      <c r="P14" s="19">
        <v>0</v>
      </c>
      <c r="Q14" s="19">
        <f t="shared" si="8"/>
        <v>0</v>
      </c>
      <c r="R14" s="19">
        <v>0</v>
      </c>
      <c r="S14" s="36">
        <f t="shared" si="9"/>
        <v>7.88461538461539</v>
      </c>
      <c r="T14" s="19">
        <v>0</v>
      </c>
      <c r="U14" s="19">
        <v>0</v>
      </c>
      <c r="V14" s="54">
        <v>10</v>
      </c>
      <c r="W14" s="36">
        <v>1.5</v>
      </c>
      <c r="X14" s="36">
        <v>8</v>
      </c>
      <c r="Y14" s="19">
        <v>0</v>
      </c>
      <c r="Z14" s="85">
        <f>VLOOKUP(B14,'[3]Annual Leave '!$B$7:$Q$98,13,0)</f>
        <v>33.82</v>
      </c>
      <c r="AA14" s="85">
        <f>VLOOKUP(B14,'[3]Annual Leave '!$B$7:$Q$98,15,0)</f>
        <v>39.0188609467456</v>
      </c>
      <c r="AB14" s="86">
        <f t="shared" si="10"/>
        <v>266.569630177515</v>
      </c>
      <c r="AC14" s="19">
        <f>VLOOKUP(B14,[2]Sheet1!$B$2:$L$199,11,0)/4000</f>
        <v>5.1105</v>
      </c>
      <c r="AD14" s="19">
        <v>0</v>
      </c>
      <c r="AE14" s="85">
        <f>VLOOKUP(B14,[1]包装!$E$7:$L$25,7,0)</f>
        <v>50</v>
      </c>
      <c r="AF14" s="19">
        <f t="shared" si="11"/>
        <v>55.1105</v>
      </c>
      <c r="AG14" s="36">
        <f t="shared" si="12"/>
        <v>211.459130177515</v>
      </c>
      <c r="AH14" s="129"/>
      <c r="AI14" s="130"/>
      <c r="AJ14" s="74"/>
      <c r="AK14" s="34"/>
      <c r="AL14" s="72">
        <v>101090990</v>
      </c>
      <c r="AM14" s="73">
        <v>32760</v>
      </c>
      <c r="AN14" s="74" t="s">
        <v>99</v>
      </c>
      <c r="AO14" s="72">
        <v>3</v>
      </c>
      <c r="AP14" s="74" t="s">
        <v>102</v>
      </c>
      <c r="AQ14" s="74" t="s">
        <v>102</v>
      </c>
      <c r="AR14" s="74" t="s">
        <v>103</v>
      </c>
      <c r="AS14" s="92" t="s">
        <v>859</v>
      </c>
    </row>
    <row r="15" s="77" customFormat="1" ht="26" customHeight="1" spans="1:45">
      <c r="A15" s="19">
        <v>7</v>
      </c>
      <c r="B15" s="19" t="s">
        <v>860</v>
      </c>
      <c r="C15" s="20" t="s">
        <v>861</v>
      </c>
      <c r="D15" s="20" t="s">
        <v>862</v>
      </c>
      <c r="E15" s="21">
        <v>44729</v>
      </c>
      <c r="F15" s="19" t="s">
        <v>96</v>
      </c>
      <c r="G15" s="19" t="s">
        <v>849</v>
      </c>
      <c r="H15" s="19" t="s">
        <v>850</v>
      </c>
      <c r="I15" s="19">
        <v>21.25</v>
      </c>
      <c r="J15" s="85">
        <f t="shared" si="4"/>
        <v>4.75</v>
      </c>
      <c r="K15" s="19">
        <v>200</v>
      </c>
      <c r="L15" s="36">
        <f t="shared" si="5"/>
        <v>163.461538461538</v>
      </c>
      <c r="M15" s="36">
        <f t="shared" si="6"/>
        <v>36.5384615384615</v>
      </c>
      <c r="N15" s="19">
        <v>11.5</v>
      </c>
      <c r="O15" s="19">
        <f t="shared" si="7"/>
        <v>16.5865384615385</v>
      </c>
      <c r="P15" s="19">
        <v>0</v>
      </c>
      <c r="Q15" s="19">
        <f t="shared" si="8"/>
        <v>0</v>
      </c>
      <c r="R15" s="19">
        <v>0</v>
      </c>
      <c r="S15" s="36">
        <f t="shared" si="9"/>
        <v>8.17307692307692</v>
      </c>
      <c r="T15" s="19">
        <v>0</v>
      </c>
      <c r="U15" s="19">
        <v>0</v>
      </c>
      <c r="V15" s="54">
        <v>10</v>
      </c>
      <c r="W15" s="36">
        <v>3</v>
      </c>
      <c r="X15" s="36">
        <v>8</v>
      </c>
      <c r="Y15" s="19">
        <v>0</v>
      </c>
      <c r="Z15" s="85">
        <f>VLOOKUP(B15,'[3]Annual Leave '!$B$7:$Q$98,13,0)</f>
        <v>33.86</v>
      </c>
      <c r="AA15" s="85">
        <f>VLOOKUP(B15,'[3]Annual Leave '!$B$7:$Q$98,15,0)</f>
        <v>39.0637943786983</v>
      </c>
      <c r="AB15" s="86">
        <f t="shared" si="10"/>
        <v>282.144948224852</v>
      </c>
      <c r="AC15" s="19">
        <f>VLOOKUP(B15,[2]Sheet1!$B$2:$L$199,11,0)/4000</f>
        <v>4.67775</v>
      </c>
      <c r="AD15" s="19">
        <v>0</v>
      </c>
      <c r="AE15" s="85">
        <f>VLOOKUP(B15,[1]包装!$E$7:$L$25,7,0)</f>
        <v>50</v>
      </c>
      <c r="AF15" s="19">
        <f t="shared" si="11"/>
        <v>54.67775</v>
      </c>
      <c r="AG15" s="36">
        <f t="shared" si="12"/>
        <v>227.467198224852</v>
      </c>
      <c r="AH15" s="129"/>
      <c r="AI15" s="130"/>
      <c r="AJ15" s="74"/>
      <c r="AK15" s="34"/>
      <c r="AL15" s="72">
        <v>100683138</v>
      </c>
      <c r="AM15" s="73">
        <v>35382</v>
      </c>
      <c r="AN15" s="74" t="s">
        <v>99</v>
      </c>
      <c r="AO15" s="72">
        <v>1</v>
      </c>
      <c r="AP15" s="74" t="s">
        <v>102</v>
      </c>
      <c r="AQ15" s="74" t="s">
        <v>102</v>
      </c>
      <c r="AR15" s="74" t="s">
        <v>103</v>
      </c>
      <c r="AS15" s="92" t="s">
        <v>863</v>
      </c>
    </row>
    <row r="16" s="77" customFormat="1" ht="26" customHeight="1" spans="1:45">
      <c r="A16" s="19">
        <v>8</v>
      </c>
      <c r="B16" s="19" t="s">
        <v>864</v>
      </c>
      <c r="C16" s="20" t="s">
        <v>865</v>
      </c>
      <c r="D16" s="20" t="s">
        <v>866</v>
      </c>
      <c r="E16" s="21">
        <v>44729</v>
      </c>
      <c r="F16" s="19" t="s">
        <v>108</v>
      </c>
      <c r="G16" s="19" t="s">
        <v>849</v>
      </c>
      <c r="H16" s="19" t="s">
        <v>850</v>
      </c>
      <c r="I16" s="19">
        <v>19</v>
      </c>
      <c r="J16" s="85">
        <f t="shared" si="4"/>
        <v>7</v>
      </c>
      <c r="K16" s="19">
        <v>200</v>
      </c>
      <c r="L16" s="36">
        <f t="shared" si="5"/>
        <v>146.153846153846</v>
      </c>
      <c r="M16" s="36">
        <f t="shared" si="6"/>
        <v>53.8461538461538</v>
      </c>
      <c r="N16" s="19">
        <v>5</v>
      </c>
      <c r="O16" s="19">
        <f t="shared" si="7"/>
        <v>7.21153846153846</v>
      </c>
      <c r="P16" s="19">
        <v>0</v>
      </c>
      <c r="Q16" s="19">
        <f t="shared" si="8"/>
        <v>0</v>
      </c>
      <c r="R16" s="19">
        <v>0</v>
      </c>
      <c r="S16" s="36">
        <f t="shared" si="9"/>
        <v>7.30769230769231</v>
      </c>
      <c r="T16" s="19">
        <v>0</v>
      </c>
      <c r="U16" s="19">
        <v>0</v>
      </c>
      <c r="V16" s="54">
        <v>10</v>
      </c>
      <c r="W16" s="36">
        <v>1.25</v>
      </c>
      <c r="X16" s="36">
        <v>8</v>
      </c>
      <c r="Y16" s="19">
        <v>0</v>
      </c>
      <c r="Z16" s="85">
        <f>VLOOKUP(B16,'[3]Annual Leave '!$B$7:$Q$98,13,0)</f>
        <v>33.36</v>
      </c>
      <c r="AA16" s="85">
        <f>VLOOKUP(B16,'[3]Annual Leave '!$B$7:$Q$98,15,0)</f>
        <v>38.4940828402367</v>
      </c>
      <c r="AB16" s="86">
        <f t="shared" si="10"/>
        <v>251.777159763313</v>
      </c>
      <c r="AC16" s="19">
        <f>VLOOKUP(B16,[2]Sheet1!$B$2:$L$199,11,0)/4000</f>
        <v>4.8555</v>
      </c>
      <c r="AD16" s="19">
        <v>0</v>
      </c>
      <c r="AE16" s="85">
        <f>VLOOKUP(B16,[1]包装!$E$7:$L$25,7,0)</f>
        <v>50</v>
      </c>
      <c r="AF16" s="19">
        <f t="shared" si="11"/>
        <v>54.8555</v>
      </c>
      <c r="AG16" s="36">
        <f t="shared" si="12"/>
        <v>196.921659763313</v>
      </c>
      <c r="AH16" s="129"/>
      <c r="AI16" s="130"/>
      <c r="AJ16" s="74"/>
      <c r="AK16" s="34"/>
      <c r="AL16" s="72">
        <v>100820913</v>
      </c>
      <c r="AM16" s="73">
        <v>31501</v>
      </c>
      <c r="AN16" s="74" t="s">
        <v>141</v>
      </c>
      <c r="AO16" s="72">
        <v>0</v>
      </c>
      <c r="AP16" s="74" t="s">
        <v>101</v>
      </c>
      <c r="AQ16" s="74" t="s">
        <v>102</v>
      </c>
      <c r="AR16" s="74" t="s">
        <v>103</v>
      </c>
      <c r="AS16" s="92" t="s">
        <v>867</v>
      </c>
    </row>
    <row r="17" s="77" customFormat="1" ht="26" customHeight="1" spans="1:45">
      <c r="A17" s="19">
        <v>9</v>
      </c>
      <c r="B17" s="19" t="s">
        <v>868</v>
      </c>
      <c r="C17" s="20" t="s">
        <v>869</v>
      </c>
      <c r="D17" s="20" t="s">
        <v>870</v>
      </c>
      <c r="E17" s="21">
        <v>44732</v>
      </c>
      <c r="F17" s="19" t="s">
        <v>96</v>
      </c>
      <c r="G17" s="19" t="s">
        <v>849</v>
      </c>
      <c r="H17" s="19" t="s">
        <v>850</v>
      </c>
      <c r="I17" s="19">
        <v>23.5</v>
      </c>
      <c r="J17" s="85">
        <f t="shared" si="4"/>
        <v>2.5</v>
      </c>
      <c r="K17" s="19">
        <v>200</v>
      </c>
      <c r="L17" s="36">
        <f t="shared" si="5"/>
        <v>180.769230769231</v>
      </c>
      <c r="M17" s="36">
        <f t="shared" si="6"/>
        <v>19.2307692307692</v>
      </c>
      <c r="N17" s="19">
        <v>17</v>
      </c>
      <c r="O17" s="19">
        <f t="shared" si="7"/>
        <v>24.5192307692308</v>
      </c>
      <c r="P17" s="19">
        <v>0</v>
      </c>
      <c r="Q17" s="19">
        <f t="shared" si="8"/>
        <v>0</v>
      </c>
      <c r="R17" s="19">
        <v>0</v>
      </c>
      <c r="S17" s="36">
        <f t="shared" si="9"/>
        <v>9.03846153846154</v>
      </c>
      <c r="T17" s="19">
        <v>0</v>
      </c>
      <c r="U17" s="19">
        <v>0</v>
      </c>
      <c r="V17" s="54">
        <v>10</v>
      </c>
      <c r="W17" s="36">
        <v>4.25</v>
      </c>
      <c r="X17" s="36">
        <v>8</v>
      </c>
      <c r="Y17" s="19">
        <v>0</v>
      </c>
      <c r="Z17" s="85">
        <f>VLOOKUP(B17,'[3]Annual Leave '!$B$7:$Q$98,13,0)</f>
        <v>36.24</v>
      </c>
      <c r="AA17" s="85">
        <f>VLOOKUP(B17,'[3]Annual Leave '!$B$7:$Q$98,15,0)</f>
        <v>41.8197115384615</v>
      </c>
      <c r="AB17" s="86">
        <f t="shared" si="10"/>
        <v>314.636634615385</v>
      </c>
      <c r="AC17" s="19">
        <f>VLOOKUP(B17,[2]Sheet1!$B$2:$L$199,11,0)/4000</f>
        <v>5.08475</v>
      </c>
      <c r="AD17" s="19">
        <v>0</v>
      </c>
      <c r="AE17" s="85">
        <f>VLOOKUP(B17,[1]包装!$E$7:$L$25,7,0)</f>
        <v>100</v>
      </c>
      <c r="AF17" s="19">
        <f t="shared" si="11"/>
        <v>105.08475</v>
      </c>
      <c r="AG17" s="36">
        <f t="shared" si="12"/>
        <v>209.551884615385</v>
      </c>
      <c r="AH17" s="129"/>
      <c r="AI17" s="130"/>
      <c r="AJ17" s="74"/>
      <c r="AK17" s="34"/>
      <c r="AL17" s="72">
        <v>101266995</v>
      </c>
      <c r="AM17" s="73">
        <v>32026</v>
      </c>
      <c r="AN17" s="74" t="s">
        <v>99</v>
      </c>
      <c r="AO17" s="72">
        <v>4</v>
      </c>
      <c r="AP17" s="74" t="s">
        <v>102</v>
      </c>
      <c r="AQ17" s="74" t="s">
        <v>102</v>
      </c>
      <c r="AR17" s="74" t="s">
        <v>103</v>
      </c>
      <c r="AS17" s="92" t="s">
        <v>871</v>
      </c>
    </row>
    <row r="18" s="77" customFormat="1" ht="26" customHeight="1" spans="1:45">
      <c r="A18" s="19">
        <v>10</v>
      </c>
      <c r="B18" s="19" t="s">
        <v>872</v>
      </c>
      <c r="C18" s="20" t="s">
        <v>873</v>
      </c>
      <c r="D18" s="20" t="s">
        <v>874</v>
      </c>
      <c r="E18" s="21">
        <v>44732</v>
      </c>
      <c r="F18" s="19" t="s">
        <v>96</v>
      </c>
      <c r="G18" s="19" t="s">
        <v>849</v>
      </c>
      <c r="H18" s="19" t="s">
        <v>850</v>
      </c>
      <c r="I18" s="19">
        <v>21</v>
      </c>
      <c r="J18" s="85">
        <f t="shared" si="4"/>
        <v>5</v>
      </c>
      <c r="K18" s="19">
        <v>200</v>
      </c>
      <c r="L18" s="36">
        <f t="shared" si="5"/>
        <v>161.538461538462</v>
      </c>
      <c r="M18" s="36">
        <f t="shared" si="6"/>
        <v>38.4615384615385</v>
      </c>
      <c r="N18" s="19">
        <v>4</v>
      </c>
      <c r="O18" s="19">
        <f t="shared" si="7"/>
        <v>5.76923076923077</v>
      </c>
      <c r="P18" s="19">
        <v>0</v>
      </c>
      <c r="Q18" s="19">
        <f t="shared" si="8"/>
        <v>0</v>
      </c>
      <c r="R18" s="19">
        <v>0</v>
      </c>
      <c r="S18" s="36">
        <f t="shared" si="9"/>
        <v>8.07692307692308</v>
      </c>
      <c r="T18" s="19">
        <v>0</v>
      </c>
      <c r="U18" s="19">
        <v>0</v>
      </c>
      <c r="V18" s="54">
        <v>10</v>
      </c>
      <c r="W18" s="36">
        <v>1</v>
      </c>
      <c r="X18" s="36">
        <v>8</v>
      </c>
      <c r="Y18" s="19">
        <v>0</v>
      </c>
      <c r="Z18" s="85">
        <f>VLOOKUP(B18,'[3]Annual Leave '!$B$7:$Q$98,13,0)</f>
        <v>32.78</v>
      </c>
      <c r="AA18" s="85">
        <f>VLOOKUP(B18,'[3]Annual Leave '!$B$7:$Q$98,15,0)</f>
        <v>37.8272928994083</v>
      </c>
      <c r="AB18" s="86">
        <f t="shared" si="10"/>
        <v>264.991908284024</v>
      </c>
      <c r="AC18" s="19">
        <f>VLOOKUP(B18,[2]Sheet1!$B$2:$L$199,11,0)/4000</f>
        <v>4.60975</v>
      </c>
      <c r="AD18" s="19">
        <v>0</v>
      </c>
      <c r="AE18" s="85">
        <f>VLOOKUP(B18,[1]包装!$E$7:$L$25,7,0)</f>
        <v>50</v>
      </c>
      <c r="AF18" s="19">
        <f t="shared" si="11"/>
        <v>54.60975</v>
      </c>
      <c r="AG18" s="36">
        <f t="shared" si="12"/>
        <v>210.382158284024</v>
      </c>
      <c r="AH18" s="129"/>
      <c r="AI18" s="130"/>
      <c r="AJ18" s="74"/>
      <c r="AK18" s="34"/>
      <c r="AL18" s="72">
        <v>101299752</v>
      </c>
      <c r="AM18" s="73">
        <v>34222</v>
      </c>
      <c r="AN18" s="74" t="s">
        <v>99</v>
      </c>
      <c r="AO18" s="72">
        <v>1</v>
      </c>
      <c r="AP18" s="74" t="s">
        <v>102</v>
      </c>
      <c r="AQ18" s="74" t="s">
        <v>102</v>
      </c>
      <c r="AR18" s="74" t="s">
        <v>103</v>
      </c>
      <c r="AS18" s="92" t="s">
        <v>875</v>
      </c>
    </row>
    <row r="19" s="77" customFormat="1" ht="26" customHeight="1" spans="1:45">
      <c r="A19" s="19">
        <v>11</v>
      </c>
      <c r="B19" s="19" t="s">
        <v>876</v>
      </c>
      <c r="C19" s="20" t="s">
        <v>877</v>
      </c>
      <c r="D19" s="20" t="s">
        <v>878</v>
      </c>
      <c r="E19" s="21">
        <v>44732</v>
      </c>
      <c r="F19" s="19" t="s">
        <v>96</v>
      </c>
      <c r="G19" s="19" t="s">
        <v>849</v>
      </c>
      <c r="H19" s="19" t="s">
        <v>850</v>
      </c>
      <c r="I19" s="19">
        <v>14</v>
      </c>
      <c r="J19" s="85">
        <f t="shared" si="4"/>
        <v>12</v>
      </c>
      <c r="K19" s="19">
        <v>200</v>
      </c>
      <c r="L19" s="36">
        <f t="shared" si="5"/>
        <v>107.692307692308</v>
      </c>
      <c r="M19" s="36">
        <f t="shared" si="6"/>
        <v>92.3076923076923</v>
      </c>
      <c r="N19" s="19">
        <v>0</v>
      </c>
      <c r="O19" s="19">
        <f t="shared" si="7"/>
        <v>0</v>
      </c>
      <c r="P19" s="19">
        <v>0</v>
      </c>
      <c r="Q19" s="19">
        <f t="shared" si="8"/>
        <v>0</v>
      </c>
      <c r="R19" s="19">
        <v>0</v>
      </c>
      <c r="S19" s="36">
        <f t="shared" si="9"/>
        <v>5.38461538461539</v>
      </c>
      <c r="T19" s="19">
        <v>0</v>
      </c>
      <c r="U19" s="19">
        <v>0</v>
      </c>
      <c r="V19" s="54">
        <v>10</v>
      </c>
      <c r="W19" s="36">
        <v>0</v>
      </c>
      <c r="X19" s="36">
        <v>8</v>
      </c>
      <c r="Y19" s="19">
        <v>0</v>
      </c>
      <c r="Z19" s="85">
        <f>VLOOKUP(B19,'[3]Annual Leave '!$B$7:$Q$98,13,0)</f>
        <v>33.71</v>
      </c>
      <c r="AA19" s="85">
        <f>VLOOKUP(B19,'[3]Annual Leave '!$B$7:$Q$98,15,0)</f>
        <v>38.9007026627219</v>
      </c>
      <c r="AB19" s="86">
        <f t="shared" si="10"/>
        <v>203.687625739645</v>
      </c>
      <c r="AC19" s="19">
        <f>VLOOKUP(B19,[2]Sheet1!$B$2:$L$199,11,0)/4000</f>
        <v>4.839</v>
      </c>
      <c r="AD19" s="19">
        <v>0</v>
      </c>
      <c r="AE19" s="85">
        <f>VLOOKUP(B19,[1]包装!$E$7:$L$25,7,0)</f>
        <v>50</v>
      </c>
      <c r="AF19" s="19">
        <f t="shared" si="11"/>
        <v>54.839</v>
      </c>
      <c r="AG19" s="36">
        <f t="shared" si="12"/>
        <v>148.848625739645</v>
      </c>
      <c r="AH19" s="129"/>
      <c r="AI19" s="130"/>
      <c r="AJ19" s="74"/>
      <c r="AK19" s="34"/>
      <c r="AL19" s="72">
        <v>100759599</v>
      </c>
      <c r="AM19" s="73">
        <v>33644</v>
      </c>
      <c r="AN19" s="74" t="s">
        <v>99</v>
      </c>
      <c r="AO19" s="72">
        <v>0</v>
      </c>
      <c r="AP19" s="74" t="s">
        <v>102</v>
      </c>
      <c r="AQ19" s="74" t="s">
        <v>102</v>
      </c>
      <c r="AR19" s="74" t="s">
        <v>103</v>
      </c>
      <c r="AS19" s="92" t="s">
        <v>879</v>
      </c>
    </row>
    <row r="20" s="77" customFormat="1" ht="26" customHeight="1" spans="1:45">
      <c r="A20" s="19">
        <v>12</v>
      </c>
      <c r="B20" s="19" t="s">
        <v>880</v>
      </c>
      <c r="C20" s="20" t="s">
        <v>881</v>
      </c>
      <c r="D20" s="20" t="s">
        <v>882</v>
      </c>
      <c r="E20" s="21">
        <v>44732</v>
      </c>
      <c r="F20" s="19" t="s">
        <v>108</v>
      </c>
      <c r="G20" s="19" t="s">
        <v>849</v>
      </c>
      <c r="H20" s="19" t="s">
        <v>883</v>
      </c>
      <c r="I20" s="19">
        <v>21.5</v>
      </c>
      <c r="J20" s="85">
        <f t="shared" si="4"/>
        <v>4.5</v>
      </c>
      <c r="K20" s="19">
        <v>200</v>
      </c>
      <c r="L20" s="36">
        <f t="shared" ref="L20:L26" si="13">K20/26*I20</f>
        <v>165.384615384615</v>
      </c>
      <c r="M20" s="36">
        <f t="shared" si="6"/>
        <v>34.6153846153846</v>
      </c>
      <c r="N20" s="19">
        <v>7</v>
      </c>
      <c r="O20" s="19">
        <f t="shared" si="7"/>
        <v>10.0961538461538</v>
      </c>
      <c r="P20" s="19">
        <v>0</v>
      </c>
      <c r="Q20" s="19">
        <f t="shared" si="8"/>
        <v>0</v>
      </c>
      <c r="R20" s="19">
        <v>0</v>
      </c>
      <c r="S20" s="36">
        <f t="shared" si="9"/>
        <v>8.26923076923077</v>
      </c>
      <c r="T20" s="19">
        <v>0</v>
      </c>
      <c r="U20" s="19">
        <v>0</v>
      </c>
      <c r="V20" s="54">
        <v>10</v>
      </c>
      <c r="W20" s="36">
        <v>2</v>
      </c>
      <c r="X20" s="36">
        <v>8</v>
      </c>
      <c r="Y20" s="19">
        <v>0</v>
      </c>
      <c r="Z20" s="85">
        <f>VLOOKUP(B20,'[3]Annual Leave '!$B$7:$Q$98,13,0)</f>
        <v>35.17</v>
      </c>
      <c r="AA20" s="85">
        <f>VLOOKUP(B20,'[3]Annual Leave '!$B$7:$Q$98,15,0)</f>
        <v>40.5832100591716</v>
      </c>
      <c r="AB20" s="86">
        <f t="shared" si="10"/>
        <v>279.503210059171</v>
      </c>
      <c r="AC20" s="19">
        <f>VLOOKUP(B20,[2]Sheet1!$B$2:$L$199,11,0)/4000</f>
        <v>5.28025</v>
      </c>
      <c r="AD20" s="19">
        <v>0</v>
      </c>
      <c r="AE20" s="85">
        <f>VLOOKUP(B20,[1]包装!$E$7:$L$25,7,0)</f>
        <v>50</v>
      </c>
      <c r="AF20" s="19">
        <f t="shared" si="11"/>
        <v>55.28025</v>
      </c>
      <c r="AG20" s="36">
        <f t="shared" ref="AG20:AG26" si="14">AB20-AF20</f>
        <v>224.222960059171</v>
      </c>
      <c r="AH20" s="129"/>
      <c r="AI20" s="130"/>
      <c r="AJ20" s="74"/>
      <c r="AK20" s="34"/>
      <c r="AL20" s="72">
        <v>101146363</v>
      </c>
      <c r="AM20" s="73">
        <v>36588</v>
      </c>
      <c r="AN20" s="74" t="s">
        <v>141</v>
      </c>
      <c r="AO20" s="72">
        <v>0</v>
      </c>
      <c r="AP20" s="74" t="s">
        <v>101</v>
      </c>
      <c r="AQ20" s="74" t="s">
        <v>102</v>
      </c>
      <c r="AR20" s="74" t="s">
        <v>103</v>
      </c>
      <c r="AS20" s="92" t="s">
        <v>875</v>
      </c>
    </row>
    <row r="21" s="77" customFormat="1" ht="26" customHeight="1" spans="1:45">
      <c r="A21" s="19">
        <v>13</v>
      </c>
      <c r="B21" s="19" t="s">
        <v>884</v>
      </c>
      <c r="C21" s="20" t="s">
        <v>885</v>
      </c>
      <c r="D21" s="20" t="s">
        <v>886</v>
      </c>
      <c r="E21" s="21">
        <v>44732</v>
      </c>
      <c r="F21" s="19" t="s">
        <v>108</v>
      </c>
      <c r="G21" s="19" t="s">
        <v>849</v>
      </c>
      <c r="H21" s="19" t="s">
        <v>883</v>
      </c>
      <c r="I21" s="19">
        <v>20.5</v>
      </c>
      <c r="J21" s="85">
        <f t="shared" si="4"/>
        <v>5.5</v>
      </c>
      <c r="K21" s="19">
        <v>200</v>
      </c>
      <c r="L21" s="36">
        <f t="shared" si="13"/>
        <v>157.692307692308</v>
      </c>
      <c r="M21" s="36">
        <f t="shared" si="6"/>
        <v>42.3076923076923</v>
      </c>
      <c r="N21" s="19">
        <v>0</v>
      </c>
      <c r="O21" s="19">
        <f t="shared" si="7"/>
        <v>0</v>
      </c>
      <c r="P21" s="19">
        <v>0</v>
      </c>
      <c r="Q21" s="19">
        <f t="shared" si="8"/>
        <v>0</v>
      </c>
      <c r="R21" s="19">
        <v>0</v>
      </c>
      <c r="S21" s="36">
        <f t="shared" si="9"/>
        <v>7.88461538461539</v>
      </c>
      <c r="T21" s="19">
        <v>0</v>
      </c>
      <c r="U21" s="19">
        <v>0</v>
      </c>
      <c r="V21" s="54">
        <v>10</v>
      </c>
      <c r="W21" s="36">
        <v>0</v>
      </c>
      <c r="X21" s="36">
        <v>8</v>
      </c>
      <c r="Y21" s="19">
        <v>0</v>
      </c>
      <c r="Z21" s="85">
        <f>VLOOKUP(B21,'[3]Annual Leave '!$B$7:$Q$98,13,0)</f>
        <v>32.67</v>
      </c>
      <c r="AA21" s="85">
        <f>VLOOKUP(B21,'[3]Annual Leave '!$B$7:$Q$98,15,0)</f>
        <v>37.6969304733728</v>
      </c>
      <c r="AB21" s="86">
        <f t="shared" si="10"/>
        <v>253.943853550296</v>
      </c>
      <c r="AC21" s="19">
        <f>VLOOKUP(B21,[2]Sheet1!$B$2:$L$199,11,0)/4000</f>
        <v>4.652</v>
      </c>
      <c r="AD21" s="19">
        <v>0</v>
      </c>
      <c r="AE21" s="85">
        <f>VLOOKUP(B21,[1]包装!$E$7:$L$25,7,0)</f>
        <v>50</v>
      </c>
      <c r="AF21" s="19">
        <f t="shared" si="11"/>
        <v>54.652</v>
      </c>
      <c r="AG21" s="36">
        <f t="shared" si="14"/>
        <v>199.291853550296</v>
      </c>
      <c r="AH21" s="129"/>
      <c r="AI21" s="130"/>
      <c r="AJ21" s="74"/>
      <c r="AK21" s="34"/>
      <c r="AL21" s="72">
        <v>101370149</v>
      </c>
      <c r="AM21" s="73">
        <v>37495</v>
      </c>
      <c r="AN21" s="74" t="s">
        <v>141</v>
      </c>
      <c r="AO21" s="72">
        <v>0</v>
      </c>
      <c r="AP21" s="74" t="s">
        <v>101</v>
      </c>
      <c r="AQ21" s="74" t="s">
        <v>102</v>
      </c>
      <c r="AR21" s="74" t="s">
        <v>103</v>
      </c>
      <c r="AS21" s="92" t="s">
        <v>887</v>
      </c>
    </row>
    <row r="22" s="77" customFormat="1" ht="26" customHeight="1" spans="1:45">
      <c r="A22" s="19">
        <v>14</v>
      </c>
      <c r="B22" s="19" t="s">
        <v>888</v>
      </c>
      <c r="C22" s="20" t="s">
        <v>889</v>
      </c>
      <c r="D22" s="20" t="s">
        <v>890</v>
      </c>
      <c r="E22" s="21">
        <v>44748</v>
      </c>
      <c r="F22" s="19" t="s">
        <v>108</v>
      </c>
      <c r="G22" s="19" t="s">
        <v>849</v>
      </c>
      <c r="H22" s="19" t="s">
        <v>850</v>
      </c>
      <c r="I22" s="19">
        <v>22.25</v>
      </c>
      <c r="J22" s="85">
        <f t="shared" si="4"/>
        <v>3.75</v>
      </c>
      <c r="K22" s="19">
        <v>200</v>
      </c>
      <c r="L22" s="36">
        <f t="shared" si="13"/>
        <v>171.153846153846</v>
      </c>
      <c r="M22" s="36">
        <f t="shared" si="6"/>
        <v>28.8461538461538</v>
      </c>
      <c r="N22" s="19">
        <v>17</v>
      </c>
      <c r="O22" s="19">
        <f t="shared" si="7"/>
        <v>24.5192307692308</v>
      </c>
      <c r="P22" s="19">
        <v>0</v>
      </c>
      <c r="Q22" s="19">
        <f t="shared" si="8"/>
        <v>0</v>
      </c>
      <c r="R22" s="19">
        <v>0</v>
      </c>
      <c r="S22" s="36">
        <f t="shared" si="9"/>
        <v>8.55769230769231</v>
      </c>
      <c r="T22" s="19">
        <v>0</v>
      </c>
      <c r="U22" s="19">
        <v>0</v>
      </c>
      <c r="V22" s="54">
        <v>10</v>
      </c>
      <c r="W22" s="36">
        <v>4.25</v>
      </c>
      <c r="X22" s="36">
        <v>8</v>
      </c>
      <c r="Y22" s="19">
        <v>0</v>
      </c>
      <c r="Z22" s="85">
        <f>VLOOKUP(B22,'[3]Annual Leave '!$B$7:$Q$98,13,0)</f>
        <v>36.05</v>
      </c>
      <c r="AA22" s="85">
        <f>VLOOKUP(B22,'[3]Annual Leave '!$B$7:$Q$98,15,0)</f>
        <v>13.8649223372781</v>
      </c>
      <c r="AB22" s="86">
        <f t="shared" si="10"/>
        <v>276.395691568047</v>
      </c>
      <c r="AC22" s="19">
        <f>VLOOKUP(B22,[2]Sheet1!$B$2:$L$199,11,0)/4000</f>
        <v>5.28025</v>
      </c>
      <c r="AD22" s="19">
        <v>0</v>
      </c>
      <c r="AE22" s="85">
        <f>VLOOKUP(B22,[1]包装!$E$7:$L$25,7,0)</f>
        <v>50</v>
      </c>
      <c r="AF22" s="19">
        <f t="shared" si="11"/>
        <v>55.28025</v>
      </c>
      <c r="AG22" s="36">
        <f t="shared" si="14"/>
        <v>221.115441568047</v>
      </c>
      <c r="AH22" s="129"/>
      <c r="AI22" s="130"/>
      <c r="AJ22" s="74"/>
      <c r="AK22" s="34"/>
      <c r="AL22" s="72" t="s">
        <v>891</v>
      </c>
      <c r="AM22" s="73">
        <v>35195</v>
      </c>
      <c r="AN22" s="74" t="s">
        <v>99</v>
      </c>
      <c r="AO22" s="72" t="s">
        <v>224</v>
      </c>
      <c r="AP22" s="74" t="s">
        <v>102</v>
      </c>
      <c r="AQ22" s="74" t="s">
        <v>102</v>
      </c>
      <c r="AR22" s="74" t="s">
        <v>103</v>
      </c>
      <c r="AS22" s="92" t="s">
        <v>892</v>
      </c>
    </row>
    <row r="23" s="77" customFormat="1" ht="26" customHeight="1" spans="1:45">
      <c r="A23" s="19">
        <v>15</v>
      </c>
      <c r="B23" s="19" t="s">
        <v>893</v>
      </c>
      <c r="C23" s="20" t="s">
        <v>894</v>
      </c>
      <c r="D23" s="20" t="s">
        <v>895</v>
      </c>
      <c r="E23" s="21">
        <v>44755</v>
      </c>
      <c r="F23" s="19" t="s">
        <v>108</v>
      </c>
      <c r="G23" s="19" t="s">
        <v>97</v>
      </c>
      <c r="H23" s="19" t="s">
        <v>896</v>
      </c>
      <c r="I23" s="19">
        <v>21</v>
      </c>
      <c r="J23" s="85">
        <f t="shared" si="4"/>
        <v>5</v>
      </c>
      <c r="K23" s="19">
        <v>200</v>
      </c>
      <c r="L23" s="36">
        <f t="shared" si="13"/>
        <v>161.538461538462</v>
      </c>
      <c r="M23" s="36">
        <f t="shared" si="6"/>
        <v>38.4615384615385</v>
      </c>
      <c r="N23" s="19">
        <v>0</v>
      </c>
      <c r="O23" s="19">
        <f t="shared" si="7"/>
        <v>0</v>
      </c>
      <c r="P23" s="19">
        <v>0</v>
      </c>
      <c r="Q23" s="19">
        <f t="shared" si="8"/>
        <v>0</v>
      </c>
      <c r="R23" s="19">
        <v>0</v>
      </c>
      <c r="S23" s="36">
        <f t="shared" si="9"/>
        <v>8.07692307692308</v>
      </c>
      <c r="T23" s="19">
        <v>0</v>
      </c>
      <c r="U23" s="19">
        <v>0</v>
      </c>
      <c r="V23" s="54">
        <v>10</v>
      </c>
      <c r="W23" s="36">
        <v>0</v>
      </c>
      <c r="X23" s="36">
        <v>8</v>
      </c>
      <c r="Y23" s="19">
        <v>0</v>
      </c>
      <c r="Z23" s="85">
        <v>0</v>
      </c>
      <c r="AA23" s="85">
        <v>0</v>
      </c>
      <c r="AB23" s="86">
        <f t="shared" si="10"/>
        <v>187.615384615385</v>
      </c>
      <c r="AC23" s="19">
        <f>VLOOKUP(B23,[2]Sheet1!$B$2:$L$199,11,0)/4000</f>
        <v>4.7455</v>
      </c>
      <c r="AD23" s="19">
        <v>0</v>
      </c>
      <c r="AE23" s="85">
        <f>VLOOKUP(B23,[1]包装!$E$7:$L$25,7,0)</f>
        <v>50</v>
      </c>
      <c r="AF23" s="19">
        <f t="shared" si="11"/>
        <v>54.7455</v>
      </c>
      <c r="AG23" s="36">
        <f t="shared" si="14"/>
        <v>132.869884615385</v>
      </c>
      <c r="AH23" s="129"/>
      <c r="AI23" s="130"/>
      <c r="AJ23" s="74"/>
      <c r="AK23" s="34"/>
      <c r="AL23" s="72" t="s">
        <v>897</v>
      </c>
      <c r="AM23" s="73">
        <v>35251</v>
      </c>
      <c r="AN23" s="74" t="s">
        <v>99</v>
      </c>
      <c r="AO23" s="72">
        <v>1</v>
      </c>
      <c r="AP23" s="74" t="s">
        <v>102</v>
      </c>
      <c r="AQ23" s="74" t="s">
        <v>102</v>
      </c>
      <c r="AR23" s="74" t="s">
        <v>103</v>
      </c>
      <c r="AS23" s="92" t="s">
        <v>898</v>
      </c>
    </row>
    <row r="24" s="77" customFormat="1" ht="26" customHeight="1" spans="1:45">
      <c r="A24" s="19">
        <v>16</v>
      </c>
      <c r="B24" s="19" t="s">
        <v>899</v>
      </c>
      <c r="C24" s="20" t="s">
        <v>900</v>
      </c>
      <c r="D24" s="20" t="s">
        <v>901</v>
      </c>
      <c r="E24" s="21">
        <v>44887</v>
      </c>
      <c r="F24" s="19" t="s">
        <v>96</v>
      </c>
      <c r="G24" s="19" t="s">
        <v>205</v>
      </c>
      <c r="H24" s="19" t="s">
        <v>206</v>
      </c>
      <c r="I24" s="19">
        <v>20.75</v>
      </c>
      <c r="J24" s="85">
        <f t="shared" si="4"/>
        <v>5.25</v>
      </c>
      <c r="K24" s="19">
        <v>200</v>
      </c>
      <c r="L24" s="36">
        <f t="shared" si="13"/>
        <v>159.615384615385</v>
      </c>
      <c r="M24" s="36">
        <f t="shared" si="6"/>
        <v>40.3846153846154</v>
      </c>
      <c r="N24" s="19">
        <v>9.5</v>
      </c>
      <c r="O24" s="19">
        <f t="shared" si="7"/>
        <v>13.7019230769231</v>
      </c>
      <c r="P24" s="19">
        <v>0</v>
      </c>
      <c r="Q24" s="19">
        <f t="shared" si="8"/>
        <v>0</v>
      </c>
      <c r="R24" s="19">
        <v>0</v>
      </c>
      <c r="S24" s="36">
        <f t="shared" si="9"/>
        <v>7.98076923076923</v>
      </c>
      <c r="T24" s="19">
        <v>0</v>
      </c>
      <c r="U24" s="19">
        <v>0</v>
      </c>
      <c r="V24" s="54">
        <v>10</v>
      </c>
      <c r="W24" s="36">
        <v>2.5</v>
      </c>
      <c r="X24" s="36">
        <v>8</v>
      </c>
      <c r="Y24" s="19">
        <v>0</v>
      </c>
      <c r="Z24" s="85">
        <v>0</v>
      </c>
      <c r="AA24" s="85">
        <v>0</v>
      </c>
      <c r="AB24" s="86">
        <f t="shared" ref="AB24:AB26" si="15">SUM(L24+O24+Q24+R24+S24+T24+U24+V24+X24+Y24+Z24+AA24+W24)</f>
        <v>201.798076923077</v>
      </c>
      <c r="AC24" s="19">
        <f>VLOOKUP(B24,[2]Sheet1!$B$2:$L$199,11,0)/4000</f>
        <v>4.7955</v>
      </c>
      <c r="AD24" s="19">
        <v>0</v>
      </c>
      <c r="AE24" s="85">
        <f>VLOOKUP(B24,[1]包装!$E$7:$L$25,7,0)</f>
        <v>50</v>
      </c>
      <c r="AF24" s="19">
        <f t="shared" si="11"/>
        <v>54.7955</v>
      </c>
      <c r="AG24" s="36">
        <f t="shared" si="14"/>
        <v>147.002576923077</v>
      </c>
      <c r="AH24" s="129"/>
      <c r="AI24" s="130"/>
      <c r="AJ24" s="74"/>
      <c r="AK24" s="34"/>
      <c r="AL24" s="72">
        <v>101333498</v>
      </c>
      <c r="AM24" s="73">
        <v>35933</v>
      </c>
      <c r="AN24" s="74" t="s">
        <v>99</v>
      </c>
      <c r="AO24" s="72" t="s">
        <v>234</v>
      </c>
      <c r="AP24" s="74" t="s">
        <v>102</v>
      </c>
      <c r="AQ24" s="74" t="s">
        <v>102</v>
      </c>
      <c r="AR24" s="74" t="s">
        <v>103</v>
      </c>
      <c r="AS24" s="92" t="s">
        <v>902</v>
      </c>
    </row>
    <row r="25" s="77" customFormat="1" ht="26" customHeight="1" spans="1:45">
      <c r="A25" s="19">
        <v>17</v>
      </c>
      <c r="B25" s="19" t="s">
        <v>903</v>
      </c>
      <c r="C25" s="20" t="s">
        <v>904</v>
      </c>
      <c r="D25" s="20" t="s">
        <v>905</v>
      </c>
      <c r="E25" s="21">
        <v>44888</v>
      </c>
      <c r="F25" s="19" t="s">
        <v>96</v>
      </c>
      <c r="G25" s="19" t="s">
        <v>205</v>
      </c>
      <c r="H25" s="19" t="s">
        <v>206</v>
      </c>
      <c r="I25" s="19">
        <v>20</v>
      </c>
      <c r="J25" s="85">
        <f t="shared" si="4"/>
        <v>6</v>
      </c>
      <c r="K25" s="19">
        <v>200</v>
      </c>
      <c r="L25" s="36">
        <f t="shared" si="13"/>
        <v>153.846153846154</v>
      </c>
      <c r="M25" s="36">
        <f t="shared" si="6"/>
        <v>46.1538461538462</v>
      </c>
      <c r="N25" s="19">
        <v>6</v>
      </c>
      <c r="O25" s="19">
        <f t="shared" si="7"/>
        <v>8.65384615384615</v>
      </c>
      <c r="P25" s="19">
        <v>0</v>
      </c>
      <c r="Q25" s="19">
        <f t="shared" si="8"/>
        <v>0</v>
      </c>
      <c r="R25" s="19">
        <v>0</v>
      </c>
      <c r="S25" s="36">
        <f t="shared" si="9"/>
        <v>7.69230769230769</v>
      </c>
      <c r="T25" s="19">
        <v>0</v>
      </c>
      <c r="U25" s="19">
        <v>0</v>
      </c>
      <c r="V25" s="54">
        <v>10</v>
      </c>
      <c r="W25" s="36">
        <v>1.5</v>
      </c>
      <c r="X25" s="36">
        <v>8</v>
      </c>
      <c r="Y25" s="19">
        <v>0</v>
      </c>
      <c r="Z25" s="85">
        <v>0</v>
      </c>
      <c r="AA25" s="85">
        <v>0</v>
      </c>
      <c r="AB25" s="86">
        <f t="shared" si="15"/>
        <v>189.692307692308</v>
      </c>
      <c r="AC25" s="19">
        <f>VLOOKUP(B25,[2]Sheet1!$B$2:$L$199,11,0)/4000</f>
        <v>4.7955</v>
      </c>
      <c r="AD25" s="19">
        <v>0</v>
      </c>
      <c r="AE25" s="85">
        <f>VLOOKUP(B25,[1]包装!$E$7:$L$25,7,0)</f>
        <v>50</v>
      </c>
      <c r="AF25" s="19">
        <f t="shared" si="11"/>
        <v>54.7955</v>
      </c>
      <c r="AG25" s="36">
        <f t="shared" si="14"/>
        <v>134.896807692308</v>
      </c>
      <c r="AH25" s="129"/>
      <c r="AI25" s="130"/>
      <c r="AJ25" s="74"/>
      <c r="AK25" s="34"/>
      <c r="AL25" s="72">
        <v>101015422</v>
      </c>
      <c r="AM25" s="73">
        <v>32022</v>
      </c>
      <c r="AN25" s="74" t="s">
        <v>99</v>
      </c>
      <c r="AO25" s="72" t="s">
        <v>224</v>
      </c>
      <c r="AP25" s="74" t="s">
        <v>102</v>
      </c>
      <c r="AQ25" s="74" t="s">
        <v>102</v>
      </c>
      <c r="AR25" s="74" t="s">
        <v>103</v>
      </c>
      <c r="AS25" s="92" t="s">
        <v>906</v>
      </c>
    </row>
    <row r="26" s="77" customFormat="1" ht="26" customHeight="1" spans="1:45">
      <c r="A26" s="19">
        <v>18</v>
      </c>
      <c r="B26" s="19" t="s">
        <v>907</v>
      </c>
      <c r="C26" s="20" t="s">
        <v>908</v>
      </c>
      <c r="D26" s="20" t="s">
        <v>909</v>
      </c>
      <c r="E26" s="21">
        <v>44889</v>
      </c>
      <c r="F26" s="19" t="s">
        <v>96</v>
      </c>
      <c r="G26" s="19" t="s">
        <v>205</v>
      </c>
      <c r="H26" s="19" t="s">
        <v>206</v>
      </c>
      <c r="I26" s="19">
        <v>19.5</v>
      </c>
      <c r="J26" s="85">
        <f t="shared" si="4"/>
        <v>6.5</v>
      </c>
      <c r="K26" s="19">
        <v>200</v>
      </c>
      <c r="L26" s="36">
        <f t="shared" si="13"/>
        <v>150</v>
      </c>
      <c r="M26" s="36">
        <f t="shared" si="6"/>
        <v>50</v>
      </c>
      <c r="N26" s="19">
        <v>12</v>
      </c>
      <c r="O26" s="19">
        <f t="shared" si="7"/>
        <v>17.3076923076923</v>
      </c>
      <c r="P26" s="19">
        <v>0</v>
      </c>
      <c r="Q26" s="19">
        <f t="shared" si="8"/>
        <v>0</v>
      </c>
      <c r="R26" s="19">
        <v>0</v>
      </c>
      <c r="S26" s="36">
        <f t="shared" si="9"/>
        <v>7.5</v>
      </c>
      <c r="T26" s="19">
        <v>0</v>
      </c>
      <c r="U26" s="19">
        <v>0</v>
      </c>
      <c r="V26" s="54">
        <v>10</v>
      </c>
      <c r="W26" s="36">
        <v>3</v>
      </c>
      <c r="X26" s="36">
        <v>8</v>
      </c>
      <c r="Y26" s="19">
        <v>0</v>
      </c>
      <c r="Z26" s="85">
        <v>0</v>
      </c>
      <c r="AA26" s="85">
        <v>0</v>
      </c>
      <c r="AB26" s="86">
        <f t="shared" si="15"/>
        <v>195.807692307692</v>
      </c>
      <c r="AC26" s="19">
        <f>VLOOKUP(B26,[2]Sheet1!$B$2:$L$199,11,0)/4000</f>
        <v>4.63575</v>
      </c>
      <c r="AD26" s="19">
        <v>0</v>
      </c>
      <c r="AE26" s="85">
        <f>VLOOKUP(B26,[1]包装!$E$7:$L$25,7,0)</f>
        <v>50</v>
      </c>
      <c r="AF26" s="19">
        <f t="shared" si="11"/>
        <v>54.63575</v>
      </c>
      <c r="AG26" s="36">
        <f t="shared" si="14"/>
        <v>141.171942307692</v>
      </c>
      <c r="AH26" s="129"/>
      <c r="AI26" s="130"/>
      <c r="AJ26" s="74"/>
      <c r="AK26" s="34"/>
      <c r="AL26" s="72">
        <v>101471762</v>
      </c>
      <c r="AM26" s="73">
        <v>37809</v>
      </c>
      <c r="AN26" s="74" t="s">
        <v>99</v>
      </c>
      <c r="AO26" s="72" t="s">
        <v>234</v>
      </c>
      <c r="AP26" s="74" t="s">
        <v>102</v>
      </c>
      <c r="AQ26" s="74" t="s">
        <v>102</v>
      </c>
      <c r="AR26" s="74" t="s">
        <v>103</v>
      </c>
      <c r="AS26" s="92"/>
    </row>
    <row r="27" ht="26" customHeight="1" spans="1:37">
      <c r="A27" s="187"/>
      <c r="B27" s="24"/>
      <c r="C27" s="24"/>
      <c r="D27" s="24"/>
      <c r="E27" s="188"/>
      <c r="F27" s="177"/>
      <c r="G27" s="177"/>
      <c r="H27" s="177"/>
      <c r="I27" s="177"/>
      <c r="J27" s="177"/>
      <c r="K27" s="178"/>
      <c r="L27" s="179">
        <f>SUM(L9:L26)</f>
        <v>2844.23076923077</v>
      </c>
      <c r="M27" s="179">
        <f t="shared" ref="M27:AG27" si="16">SUM(M9:M26)</f>
        <v>755.769230769231</v>
      </c>
      <c r="N27" s="179">
        <f t="shared" si="16"/>
        <v>112</v>
      </c>
      <c r="O27" s="179">
        <f t="shared" si="16"/>
        <v>161.538461538462</v>
      </c>
      <c r="P27" s="179">
        <f t="shared" si="16"/>
        <v>0</v>
      </c>
      <c r="Q27" s="179">
        <f t="shared" si="16"/>
        <v>0</v>
      </c>
      <c r="R27" s="179">
        <f t="shared" si="16"/>
        <v>0</v>
      </c>
      <c r="S27" s="179">
        <f t="shared" si="16"/>
        <v>142.211538461538</v>
      </c>
      <c r="T27" s="179">
        <f t="shared" si="16"/>
        <v>7.38</v>
      </c>
      <c r="U27" s="179">
        <f t="shared" si="16"/>
        <v>150</v>
      </c>
      <c r="V27" s="179">
        <f t="shared" si="16"/>
        <v>180</v>
      </c>
      <c r="W27" s="179">
        <f t="shared" si="16"/>
        <v>28.75</v>
      </c>
      <c r="X27" s="179">
        <f t="shared" si="16"/>
        <v>144</v>
      </c>
      <c r="Y27" s="179">
        <f t="shared" si="16"/>
        <v>0</v>
      </c>
      <c r="Z27" s="179">
        <f t="shared" si="16"/>
        <v>468.14</v>
      </c>
      <c r="AA27" s="179">
        <f t="shared" si="16"/>
        <v>512.437141272189</v>
      </c>
      <c r="AB27" s="179">
        <f t="shared" si="16"/>
        <v>4638.68791050296</v>
      </c>
      <c r="AC27" s="179">
        <f t="shared" si="16"/>
        <v>89.2335</v>
      </c>
      <c r="AD27" s="179">
        <f t="shared" si="16"/>
        <v>0</v>
      </c>
      <c r="AE27" s="179">
        <f t="shared" si="16"/>
        <v>1050</v>
      </c>
      <c r="AF27" s="179">
        <f t="shared" si="16"/>
        <v>1139.2335</v>
      </c>
      <c r="AG27" s="179">
        <f t="shared" si="16"/>
        <v>3499.45441050296</v>
      </c>
      <c r="AH27" s="180"/>
      <c r="AI27" s="180"/>
      <c r="AJ27" s="180"/>
      <c r="AK27" s="181"/>
    </row>
  </sheetData>
  <autoFilter ref="A8:AY27">
    <extLst/>
  </autoFilter>
  <mergeCells count="32">
    <mergeCell ref="A1:AJ1"/>
    <mergeCell ref="A2:AJ2"/>
    <mergeCell ref="A3:AJ3"/>
    <mergeCell ref="A4:AJ4"/>
    <mergeCell ref="A5:C5"/>
    <mergeCell ref="F5:L5"/>
    <mergeCell ref="AE5:AJ5"/>
    <mergeCell ref="N7:Q7"/>
    <mergeCell ref="A27:B2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ignoredErrors>
    <ignoredError sqref="AE9:AE26" emptyCellReferenc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17"/>
  <sheetViews>
    <sheetView zoomScale="145" zoomScaleNormal="145" topLeftCell="A5" workbookViewId="0">
      <selection activeCell="P11" sqref="P11"/>
    </sheetView>
  </sheetViews>
  <sheetFormatPr defaultColWidth="9" defaultRowHeight="13.5"/>
  <cols>
    <col min="1" max="1" width="3.18333333333333" style="6" customWidth="1"/>
    <col min="2" max="2" width="5.94166666666667" style="170" customWidth="1"/>
    <col min="3" max="4" width="7.23333333333333" style="170" customWidth="1"/>
    <col min="5" max="5" width="6.55" style="6" customWidth="1"/>
    <col min="6" max="6" width="3.275" style="170" customWidth="1"/>
    <col min="7" max="7" width="2.75" style="6" customWidth="1"/>
    <col min="8" max="8" width="3.45" style="6" customWidth="1"/>
    <col min="9" max="9" width="3.61666666666667" style="6" customWidth="1"/>
    <col min="10" max="10" width="3.79166666666667" style="6" customWidth="1"/>
    <col min="11" max="11" width="3.61666666666667" style="6" customWidth="1"/>
    <col min="12" max="12" width="4.99166666666667" customWidth="1"/>
    <col min="13" max="13" width="4.73333333333333" customWidth="1"/>
    <col min="14" max="14" width="3.26666666666667" customWidth="1"/>
    <col min="15" max="15" width="3.5" customWidth="1"/>
    <col min="16" max="18" width="3.1" customWidth="1"/>
    <col min="19" max="19" width="3.5" customWidth="1"/>
    <col min="20" max="20" width="4.13333333333333" customWidth="1"/>
    <col min="21" max="21" width="3.21666666666667" customWidth="1"/>
    <col min="22" max="25" width="3.375" customWidth="1"/>
    <col min="26" max="26" width="3.525" customWidth="1"/>
    <col min="27" max="27" width="3.375" customWidth="1"/>
    <col min="28" max="28" width="5.625" customWidth="1"/>
    <col min="29" max="29" width="3.69166666666667" customWidth="1"/>
    <col min="30" max="30" width="4.125" customWidth="1"/>
    <col min="31" max="31" width="4.25" customWidth="1"/>
    <col min="32" max="32" width="4.375" customWidth="1"/>
    <col min="33" max="33" width="6.625" customWidth="1"/>
    <col min="34" max="34" width="6.25" hidden="1" customWidth="1"/>
    <col min="35" max="35" width="8.75" hidden="1" customWidth="1"/>
    <col min="36" max="36" width="8.25833333333333" customWidth="1"/>
    <col min="37" max="37" width="17.1583333333333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171"/>
      <c r="C1" s="171"/>
      <c r="D1" s="171"/>
      <c r="E1" s="7"/>
      <c r="F1" s="17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172"/>
      <c r="C2" s="172"/>
      <c r="D2" s="172"/>
      <c r="E2" s="8"/>
      <c r="F2" s="17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173"/>
      <c r="C3" s="173"/>
      <c r="D3" s="173"/>
      <c r="E3" s="9"/>
      <c r="F3" s="17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910</v>
      </c>
      <c r="B5" s="174"/>
      <c r="C5" s="175"/>
      <c r="D5" s="175"/>
      <c r="E5" s="11"/>
      <c r="F5" s="175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56" t="s">
        <v>5</v>
      </c>
      <c r="AG5" s="56"/>
      <c r="AH5" s="56"/>
      <c r="AI5" s="56"/>
      <c r="AJ5" s="56"/>
      <c r="AK5" s="56"/>
      <c r="AL5" s="70"/>
    </row>
    <row r="6" s="2" customFormat="1" ht="63" customHeight="1" spans="1:37">
      <c r="A6" s="13" t="s">
        <v>6</v>
      </c>
      <c r="B6" s="29" t="s">
        <v>7</v>
      </c>
      <c r="C6" s="29" t="s">
        <v>8</v>
      </c>
      <c r="D6" s="29" t="s">
        <v>8</v>
      </c>
      <c r="E6" s="14" t="s">
        <v>9</v>
      </c>
      <c r="F6" s="29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911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9" t="s">
        <v>70</v>
      </c>
    </row>
    <row r="7" s="3" customFormat="1" ht="12" customHeight="1" spans="1:45">
      <c r="A7" s="15" t="s">
        <v>39</v>
      </c>
      <c r="B7" s="15" t="s">
        <v>40</v>
      </c>
      <c r="C7" s="15" t="s">
        <v>41</v>
      </c>
      <c r="D7" s="15" t="s">
        <v>42</v>
      </c>
      <c r="E7" s="15" t="s">
        <v>43</v>
      </c>
      <c r="F7" s="15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7"/>
      <c r="C8" s="17"/>
      <c r="D8" s="17"/>
      <c r="E8" s="17"/>
      <c r="F8" s="17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5" customFormat="1" ht="24" customHeight="1" spans="1:45">
      <c r="A9" s="19">
        <v>1</v>
      </c>
      <c r="B9" s="20" t="s">
        <v>912</v>
      </c>
      <c r="C9" s="20" t="s">
        <v>913</v>
      </c>
      <c r="D9" s="20" t="s">
        <v>914</v>
      </c>
      <c r="E9" s="21">
        <v>44732</v>
      </c>
      <c r="F9" s="20" t="s">
        <v>96</v>
      </c>
      <c r="G9" s="19" t="s">
        <v>915</v>
      </c>
      <c r="H9" s="22" t="s">
        <v>916</v>
      </c>
      <c r="I9" s="19">
        <v>24.75</v>
      </c>
      <c r="J9" s="19">
        <f>26-I9</f>
        <v>1.25</v>
      </c>
      <c r="K9" s="19">
        <v>200</v>
      </c>
      <c r="L9" s="36">
        <f t="shared" ref="L9:L16" si="0">K9/26*I9</f>
        <v>190.384615384615</v>
      </c>
      <c r="M9" s="36">
        <f t="shared" ref="M9:M16" si="1">K9/26*J9</f>
        <v>9.61538461538461</v>
      </c>
      <c r="N9" s="19">
        <v>8</v>
      </c>
      <c r="O9" s="19">
        <f t="shared" ref="O9:O16" si="2">K9/26/8*1.5*N9</f>
        <v>11.5384615384615</v>
      </c>
      <c r="P9" s="19">
        <v>0</v>
      </c>
      <c r="Q9" s="19">
        <f t="shared" ref="Q9:Q16" si="3">K9/26*2*P9</f>
        <v>0</v>
      </c>
      <c r="R9" s="19">
        <v>0</v>
      </c>
      <c r="S9" s="19">
        <f t="shared" ref="S9:S14" si="4">10/26*I9</f>
        <v>9.51923076923077</v>
      </c>
      <c r="T9" s="19">
        <v>0</v>
      </c>
      <c r="U9" s="19">
        <v>0</v>
      </c>
      <c r="V9" s="19">
        <v>10</v>
      </c>
      <c r="W9" s="19">
        <v>2</v>
      </c>
      <c r="X9" s="19">
        <v>8</v>
      </c>
      <c r="Y9" s="19">
        <v>0</v>
      </c>
      <c r="Z9" s="19">
        <f>VLOOKUP(B9,'[3]Annual Leave '!$B$7:$Q$98,13,0)</f>
        <v>35.36</v>
      </c>
      <c r="AA9" s="19">
        <f>VLOOKUP(B9,'[3]Annual Leave '!$B$7:$Q$98,15,0)</f>
        <v>40.7984467455622</v>
      </c>
      <c r="AB9" s="36">
        <f>L9+O9+Q9+R9+S9+T9+U9+V9+X9+Z9+AA9+W9</f>
        <v>307.60075443787</v>
      </c>
      <c r="AC9" s="19">
        <f>VLOOKUP(B9,[2]Sheet1!$B$2:$N$199,11,0)/4000</f>
        <v>4.88125</v>
      </c>
      <c r="AD9" s="19">
        <v>0</v>
      </c>
      <c r="AE9" s="19">
        <f>VLOOKUP(B9,[1]Cut!$E$7:$L$14,7,0)</f>
        <v>100</v>
      </c>
      <c r="AF9" s="19">
        <f t="shared" ref="AF9:AF16" si="5">SUM(AC9:AE9)</f>
        <v>104.88125</v>
      </c>
      <c r="AG9" s="36">
        <f t="shared" ref="AG9:AG16" si="6">AB9-AF9</f>
        <v>202.71950443787</v>
      </c>
      <c r="AH9" s="19"/>
      <c r="AI9" s="60"/>
      <c r="AJ9" s="125"/>
      <c r="AK9" s="34"/>
      <c r="AL9" s="72" t="s">
        <v>917</v>
      </c>
      <c r="AM9" s="73">
        <v>35051</v>
      </c>
      <c r="AN9" s="74" t="s">
        <v>141</v>
      </c>
      <c r="AO9" s="72"/>
      <c r="AP9" s="91" t="s">
        <v>101</v>
      </c>
      <c r="AQ9" s="91" t="s">
        <v>102</v>
      </c>
      <c r="AR9" s="91" t="s">
        <v>103</v>
      </c>
      <c r="AS9" s="72" t="s">
        <v>918</v>
      </c>
    </row>
    <row r="10" s="5" customFormat="1" ht="24" customHeight="1" spans="1:45">
      <c r="A10" s="19">
        <v>2</v>
      </c>
      <c r="B10" s="20" t="s">
        <v>919</v>
      </c>
      <c r="C10" s="20" t="s">
        <v>920</v>
      </c>
      <c r="D10" s="20" t="s">
        <v>921</v>
      </c>
      <c r="E10" s="21">
        <v>44746</v>
      </c>
      <c r="F10" s="20" t="s">
        <v>108</v>
      </c>
      <c r="G10" s="19" t="s">
        <v>915</v>
      </c>
      <c r="H10" s="22" t="s">
        <v>916</v>
      </c>
      <c r="I10" s="19">
        <v>25.25</v>
      </c>
      <c r="J10" s="19">
        <f t="shared" ref="J10:J16" si="7">26-I10</f>
        <v>0.75</v>
      </c>
      <c r="K10" s="19">
        <v>200</v>
      </c>
      <c r="L10" s="36">
        <f t="shared" si="0"/>
        <v>194.230769230769</v>
      </c>
      <c r="M10" s="36">
        <f t="shared" si="1"/>
        <v>5.76923076923077</v>
      </c>
      <c r="N10" s="19">
        <v>6</v>
      </c>
      <c r="O10" s="19">
        <f t="shared" si="2"/>
        <v>8.65384615384615</v>
      </c>
      <c r="P10" s="19">
        <v>0</v>
      </c>
      <c r="Q10" s="19">
        <f t="shared" si="3"/>
        <v>0</v>
      </c>
      <c r="R10" s="19">
        <v>0</v>
      </c>
      <c r="S10" s="19">
        <f t="shared" si="4"/>
        <v>9.71153846153846</v>
      </c>
      <c r="T10" s="36">
        <v>39.4</v>
      </c>
      <c r="U10" s="19">
        <v>30</v>
      </c>
      <c r="V10" s="19">
        <v>10</v>
      </c>
      <c r="W10" s="19">
        <v>1.5</v>
      </c>
      <c r="X10" s="19">
        <v>8</v>
      </c>
      <c r="Y10" s="19">
        <v>0</v>
      </c>
      <c r="Z10" s="19">
        <f>VLOOKUP(B10,'[3]Annual Leave '!$B$7:$Q$98,13,0)</f>
        <v>46.33</v>
      </c>
      <c r="AA10" s="19">
        <f>VLOOKUP(B10,'[3]Annual Leave '!$B$7:$Q$98,15,0)</f>
        <v>53.4594674556213</v>
      </c>
      <c r="AB10" s="36">
        <f t="shared" ref="AB10:AB16" si="8">L10+O10+Q10+R10+S10+T10+U10+V10+X10+Z10+AA10+W10</f>
        <v>401.285621301775</v>
      </c>
      <c r="AC10" s="19">
        <f>VLOOKUP(B10,[2]Sheet1!$B$2:$N$199,11,0)/4000</f>
        <v>6</v>
      </c>
      <c r="AD10" s="19">
        <v>0</v>
      </c>
      <c r="AE10" s="19">
        <f>VLOOKUP(B10,[1]Cut!$E$7:$L$14,7,0)</f>
        <v>100</v>
      </c>
      <c r="AF10" s="19">
        <f t="shared" si="5"/>
        <v>106</v>
      </c>
      <c r="AG10" s="36">
        <f t="shared" si="6"/>
        <v>295.285621301775</v>
      </c>
      <c r="AH10" s="19"/>
      <c r="AI10" s="60"/>
      <c r="AJ10" s="125"/>
      <c r="AK10" s="34"/>
      <c r="AL10" s="72">
        <v>100966451</v>
      </c>
      <c r="AM10" s="73">
        <v>32881</v>
      </c>
      <c r="AN10" s="74" t="s">
        <v>922</v>
      </c>
      <c r="AO10" s="72">
        <v>3</v>
      </c>
      <c r="AP10" s="91" t="s">
        <v>101</v>
      </c>
      <c r="AQ10" s="91" t="s">
        <v>102</v>
      </c>
      <c r="AR10" s="91" t="s">
        <v>103</v>
      </c>
      <c r="AS10" s="72" t="s">
        <v>923</v>
      </c>
    </row>
    <row r="11" s="5" customFormat="1" ht="24" customHeight="1" spans="1:45">
      <c r="A11" s="19">
        <v>3</v>
      </c>
      <c r="B11" s="20" t="s">
        <v>924</v>
      </c>
      <c r="C11" s="20" t="s">
        <v>925</v>
      </c>
      <c r="D11" s="20" t="s">
        <v>926</v>
      </c>
      <c r="E11" s="21">
        <v>44746</v>
      </c>
      <c r="F11" s="20" t="s">
        <v>108</v>
      </c>
      <c r="G11" s="19" t="s">
        <v>915</v>
      </c>
      <c r="H11" s="22" t="s">
        <v>916</v>
      </c>
      <c r="I11" s="19">
        <v>22.625</v>
      </c>
      <c r="J11" s="19">
        <f t="shared" si="7"/>
        <v>3.375</v>
      </c>
      <c r="K11" s="19">
        <v>200</v>
      </c>
      <c r="L11" s="36">
        <f t="shared" si="0"/>
        <v>174.038461538462</v>
      </c>
      <c r="M11" s="36">
        <f t="shared" si="1"/>
        <v>25.9615384615385</v>
      </c>
      <c r="N11" s="19">
        <v>4</v>
      </c>
      <c r="O11" s="19">
        <f t="shared" si="2"/>
        <v>5.76923076923077</v>
      </c>
      <c r="P11" s="19">
        <v>0</v>
      </c>
      <c r="Q11" s="19">
        <f t="shared" si="3"/>
        <v>0</v>
      </c>
      <c r="R11" s="19">
        <v>0</v>
      </c>
      <c r="S11" s="19">
        <f t="shared" si="4"/>
        <v>8.70192307692308</v>
      </c>
      <c r="T11" s="19">
        <v>0</v>
      </c>
      <c r="U11" s="19">
        <v>0</v>
      </c>
      <c r="V11" s="19">
        <v>10</v>
      </c>
      <c r="W11" s="19">
        <v>1</v>
      </c>
      <c r="X11" s="19">
        <v>8</v>
      </c>
      <c r="Y11" s="19">
        <v>0</v>
      </c>
      <c r="Z11" s="19">
        <f>VLOOKUP(B11,'[3]Annual Leave '!$B$7:$Q$98,13,0)</f>
        <v>33.31</v>
      </c>
      <c r="AA11" s="19">
        <f>VLOOKUP(B11,'[3]Annual Leave '!$B$7:$Q$98,15,0)</f>
        <v>38.4289016272189</v>
      </c>
      <c r="AB11" s="36">
        <f t="shared" si="8"/>
        <v>279.248517011834</v>
      </c>
      <c r="AC11" s="19">
        <f>VLOOKUP(B11,[2]Sheet1!$B$2:$N$199,11,0)/4000</f>
        <v>4.73225</v>
      </c>
      <c r="AD11" s="19">
        <v>0</v>
      </c>
      <c r="AE11" s="19">
        <f>VLOOKUP(B11,[1]Cut!$E$7:$L$14,7,0)</f>
        <v>100</v>
      </c>
      <c r="AF11" s="19">
        <f t="shared" si="5"/>
        <v>104.73225</v>
      </c>
      <c r="AG11" s="36">
        <f t="shared" si="6"/>
        <v>174.516267011834</v>
      </c>
      <c r="AH11" s="19"/>
      <c r="AI11" s="60"/>
      <c r="AJ11" s="125"/>
      <c r="AK11" s="34"/>
      <c r="AL11" s="72" t="s">
        <v>927</v>
      </c>
      <c r="AM11" s="73">
        <v>34377</v>
      </c>
      <c r="AN11" s="74" t="s">
        <v>141</v>
      </c>
      <c r="AO11" s="72"/>
      <c r="AP11" s="91" t="s">
        <v>101</v>
      </c>
      <c r="AQ11" s="91" t="s">
        <v>102</v>
      </c>
      <c r="AR11" s="91" t="s">
        <v>103</v>
      </c>
      <c r="AS11" s="72" t="s">
        <v>928</v>
      </c>
    </row>
    <row r="12" s="5" customFormat="1" ht="24" customHeight="1" spans="1:45">
      <c r="A12" s="19">
        <v>4</v>
      </c>
      <c r="B12" s="20" t="s">
        <v>929</v>
      </c>
      <c r="C12" s="20" t="s">
        <v>930</v>
      </c>
      <c r="D12" s="20" t="s">
        <v>931</v>
      </c>
      <c r="E12" s="21">
        <v>44746</v>
      </c>
      <c r="F12" s="20" t="s">
        <v>108</v>
      </c>
      <c r="G12" s="19" t="s">
        <v>915</v>
      </c>
      <c r="H12" s="22" t="s">
        <v>916</v>
      </c>
      <c r="I12" s="19">
        <v>24.75</v>
      </c>
      <c r="J12" s="19">
        <f t="shared" si="7"/>
        <v>1.25</v>
      </c>
      <c r="K12" s="19">
        <v>200</v>
      </c>
      <c r="L12" s="36">
        <f t="shared" si="0"/>
        <v>190.384615384615</v>
      </c>
      <c r="M12" s="36">
        <f t="shared" si="1"/>
        <v>9.61538461538461</v>
      </c>
      <c r="N12" s="19">
        <v>19</v>
      </c>
      <c r="O12" s="19">
        <f t="shared" si="2"/>
        <v>27.4038461538462</v>
      </c>
      <c r="P12" s="19">
        <v>0</v>
      </c>
      <c r="Q12" s="19">
        <f t="shared" si="3"/>
        <v>0</v>
      </c>
      <c r="R12" s="19">
        <v>0</v>
      </c>
      <c r="S12" s="19">
        <f t="shared" si="4"/>
        <v>9.51923076923077</v>
      </c>
      <c r="T12" s="19">
        <v>0</v>
      </c>
      <c r="U12" s="19">
        <v>0</v>
      </c>
      <c r="V12" s="19">
        <v>10</v>
      </c>
      <c r="W12" s="19">
        <v>5</v>
      </c>
      <c r="X12" s="19">
        <v>8</v>
      </c>
      <c r="Y12" s="19">
        <v>0</v>
      </c>
      <c r="Z12" s="19">
        <f>VLOOKUP(B12,'[3]Annual Leave '!$B$7:$Q$98,13,0)</f>
        <v>37.02</v>
      </c>
      <c r="AA12" s="19">
        <f>VLOOKUP(B12,'[3]Annual Leave '!$B$7:$Q$98,15,0)</f>
        <v>42.7200443786982</v>
      </c>
      <c r="AB12" s="36">
        <f t="shared" si="8"/>
        <v>330.047736686391</v>
      </c>
      <c r="AC12" s="19">
        <f>VLOOKUP(B12,[2]Sheet1!$B$2:$N$199,11,0)/4000</f>
        <v>5.1105</v>
      </c>
      <c r="AD12" s="19">
        <v>0</v>
      </c>
      <c r="AE12" s="19">
        <f>VLOOKUP(B12,[1]Cut!$E$7:$L$14,7,0)</f>
        <v>100</v>
      </c>
      <c r="AF12" s="19">
        <f t="shared" si="5"/>
        <v>105.1105</v>
      </c>
      <c r="AG12" s="36">
        <f t="shared" si="6"/>
        <v>224.937236686391</v>
      </c>
      <c r="AH12" s="19"/>
      <c r="AI12" s="60"/>
      <c r="AJ12" s="125"/>
      <c r="AK12" s="34"/>
      <c r="AL12" s="72" t="s">
        <v>932</v>
      </c>
      <c r="AM12" s="73">
        <v>34930</v>
      </c>
      <c r="AN12" s="74" t="s">
        <v>922</v>
      </c>
      <c r="AO12" s="72" t="s">
        <v>224</v>
      </c>
      <c r="AP12" s="91" t="s">
        <v>101</v>
      </c>
      <c r="AQ12" s="91" t="s">
        <v>102</v>
      </c>
      <c r="AR12" s="91" t="s">
        <v>103</v>
      </c>
      <c r="AS12" s="72">
        <v>93574690</v>
      </c>
    </row>
    <row r="13" s="5" customFormat="1" ht="24" customHeight="1" spans="1:45">
      <c r="A13" s="19">
        <v>5</v>
      </c>
      <c r="B13" s="20" t="s">
        <v>933</v>
      </c>
      <c r="C13" s="20" t="s">
        <v>934</v>
      </c>
      <c r="D13" s="20" t="s">
        <v>935</v>
      </c>
      <c r="E13" s="21">
        <v>44746</v>
      </c>
      <c r="F13" s="20" t="s">
        <v>108</v>
      </c>
      <c r="G13" s="19" t="s">
        <v>915</v>
      </c>
      <c r="H13" s="22" t="s">
        <v>916</v>
      </c>
      <c r="I13" s="19">
        <v>25.25</v>
      </c>
      <c r="J13" s="19">
        <f t="shared" si="7"/>
        <v>0.75</v>
      </c>
      <c r="K13" s="19">
        <v>200</v>
      </c>
      <c r="L13" s="36">
        <f t="shared" si="0"/>
        <v>194.230769230769</v>
      </c>
      <c r="M13" s="36">
        <f t="shared" si="1"/>
        <v>5.76923076923077</v>
      </c>
      <c r="N13" s="19">
        <v>18</v>
      </c>
      <c r="O13" s="19">
        <f t="shared" si="2"/>
        <v>25.9615384615385</v>
      </c>
      <c r="P13" s="19">
        <v>0</v>
      </c>
      <c r="Q13" s="19">
        <f t="shared" si="3"/>
        <v>0</v>
      </c>
      <c r="R13" s="19">
        <v>0</v>
      </c>
      <c r="S13" s="19">
        <f t="shared" si="4"/>
        <v>9.71153846153846</v>
      </c>
      <c r="T13" s="19">
        <v>0</v>
      </c>
      <c r="U13" s="19">
        <v>0</v>
      </c>
      <c r="V13" s="19">
        <v>10</v>
      </c>
      <c r="W13" s="19">
        <v>4.5</v>
      </c>
      <c r="X13" s="19">
        <v>8</v>
      </c>
      <c r="Y13" s="19">
        <v>0</v>
      </c>
      <c r="Z13" s="19">
        <f>VLOOKUP(B13,'[3]Annual Leave '!$B$7:$Q$98,13,0)</f>
        <v>36.87</v>
      </c>
      <c r="AA13" s="19">
        <f>VLOOKUP(B13,'[3]Annual Leave '!$B$7:$Q$98,15,0)</f>
        <v>42.5411427514793</v>
      </c>
      <c r="AB13" s="36">
        <f t="shared" si="8"/>
        <v>331.814988905325</v>
      </c>
      <c r="AC13" s="19">
        <f>VLOOKUP(B13,[2]Sheet1!$B$2:$N$199,11,0)/4000</f>
        <v>5.20725</v>
      </c>
      <c r="AD13" s="19">
        <v>0</v>
      </c>
      <c r="AE13" s="19">
        <f>VLOOKUP(B13,[1]Cut!$E$7:$L$14,7,0)</f>
        <v>100</v>
      </c>
      <c r="AF13" s="19">
        <f t="shared" si="5"/>
        <v>105.20725</v>
      </c>
      <c r="AG13" s="36">
        <f t="shared" si="6"/>
        <v>226.607738905325</v>
      </c>
      <c r="AH13" s="19"/>
      <c r="AI13" s="60"/>
      <c r="AJ13" s="125"/>
      <c r="AK13" s="34"/>
      <c r="AL13" s="72" t="s">
        <v>936</v>
      </c>
      <c r="AM13" s="73">
        <v>34743</v>
      </c>
      <c r="AN13" s="74" t="s">
        <v>922</v>
      </c>
      <c r="AO13" s="72" t="s">
        <v>224</v>
      </c>
      <c r="AP13" s="91" t="s">
        <v>101</v>
      </c>
      <c r="AQ13" s="91" t="s">
        <v>102</v>
      </c>
      <c r="AR13" s="91" t="s">
        <v>103</v>
      </c>
      <c r="AS13" s="72" t="s">
        <v>937</v>
      </c>
    </row>
    <row r="14" s="5" customFormat="1" ht="24" customHeight="1" spans="1:45">
      <c r="A14" s="19">
        <v>6</v>
      </c>
      <c r="B14" s="20" t="s">
        <v>938</v>
      </c>
      <c r="C14" s="20" t="s">
        <v>939</v>
      </c>
      <c r="D14" s="20" t="s">
        <v>940</v>
      </c>
      <c r="E14" s="21">
        <v>44748</v>
      </c>
      <c r="F14" s="20" t="s">
        <v>108</v>
      </c>
      <c r="G14" s="19" t="s">
        <v>915</v>
      </c>
      <c r="H14" s="22" t="s">
        <v>916</v>
      </c>
      <c r="I14" s="19">
        <v>23.25</v>
      </c>
      <c r="J14" s="19">
        <f t="shared" si="7"/>
        <v>2.75</v>
      </c>
      <c r="K14" s="19">
        <v>200</v>
      </c>
      <c r="L14" s="36">
        <f t="shared" si="0"/>
        <v>178.846153846154</v>
      </c>
      <c r="M14" s="36">
        <f t="shared" si="1"/>
        <v>21.1538461538462</v>
      </c>
      <c r="N14" s="19">
        <v>9</v>
      </c>
      <c r="O14" s="19">
        <f t="shared" si="2"/>
        <v>12.9807692307692</v>
      </c>
      <c r="P14" s="19">
        <v>0</v>
      </c>
      <c r="Q14" s="19">
        <f t="shared" si="3"/>
        <v>0</v>
      </c>
      <c r="R14" s="19">
        <v>0</v>
      </c>
      <c r="S14" s="19">
        <f t="shared" si="4"/>
        <v>8.94230769230769</v>
      </c>
      <c r="T14" s="19">
        <v>14.59</v>
      </c>
      <c r="U14" s="19">
        <v>30</v>
      </c>
      <c r="V14" s="19">
        <v>10</v>
      </c>
      <c r="W14" s="19">
        <v>2.25</v>
      </c>
      <c r="X14" s="19">
        <v>8</v>
      </c>
      <c r="Y14" s="19">
        <v>0</v>
      </c>
      <c r="Z14" s="19">
        <f>VLOOKUP(B14,'[3]Annual Leave '!$B$7:$Q$98,13,0)</f>
        <v>41.52</v>
      </c>
      <c r="AA14" s="19">
        <f>VLOOKUP(B14,'[3]Annual Leave '!$B$7:$Q$98,15,0)</f>
        <v>47.9062278106509</v>
      </c>
      <c r="AB14" s="36">
        <f t="shared" si="8"/>
        <v>355.035458579882</v>
      </c>
      <c r="AC14" s="19">
        <f>VLOOKUP(B14,[2]Sheet1!$B$2:$N$199,11,0)/4000</f>
        <v>5.71975</v>
      </c>
      <c r="AD14" s="19">
        <v>0</v>
      </c>
      <c r="AE14" s="19">
        <f>VLOOKUP(B14,[1]Cut!$E$7:$L$14,7,0)</f>
        <v>100</v>
      </c>
      <c r="AF14" s="19">
        <f t="shared" si="5"/>
        <v>105.71975</v>
      </c>
      <c r="AG14" s="36">
        <f t="shared" si="6"/>
        <v>249.315708579882</v>
      </c>
      <c r="AH14" s="19"/>
      <c r="AI14" s="60"/>
      <c r="AJ14" s="125"/>
      <c r="AK14" s="34"/>
      <c r="AL14" s="72" t="s">
        <v>941</v>
      </c>
      <c r="AM14" s="73">
        <v>29661</v>
      </c>
      <c r="AN14" s="74" t="s">
        <v>922</v>
      </c>
      <c r="AO14" s="72" t="s">
        <v>224</v>
      </c>
      <c r="AP14" s="91" t="s">
        <v>101</v>
      </c>
      <c r="AQ14" s="91" t="s">
        <v>102</v>
      </c>
      <c r="AR14" s="91" t="s">
        <v>103</v>
      </c>
      <c r="AS14" s="72" t="s">
        <v>942</v>
      </c>
    </row>
    <row r="15" s="5" customFormat="1" ht="24" customHeight="1" spans="1:45">
      <c r="A15" s="19">
        <v>7</v>
      </c>
      <c r="B15" s="20" t="s">
        <v>943</v>
      </c>
      <c r="C15" s="20" t="s">
        <v>944</v>
      </c>
      <c r="D15" s="20" t="s">
        <v>945</v>
      </c>
      <c r="E15" s="21">
        <v>44894</v>
      </c>
      <c r="F15" s="20" t="s">
        <v>108</v>
      </c>
      <c r="G15" s="19" t="s">
        <v>915</v>
      </c>
      <c r="H15" s="22" t="s">
        <v>916</v>
      </c>
      <c r="I15" s="19">
        <v>23.75</v>
      </c>
      <c r="J15" s="19">
        <f t="shared" si="7"/>
        <v>2.25</v>
      </c>
      <c r="K15" s="19">
        <v>200</v>
      </c>
      <c r="L15" s="36">
        <f t="shared" si="0"/>
        <v>182.692307692308</v>
      </c>
      <c r="M15" s="36">
        <f t="shared" si="1"/>
        <v>17.3076923076923</v>
      </c>
      <c r="N15" s="19">
        <v>6</v>
      </c>
      <c r="O15" s="19">
        <f t="shared" si="2"/>
        <v>8.65384615384615</v>
      </c>
      <c r="P15" s="19">
        <v>0</v>
      </c>
      <c r="Q15" s="19">
        <f t="shared" si="3"/>
        <v>0</v>
      </c>
      <c r="R15" s="19">
        <v>0</v>
      </c>
      <c r="S15" s="19">
        <v>10</v>
      </c>
      <c r="T15" s="19">
        <v>0</v>
      </c>
      <c r="U15" s="19">
        <v>0</v>
      </c>
      <c r="V15" s="19">
        <v>10</v>
      </c>
      <c r="W15" s="19">
        <v>1.5</v>
      </c>
      <c r="X15" s="19">
        <v>8</v>
      </c>
      <c r="Y15" s="19">
        <v>0</v>
      </c>
      <c r="Z15" s="19">
        <v>0</v>
      </c>
      <c r="AA15" s="19">
        <v>0</v>
      </c>
      <c r="AB15" s="36">
        <f t="shared" si="8"/>
        <v>220.846153846154</v>
      </c>
      <c r="AC15" s="19">
        <f>VLOOKUP(B15,[2]Sheet1!$B$2:$N$199,11,0)/4000</f>
        <v>4.661</v>
      </c>
      <c r="AD15" s="19">
        <v>0</v>
      </c>
      <c r="AE15" s="19">
        <f>VLOOKUP(B15,[1]Cut!$E$7:$L$14,7,0)</f>
        <v>100</v>
      </c>
      <c r="AF15" s="19">
        <f t="shared" si="5"/>
        <v>104.661</v>
      </c>
      <c r="AG15" s="36">
        <f t="shared" si="6"/>
        <v>116.185153846154</v>
      </c>
      <c r="AH15" s="19"/>
      <c r="AI15" s="60"/>
      <c r="AJ15" s="125"/>
      <c r="AK15" s="34"/>
      <c r="AL15" s="72" t="s">
        <v>932</v>
      </c>
      <c r="AM15" s="73">
        <v>34930</v>
      </c>
      <c r="AN15" s="74" t="s">
        <v>922</v>
      </c>
      <c r="AO15" s="72" t="s">
        <v>224</v>
      </c>
      <c r="AP15" s="91" t="s">
        <v>101</v>
      </c>
      <c r="AQ15" s="91" t="s">
        <v>102</v>
      </c>
      <c r="AR15" s="91" t="s">
        <v>103</v>
      </c>
      <c r="AS15" s="72">
        <v>93574690</v>
      </c>
    </row>
    <row r="16" s="5" customFormat="1" ht="24" customHeight="1" spans="1:45">
      <c r="A16" s="19">
        <v>8</v>
      </c>
      <c r="B16" s="20" t="s">
        <v>946</v>
      </c>
      <c r="C16" s="20" t="s">
        <v>947</v>
      </c>
      <c r="D16" s="20" t="s">
        <v>948</v>
      </c>
      <c r="E16" s="21">
        <v>44957</v>
      </c>
      <c r="F16" s="20" t="s">
        <v>108</v>
      </c>
      <c r="G16" s="19" t="s">
        <v>915</v>
      </c>
      <c r="H16" s="22" t="s">
        <v>916</v>
      </c>
      <c r="I16" s="19">
        <v>1</v>
      </c>
      <c r="J16" s="19">
        <f t="shared" si="7"/>
        <v>25</v>
      </c>
      <c r="K16" s="19">
        <v>198</v>
      </c>
      <c r="L16" s="36">
        <f t="shared" si="0"/>
        <v>7.61538461538461</v>
      </c>
      <c r="M16" s="36">
        <f t="shared" si="1"/>
        <v>190.384615384615</v>
      </c>
      <c r="N16" s="19">
        <v>0</v>
      </c>
      <c r="O16" s="19">
        <f t="shared" si="2"/>
        <v>0</v>
      </c>
      <c r="P16" s="19">
        <v>0</v>
      </c>
      <c r="Q16" s="19">
        <f t="shared" si="3"/>
        <v>0</v>
      </c>
      <c r="R16" s="19">
        <v>0</v>
      </c>
      <c r="S16" s="19">
        <v>5</v>
      </c>
      <c r="T16" s="19">
        <v>0</v>
      </c>
      <c r="U16" s="19">
        <v>0</v>
      </c>
      <c r="V16" s="19">
        <v>5</v>
      </c>
      <c r="W16" s="19">
        <v>0</v>
      </c>
      <c r="X16" s="19">
        <v>4</v>
      </c>
      <c r="Y16" s="19">
        <v>0</v>
      </c>
      <c r="Z16" s="19">
        <v>0</v>
      </c>
      <c r="AA16" s="19">
        <v>0</v>
      </c>
      <c r="AB16" s="36">
        <f t="shared" si="8"/>
        <v>21.6153846153846</v>
      </c>
      <c r="AC16" s="19">
        <v>0</v>
      </c>
      <c r="AD16" s="19">
        <v>0</v>
      </c>
      <c r="AE16" s="19">
        <v>0</v>
      </c>
      <c r="AF16" s="19">
        <f t="shared" si="5"/>
        <v>0</v>
      </c>
      <c r="AG16" s="36">
        <f t="shared" si="6"/>
        <v>21.6153846153846</v>
      </c>
      <c r="AH16" s="19"/>
      <c r="AI16" s="60"/>
      <c r="AJ16" s="125"/>
      <c r="AK16" s="34"/>
      <c r="AL16" s="72" t="s">
        <v>932</v>
      </c>
      <c r="AM16" s="73">
        <v>34930</v>
      </c>
      <c r="AN16" s="74" t="s">
        <v>922</v>
      </c>
      <c r="AO16" s="72" t="s">
        <v>224</v>
      </c>
      <c r="AP16" s="91" t="s">
        <v>101</v>
      </c>
      <c r="AQ16" s="91" t="s">
        <v>102</v>
      </c>
      <c r="AR16" s="91" t="s">
        <v>103</v>
      </c>
      <c r="AS16" s="72">
        <v>93574690</v>
      </c>
    </row>
    <row r="17" ht="24" customHeight="1" spans="1:37">
      <c r="A17" s="176" t="s">
        <v>557</v>
      </c>
      <c r="B17" s="24"/>
      <c r="C17" s="24"/>
      <c r="D17" s="24"/>
      <c r="E17" s="177"/>
      <c r="F17" s="24"/>
      <c r="G17" s="177"/>
      <c r="H17" s="177"/>
      <c r="I17" s="177"/>
      <c r="J17" s="177"/>
      <c r="K17" s="178"/>
      <c r="L17" s="179">
        <f>SUM(L9:L16)</f>
        <v>1312.42307692308</v>
      </c>
      <c r="M17" s="179"/>
      <c r="N17" s="179">
        <f t="shared" ref="N17:V17" si="9">SUM(N9:N16)</f>
        <v>70</v>
      </c>
      <c r="O17" s="179">
        <f t="shared" si="9"/>
        <v>100.961538461538</v>
      </c>
      <c r="P17" s="179">
        <f t="shared" si="9"/>
        <v>0</v>
      </c>
      <c r="Q17" s="179">
        <f t="shared" si="9"/>
        <v>0</v>
      </c>
      <c r="R17" s="179">
        <f t="shared" si="9"/>
        <v>0</v>
      </c>
      <c r="S17" s="179">
        <f t="shared" si="9"/>
        <v>71.1057692307692</v>
      </c>
      <c r="T17" s="179">
        <f t="shared" si="9"/>
        <v>53.99</v>
      </c>
      <c r="U17" s="179">
        <f t="shared" si="9"/>
        <v>60</v>
      </c>
      <c r="V17" s="179">
        <f t="shared" si="9"/>
        <v>75</v>
      </c>
      <c r="W17" s="179"/>
      <c r="X17" s="179">
        <f t="shared" ref="X17:AG17" si="10">SUM(X9:X16)</f>
        <v>60</v>
      </c>
      <c r="Y17" s="179">
        <f t="shared" si="10"/>
        <v>0</v>
      </c>
      <c r="Z17" s="179">
        <f t="shared" si="10"/>
        <v>230.41</v>
      </c>
      <c r="AA17" s="179">
        <f t="shared" si="10"/>
        <v>265.854230769231</v>
      </c>
      <c r="AB17" s="179">
        <f t="shared" si="10"/>
        <v>2247.49461538462</v>
      </c>
      <c r="AC17" s="179">
        <f t="shared" si="10"/>
        <v>36.312</v>
      </c>
      <c r="AD17" s="179">
        <f t="shared" si="10"/>
        <v>0</v>
      </c>
      <c r="AE17" s="179">
        <f t="shared" si="10"/>
        <v>700</v>
      </c>
      <c r="AF17" s="179">
        <f t="shared" si="10"/>
        <v>736.312</v>
      </c>
      <c r="AG17" s="179">
        <f t="shared" si="10"/>
        <v>1511.18261538462</v>
      </c>
      <c r="AH17" s="180"/>
      <c r="AI17" s="180"/>
      <c r="AJ17" s="180"/>
      <c r="AK17" s="181"/>
    </row>
  </sheetData>
  <autoFilter ref="A8:AY17">
    <extLst/>
  </autoFilter>
  <mergeCells count="32">
    <mergeCell ref="A1:AJ1"/>
    <mergeCell ref="A2:AJ2"/>
    <mergeCell ref="A3:AJ3"/>
    <mergeCell ref="A4:AJ4"/>
    <mergeCell ref="A5:C5"/>
    <mergeCell ref="F5:L5"/>
    <mergeCell ref="AF5:AJ5"/>
    <mergeCell ref="N7:Q7"/>
    <mergeCell ref="A17:K1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18055555555556" top="0.236111111111111" bottom="0.236111111111111" header="0.118055555555556" footer="0.118055555555556"/>
  <pageSetup paperSize="9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T13"/>
  <sheetViews>
    <sheetView zoomScale="130" zoomScaleNormal="130" workbookViewId="0">
      <selection activeCell="P11" sqref="P11"/>
    </sheetView>
  </sheetViews>
  <sheetFormatPr defaultColWidth="9" defaultRowHeight="13.5"/>
  <cols>
    <col min="1" max="1" width="3.36666666666667" style="6" customWidth="1"/>
    <col min="2" max="2" width="5.475" style="170" customWidth="1"/>
    <col min="3" max="3" width="6.73333333333333" style="170" customWidth="1"/>
    <col min="4" max="4" width="7.20833333333333" style="170" customWidth="1"/>
    <col min="5" max="5" width="6.54166666666667" style="6" customWidth="1"/>
    <col min="6" max="6" width="2.59166666666667" style="6" customWidth="1"/>
    <col min="7" max="7" width="3.36666666666667" style="6" customWidth="1"/>
    <col min="8" max="8" width="4.03333333333333" style="6" customWidth="1"/>
    <col min="9" max="9" width="3.34166666666667" style="6" customWidth="1"/>
    <col min="10" max="10" width="3.06666666666667" style="6" customWidth="1"/>
    <col min="11" max="11" width="3.875" style="6" customWidth="1"/>
    <col min="12" max="12" width="5.19166666666667" customWidth="1"/>
    <col min="13" max="13" width="4.13333333333333" customWidth="1"/>
    <col min="14" max="14" width="3.16666666666667" customWidth="1"/>
    <col min="15" max="15" width="3.5" customWidth="1"/>
    <col min="16" max="18" width="2.975" customWidth="1"/>
    <col min="19" max="19" width="3.5" customWidth="1"/>
    <col min="20" max="21" width="3.36666666666667" customWidth="1"/>
    <col min="22" max="24" width="3.375" customWidth="1"/>
    <col min="25" max="25" width="2.875" customWidth="1"/>
    <col min="26" max="26" width="4.13333333333333" customWidth="1"/>
    <col min="27" max="27" width="3.84166666666667" customWidth="1"/>
    <col min="28" max="28" width="6.44166666666667" customWidth="1"/>
    <col min="29" max="29" width="5" customWidth="1"/>
    <col min="30" max="30" width="3.94166666666667" customWidth="1"/>
    <col min="31" max="31" width="3.65" customWidth="1"/>
    <col min="32" max="32" width="4.375" customWidth="1"/>
    <col min="33" max="33" width="6.625" customWidth="1"/>
    <col min="34" max="34" width="6.25" hidden="1" customWidth="1"/>
    <col min="35" max="35" width="8.75" hidden="1" customWidth="1"/>
    <col min="36" max="36" width="10.7416666666667" customWidth="1"/>
    <col min="37" max="37" width="17.2083333333333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171"/>
      <c r="C1" s="171"/>
      <c r="D1" s="17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172"/>
      <c r="C2" s="172"/>
      <c r="D2" s="17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173"/>
      <c r="C3" s="173"/>
      <c r="D3" s="1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949</v>
      </c>
      <c r="B5" s="174"/>
      <c r="C5" s="175"/>
      <c r="D5" s="175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1" t="s">
        <v>5</v>
      </c>
      <c r="AH5" s="11"/>
      <c r="AI5" s="11"/>
      <c r="AJ5" s="11"/>
      <c r="AK5" s="11"/>
      <c r="AL5" s="70"/>
    </row>
    <row r="6" s="2" customFormat="1" ht="57.95" customHeight="1" spans="1:37">
      <c r="A6" s="13" t="s">
        <v>6</v>
      </c>
      <c r="B6" s="29" t="s">
        <v>7</v>
      </c>
      <c r="C6" s="29" t="s">
        <v>8</v>
      </c>
      <c r="D6" s="29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911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9" t="s">
        <v>70</v>
      </c>
    </row>
    <row r="7" s="3" customFormat="1" ht="12" customHeight="1" spans="1:45">
      <c r="A7" s="15" t="s">
        <v>39</v>
      </c>
      <c r="B7" s="15" t="s">
        <v>40</v>
      </c>
      <c r="C7" s="15" t="s">
        <v>41</v>
      </c>
      <c r="D7" s="15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7"/>
      <c r="C8" s="17"/>
      <c r="D8" s="17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/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5" customFormat="1" ht="34" customHeight="1" spans="1:46">
      <c r="A9" s="19">
        <v>1</v>
      </c>
      <c r="B9" s="20" t="s">
        <v>950</v>
      </c>
      <c r="C9" s="20" t="s">
        <v>951</v>
      </c>
      <c r="D9" s="20" t="s">
        <v>952</v>
      </c>
      <c r="E9" s="21">
        <v>44738</v>
      </c>
      <c r="F9" s="19" t="s">
        <v>108</v>
      </c>
      <c r="G9" s="19" t="s">
        <v>953</v>
      </c>
      <c r="H9" s="22" t="s">
        <v>954</v>
      </c>
      <c r="I9" s="19">
        <v>26</v>
      </c>
      <c r="J9" s="19">
        <f>26-I9</f>
        <v>0</v>
      </c>
      <c r="K9" s="19">
        <v>200</v>
      </c>
      <c r="L9" s="36">
        <f>K9/26*I9</f>
        <v>200</v>
      </c>
      <c r="M9" s="36">
        <f>K9/26*J9</f>
        <v>0</v>
      </c>
      <c r="N9" s="19">
        <v>10</v>
      </c>
      <c r="O9" s="19">
        <f>K9/26/8*1.5*N9</f>
        <v>14.4230769230769</v>
      </c>
      <c r="P9" s="19">
        <v>0</v>
      </c>
      <c r="Q9" s="19">
        <f>K9/26*2*P9</f>
        <v>0</v>
      </c>
      <c r="R9" s="19">
        <v>0</v>
      </c>
      <c r="S9" s="19">
        <f>10/26*I9</f>
        <v>10</v>
      </c>
      <c r="T9" s="19">
        <v>0</v>
      </c>
      <c r="U9" s="19">
        <v>0</v>
      </c>
      <c r="V9" s="19">
        <v>10</v>
      </c>
      <c r="W9" s="19">
        <v>2.5</v>
      </c>
      <c r="X9" s="19">
        <v>8</v>
      </c>
      <c r="Y9" s="19">
        <v>0</v>
      </c>
      <c r="Z9" s="19">
        <f>VLOOKUP(B9,'[3]Annual Leave '!$B$7:$Q$98,13,0)</f>
        <v>36.3</v>
      </c>
      <c r="AA9" s="19">
        <f>VLOOKUP(B9,'[3]Annual Leave '!$B$7:$Q$98,15,0)</f>
        <v>41.8846153846154</v>
      </c>
      <c r="AB9" s="36">
        <f>L9+O9+Q9+R9+S9+T9+U9+V9+X9+Y9+Z9+AA9+W9</f>
        <v>323.107692307692</v>
      </c>
      <c r="AC9" s="19">
        <f>VLOOKUP(B9,[2]Sheet1!$B$2:$N$199,11,0)/4000</f>
        <v>5.1105</v>
      </c>
      <c r="AD9" s="19">
        <v>0</v>
      </c>
      <c r="AE9" s="19">
        <f>VLOOKUP(B9,[1]打扣组!$E$7:$L$10,7,0)</f>
        <v>100</v>
      </c>
      <c r="AF9" s="19">
        <f>SUM(AC9:AE9)</f>
        <v>105.1105</v>
      </c>
      <c r="AG9" s="36">
        <f>AB9-AF9</f>
        <v>217.997192307692</v>
      </c>
      <c r="AH9" s="19"/>
      <c r="AI9" s="60"/>
      <c r="AJ9" s="125"/>
      <c r="AK9" s="34"/>
      <c r="AL9" s="72">
        <v>101400165</v>
      </c>
      <c r="AM9" s="73">
        <v>33855</v>
      </c>
      <c r="AN9" s="74" t="s">
        <v>99</v>
      </c>
      <c r="AO9" s="72">
        <v>2</v>
      </c>
      <c r="AP9" s="74" t="s">
        <v>102</v>
      </c>
      <c r="AQ9" s="74" t="s">
        <v>102</v>
      </c>
      <c r="AR9" s="74" t="s">
        <v>103</v>
      </c>
      <c r="AS9" s="77" t="s">
        <v>955</v>
      </c>
      <c r="AT9" s="72"/>
    </row>
    <row r="10" s="5" customFormat="1" ht="34" customHeight="1" spans="1:46">
      <c r="A10" s="19">
        <v>2</v>
      </c>
      <c r="B10" s="20" t="s">
        <v>956</v>
      </c>
      <c r="C10" s="20" t="s">
        <v>957</v>
      </c>
      <c r="D10" s="20" t="s">
        <v>958</v>
      </c>
      <c r="E10" s="21">
        <v>44887</v>
      </c>
      <c r="F10" s="19" t="s">
        <v>96</v>
      </c>
      <c r="G10" s="19" t="s">
        <v>953</v>
      </c>
      <c r="H10" s="22" t="s">
        <v>959</v>
      </c>
      <c r="I10" s="19">
        <v>24.5</v>
      </c>
      <c r="J10" s="19">
        <f>26-I10</f>
        <v>1.5</v>
      </c>
      <c r="K10" s="19">
        <v>200</v>
      </c>
      <c r="L10" s="36">
        <f>K10/26*I10</f>
        <v>188.461538461538</v>
      </c>
      <c r="M10" s="36">
        <f>K10/26*J10</f>
        <v>11.5384615384615</v>
      </c>
      <c r="N10" s="19">
        <v>4</v>
      </c>
      <c r="O10" s="19">
        <f>K10/26/8*1.5*N10</f>
        <v>5.76923076923077</v>
      </c>
      <c r="P10" s="19">
        <v>0</v>
      </c>
      <c r="Q10" s="19">
        <f>K10/26*2*P10</f>
        <v>0</v>
      </c>
      <c r="R10" s="19">
        <v>0</v>
      </c>
      <c r="S10" s="19">
        <f>10/26*I10</f>
        <v>9.42307692307692</v>
      </c>
      <c r="T10" s="19">
        <v>0</v>
      </c>
      <c r="U10" s="19">
        <v>0</v>
      </c>
      <c r="V10" s="19">
        <v>10</v>
      </c>
      <c r="W10" s="19">
        <v>1</v>
      </c>
      <c r="X10" s="19">
        <v>8</v>
      </c>
      <c r="Y10" s="19">
        <v>0</v>
      </c>
      <c r="Z10" s="19">
        <v>0</v>
      </c>
      <c r="AA10" s="19">
        <v>0</v>
      </c>
      <c r="AB10" s="36">
        <f>L10+O10+Q10+R10+S10+T10+U10+V10+X10+Y10+Z10+AA10+W10</f>
        <v>222.653846153846</v>
      </c>
      <c r="AC10" s="19">
        <f>VLOOKUP(B10,[2]Sheet1!$B$2:$N$199,11,0)/4000</f>
        <v>5.0645</v>
      </c>
      <c r="AD10" s="19">
        <v>0</v>
      </c>
      <c r="AE10" s="19">
        <f>VLOOKUP(B10,[1]打扣组!$E$7:$L$10,7,0)</f>
        <v>100</v>
      </c>
      <c r="AF10" s="19">
        <f>SUM(AC10:AE10)</f>
        <v>105.0645</v>
      </c>
      <c r="AG10" s="36">
        <f>AB10-AF10</f>
        <v>117.589346153846</v>
      </c>
      <c r="AH10" s="19"/>
      <c r="AI10" s="60"/>
      <c r="AJ10" s="125"/>
      <c r="AK10" s="34"/>
      <c r="AL10" s="72">
        <v>100798661</v>
      </c>
      <c r="AM10" s="73">
        <v>32205</v>
      </c>
      <c r="AN10" s="74" t="s">
        <v>99</v>
      </c>
      <c r="AO10" s="72">
        <v>0</v>
      </c>
      <c r="AP10" s="74" t="s">
        <v>102</v>
      </c>
      <c r="AQ10" s="74" t="s">
        <v>102</v>
      </c>
      <c r="AR10" s="74" t="s">
        <v>103</v>
      </c>
      <c r="AS10" s="72" t="s">
        <v>960</v>
      </c>
      <c r="AT10" s="72"/>
    </row>
    <row r="11" s="5" customFormat="1" ht="34" customHeight="1" spans="1:46">
      <c r="A11" s="19">
        <v>3</v>
      </c>
      <c r="B11" s="20" t="s">
        <v>961</v>
      </c>
      <c r="C11" s="20" t="s">
        <v>962</v>
      </c>
      <c r="D11" s="20" t="s">
        <v>963</v>
      </c>
      <c r="E11" s="21">
        <v>44888</v>
      </c>
      <c r="F11" s="19" t="s">
        <v>96</v>
      </c>
      <c r="G11" s="19" t="s">
        <v>953</v>
      </c>
      <c r="H11" s="22" t="s">
        <v>954</v>
      </c>
      <c r="I11" s="19">
        <v>24.5</v>
      </c>
      <c r="J11" s="19">
        <f>26-I11</f>
        <v>1.5</v>
      </c>
      <c r="K11" s="19">
        <v>200</v>
      </c>
      <c r="L11" s="36">
        <f>K11/26*I11</f>
        <v>188.461538461538</v>
      </c>
      <c r="M11" s="36">
        <f>K11/26*J11</f>
        <v>11.5384615384615</v>
      </c>
      <c r="N11" s="19">
        <v>6</v>
      </c>
      <c r="O11" s="19">
        <f>K11/26/8*1.5*N11</f>
        <v>8.65384615384615</v>
      </c>
      <c r="P11" s="19">
        <v>0</v>
      </c>
      <c r="Q11" s="19">
        <f>K11/26*2*P11</f>
        <v>0</v>
      </c>
      <c r="R11" s="19">
        <v>0</v>
      </c>
      <c r="S11" s="19">
        <f>10/26*I11</f>
        <v>9.42307692307692</v>
      </c>
      <c r="T11" s="19">
        <v>0</v>
      </c>
      <c r="U11" s="19">
        <v>0</v>
      </c>
      <c r="V11" s="19">
        <v>10</v>
      </c>
      <c r="W11" s="19">
        <v>1.5</v>
      </c>
      <c r="X11" s="19">
        <v>8</v>
      </c>
      <c r="Y11" s="19">
        <v>0</v>
      </c>
      <c r="Z11" s="19">
        <v>0</v>
      </c>
      <c r="AA11" s="19">
        <v>0</v>
      </c>
      <c r="AB11" s="36">
        <f>L11+O11+Q11+R11+S11+T11+U11+V11+X11+Y11+Z11+AA11+W11</f>
        <v>226.038461538461</v>
      </c>
      <c r="AC11" s="19">
        <f>VLOOKUP(B11,[2]Sheet1!$B$2:$N$199,11,0)/4000</f>
        <v>5.0645</v>
      </c>
      <c r="AD11" s="19">
        <v>0</v>
      </c>
      <c r="AE11" s="19">
        <f>VLOOKUP(B11,[1]打扣组!$E$7:$L$10,7,0)</f>
        <v>100</v>
      </c>
      <c r="AF11" s="19">
        <f>SUM(AC11:AE11)</f>
        <v>105.0645</v>
      </c>
      <c r="AG11" s="36">
        <f>AB11-AF11</f>
        <v>120.973961538461</v>
      </c>
      <c r="AH11" s="19"/>
      <c r="AI11" s="60"/>
      <c r="AJ11" s="125"/>
      <c r="AK11" s="34"/>
      <c r="AL11" s="72">
        <v>101017097</v>
      </c>
      <c r="AM11" s="73">
        <v>34006</v>
      </c>
      <c r="AN11" s="74" t="s">
        <v>99</v>
      </c>
      <c r="AO11" s="72">
        <v>1</v>
      </c>
      <c r="AP11" s="74" t="s">
        <v>102</v>
      </c>
      <c r="AQ11" s="74" t="s">
        <v>102</v>
      </c>
      <c r="AR11" s="74" t="s">
        <v>103</v>
      </c>
      <c r="AS11" s="72" t="s">
        <v>964</v>
      </c>
      <c r="AT11" s="72"/>
    </row>
    <row r="12" s="5" customFormat="1" ht="34" customHeight="1" spans="1:46">
      <c r="A12" s="19">
        <v>4</v>
      </c>
      <c r="B12" s="20" t="s">
        <v>965</v>
      </c>
      <c r="C12" s="20" t="s">
        <v>966</v>
      </c>
      <c r="D12" s="20" t="s">
        <v>967</v>
      </c>
      <c r="E12" s="21">
        <v>44888</v>
      </c>
      <c r="F12" s="19" t="s">
        <v>96</v>
      </c>
      <c r="G12" s="19" t="s">
        <v>953</v>
      </c>
      <c r="H12" s="22" t="s">
        <v>954</v>
      </c>
      <c r="I12" s="19">
        <v>24.5</v>
      </c>
      <c r="J12" s="19">
        <f>26-I12</f>
        <v>1.5</v>
      </c>
      <c r="K12" s="19">
        <v>200</v>
      </c>
      <c r="L12" s="36">
        <f>K12/26*I12</f>
        <v>188.461538461538</v>
      </c>
      <c r="M12" s="36">
        <f>K12/26*J12</f>
        <v>11.5384615384615</v>
      </c>
      <c r="N12" s="19">
        <v>16</v>
      </c>
      <c r="O12" s="19">
        <f>K12/26/8*1.5*N12</f>
        <v>23.0769230769231</v>
      </c>
      <c r="P12" s="19">
        <v>0</v>
      </c>
      <c r="Q12" s="19">
        <f>K12/26*2*P12</f>
        <v>0</v>
      </c>
      <c r="R12" s="19">
        <v>0</v>
      </c>
      <c r="S12" s="19">
        <f>10/26*I12</f>
        <v>9.42307692307692</v>
      </c>
      <c r="T12" s="19">
        <v>0</v>
      </c>
      <c r="U12" s="19">
        <v>0</v>
      </c>
      <c r="V12" s="19">
        <v>10</v>
      </c>
      <c r="W12" s="19">
        <v>4</v>
      </c>
      <c r="X12" s="19">
        <v>8</v>
      </c>
      <c r="Y12" s="19">
        <v>0</v>
      </c>
      <c r="Z12" s="19">
        <v>0</v>
      </c>
      <c r="AA12" s="19">
        <v>0</v>
      </c>
      <c r="AB12" s="36">
        <f>L12+O12+Q12+R12+S12+T12+U12+V12+X12+Y12+Z12+AA12+W12</f>
        <v>242.961538461538</v>
      </c>
      <c r="AC12" s="19">
        <f>VLOOKUP(B12,[2]Sheet1!$B$2:$N$199,11,0)/4000</f>
        <v>5.0645</v>
      </c>
      <c r="AD12" s="19">
        <v>0</v>
      </c>
      <c r="AE12" s="19">
        <f>VLOOKUP(B12,[1]打扣组!$E$7:$L$10,7,0)</f>
        <v>100</v>
      </c>
      <c r="AF12" s="19">
        <f>SUM(AC12:AE12)</f>
        <v>105.0645</v>
      </c>
      <c r="AG12" s="36">
        <f>AB12-AF12</f>
        <v>137.897038461538</v>
      </c>
      <c r="AH12" s="19"/>
      <c r="AI12" s="60"/>
      <c r="AJ12" s="125"/>
      <c r="AK12" s="34"/>
      <c r="AL12" s="72">
        <v>101326132</v>
      </c>
      <c r="AM12" s="73">
        <v>36269</v>
      </c>
      <c r="AN12" s="74" t="s">
        <v>99</v>
      </c>
      <c r="AO12" s="72">
        <v>1</v>
      </c>
      <c r="AP12" s="74" t="s">
        <v>102</v>
      </c>
      <c r="AQ12" s="74" t="s">
        <v>102</v>
      </c>
      <c r="AR12" s="74" t="s">
        <v>103</v>
      </c>
      <c r="AS12" s="72" t="s">
        <v>968</v>
      </c>
      <c r="AT12" s="72"/>
    </row>
    <row r="13" ht="28" customHeight="1" spans="1:37">
      <c r="A13" s="176" t="s">
        <v>557</v>
      </c>
      <c r="B13" s="24"/>
      <c r="C13" s="24"/>
      <c r="D13" s="24"/>
      <c r="E13" s="177"/>
      <c r="F13" s="177"/>
      <c r="G13" s="177"/>
      <c r="H13" s="177"/>
      <c r="I13" s="177"/>
      <c r="J13" s="177"/>
      <c r="K13" s="178"/>
      <c r="L13" s="179">
        <f>SUM(L9:L12)</f>
        <v>765.384615384615</v>
      </c>
      <c r="M13" s="179"/>
      <c r="N13" s="179">
        <f>SUM(N9:N12)</f>
        <v>36</v>
      </c>
      <c r="O13" s="179">
        <f>SUM(O9:O12)</f>
        <v>51.9230769230769</v>
      </c>
      <c r="P13" s="179">
        <f t="shared" ref="P13:AG13" si="0">SUM(P9:P12)</f>
        <v>0</v>
      </c>
      <c r="Q13" s="179">
        <f t="shared" si="0"/>
        <v>0</v>
      </c>
      <c r="R13" s="179">
        <f t="shared" si="0"/>
        <v>0</v>
      </c>
      <c r="S13" s="179">
        <f t="shared" si="0"/>
        <v>38.2692307692308</v>
      </c>
      <c r="T13" s="179">
        <f t="shared" si="0"/>
        <v>0</v>
      </c>
      <c r="U13" s="179">
        <f t="shared" si="0"/>
        <v>0</v>
      </c>
      <c r="V13" s="179">
        <f t="shared" si="0"/>
        <v>40</v>
      </c>
      <c r="W13" s="179">
        <f t="shared" si="0"/>
        <v>9</v>
      </c>
      <c r="X13" s="179">
        <f t="shared" si="0"/>
        <v>32</v>
      </c>
      <c r="Y13" s="179">
        <f t="shared" si="0"/>
        <v>0</v>
      </c>
      <c r="Z13" s="179">
        <f t="shared" si="0"/>
        <v>36.3</v>
      </c>
      <c r="AA13" s="179">
        <f t="shared" si="0"/>
        <v>41.8846153846154</v>
      </c>
      <c r="AB13" s="183">
        <f t="shared" si="0"/>
        <v>1014.76153846154</v>
      </c>
      <c r="AC13" s="183">
        <f t="shared" si="0"/>
        <v>20.304</v>
      </c>
      <c r="AD13" s="184">
        <f t="shared" si="0"/>
        <v>0</v>
      </c>
      <c r="AE13" s="185">
        <f t="shared" si="0"/>
        <v>400</v>
      </c>
      <c r="AF13" s="185">
        <f t="shared" si="0"/>
        <v>420.304</v>
      </c>
      <c r="AG13" s="186">
        <f t="shared" si="0"/>
        <v>594.457538461537</v>
      </c>
      <c r="AH13" s="180"/>
      <c r="AI13" s="180"/>
      <c r="AJ13" s="180"/>
      <c r="AK13" s="181"/>
    </row>
  </sheetData>
  <autoFilter ref="A8:AY13">
    <extLst/>
  </autoFilter>
  <mergeCells count="32">
    <mergeCell ref="A1:AJ1"/>
    <mergeCell ref="A2:AJ2"/>
    <mergeCell ref="A3:AJ3"/>
    <mergeCell ref="A4:AJ4"/>
    <mergeCell ref="A5:C5"/>
    <mergeCell ref="F5:L5"/>
    <mergeCell ref="AG5:AJ5"/>
    <mergeCell ref="N7:Q7"/>
    <mergeCell ref="A13:K1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T20"/>
  <sheetViews>
    <sheetView zoomScale="145" zoomScaleNormal="145" topLeftCell="A6" workbookViewId="0">
      <selection activeCell="P11" sqref="P11"/>
    </sheetView>
  </sheetViews>
  <sheetFormatPr defaultColWidth="9" defaultRowHeight="13.5"/>
  <cols>
    <col min="1" max="1" width="3.53333333333333" style="6" customWidth="1"/>
    <col min="2" max="2" width="5.34166666666667" style="170" customWidth="1"/>
    <col min="3" max="3" width="7.15" style="6" customWidth="1"/>
    <col min="4" max="4" width="7.15" style="170" customWidth="1"/>
    <col min="5" max="5" width="7.41666666666667" style="6" customWidth="1"/>
    <col min="6" max="7" width="2.66666666666667" style="6" customWidth="1"/>
    <col min="8" max="8" width="3.61666666666667" style="6" customWidth="1"/>
    <col min="9" max="9" width="4.05" style="6" customWidth="1"/>
    <col min="10" max="10" width="3.61666666666667" style="6" customWidth="1"/>
    <col min="11" max="11" width="3.875" style="6" customWidth="1"/>
    <col min="12" max="12" width="5.625" customWidth="1"/>
    <col min="13" max="13" width="4.74166666666667" customWidth="1"/>
    <col min="14" max="14" width="3.275" customWidth="1"/>
    <col min="15" max="15" width="3.5" customWidth="1"/>
    <col min="16" max="18" width="2.925" customWidth="1"/>
    <col min="19" max="19" width="3.5" customWidth="1"/>
    <col min="20" max="20" width="3.625" customWidth="1"/>
    <col min="21" max="21" width="3.44166666666667" customWidth="1"/>
    <col min="22" max="27" width="3.375" customWidth="1"/>
    <col min="28" max="28" width="5.625" customWidth="1"/>
    <col min="29" max="29" width="3.825" customWidth="1"/>
    <col min="30" max="30" width="4.125" customWidth="1"/>
    <col min="31" max="31" width="4.25" customWidth="1"/>
    <col min="32" max="32" width="4.375" customWidth="1"/>
    <col min="33" max="33" width="6.625" customWidth="1"/>
    <col min="34" max="34" width="6.25" hidden="1" customWidth="1"/>
    <col min="35" max="35" width="2.19166666666667" hidden="1" customWidth="1"/>
    <col min="36" max="36" width="10.6166666666667" customWidth="1"/>
    <col min="37" max="37" width="19.5666666666667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171"/>
      <c r="C1" s="7"/>
      <c r="D1" s="17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172"/>
      <c r="C2" s="8"/>
      <c r="D2" s="17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173"/>
      <c r="C3" s="9"/>
      <c r="D3" s="1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969</v>
      </c>
      <c r="B5" s="174"/>
      <c r="C5" s="56"/>
      <c r="D5" s="175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56" t="s">
        <v>5</v>
      </c>
      <c r="AF5" s="56"/>
      <c r="AG5" s="56"/>
      <c r="AH5" s="56"/>
      <c r="AI5" s="56"/>
      <c r="AJ5" s="56"/>
      <c r="AK5" s="56"/>
      <c r="AL5" s="70"/>
    </row>
    <row r="6" s="2" customFormat="1" ht="57.95" customHeight="1" spans="1:37">
      <c r="A6" s="13" t="s">
        <v>6</v>
      </c>
      <c r="B6" s="29" t="s">
        <v>7</v>
      </c>
      <c r="C6" s="14" t="s">
        <v>8</v>
      </c>
      <c r="D6" s="29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911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9" t="s">
        <v>70</v>
      </c>
    </row>
    <row r="7" s="3" customFormat="1" ht="12" customHeight="1" spans="1:45">
      <c r="A7" s="15" t="s">
        <v>39</v>
      </c>
      <c r="B7" s="15" t="s">
        <v>40</v>
      </c>
      <c r="C7" s="16" t="s">
        <v>41</v>
      </c>
      <c r="D7" s="15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7"/>
      <c r="C8" s="18"/>
      <c r="D8" s="17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5" customFormat="1" ht="21" customHeight="1" spans="1:46">
      <c r="A9" s="19">
        <v>1</v>
      </c>
      <c r="B9" s="128" t="s">
        <v>970</v>
      </c>
      <c r="C9" s="19" t="s">
        <v>971</v>
      </c>
      <c r="D9" s="20" t="s">
        <v>972</v>
      </c>
      <c r="E9" s="21">
        <v>44750</v>
      </c>
      <c r="F9" s="19" t="s">
        <v>96</v>
      </c>
      <c r="G9" s="19" t="s">
        <v>973</v>
      </c>
      <c r="H9" s="22" t="s">
        <v>223</v>
      </c>
      <c r="I9" s="19">
        <v>26</v>
      </c>
      <c r="J9" s="19">
        <f t="shared" ref="J9:J20" si="0">26-I9</f>
        <v>0</v>
      </c>
      <c r="K9" s="19">
        <v>200</v>
      </c>
      <c r="L9" s="36">
        <f t="shared" ref="L9:L20" si="1">K9/26*I9</f>
        <v>200</v>
      </c>
      <c r="M9" s="36">
        <f t="shared" ref="M9:M20" si="2">K9/26*J9</f>
        <v>0</v>
      </c>
      <c r="N9" s="19">
        <v>9</v>
      </c>
      <c r="O9" s="19">
        <f t="shared" ref="O9:O20" si="3">K9/26/8*1.5*N9</f>
        <v>12.9807692307692</v>
      </c>
      <c r="P9" s="19">
        <v>0</v>
      </c>
      <c r="Q9" s="19">
        <f t="shared" ref="Q9:Q20" si="4">K9/26*2*P9</f>
        <v>0</v>
      </c>
      <c r="R9" s="19">
        <v>0</v>
      </c>
      <c r="S9" s="19">
        <f t="shared" ref="S9:S19" si="5">10/26*I9</f>
        <v>10</v>
      </c>
      <c r="T9" s="19">
        <v>20</v>
      </c>
      <c r="U9" s="19">
        <v>30</v>
      </c>
      <c r="V9" s="19">
        <v>10</v>
      </c>
      <c r="W9" s="19">
        <v>3.5</v>
      </c>
      <c r="X9" s="19">
        <v>8</v>
      </c>
      <c r="Y9" s="19">
        <v>0</v>
      </c>
      <c r="Z9" s="19">
        <f>VLOOKUP(B9,'[3]Annual Leave '!$B$7:$Q$98,13,0)</f>
        <v>44.31</v>
      </c>
      <c r="AA9" s="19">
        <f>VLOOKUP(B9,'[3]Annual Leave '!$B$7:$Q$98,15,0)</f>
        <v>39.7680596646943</v>
      </c>
      <c r="AB9" s="36">
        <f t="shared" ref="AB9:AB20" si="6">L9+O9+Q9+R9+S9+T9+U9+V9+X9+Y9+Z9+AA9+W9</f>
        <v>378.558828895464</v>
      </c>
      <c r="AC9" s="19">
        <f>VLOOKUP(B9,[2]Sheet1!$B$2:$N$199,11,0)/4000</f>
        <v>6</v>
      </c>
      <c r="AD9" s="19">
        <v>0</v>
      </c>
      <c r="AE9" s="19">
        <f>VLOOKUP(B9,[1]QA!$E$7:$L$18,7,0)</f>
        <v>100</v>
      </c>
      <c r="AF9" s="19">
        <f t="shared" ref="AF9:AF20" si="7">SUM(AC9:AE9)</f>
        <v>106</v>
      </c>
      <c r="AG9" s="36">
        <f t="shared" ref="AG9:AG20" si="8">AB9-AF9</f>
        <v>272.558828895464</v>
      </c>
      <c r="AH9" s="19"/>
      <c r="AI9" s="60"/>
      <c r="AJ9" s="125"/>
      <c r="AK9" s="34"/>
      <c r="AL9" s="72" t="s">
        <v>974</v>
      </c>
      <c r="AM9" s="73">
        <v>35750</v>
      </c>
      <c r="AN9" s="74" t="s">
        <v>141</v>
      </c>
      <c r="AO9" s="72">
        <v>0</v>
      </c>
      <c r="AP9" s="74" t="s">
        <v>101</v>
      </c>
      <c r="AQ9" s="74" t="s">
        <v>102</v>
      </c>
      <c r="AR9" s="74" t="s">
        <v>103</v>
      </c>
      <c r="AS9" s="182" t="s">
        <v>975</v>
      </c>
      <c r="AT9" s="72"/>
    </row>
    <row r="10" s="5" customFormat="1" ht="21" customHeight="1" spans="1:46">
      <c r="A10" s="19">
        <v>2</v>
      </c>
      <c r="B10" s="128" t="s">
        <v>976</v>
      </c>
      <c r="C10" s="19" t="s">
        <v>977</v>
      </c>
      <c r="D10" s="20" t="s">
        <v>978</v>
      </c>
      <c r="E10" s="21">
        <v>44711</v>
      </c>
      <c r="F10" s="19" t="s">
        <v>96</v>
      </c>
      <c r="G10" s="19" t="s">
        <v>973</v>
      </c>
      <c r="H10" s="22" t="s">
        <v>773</v>
      </c>
      <c r="I10" s="19">
        <v>24</v>
      </c>
      <c r="J10" s="19">
        <f t="shared" si="0"/>
        <v>2</v>
      </c>
      <c r="K10" s="19">
        <v>200</v>
      </c>
      <c r="L10" s="36">
        <f t="shared" si="1"/>
        <v>184.615384615385</v>
      </c>
      <c r="M10" s="36">
        <f t="shared" si="2"/>
        <v>15.3846153846154</v>
      </c>
      <c r="N10" s="19">
        <v>7</v>
      </c>
      <c r="O10" s="19">
        <f t="shared" si="3"/>
        <v>10.0961538461538</v>
      </c>
      <c r="P10" s="19">
        <v>0</v>
      </c>
      <c r="Q10" s="19">
        <f t="shared" si="4"/>
        <v>0</v>
      </c>
      <c r="R10" s="19">
        <v>0</v>
      </c>
      <c r="S10" s="19">
        <f t="shared" si="5"/>
        <v>9.23076923076923</v>
      </c>
      <c r="T10" s="19">
        <v>0</v>
      </c>
      <c r="U10" s="19">
        <v>0</v>
      </c>
      <c r="V10" s="19">
        <v>10</v>
      </c>
      <c r="W10" s="19">
        <v>1.5</v>
      </c>
      <c r="X10" s="19">
        <v>8</v>
      </c>
      <c r="Y10" s="19">
        <v>0</v>
      </c>
      <c r="Z10" s="19">
        <v>0</v>
      </c>
      <c r="AA10" s="19">
        <v>0</v>
      </c>
      <c r="AB10" s="36">
        <f t="shared" si="6"/>
        <v>223.442307692308</v>
      </c>
      <c r="AC10" s="19">
        <f>VLOOKUP(B10,[2]Sheet1!$B$2:$N$199,11,0)/4000</f>
        <v>6</v>
      </c>
      <c r="AD10" s="19">
        <v>0</v>
      </c>
      <c r="AE10" s="19">
        <f>VLOOKUP(B10,[1]QA!$E$7:$L$18,7,0)</f>
        <v>100</v>
      </c>
      <c r="AF10" s="19">
        <f t="shared" si="7"/>
        <v>106</v>
      </c>
      <c r="AG10" s="36">
        <f t="shared" si="8"/>
        <v>117.442307692308</v>
      </c>
      <c r="AH10" s="19"/>
      <c r="AI10" s="60"/>
      <c r="AJ10" s="125"/>
      <c r="AK10" s="34"/>
      <c r="AL10" s="74" t="s">
        <v>979</v>
      </c>
      <c r="AM10" s="73">
        <v>37628</v>
      </c>
      <c r="AN10" s="74" t="s">
        <v>141</v>
      </c>
      <c r="AO10" s="72">
        <v>0</v>
      </c>
      <c r="AP10" s="74" t="s">
        <v>101</v>
      </c>
      <c r="AQ10" s="74" t="s">
        <v>102</v>
      </c>
      <c r="AR10" s="74" t="s">
        <v>103</v>
      </c>
      <c r="AS10" s="74" t="s">
        <v>980</v>
      </c>
      <c r="AT10" s="72"/>
    </row>
    <row r="11" s="5" customFormat="1" ht="21" customHeight="1" spans="1:46">
      <c r="A11" s="19">
        <v>3</v>
      </c>
      <c r="B11" s="128" t="s">
        <v>981</v>
      </c>
      <c r="C11" s="19" t="s">
        <v>982</v>
      </c>
      <c r="D11" s="20" t="s">
        <v>983</v>
      </c>
      <c r="E11" s="21">
        <v>44713</v>
      </c>
      <c r="F11" s="19" t="s">
        <v>96</v>
      </c>
      <c r="G11" s="19" t="s">
        <v>973</v>
      </c>
      <c r="H11" s="22" t="s">
        <v>773</v>
      </c>
      <c r="I11" s="19">
        <v>20.5</v>
      </c>
      <c r="J11" s="19">
        <f t="shared" si="0"/>
        <v>5.5</v>
      </c>
      <c r="K11" s="19">
        <v>200</v>
      </c>
      <c r="L11" s="36">
        <f t="shared" si="1"/>
        <v>157.692307692308</v>
      </c>
      <c r="M11" s="36">
        <f t="shared" si="2"/>
        <v>42.3076923076923</v>
      </c>
      <c r="N11" s="19">
        <v>4</v>
      </c>
      <c r="O11" s="19">
        <f t="shared" si="3"/>
        <v>5.76923076923077</v>
      </c>
      <c r="P11" s="19">
        <v>0</v>
      </c>
      <c r="Q11" s="19">
        <f t="shared" si="4"/>
        <v>0</v>
      </c>
      <c r="R11" s="19">
        <v>0</v>
      </c>
      <c r="S11" s="19">
        <f t="shared" si="5"/>
        <v>7.88461538461539</v>
      </c>
      <c r="T11" s="19">
        <v>0</v>
      </c>
      <c r="U11" s="19">
        <v>0</v>
      </c>
      <c r="V11" s="19">
        <v>10</v>
      </c>
      <c r="W11" s="19">
        <v>1</v>
      </c>
      <c r="X11" s="19">
        <v>8</v>
      </c>
      <c r="Y11" s="19">
        <v>0</v>
      </c>
      <c r="Z11" s="19">
        <v>0</v>
      </c>
      <c r="AA11" s="19">
        <v>0</v>
      </c>
      <c r="AB11" s="36">
        <f t="shared" si="6"/>
        <v>190.346153846154</v>
      </c>
      <c r="AC11" s="19">
        <f>VLOOKUP(B11,[2]Sheet1!$B$2:$N$199,11,0)/4000</f>
        <v>6</v>
      </c>
      <c r="AD11" s="19">
        <v>0</v>
      </c>
      <c r="AE11" s="19">
        <f>VLOOKUP(B11,[1]QA!$E$7:$L$18,7,0)</f>
        <v>50</v>
      </c>
      <c r="AF11" s="19">
        <f t="shared" si="7"/>
        <v>56</v>
      </c>
      <c r="AG11" s="36">
        <f t="shared" si="8"/>
        <v>134.346153846154</v>
      </c>
      <c r="AH11" s="19"/>
      <c r="AI11" s="60"/>
      <c r="AJ11" s="125"/>
      <c r="AK11" s="34"/>
      <c r="AL11" s="74" t="s">
        <v>984</v>
      </c>
      <c r="AM11" s="73">
        <v>37565</v>
      </c>
      <c r="AN11" s="73" t="s">
        <v>141</v>
      </c>
      <c r="AO11" s="72">
        <v>0</v>
      </c>
      <c r="AP11" s="72" t="s">
        <v>101</v>
      </c>
      <c r="AQ11" s="74" t="s">
        <v>102</v>
      </c>
      <c r="AR11" s="74" t="s">
        <v>103</v>
      </c>
      <c r="AS11" s="74" t="s">
        <v>985</v>
      </c>
      <c r="AT11" s="72"/>
    </row>
    <row r="12" s="5" customFormat="1" ht="21" customHeight="1" spans="1:46">
      <c r="A12" s="19">
        <v>4</v>
      </c>
      <c r="B12" s="128" t="s">
        <v>986</v>
      </c>
      <c r="C12" s="19" t="s">
        <v>987</v>
      </c>
      <c r="D12" s="20" t="s">
        <v>988</v>
      </c>
      <c r="E12" s="21">
        <v>44734</v>
      </c>
      <c r="F12" s="19" t="s">
        <v>96</v>
      </c>
      <c r="G12" s="19" t="s">
        <v>973</v>
      </c>
      <c r="H12" s="22" t="s">
        <v>773</v>
      </c>
      <c r="I12" s="19">
        <v>26</v>
      </c>
      <c r="J12" s="19">
        <f t="shared" si="0"/>
        <v>0</v>
      </c>
      <c r="K12" s="19">
        <v>200</v>
      </c>
      <c r="L12" s="36">
        <f t="shared" si="1"/>
        <v>200</v>
      </c>
      <c r="M12" s="36">
        <f t="shared" si="2"/>
        <v>0</v>
      </c>
      <c r="N12" s="19">
        <v>6</v>
      </c>
      <c r="O12" s="19">
        <f t="shared" si="3"/>
        <v>8.65384615384615</v>
      </c>
      <c r="P12" s="19">
        <v>0</v>
      </c>
      <c r="Q12" s="19">
        <f t="shared" si="4"/>
        <v>0</v>
      </c>
      <c r="R12" s="19">
        <v>0</v>
      </c>
      <c r="S12" s="19">
        <f t="shared" si="5"/>
        <v>10</v>
      </c>
      <c r="T12" s="19">
        <v>0</v>
      </c>
      <c r="U12" s="19">
        <v>0</v>
      </c>
      <c r="V12" s="19">
        <v>10</v>
      </c>
      <c r="W12" s="19">
        <v>1.5</v>
      </c>
      <c r="X12" s="19">
        <v>8</v>
      </c>
      <c r="Y12" s="19">
        <v>0</v>
      </c>
      <c r="Z12" s="19">
        <f>VLOOKUP(B12,'[3]Annual Leave '!$B$7:$Q$98,13,0)</f>
        <v>35.99</v>
      </c>
      <c r="AA12" s="19">
        <f>VLOOKUP(B12,'[3]Annual Leave '!$B$7:$Q$98,15,0)</f>
        <v>41.5215421597633</v>
      </c>
      <c r="AB12" s="36">
        <f t="shared" si="6"/>
        <v>315.665388313609</v>
      </c>
      <c r="AC12" s="19">
        <f>VLOOKUP(B12,[2]Sheet1!$B$2:$N$199,11,0)/4000</f>
        <v>4.7975</v>
      </c>
      <c r="AD12" s="19">
        <v>0</v>
      </c>
      <c r="AE12" s="19">
        <f>VLOOKUP(B12,[1]QA!$E$7:$L$18,7,0)</f>
        <v>100</v>
      </c>
      <c r="AF12" s="19">
        <f t="shared" si="7"/>
        <v>104.7975</v>
      </c>
      <c r="AG12" s="36">
        <f t="shared" si="8"/>
        <v>210.867888313609</v>
      </c>
      <c r="AH12" s="19"/>
      <c r="AI12" s="60"/>
      <c r="AJ12" s="125"/>
      <c r="AK12" s="34"/>
      <c r="AL12" s="74" t="s">
        <v>989</v>
      </c>
      <c r="AM12" s="73">
        <v>34440</v>
      </c>
      <c r="AN12" s="73" t="s">
        <v>141</v>
      </c>
      <c r="AO12" s="72">
        <v>0</v>
      </c>
      <c r="AP12" s="72" t="s">
        <v>101</v>
      </c>
      <c r="AQ12" s="74" t="s">
        <v>102</v>
      </c>
      <c r="AR12" s="74" t="s">
        <v>103</v>
      </c>
      <c r="AS12" s="74" t="s">
        <v>990</v>
      </c>
      <c r="AT12" s="72"/>
    </row>
    <row r="13" s="5" customFormat="1" ht="21" customHeight="1" spans="1:46">
      <c r="A13" s="19">
        <v>5</v>
      </c>
      <c r="B13" s="128" t="s">
        <v>991</v>
      </c>
      <c r="C13" s="19" t="s">
        <v>992</v>
      </c>
      <c r="D13" s="20" t="s">
        <v>993</v>
      </c>
      <c r="E13" s="21">
        <v>44740</v>
      </c>
      <c r="F13" s="19" t="s">
        <v>96</v>
      </c>
      <c r="G13" s="19" t="s">
        <v>973</v>
      </c>
      <c r="H13" s="22" t="s">
        <v>773</v>
      </c>
      <c r="I13" s="19">
        <v>24.5</v>
      </c>
      <c r="J13" s="19">
        <f t="shared" si="0"/>
        <v>1.5</v>
      </c>
      <c r="K13" s="19">
        <v>200</v>
      </c>
      <c r="L13" s="36">
        <f t="shared" si="1"/>
        <v>188.461538461538</v>
      </c>
      <c r="M13" s="36">
        <f t="shared" si="2"/>
        <v>11.5384615384615</v>
      </c>
      <c r="N13" s="19">
        <v>10.5</v>
      </c>
      <c r="O13" s="19">
        <f t="shared" si="3"/>
        <v>15.1442307692308</v>
      </c>
      <c r="P13" s="19">
        <v>0</v>
      </c>
      <c r="Q13" s="19">
        <f t="shared" si="4"/>
        <v>0</v>
      </c>
      <c r="R13" s="19">
        <v>0</v>
      </c>
      <c r="S13" s="19">
        <f t="shared" si="5"/>
        <v>9.42307692307692</v>
      </c>
      <c r="T13" s="19">
        <v>0</v>
      </c>
      <c r="U13" s="19">
        <v>0</v>
      </c>
      <c r="V13" s="19">
        <v>10</v>
      </c>
      <c r="W13" s="19">
        <v>4</v>
      </c>
      <c r="X13" s="19">
        <v>8</v>
      </c>
      <c r="Y13" s="19">
        <v>0</v>
      </c>
      <c r="Z13" s="19">
        <f>VLOOKUP(B13,'[3]Annual Leave '!$B$7:$Q$98,13,0)</f>
        <v>36.19</v>
      </c>
      <c r="AA13" s="19">
        <f>VLOOKUP(B13,'[3]Annual Leave '!$B$7:$Q$98,15,0)</f>
        <v>23.196807199211</v>
      </c>
      <c r="AB13" s="36">
        <f t="shared" si="6"/>
        <v>294.415653353057</v>
      </c>
      <c r="AC13" s="19">
        <f>VLOOKUP(B13,[2]Sheet1!$B$2:$N$199,11,0)/4000</f>
        <v>4.87825</v>
      </c>
      <c r="AD13" s="19">
        <v>0</v>
      </c>
      <c r="AE13" s="19">
        <f>VLOOKUP(B13,[1]QA!$E$7:$L$18,7,0)</f>
        <v>100</v>
      </c>
      <c r="AF13" s="19">
        <f t="shared" si="7"/>
        <v>104.87825</v>
      </c>
      <c r="AG13" s="36">
        <f t="shared" si="8"/>
        <v>189.537403353057</v>
      </c>
      <c r="AH13" s="19"/>
      <c r="AI13" s="60"/>
      <c r="AJ13" s="125"/>
      <c r="AK13" s="34"/>
      <c r="AL13" s="74">
        <v>101442584</v>
      </c>
      <c r="AM13" s="73">
        <v>37806</v>
      </c>
      <c r="AN13" s="73" t="s">
        <v>141</v>
      </c>
      <c r="AO13" s="72">
        <v>0</v>
      </c>
      <c r="AP13" s="72" t="s">
        <v>101</v>
      </c>
      <c r="AQ13" s="74" t="s">
        <v>102</v>
      </c>
      <c r="AR13" s="74" t="s">
        <v>103</v>
      </c>
      <c r="AS13" s="74" t="s">
        <v>994</v>
      </c>
      <c r="AT13" s="72"/>
    </row>
    <row r="14" s="5" customFormat="1" ht="21" customHeight="1" spans="1:46">
      <c r="A14" s="19">
        <v>6</v>
      </c>
      <c r="B14" s="128" t="s">
        <v>995</v>
      </c>
      <c r="C14" s="19" t="s">
        <v>996</v>
      </c>
      <c r="D14" s="20" t="s">
        <v>997</v>
      </c>
      <c r="E14" s="21">
        <v>44748</v>
      </c>
      <c r="F14" s="19" t="s">
        <v>96</v>
      </c>
      <c r="G14" s="19" t="s">
        <v>973</v>
      </c>
      <c r="H14" s="22" t="s">
        <v>773</v>
      </c>
      <c r="I14" s="19">
        <v>20.75</v>
      </c>
      <c r="J14" s="19">
        <f t="shared" si="0"/>
        <v>5.25</v>
      </c>
      <c r="K14" s="19">
        <v>200</v>
      </c>
      <c r="L14" s="36">
        <f t="shared" si="1"/>
        <v>159.615384615385</v>
      </c>
      <c r="M14" s="36">
        <f t="shared" si="2"/>
        <v>40.3846153846154</v>
      </c>
      <c r="N14" s="19">
        <v>0</v>
      </c>
      <c r="O14" s="19">
        <f t="shared" si="3"/>
        <v>0</v>
      </c>
      <c r="P14" s="19">
        <v>0</v>
      </c>
      <c r="Q14" s="19">
        <f t="shared" si="4"/>
        <v>0</v>
      </c>
      <c r="R14" s="19">
        <v>0</v>
      </c>
      <c r="S14" s="19">
        <f t="shared" si="5"/>
        <v>7.98076923076923</v>
      </c>
      <c r="T14" s="19">
        <v>0</v>
      </c>
      <c r="U14" s="19">
        <v>0</v>
      </c>
      <c r="V14" s="19">
        <v>10</v>
      </c>
      <c r="W14" s="19">
        <v>0</v>
      </c>
      <c r="X14" s="19">
        <v>8</v>
      </c>
      <c r="Y14" s="19">
        <v>0</v>
      </c>
      <c r="Z14" s="19">
        <f>VLOOKUP(B14,'[3]Annual Leave '!$B$7:$Q$98,13,0)</f>
        <v>32.14</v>
      </c>
      <c r="AA14" s="19">
        <f>VLOOKUP(B14,'[3]Annual Leave '!$B$7:$Q$98,15,0)</f>
        <v>37.0814534023669</v>
      </c>
      <c r="AB14" s="36">
        <f t="shared" si="6"/>
        <v>254.817607248521</v>
      </c>
      <c r="AC14" s="19">
        <f>VLOOKUP(B14,[2]Sheet1!$B$2:$N$199,11,0)/4000</f>
        <v>4.50025</v>
      </c>
      <c r="AD14" s="19">
        <v>0</v>
      </c>
      <c r="AE14" s="19">
        <f>VLOOKUP(B14,[1]QA!$E$7:$L$18,7,0)</f>
        <v>100</v>
      </c>
      <c r="AF14" s="19">
        <f t="shared" si="7"/>
        <v>104.50025</v>
      </c>
      <c r="AG14" s="36">
        <f t="shared" si="8"/>
        <v>150.317357248521</v>
      </c>
      <c r="AH14" s="19"/>
      <c r="AI14" s="60"/>
      <c r="AJ14" s="125"/>
      <c r="AK14" s="34"/>
      <c r="AL14" s="74" t="s">
        <v>998</v>
      </c>
      <c r="AM14" s="73">
        <v>37622</v>
      </c>
      <c r="AN14" s="73" t="s">
        <v>141</v>
      </c>
      <c r="AO14" s="72">
        <v>0</v>
      </c>
      <c r="AP14" s="72" t="s">
        <v>101</v>
      </c>
      <c r="AQ14" s="74" t="s">
        <v>102</v>
      </c>
      <c r="AR14" s="74" t="s">
        <v>103</v>
      </c>
      <c r="AS14" s="74" t="s">
        <v>999</v>
      </c>
      <c r="AT14" s="72"/>
    </row>
    <row r="15" s="5" customFormat="1" ht="21" customHeight="1" spans="1:46">
      <c r="A15" s="19">
        <v>7</v>
      </c>
      <c r="B15" s="128" t="s">
        <v>1000</v>
      </c>
      <c r="C15" s="19" t="s">
        <v>1001</v>
      </c>
      <c r="D15" s="20" t="s">
        <v>1002</v>
      </c>
      <c r="E15" s="21">
        <v>44760</v>
      </c>
      <c r="F15" s="19" t="s">
        <v>96</v>
      </c>
      <c r="G15" s="19" t="s">
        <v>973</v>
      </c>
      <c r="H15" s="22" t="s">
        <v>773</v>
      </c>
      <c r="I15" s="19">
        <v>26</v>
      </c>
      <c r="J15" s="19">
        <f t="shared" si="0"/>
        <v>0</v>
      </c>
      <c r="K15" s="19">
        <v>200</v>
      </c>
      <c r="L15" s="36">
        <f t="shared" si="1"/>
        <v>200</v>
      </c>
      <c r="M15" s="36">
        <f t="shared" si="2"/>
        <v>0</v>
      </c>
      <c r="N15" s="19">
        <v>14</v>
      </c>
      <c r="O15" s="19">
        <f t="shared" si="3"/>
        <v>20.1923076923077</v>
      </c>
      <c r="P15" s="19">
        <v>0</v>
      </c>
      <c r="Q15" s="19">
        <f t="shared" si="4"/>
        <v>0</v>
      </c>
      <c r="R15" s="19">
        <v>0</v>
      </c>
      <c r="S15" s="19">
        <f t="shared" si="5"/>
        <v>10</v>
      </c>
      <c r="T15" s="19">
        <v>0</v>
      </c>
      <c r="U15" s="19">
        <v>0</v>
      </c>
      <c r="V15" s="19">
        <v>10</v>
      </c>
      <c r="W15" s="19">
        <v>3.5</v>
      </c>
      <c r="X15" s="19">
        <v>8</v>
      </c>
      <c r="Y15" s="19">
        <v>0</v>
      </c>
      <c r="Z15" s="19">
        <v>0</v>
      </c>
      <c r="AA15" s="19">
        <v>0</v>
      </c>
      <c r="AB15" s="36">
        <f t="shared" si="6"/>
        <v>251.692307692308</v>
      </c>
      <c r="AC15" s="19">
        <f>VLOOKUP(B15,[2]Sheet1!$B$2:$N$199,11,0)/4000</f>
        <v>4.90575</v>
      </c>
      <c r="AD15" s="19">
        <v>0</v>
      </c>
      <c r="AE15" s="19">
        <f>VLOOKUP(B15,[1]QA!$E$7:$L$18,7,0)</f>
        <v>100</v>
      </c>
      <c r="AF15" s="19">
        <f t="shared" si="7"/>
        <v>104.90575</v>
      </c>
      <c r="AG15" s="36">
        <f t="shared" si="8"/>
        <v>146.786557692308</v>
      </c>
      <c r="AH15" s="19"/>
      <c r="AI15" s="60"/>
      <c r="AJ15" s="125"/>
      <c r="AK15" s="34"/>
      <c r="AL15" s="74">
        <v>100917758</v>
      </c>
      <c r="AM15" s="73">
        <v>31541</v>
      </c>
      <c r="AN15" s="73" t="s">
        <v>141</v>
      </c>
      <c r="AO15" s="72">
        <v>0</v>
      </c>
      <c r="AP15" s="72" t="s">
        <v>101</v>
      </c>
      <c r="AQ15" s="74" t="s">
        <v>102</v>
      </c>
      <c r="AR15" s="74" t="s">
        <v>103</v>
      </c>
      <c r="AS15" s="74"/>
      <c r="AT15" s="72"/>
    </row>
    <row r="16" s="5" customFormat="1" ht="21" customHeight="1" spans="1:46">
      <c r="A16" s="19">
        <v>8</v>
      </c>
      <c r="B16" s="128" t="s">
        <v>1003</v>
      </c>
      <c r="C16" s="19" t="s">
        <v>1004</v>
      </c>
      <c r="D16" s="20" t="s">
        <v>1005</v>
      </c>
      <c r="E16" s="21">
        <v>44803</v>
      </c>
      <c r="F16" s="19" t="s">
        <v>96</v>
      </c>
      <c r="G16" s="19" t="s">
        <v>973</v>
      </c>
      <c r="H16" s="22" t="s">
        <v>773</v>
      </c>
      <c r="I16" s="19">
        <v>25</v>
      </c>
      <c r="J16" s="19">
        <f t="shared" si="0"/>
        <v>1</v>
      </c>
      <c r="K16" s="19">
        <v>200</v>
      </c>
      <c r="L16" s="36">
        <f t="shared" si="1"/>
        <v>192.307692307692</v>
      </c>
      <c r="M16" s="36">
        <f t="shared" si="2"/>
        <v>7.69230769230769</v>
      </c>
      <c r="N16" s="19">
        <v>8</v>
      </c>
      <c r="O16" s="19">
        <f t="shared" si="3"/>
        <v>11.5384615384615</v>
      </c>
      <c r="P16" s="19">
        <v>0</v>
      </c>
      <c r="Q16" s="19">
        <f t="shared" si="4"/>
        <v>0</v>
      </c>
      <c r="R16" s="19">
        <v>0</v>
      </c>
      <c r="S16" s="19">
        <f t="shared" si="5"/>
        <v>9.61538461538462</v>
      </c>
      <c r="T16" s="19">
        <v>0</v>
      </c>
      <c r="U16" s="19">
        <v>0</v>
      </c>
      <c r="V16" s="19">
        <v>10</v>
      </c>
      <c r="W16" s="19">
        <v>3</v>
      </c>
      <c r="X16" s="19">
        <v>8</v>
      </c>
      <c r="Y16" s="19">
        <v>0</v>
      </c>
      <c r="Z16" s="19">
        <v>0</v>
      </c>
      <c r="AA16" s="19">
        <v>0</v>
      </c>
      <c r="AB16" s="36">
        <f t="shared" si="6"/>
        <v>234.461538461538</v>
      </c>
      <c r="AC16" s="19">
        <f>VLOOKUP(B16,[2]Sheet1!$B$2:$N$199,11,0)/4000</f>
        <v>6</v>
      </c>
      <c r="AD16" s="19">
        <v>0</v>
      </c>
      <c r="AE16" s="19">
        <f>VLOOKUP(B16,[1]QA!$E$7:$L$18,7,0)</f>
        <v>100</v>
      </c>
      <c r="AF16" s="19">
        <f t="shared" si="7"/>
        <v>106</v>
      </c>
      <c r="AG16" s="36">
        <f t="shared" si="8"/>
        <v>128.461538461538</v>
      </c>
      <c r="AH16" s="19"/>
      <c r="AI16" s="60"/>
      <c r="AJ16" s="125"/>
      <c r="AK16" s="34"/>
      <c r="AL16" s="74" t="s">
        <v>1006</v>
      </c>
      <c r="AM16" s="73">
        <v>36992</v>
      </c>
      <c r="AN16" s="73" t="s">
        <v>141</v>
      </c>
      <c r="AO16" s="74">
        <v>0</v>
      </c>
      <c r="AP16" s="72" t="s">
        <v>101</v>
      </c>
      <c r="AQ16" s="74" t="s">
        <v>102</v>
      </c>
      <c r="AR16" s="74" t="s">
        <v>103</v>
      </c>
      <c r="AS16" s="74" t="s">
        <v>1007</v>
      </c>
      <c r="AT16" s="72"/>
    </row>
    <row r="17" s="5" customFormat="1" ht="21" customHeight="1" spans="1:46">
      <c r="A17" s="19">
        <v>9</v>
      </c>
      <c r="B17" s="128" t="s">
        <v>1008</v>
      </c>
      <c r="C17" s="19" t="s">
        <v>1009</v>
      </c>
      <c r="D17" s="20" t="s">
        <v>1010</v>
      </c>
      <c r="E17" s="21">
        <v>44887</v>
      </c>
      <c r="F17" s="19" t="s">
        <v>96</v>
      </c>
      <c r="G17" s="19" t="s">
        <v>973</v>
      </c>
      <c r="H17" s="22" t="s">
        <v>773</v>
      </c>
      <c r="I17" s="19">
        <v>24.5</v>
      </c>
      <c r="J17" s="19">
        <f t="shared" si="0"/>
        <v>1.5</v>
      </c>
      <c r="K17" s="19">
        <v>200</v>
      </c>
      <c r="L17" s="36">
        <f t="shared" si="1"/>
        <v>188.461538461538</v>
      </c>
      <c r="M17" s="36">
        <f t="shared" si="2"/>
        <v>11.5384615384615</v>
      </c>
      <c r="N17" s="19">
        <v>8</v>
      </c>
      <c r="O17" s="84">
        <f t="shared" si="3"/>
        <v>11.5384615384615</v>
      </c>
      <c r="P17" s="19">
        <v>0</v>
      </c>
      <c r="Q17" s="19">
        <f t="shared" si="4"/>
        <v>0</v>
      </c>
      <c r="R17" s="19">
        <v>0</v>
      </c>
      <c r="S17" s="19">
        <f t="shared" si="5"/>
        <v>9.42307692307692</v>
      </c>
      <c r="T17" s="19">
        <v>0</v>
      </c>
      <c r="U17" s="19">
        <v>0</v>
      </c>
      <c r="V17" s="19">
        <v>10</v>
      </c>
      <c r="W17" s="19">
        <v>2</v>
      </c>
      <c r="X17" s="19">
        <v>8</v>
      </c>
      <c r="Y17" s="19">
        <v>0</v>
      </c>
      <c r="Z17" s="19">
        <v>0</v>
      </c>
      <c r="AA17" s="19">
        <v>0</v>
      </c>
      <c r="AB17" s="36">
        <f t="shared" si="6"/>
        <v>229.423076923076</v>
      </c>
      <c r="AC17" s="19">
        <f>VLOOKUP(B17,[2]Sheet1!$B$2:$N$199,11,0)/4000</f>
        <v>4.96875</v>
      </c>
      <c r="AD17" s="19">
        <v>0</v>
      </c>
      <c r="AE17" s="19">
        <f>VLOOKUP(B17,[1]QA!$E$7:$L$18,7,0)</f>
        <v>100</v>
      </c>
      <c r="AF17" s="19">
        <f t="shared" si="7"/>
        <v>104.96875</v>
      </c>
      <c r="AG17" s="36">
        <f t="shared" si="8"/>
        <v>124.454326923076</v>
      </c>
      <c r="AH17" s="19"/>
      <c r="AI17" s="60"/>
      <c r="AJ17" s="125"/>
      <c r="AK17" s="34"/>
      <c r="AL17" s="74">
        <v>100992712</v>
      </c>
      <c r="AM17" s="73">
        <v>34319</v>
      </c>
      <c r="AN17" s="73" t="s">
        <v>99</v>
      </c>
      <c r="AO17" s="74">
        <v>2</v>
      </c>
      <c r="AP17" s="72" t="s">
        <v>101</v>
      </c>
      <c r="AQ17" s="74" t="s">
        <v>102</v>
      </c>
      <c r="AR17" s="74" t="s">
        <v>103</v>
      </c>
      <c r="AS17" s="74"/>
      <c r="AT17" s="72"/>
    </row>
    <row r="18" s="5" customFormat="1" ht="21" customHeight="1" spans="1:46">
      <c r="A18" s="19">
        <v>10</v>
      </c>
      <c r="B18" s="128" t="s">
        <v>1011</v>
      </c>
      <c r="C18" s="19" t="s">
        <v>1012</v>
      </c>
      <c r="D18" s="20" t="s">
        <v>1013</v>
      </c>
      <c r="E18" s="21">
        <v>44887</v>
      </c>
      <c r="F18" s="19" t="s">
        <v>96</v>
      </c>
      <c r="G18" s="19" t="s">
        <v>973</v>
      </c>
      <c r="H18" s="22" t="s">
        <v>773</v>
      </c>
      <c r="I18" s="19">
        <v>19.5</v>
      </c>
      <c r="J18" s="19">
        <f t="shared" si="0"/>
        <v>6.5</v>
      </c>
      <c r="K18" s="19">
        <v>200</v>
      </c>
      <c r="L18" s="36">
        <f t="shared" si="1"/>
        <v>150</v>
      </c>
      <c r="M18" s="36">
        <f t="shared" si="2"/>
        <v>50</v>
      </c>
      <c r="N18" s="19">
        <v>4</v>
      </c>
      <c r="O18" s="19">
        <f t="shared" si="3"/>
        <v>5.76923076923077</v>
      </c>
      <c r="P18" s="19">
        <v>0</v>
      </c>
      <c r="Q18" s="19">
        <f t="shared" si="4"/>
        <v>0</v>
      </c>
      <c r="R18" s="19">
        <v>0</v>
      </c>
      <c r="S18" s="19">
        <f t="shared" si="5"/>
        <v>7.5</v>
      </c>
      <c r="T18" s="19">
        <v>0</v>
      </c>
      <c r="U18" s="19">
        <v>0</v>
      </c>
      <c r="V18" s="19">
        <v>10</v>
      </c>
      <c r="W18" s="19">
        <v>1</v>
      </c>
      <c r="X18" s="19">
        <v>8</v>
      </c>
      <c r="Y18" s="19">
        <v>0</v>
      </c>
      <c r="Z18" s="19">
        <v>0</v>
      </c>
      <c r="AA18" s="19">
        <v>0</v>
      </c>
      <c r="AB18" s="36">
        <f t="shared" si="6"/>
        <v>182.269230769231</v>
      </c>
      <c r="AC18" s="19">
        <f>VLOOKUP(B18,[2]Sheet1!$B$2:$N$199,11,0)/4000</f>
        <v>4.64825</v>
      </c>
      <c r="AD18" s="19">
        <v>0</v>
      </c>
      <c r="AE18" s="19">
        <f>VLOOKUP(B18,[1]QA!$E$7:$L$18,7,0)</f>
        <v>50</v>
      </c>
      <c r="AF18" s="19">
        <f t="shared" si="7"/>
        <v>54.64825</v>
      </c>
      <c r="AG18" s="36">
        <f t="shared" si="8"/>
        <v>127.620980769231</v>
      </c>
      <c r="AH18" s="19"/>
      <c r="AI18" s="60"/>
      <c r="AJ18" s="125"/>
      <c r="AK18" s="34"/>
      <c r="AL18" s="74">
        <v>101364968</v>
      </c>
      <c r="AM18" s="73">
        <v>37142</v>
      </c>
      <c r="AN18" s="73" t="s">
        <v>141</v>
      </c>
      <c r="AO18" s="74">
        <v>0</v>
      </c>
      <c r="AP18" s="72" t="s">
        <v>101</v>
      </c>
      <c r="AQ18" s="74" t="s">
        <v>102</v>
      </c>
      <c r="AR18" s="74" t="s">
        <v>103</v>
      </c>
      <c r="AS18" s="74"/>
      <c r="AT18" s="72"/>
    </row>
    <row r="19" s="5" customFormat="1" ht="21" customHeight="1" spans="1:46">
      <c r="A19" s="19">
        <v>11</v>
      </c>
      <c r="B19" s="128" t="s">
        <v>1014</v>
      </c>
      <c r="C19" s="19" t="s">
        <v>1015</v>
      </c>
      <c r="D19" s="20" t="s">
        <v>1016</v>
      </c>
      <c r="E19" s="21">
        <v>44887</v>
      </c>
      <c r="F19" s="19" t="s">
        <v>96</v>
      </c>
      <c r="G19" s="19" t="s">
        <v>973</v>
      </c>
      <c r="H19" s="22" t="s">
        <v>773</v>
      </c>
      <c r="I19" s="19">
        <v>21.25</v>
      </c>
      <c r="J19" s="19">
        <f t="shared" si="0"/>
        <v>4.75</v>
      </c>
      <c r="K19" s="19">
        <v>200</v>
      </c>
      <c r="L19" s="36">
        <f t="shared" si="1"/>
        <v>163.461538461538</v>
      </c>
      <c r="M19" s="36">
        <f t="shared" si="2"/>
        <v>36.5384615384615</v>
      </c>
      <c r="N19" s="19">
        <v>4</v>
      </c>
      <c r="O19" s="19">
        <f t="shared" si="3"/>
        <v>5.76923076923077</v>
      </c>
      <c r="P19" s="19">
        <v>0</v>
      </c>
      <c r="Q19" s="19">
        <f t="shared" si="4"/>
        <v>0</v>
      </c>
      <c r="R19" s="19">
        <v>0</v>
      </c>
      <c r="S19" s="19">
        <f t="shared" si="5"/>
        <v>8.17307692307692</v>
      </c>
      <c r="T19" s="19">
        <v>0</v>
      </c>
      <c r="U19" s="19">
        <v>0</v>
      </c>
      <c r="V19" s="19">
        <v>10</v>
      </c>
      <c r="W19" s="19">
        <v>1</v>
      </c>
      <c r="X19" s="19">
        <v>8</v>
      </c>
      <c r="Y19" s="19">
        <v>0</v>
      </c>
      <c r="Z19" s="19">
        <v>0</v>
      </c>
      <c r="AA19" s="19">
        <v>0</v>
      </c>
      <c r="AB19" s="36">
        <f t="shared" si="6"/>
        <v>196.403846153846</v>
      </c>
      <c r="AC19" s="19">
        <f>VLOOKUP(B19,[2]Sheet1!$B$2:$N$199,11,0)/4000</f>
        <v>4.5685</v>
      </c>
      <c r="AD19" s="19">
        <v>0</v>
      </c>
      <c r="AE19" s="19">
        <f>VLOOKUP(B19,[1]QA!$E$7:$L$18,7,0)</f>
        <v>50</v>
      </c>
      <c r="AF19" s="19">
        <f t="shared" si="7"/>
        <v>54.5685</v>
      </c>
      <c r="AG19" s="36">
        <f t="shared" si="8"/>
        <v>141.835346153846</v>
      </c>
      <c r="AH19" s="19"/>
      <c r="AI19" s="60"/>
      <c r="AJ19" s="125"/>
      <c r="AK19" s="34"/>
      <c r="AL19" s="74">
        <v>101461731</v>
      </c>
      <c r="AM19" s="73">
        <v>37958</v>
      </c>
      <c r="AN19" s="73" t="s">
        <v>141</v>
      </c>
      <c r="AO19" s="74">
        <v>0</v>
      </c>
      <c r="AP19" s="72" t="s">
        <v>101</v>
      </c>
      <c r="AQ19" s="74" t="s">
        <v>102</v>
      </c>
      <c r="AR19" s="74" t="s">
        <v>103</v>
      </c>
      <c r="AS19" s="74"/>
      <c r="AT19" s="72"/>
    </row>
    <row r="20" ht="22" customHeight="1" spans="1:37">
      <c r="A20" s="176" t="s">
        <v>557</v>
      </c>
      <c r="B20" s="24"/>
      <c r="C20" s="177"/>
      <c r="D20" s="24"/>
      <c r="E20" s="177"/>
      <c r="F20" s="177"/>
      <c r="G20" s="177"/>
      <c r="H20" s="177"/>
      <c r="I20" s="177"/>
      <c r="J20" s="177"/>
      <c r="K20" s="178"/>
      <c r="L20" s="179">
        <f>SUM(L9:L19)</f>
        <v>1984.61538461538</v>
      </c>
      <c r="M20" s="179"/>
      <c r="N20" s="179">
        <f t="shared" ref="N20:V20" si="9">SUM(N9:N19)</f>
        <v>74.5</v>
      </c>
      <c r="O20" s="179">
        <f t="shared" si="9"/>
        <v>107.451923076923</v>
      </c>
      <c r="P20" s="179">
        <f t="shared" si="9"/>
        <v>0</v>
      </c>
      <c r="Q20" s="179">
        <f t="shared" si="9"/>
        <v>0</v>
      </c>
      <c r="R20" s="179">
        <f t="shared" si="9"/>
        <v>0</v>
      </c>
      <c r="S20" s="179">
        <f t="shared" si="9"/>
        <v>99.2307692307692</v>
      </c>
      <c r="T20" s="179">
        <f t="shared" si="9"/>
        <v>20</v>
      </c>
      <c r="U20" s="179">
        <f t="shared" si="9"/>
        <v>30</v>
      </c>
      <c r="V20" s="179">
        <f t="shared" si="9"/>
        <v>110</v>
      </c>
      <c r="W20" s="179"/>
      <c r="X20" s="179">
        <f t="shared" ref="X20:AG20" si="10">SUM(X9:X19)</f>
        <v>88</v>
      </c>
      <c r="Y20" s="179">
        <f t="shared" si="10"/>
        <v>0</v>
      </c>
      <c r="Z20" s="179">
        <f t="shared" si="10"/>
        <v>148.63</v>
      </c>
      <c r="AA20" s="179">
        <f t="shared" si="10"/>
        <v>141.567862426036</v>
      </c>
      <c r="AB20" s="179">
        <f t="shared" si="10"/>
        <v>2751.49593934911</v>
      </c>
      <c r="AC20" s="179">
        <f t="shared" si="10"/>
        <v>57.26725</v>
      </c>
      <c r="AD20" s="179">
        <f t="shared" si="10"/>
        <v>0</v>
      </c>
      <c r="AE20" s="179">
        <f t="shared" si="10"/>
        <v>950</v>
      </c>
      <c r="AF20" s="179">
        <f t="shared" si="10"/>
        <v>1007.26725</v>
      </c>
      <c r="AG20" s="179">
        <f t="shared" si="10"/>
        <v>1744.22868934911</v>
      </c>
      <c r="AH20" s="180"/>
      <c r="AI20" s="180"/>
      <c r="AJ20" s="180"/>
      <c r="AK20" s="181"/>
    </row>
  </sheetData>
  <autoFilter ref="A8:AY20">
    <extLst/>
  </autoFilter>
  <mergeCells count="32">
    <mergeCell ref="A1:AJ1"/>
    <mergeCell ref="A2:AJ2"/>
    <mergeCell ref="A3:AJ3"/>
    <mergeCell ref="A4:AJ4"/>
    <mergeCell ref="A5:C5"/>
    <mergeCell ref="F5:L5"/>
    <mergeCell ref="AE5:AJ5"/>
    <mergeCell ref="N7:Q7"/>
    <mergeCell ref="A20:K2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6" workbookViewId="0">
      <selection activeCell="P11" sqref="P11"/>
    </sheetView>
  </sheetViews>
  <sheetFormatPr defaultColWidth="9" defaultRowHeight="13.5"/>
  <cols>
    <col min="1" max="1" width="5" customWidth="1"/>
    <col min="2" max="2" width="17.025" customWidth="1"/>
    <col min="3" max="3" width="11.125" customWidth="1"/>
    <col min="4" max="4" width="11.125" hidden="1" customWidth="1"/>
    <col min="5" max="5" width="9.50833333333333" customWidth="1"/>
    <col min="6" max="6" width="16.625" customWidth="1"/>
    <col min="7" max="7" width="2.875" customWidth="1"/>
    <col min="8" max="8" width="20" customWidth="1"/>
    <col min="9" max="9" width="18.8583333333333" customWidth="1"/>
  </cols>
  <sheetData>
    <row r="1" ht="24" spans="1:10">
      <c r="A1" s="146" t="s">
        <v>1017</v>
      </c>
      <c r="B1" s="146"/>
      <c r="C1" s="146"/>
      <c r="D1" s="146"/>
      <c r="E1" s="146"/>
      <c r="F1" s="146"/>
      <c r="G1" s="146"/>
      <c r="H1" s="146"/>
      <c r="I1" s="146"/>
      <c r="J1" s="161"/>
    </row>
    <row r="2" ht="18" customHeight="1" spans="1:10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62"/>
    </row>
    <row r="3" ht="18" customHeight="1" spans="1:10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62"/>
    </row>
    <row r="4" ht="18" customHeight="1" spans="1:10">
      <c r="A4" s="148" t="s">
        <v>1018</v>
      </c>
      <c r="B4" s="148"/>
      <c r="C4" s="148"/>
      <c r="D4" s="148"/>
      <c r="E4" s="148"/>
      <c r="F4" s="148"/>
      <c r="G4" s="148"/>
      <c r="H4" s="148"/>
      <c r="I4" s="148"/>
      <c r="J4" s="163"/>
    </row>
    <row r="5" ht="24" customHeight="1" spans="1:9">
      <c r="A5" s="149" t="s">
        <v>1019</v>
      </c>
      <c r="B5" s="149" t="s">
        <v>1020</v>
      </c>
      <c r="C5" s="149" t="s">
        <v>45</v>
      </c>
      <c r="D5" s="149" t="s">
        <v>1021</v>
      </c>
      <c r="E5" s="149" t="s">
        <v>1022</v>
      </c>
      <c r="F5" s="149" t="s">
        <v>1023</v>
      </c>
      <c r="G5" s="149" t="s">
        <v>1024</v>
      </c>
      <c r="H5" s="149" t="s">
        <v>218</v>
      </c>
      <c r="I5" s="164" t="s">
        <v>1025</v>
      </c>
    </row>
    <row r="6" ht="30" customHeight="1" spans="1:9">
      <c r="A6" s="150">
        <v>1</v>
      </c>
      <c r="B6" s="151" t="s">
        <v>1026</v>
      </c>
      <c r="C6" s="150" t="s">
        <v>1027</v>
      </c>
      <c r="D6" s="150" t="s">
        <v>1028</v>
      </c>
      <c r="E6" s="150">
        <f>OF!A27</f>
        <v>19</v>
      </c>
      <c r="F6" s="152">
        <f>OF!AG28</f>
        <v>5026.60761131657</v>
      </c>
      <c r="G6" s="150" t="s">
        <v>1024</v>
      </c>
      <c r="H6" s="153">
        <f>F6</f>
        <v>5026.60761131657</v>
      </c>
      <c r="I6" s="165"/>
    </row>
    <row r="7" ht="30" customHeight="1" spans="1:9">
      <c r="A7" s="150">
        <v>2</v>
      </c>
      <c r="B7" s="151" t="s">
        <v>1026</v>
      </c>
      <c r="C7" s="150" t="s">
        <v>222</v>
      </c>
      <c r="D7" s="150" t="s">
        <v>222</v>
      </c>
      <c r="E7" s="150">
        <f>'A01'!A36</f>
        <v>28</v>
      </c>
      <c r="F7" s="152">
        <f>'A01'!AG37</f>
        <v>2952.49978846154</v>
      </c>
      <c r="G7" s="150" t="s">
        <v>1024</v>
      </c>
      <c r="H7" s="153">
        <f t="shared" ref="H7:H22" si="0">F7</f>
        <v>2952.49978846154</v>
      </c>
      <c r="I7" s="165"/>
    </row>
    <row r="8" ht="30" customHeight="1" spans="1:9">
      <c r="A8" s="150">
        <v>3</v>
      </c>
      <c r="B8" s="151" t="s">
        <v>1026</v>
      </c>
      <c r="C8" s="150" t="s">
        <v>348</v>
      </c>
      <c r="D8" s="150" t="s">
        <v>348</v>
      </c>
      <c r="E8" s="150">
        <f>'A02'!A33</f>
        <v>25</v>
      </c>
      <c r="F8" s="152">
        <f>'A02'!AG34</f>
        <v>3023.83619526627</v>
      </c>
      <c r="G8" s="150" t="s">
        <v>1024</v>
      </c>
      <c r="H8" s="153">
        <f t="shared" si="0"/>
        <v>3023.83619526627</v>
      </c>
      <c r="I8" s="165"/>
    </row>
    <row r="9" ht="30" customHeight="1" spans="1:9">
      <c r="A9" s="150">
        <v>4</v>
      </c>
      <c r="B9" s="151" t="s">
        <v>1026</v>
      </c>
      <c r="C9" s="150" t="s">
        <v>448</v>
      </c>
      <c r="D9" s="150" t="s">
        <v>448</v>
      </c>
      <c r="E9" s="150">
        <f>'A03'!A34</f>
        <v>26</v>
      </c>
      <c r="F9" s="152">
        <f>'A03'!AG35</f>
        <v>4541.30929166667</v>
      </c>
      <c r="G9" s="150" t="s">
        <v>1024</v>
      </c>
      <c r="H9" s="153">
        <f t="shared" si="0"/>
        <v>4541.30929166667</v>
      </c>
      <c r="I9" s="165"/>
    </row>
    <row r="10" ht="30" customHeight="1" spans="1:9">
      <c r="A10" s="150">
        <v>5</v>
      </c>
      <c r="B10" s="151" t="s">
        <v>1026</v>
      </c>
      <c r="C10" s="150" t="s">
        <v>562</v>
      </c>
      <c r="D10" s="150" t="s">
        <v>562</v>
      </c>
      <c r="E10" s="150">
        <f>'A04'!A32</f>
        <v>24</v>
      </c>
      <c r="F10" s="152">
        <f>'A04'!AG33</f>
        <v>4170.80041666667</v>
      </c>
      <c r="G10" s="150" t="s">
        <v>1024</v>
      </c>
      <c r="H10" s="153">
        <f t="shared" si="0"/>
        <v>4170.80041666667</v>
      </c>
      <c r="I10" s="165"/>
    </row>
    <row r="11" ht="30" customHeight="1" spans="1:9">
      <c r="A11" s="150">
        <v>6</v>
      </c>
      <c r="B11" s="151" t="s">
        <v>1026</v>
      </c>
      <c r="C11" s="150" t="s">
        <v>668</v>
      </c>
      <c r="D11" s="150" t="s">
        <v>668</v>
      </c>
      <c r="E11" s="150">
        <f>'A05'!A30</f>
        <v>22</v>
      </c>
      <c r="F11" s="152">
        <f>'A05'!AG31</f>
        <v>3328.24985848126</v>
      </c>
      <c r="G11" s="150" t="s">
        <v>1024</v>
      </c>
      <c r="H11" s="153">
        <f t="shared" si="0"/>
        <v>3328.24985848126</v>
      </c>
      <c r="I11" s="165"/>
    </row>
    <row r="12" ht="30" customHeight="1" spans="1:9">
      <c r="A12" s="150">
        <v>7</v>
      </c>
      <c r="B12" s="151" t="s">
        <v>1026</v>
      </c>
      <c r="C12" s="150" t="s">
        <v>1029</v>
      </c>
      <c r="D12" s="150" t="s">
        <v>801</v>
      </c>
      <c r="E12" s="150">
        <f>整烫组អ៊ុត!A22</f>
        <v>14</v>
      </c>
      <c r="F12" s="152">
        <f>整烫组អ៊ុត!AG23</f>
        <v>2387.31492381657</v>
      </c>
      <c r="G12" s="150" t="s">
        <v>1024</v>
      </c>
      <c r="H12" s="153">
        <f t="shared" si="0"/>
        <v>2387.31492381657</v>
      </c>
      <c r="I12" s="165"/>
    </row>
    <row r="13" ht="30" customHeight="1" spans="1:9">
      <c r="A13" s="150">
        <v>8</v>
      </c>
      <c r="B13" s="151" t="s">
        <v>1026</v>
      </c>
      <c r="C13" s="150" t="s">
        <v>1030</v>
      </c>
      <c r="D13" s="150" t="s">
        <v>206</v>
      </c>
      <c r="E13" s="150">
        <f>烫标អ៊ុតផ្លាក!A11</f>
        <v>3</v>
      </c>
      <c r="F13" s="152">
        <f>烫标អ៊ុតផ្លាក!AG12</f>
        <v>337.192307692308</v>
      </c>
      <c r="G13" s="150" t="s">
        <v>1024</v>
      </c>
      <c r="H13" s="153">
        <f t="shared" si="0"/>
        <v>337.192307692308</v>
      </c>
      <c r="I13" s="165"/>
    </row>
    <row r="14" ht="30" customHeight="1" spans="1:9">
      <c r="A14" s="150">
        <v>9</v>
      </c>
      <c r="B14" s="151" t="s">
        <v>1026</v>
      </c>
      <c r="C14" s="150" t="s">
        <v>826</v>
      </c>
      <c r="D14" s="150" t="s">
        <v>826</v>
      </c>
      <c r="E14" s="150">
        <f>QC!A10</f>
        <v>2</v>
      </c>
      <c r="F14" s="152">
        <f>QC!AG11</f>
        <v>296.628769230769</v>
      </c>
      <c r="G14" s="150" t="s">
        <v>1024</v>
      </c>
      <c r="H14" s="153">
        <f t="shared" si="0"/>
        <v>296.628769230769</v>
      </c>
      <c r="I14" s="165"/>
    </row>
    <row r="15" ht="30" customHeight="1" spans="1:9">
      <c r="A15" s="150">
        <v>10</v>
      </c>
      <c r="B15" s="151" t="s">
        <v>1026</v>
      </c>
      <c r="C15" s="150" t="s">
        <v>915</v>
      </c>
      <c r="D15" s="150" t="s">
        <v>915</v>
      </c>
      <c r="E15" s="150">
        <f>CUT!A16</f>
        <v>8</v>
      </c>
      <c r="F15" s="152">
        <f>CUT!AG17</f>
        <v>1511.18261538462</v>
      </c>
      <c r="G15" s="150" t="s">
        <v>1024</v>
      </c>
      <c r="H15" s="153">
        <f t="shared" si="0"/>
        <v>1511.18261538462</v>
      </c>
      <c r="I15" s="165"/>
    </row>
    <row r="16" ht="30" customHeight="1" spans="1:9">
      <c r="A16" s="150">
        <v>11</v>
      </c>
      <c r="B16" s="151" t="s">
        <v>1026</v>
      </c>
      <c r="C16" s="150" t="s">
        <v>1031</v>
      </c>
      <c r="D16" s="150" t="s">
        <v>1032</v>
      </c>
      <c r="E16" s="150">
        <f>PK!A26</f>
        <v>18</v>
      </c>
      <c r="F16" s="152">
        <f>PK!AG27</f>
        <v>3499.45441050296</v>
      </c>
      <c r="G16" s="150" t="s">
        <v>1024</v>
      </c>
      <c r="H16" s="153">
        <f t="shared" si="0"/>
        <v>3499.45441050296</v>
      </c>
      <c r="I16" s="165"/>
    </row>
    <row r="17" ht="30" customHeight="1" spans="1:9">
      <c r="A17" s="150">
        <v>12</v>
      </c>
      <c r="B17" s="151" t="s">
        <v>1026</v>
      </c>
      <c r="C17" s="150" t="s">
        <v>1033</v>
      </c>
      <c r="D17" s="150" t="s">
        <v>1034</v>
      </c>
      <c r="E17" s="150">
        <f>打纽扣!A12</f>
        <v>4</v>
      </c>
      <c r="F17" s="152">
        <f>打纽扣!AG13</f>
        <v>594.457538461537</v>
      </c>
      <c r="G17" s="150" t="s">
        <v>1024</v>
      </c>
      <c r="H17" s="153">
        <f t="shared" si="0"/>
        <v>594.457538461537</v>
      </c>
      <c r="I17" s="165"/>
    </row>
    <row r="18" ht="30" customHeight="1" spans="1:9">
      <c r="A18" s="150">
        <v>13</v>
      </c>
      <c r="B18" s="151" t="s">
        <v>1026</v>
      </c>
      <c r="C18" s="150" t="s">
        <v>973</v>
      </c>
      <c r="D18" s="150" t="s">
        <v>973</v>
      </c>
      <c r="E18" s="150">
        <f>QA!A19</f>
        <v>11</v>
      </c>
      <c r="F18" s="152">
        <f>QA!AG20</f>
        <v>1744.22868934911</v>
      </c>
      <c r="G18" s="150" t="s">
        <v>1024</v>
      </c>
      <c r="H18" s="153">
        <f t="shared" si="0"/>
        <v>1744.22868934911</v>
      </c>
      <c r="I18" s="165"/>
    </row>
    <row r="19" ht="30" customHeight="1" spans="1:9">
      <c r="A19" s="150">
        <v>14</v>
      </c>
      <c r="B19" s="151" t="s">
        <v>1026</v>
      </c>
      <c r="C19" s="150" t="s">
        <v>1035</v>
      </c>
      <c r="D19" s="150" t="s">
        <v>1036</v>
      </c>
      <c r="E19" s="150">
        <f>chinese!A13</f>
        <v>5</v>
      </c>
      <c r="F19" s="152">
        <f>chinese!AG14</f>
        <v>7107.69230769231</v>
      </c>
      <c r="G19" s="150" t="s">
        <v>1024</v>
      </c>
      <c r="H19" s="153">
        <f t="shared" si="0"/>
        <v>7107.69230769231</v>
      </c>
      <c r="I19" s="165"/>
    </row>
    <row r="20" ht="30" customHeight="1" spans="1:9">
      <c r="A20" s="150">
        <v>15</v>
      </c>
      <c r="B20" s="151" t="s">
        <v>1026</v>
      </c>
      <c r="C20" s="150" t="s">
        <v>1037</v>
      </c>
      <c r="D20" s="150" t="s">
        <v>1038</v>
      </c>
      <c r="E20" s="150">
        <f>Security!A12</f>
        <v>4</v>
      </c>
      <c r="F20" s="152">
        <v>836</v>
      </c>
      <c r="G20" s="150" t="s">
        <v>1024</v>
      </c>
      <c r="H20" s="153">
        <f t="shared" si="0"/>
        <v>836</v>
      </c>
      <c r="I20" s="165"/>
    </row>
    <row r="21" ht="30" customHeight="1" spans="1:9">
      <c r="A21" s="150">
        <v>16</v>
      </c>
      <c r="B21" s="151" t="s">
        <v>1026</v>
      </c>
      <c r="C21" s="150" t="s">
        <v>1039</v>
      </c>
      <c r="D21" s="150" t="s">
        <v>1040</v>
      </c>
      <c r="E21" s="150">
        <v>1</v>
      </c>
      <c r="F21" s="167">
        <v>100</v>
      </c>
      <c r="G21" s="150" t="s">
        <v>1024</v>
      </c>
      <c r="H21" s="168">
        <f t="shared" si="0"/>
        <v>100</v>
      </c>
      <c r="I21" s="165"/>
    </row>
    <row r="22" ht="30" customHeight="1" spans="1:9">
      <c r="A22" s="150">
        <v>17</v>
      </c>
      <c r="B22" s="151" t="s">
        <v>1026</v>
      </c>
      <c r="C22" s="150" t="s">
        <v>1041</v>
      </c>
      <c r="D22" s="150" t="s">
        <v>1042</v>
      </c>
      <c r="E22" s="150">
        <f>'Total resignd'!A19</f>
        <v>11</v>
      </c>
      <c r="F22" s="169">
        <f>'Total resignd'!AJ20</f>
        <v>1221.01487692308</v>
      </c>
      <c r="G22" s="150" t="s">
        <v>1024</v>
      </c>
      <c r="H22" s="153">
        <f t="shared" si="0"/>
        <v>1221.01487692308</v>
      </c>
      <c r="I22" s="165"/>
    </row>
    <row r="23" ht="33" customHeight="1" spans="1:9">
      <c r="A23" s="155" t="s">
        <v>1043</v>
      </c>
      <c r="B23" s="156"/>
      <c r="C23" s="157"/>
      <c r="D23" s="157"/>
      <c r="E23" s="158">
        <f>SUM(E6:E22)</f>
        <v>225</v>
      </c>
      <c r="F23" s="159">
        <f>SUM(F6:F22)</f>
        <v>42678.4696009123</v>
      </c>
      <c r="G23" s="158" t="s">
        <v>1024</v>
      </c>
      <c r="H23" s="159">
        <f>SUM(H6:H22)</f>
        <v>42678.4696009123</v>
      </c>
      <c r="I23" s="166"/>
    </row>
    <row r="24" customFormat="1"/>
    <row r="25" spans="2:9">
      <c r="B25" s="160" t="s">
        <v>1044</v>
      </c>
      <c r="C25" s="160"/>
      <c r="D25" s="160"/>
      <c r="F25" s="160" t="s">
        <v>1045</v>
      </c>
      <c r="I25" s="160" t="s">
        <v>1046</v>
      </c>
    </row>
  </sheetData>
  <mergeCells count="5">
    <mergeCell ref="A1:I1"/>
    <mergeCell ref="A2:I2"/>
    <mergeCell ref="A3:I3"/>
    <mergeCell ref="A4:I4"/>
    <mergeCell ref="A23:C23"/>
  </mergeCells>
  <pageMargins left="0.196527777777778" right="0.156944444444444" top="0.354166666666667" bottom="0.275" header="0.275" footer="0.11805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P11" sqref="P11"/>
    </sheetView>
  </sheetViews>
  <sheetFormatPr defaultColWidth="9" defaultRowHeight="13.5"/>
  <cols>
    <col min="1" max="1" width="5" customWidth="1"/>
    <col min="2" max="2" width="17.025" customWidth="1"/>
    <col min="3" max="3" width="11.125" customWidth="1"/>
    <col min="4" max="4" width="11.125" hidden="1" customWidth="1"/>
    <col min="5" max="5" width="9.50833333333333" customWidth="1"/>
    <col min="6" max="6" width="16.625" customWidth="1"/>
    <col min="7" max="7" width="2.875" customWidth="1"/>
    <col min="8" max="8" width="20" customWidth="1"/>
    <col min="9" max="9" width="18.8583333333333" customWidth="1"/>
  </cols>
  <sheetData>
    <row r="1" ht="24" spans="1:10">
      <c r="A1" s="146" t="s">
        <v>1017</v>
      </c>
      <c r="B1" s="146"/>
      <c r="C1" s="146"/>
      <c r="D1" s="146"/>
      <c r="E1" s="146"/>
      <c r="F1" s="146"/>
      <c r="G1" s="146"/>
      <c r="H1" s="146"/>
      <c r="I1" s="146"/>
      <c r="J1" s="161"/>
    </row>
    <row r="2" ht="18" customHeight="1" spans="1:10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62"/>
    </row>
    <row r="3" ht="18" customHeight="1" spans="1:10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62"/>
    </row>
    <row r="4" ht="18" customHeight="1" spans="1:10">
      <c r="A4" s="148" t="s">
        <v>1018</v>
      </c>
      <c r="B4" s="148"/>
      <c r="C4" s="148"/>
      <c r="D4" s="148"/>
      <c r="E4" s="148"/>
      <c r="F4" s="148"/>
      <c r="G4" s="148"/>
      <c r="H4" s="148"/>
      <c r="I4" s="148"/>
      <c r="J4" s="163"/>
    </row>
    <row r="5" ht="24" customHeight="1" spans="1:9">
      <c r="A5" s="149" t="s">
        <v>1019</v>
      </c>
      <c r="B5" s="149" t="s">
        <v>1020</v>
      </c>
      <c r="C5" s="149" t="s">
        <v>45</v>
      </c>
      <c r="D5" s="149" t="s">
        <v>1021</v>
      </c>
      <c r="E5" s="149" t="s">
        <v>1022</v>
      </c>
      <c r="F5" s="149" t="s">
        <v>1023</v>
      </c>
      <c r="G5" s="149" t="s">
        <v>1024</v>
      </c>
      <c r="H5" s="149" t="s">
        <v>218</v>
      </c>
      <c r="I5" s="164" t="s">
        <v>1025</v>
      </c>
    </row>
    <row r="6" ht="30" customHeight="1" spans="1:11">
      <c r="A6" s="150">
        <v>14</v>
      </c>
      <c r="B6" s="151" t="s">
        <v>1026</v>
      </c>
      <c r="C6" s="150" t="s">
        <v>1035</v>
      </c>
      <c r="D6" s="150" t="s">
        <v>1036</v>
      </c>
      <c r="E6" s="150">
        <v>4</v>
      </c>
      <c r="F6" s="152">
        <f>chinese!AG14-1000</f>
        <v>6107.69230769231</v>
      </c>
      <c r="G6" s="150" t="s">
        <v>1024</v>
      </c>
      <c r="H6" s="153">
        <f>F6</f>
        <v>6107.69230769231</v>
      </c>
      <c r="I6" s="165"/>
      <c r="K6" t="s">
        <v>1047</v>
      </c>
    </row>
    <row r="7" ht="30" customHeight="1" spans="1:9">
      <c r="A7" s="150">
        <v>15</v>
      </c>
      <c r="B7" s="151" t="s">
        <v>1026</v>
      </c>
      <c r="C7" s="150" t="s">
        <v>1037</v>
      </c>
      <c r="D7" s="150" t="s">
        <v>1038</v>
      </c>
      <c r="E7" s="150">
        <f>Security!A12</f>
        <v>4</v>
      </c>
      <c r="F7" s="152">
        <v>684</v>
      </c>
      <c r="G7" s="150" t="s">
        <v>1024</v>
      </c>
      <c r="H7" s="153">
        <f>F7</f>
        <v>684</v>
      </c>
      <c r="I7" s="165"/>
    </row>
    <row r="8" ht="30" customHeight="1" spans="1:9">
      <c r="A8" s="150">
        <v>16</v>
      </c>
      <c r="B8" s="151" t="s">
        <v>1026</v>
      </c>
      <c r="C8" s="150" t="s">
        <v>1039</v>
      </c>
      <c r="D8" s="150" t="s">
        <v>1040</v>
      </c>
      <c r="E8" s="150">
        <v>1</v>
      </c>
      <c r="F8" s="167">
        <v>100</v>
      </c>
      <c r="G8" s="150" t="s">
        <v>1024</v>
      </c>
      <c r="H8" s="168">
        <f>F8</f>
        <v>100</v>
      </c>
      <c r="I8" s="165"/>
    </row>
    <row r="9" ht="30" customHeight="1" spans="1:9">
      <c r="A9" s="150">
        <v>17</v>
      </c>
      <c r="B9" s="151" t="s">
        <v>1026</v>
      </c>
      <c r="C9" s="150" t="s">
        <v>1041</v>
      </c>
      <c r="D9" s="150" t="s">
        <v>1042</v>
      </c>
      <c r="E9" s="150">
        <f>'Resigned workers'!A18</f>
        <v>10</v>
      </c>
      <c r="F9" s="169">
        <f>'Resigned workers'!AJ19</f>
        <v>1096.30018461538</v>
      </c>
      <c r="G9" s="150" t="s">
        <v>1024</v>
      </c>
      <c r="H9" s="153">
        <f>F9</f>
        <v>1096.30018461538</v>
      </c>
      <c r="I9" s="165"/>
    </row>
    <row r="10" ht="33" customHeight="1" spans="1:9">
      <c r="A10" s="155" t="s">
        <v>1043</v>
      </c>
      <c r="B10" s="156"/>
      <c r="C10" s="157"/>
      <c r="D10" s="157"/>
      <c r="E10" s="158">
        <f>SUM(E6:E9)</f>
        <v>19</v>
      </c>
      <c r="F10" s="159">
        <f>SUM(F6:F9)</f>
        <v>7987.9924923077</v>
      </c>
      <c r="G10" s="158" t="s">
        <v>1024</v>
      </c>
      <c r="H10" s="159">
        <f>SUM(H6:H9)</f>
        <v>7987.9924923077</v>
      </c>
      <c r="I10" s="166"/>
    </row>
    <row r="11" customFormat="1"/>
    <row r="12" spans="2:9">
      <c r="B12" s="160" t="s">
        <v>1044</v>
      </c>
      <c r="C12" s="160"/>
      <c r="D12" s="160"/>
      <c r="F12" s="160" t="s">
        <v>1045</v>
      </c>
      <c r="I12" s="160" t="s">
        <v>1046</v>
      </c>
    </row>
  </sheetData>
  <autoFilter ref="A5:J10">
    <extLst/>
  </autoFilter>
  <mergeCells count="5">
    <mergeCell ref="A1:I1"/>
    <mergeCell ref="A2:I2"/>
    <mergeCell ref="A3:I3"/>
    <mergeCell ref="A4:I4"/>
    <mergeCell ref="A10:C10"/>
  </mergeCells>
  <pageMargins left="0.196527777777778" right="0.156944444444444" top="0.354166666666667" bottom="0.275" header="0.275" footer="0.11805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P11" sqref="P11"/>
    </sheetView>
  </sheetViews>
  <sheetFormatPr defaultColWidth="9" defaultRowHeight="13.5"/>
  <cols>
    <col min="1" max="1" width="5" customWidth="1"/>
    <col min="2" max="2" width="17.025" customWidth="1"/>
    <col min="3" max="3" width="11.125" customWidth="1"/>
    <col min="4" max="4" width="11.125" hidden="1" customWidth="1"/>
    <col min="5" max="5" width="9.50833333333333" customWidth="1"/>
    <col min="6" max="6" width="16.625" customWidth="1"/>
    <col min="7" max="7" width="2.875" customWidth="1"/>
    <col min="8" max="8" width="20" customWidth="1"/>
    <col min="9" max="9" width="18.8583333333333" customWidth="1"/>
  </cols>
  <sheetData>
    <row r="1" ht="24" spans="1:10">
      <c r="A1" s="146" t="s">
        <v>1017</v>
      </c>
      <c r="B1" s="146"/>
      <c r="C1" s="146"/>
      <c r="D1" s="146"/>
      <c r="E1" s="146"/>
      <c r="F1" s="146"/>
      <c r="G1" s="146"/>
      <c r="H1" s="146"/>
      <c r="I1" s="146"/>
      <c r="J1" s="161"/>
    </row>
    <row r="2" ht="18" customHeight="1" spans="1:10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62"/>
    </row>
    <row r="3" ht="18" customHeight="1" spans="1:10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62"/>
    </row>
    <row r="4" ht="18" customHeight="1" spans="1:10">
      <c r="A4" s="148" t="s">
        <v>1018</v>
      </c>
      <c r="B4" s="148"/>
      <c r="C4" s="148"/>
      <c r="D4" s="148"/>
      <c r="E4" s="148"/>
      <c r="F4" s="148"/>
      <c r="G4" s="148"/>
      <c r="H4" s="148"/>
      <c r="I4" s="148"/>
      <c r="J4" s="163"/>
    </row>
    <row r="5" ht="24" customHeight="1" spans="1:9">
      <c r="A5" s="149" t="s">
        <v>1019</v>
      </c>
      <c r="B5" s="149" t="s">
        <v>1020</v>
      </c>
      <c r="C5" s="149" t="s">
        <v>45</v>
      </c>
      <c r="D5" s="149" t="s">
        <v>1021</v>
      </c>
      <c r="E5" s="149" t="s">
        <v>1022</v>
      </c>
      <c r="F5" s="149" t="s">
        <v>1023</v>
      </c>
      <c r="G5" s="149" t="s">
        <v>1024</v>
      </c>
      <c r="H5" s="149" t="s">
        <v>218</v>
      </c>
      <c r="I5" s="164" t="s">
        <v>1025</v>
      </c>
    </row>
    <row r="6" ht="30" customHeight="1" spans="1:9">
      <c r="A6" s="150">
        <v>1</v>
      </c>
      <c r="B6" s="151" t="s">
        <v>1026</v>
      </c>
      <c r="C6" s="150" t="s">
        <v>1027</v>
      </c>
      <c r="D6" s="150" t="s">
        <v>1028</v>
      </c>
      <c r="E6" s="150">
        <f>OF!A27</f>
        <v>19</v>
      </c>
      <c r="F6" s="152">
        <f>OF!AG28</f>
        <v>5026.60761131657</v>
      </c>
      <c r="G6" s="150" t="s">
        <v>1024</v>
      </c>
      <c r="H6" s="153">
        <f t="shared" ref="H6:H22" si="0">F6</f>
        <v>5026.60761131657</v>
      </c>
      <c r="I6" s="165"/>
    </row>
    <row r="7" ht="30" customHeight="1" spans="1:9">
      <c r="A7" s="150">
        <v>2</v>
      </c>
      <c r="B7" s="151" t="s">
        <v>1026</v>
      </c>
      <c r="C7" s="150" t="s">
        <v>222</v>
      </c>
      <c r="D7" s="150" t="s">
        <v>222</v>
      </c>
      <c r="E7" s="150">
        <f>'A01'!A36</f>
        <v>28</v>
      </c>
      <c r="F7" s="152">
        <f>'A01'!AG37</f>
        <v>2952.49978846154</v>
      </c>
      <c r="G7" s="150" t="s">
        <v>1024</v>
      </c>
      <c r="H7" s="153">
        <f t="shared" si="0"/>
        <v>2952.49978846154</v>
      </c>
      <c r="I7" s="165"/>
    </row>
    <row r="8" ht="30" customHeight="1" spans="1:9">
      <c r="A8" s="150">
        <v>3</v>
      </c>
      <c r="B8" s="151" t="s">
        <v>1026</v>
      </c>
      <c r="C8" s="150" t="s">
        <v>348</v>
      </c>
      <c r="D8" s="150" t="s">
        <v>348</v>
      </c>
      <c r="E8" s="150">
        <f>'A02'!A33</f>
        <v>25</v>
      </c>
      <c r="F8" s="152">
        <f>'A02'!AG34</f>
        <v>3023.83619526627</v>
      </c>
      <c r="G8" s="150" t="s">
        <v>1024</v>
      </c>
      <c r="H8" s="153">
        <f t="shared" si="0"/>
        <v>3023.83619526627</v>
      </c>
      <c r="I8" s="165"/>
    </row>
    <row r="9" ht="30" customHeight="1" spans="1:9">
      <c r="A9" s="150">
        <v>4</v>
      </c>
      <c r="B9" s="151" t="s">
        <v>1026</v>
      </c>
      <c r="C9" s="150" t="s">
        <v>448</v>
      </c>
      <c r="D9" s="150" t="s">
        <v>448</v>
      </c>
      <c r="E9" s="150">
        <f>'A03'!A34</f>
        <v>26</v>
      </c>
      <c r="F9" s="152">
        <f>'A03'!AG35</f>
        <v>4541.30929166667</v>
      </c>
      <c r="G9" s="150" t="s">
        <v>1024</v>
      </c>
      <c r="H9" s="153">
        <f t="shared" si="0"/>
        <v>4541.30929166667</v>
      </c>
      <c r="I9" s="165"/>
    </row>
    <row r="10" ht="30" customHeight="1" spans="1:9">
      <c r="A10" s="150">
        <v>5</v>
      </c>
      <c r="B10" s="151" t="s">
        <v>1026</v>
      </c>
      <c r="C10" s="150" t="s">
        <v>562</v>
      </c>
      <c r="D10" s="150" t="s">
        <v>562</v>
      </c>
      <c r="E10" s="150">
        <f>'A04'!A32</f>
        <v>24</v>
      </c>
      <c r="F10" s="152">
        <f>'A04'!AG33</f>
        <v>4170.80041666667</v>
      </c>
      <c r="G10" s="150" t="s">
        <v>1024</v>
      </c>
      <c r="H10" s="153">
        <f t="shared" si="0"/>
        <v>4170.80041666667</v>
      </c>
      <c r="I10" s="165"/>
    </row>
    <row r="11" ht="30" customHeight="1" spans="1:9">
      <c r="A11" s="150">
        <v>6</v>
      </c>
      <c r="B11" s="151" t="s">
        <v>1026</v>
      </c>
      <c r="C11" s="150" t="s">
        <v>668</v>
      </c>
      <c r="D11" s="150" t="s">
        <v>668</v>
      </c>
      <c r="E11" s="150">
        <f>'A05'!A30</f>
        <v>22</v>
      </c>
      <c r="F11" s="152">
        <f>'A05'!AG31</f>
        <v>3328.24985848126</v>
      </c>
      <c r="G11" s="150" t="s">
        <v>1024</v>
      </c>
      <c r="H11" s="153">
        <f t="shared" si="0"/>
        <v>3328.24985848126</v>
      </c>
      <c r="I11" s="165"/>
    </row>
    <row r="12" ht="30" customHeight="1" spans="1:9">
      <c r="A12" s="150">
        <v>7</v>
      </c>
      <c r="B12" s="151" t="s">
        <v>1026</v>
      </c>
      <c r="C12" s="150" t="s">
        <v>1029</v>
      </c>
      <c r="D12" s="150" t="s">
        <v>801</v>
      </c>
      <c r="E12" s="150">
        <f>整烫组អ៊ុត!A22</f>
        <v>14</v>
      </c>
      <c r="F12" s="152">
        <f>整烫组អ៊ុត!AG23</f>
        <v>2387.31492381657</v>
      </c>
      <c r="G12" s="150" t="s">
        <v>1024</v>
      </c>
      <c r="H12" s="153">
        <f t="shared" si="0"/>
        <v>2387.31492381657</v>
      </c>
      <c r="I12" s="165"/>
    </row>
    <row r="13" ht="30" customHeight="1" spans="1:9">
      <c r="A13" s="150">
        <v>8</v>
      </c>
      <c r="B13" s="151" t="s">
        <v>1026</v>
      </c>
      <c r="C13" s="150" t="s">
        <v>1030</v>
      </c>
      <c r="D13" s="150" t="s">
        <v>206</v>
      </c>
      <c r="E13" s="150">
        <f>烫标អ៊ុតផ្លាក!A11</f>
        <v>3</v>
      </c>
      <c r="F13" s="152">
        <f>烫标អ៊ុតផ្លាក!AG12</f>
        <v>337.192307692308</v>
      </c>
      <c r="G13" s="150" t="s">
        <v>1024</v>
      </c>
      <c r="H13" s="153">
        <f t="shared" si="0"/>
        <v>337.192307692308</v>
      </c>
      <c r="I13" s="165"/>
    </row>
    <row r="14" ht="30" customHeight="1" spans="1:9">
      <c r="A14" s="150">
        <v>9</v>
      </c>
      <c r="B14" s="151" t="s">
        <v>1026</v>
      </c>
      <c r="C14" s="150" t="s">
        <v>826</v>
      </c>
      <c r="D14" s="150" t="s">
        <v>826</v>
      </c>
      <c r="E14" s="150">
        <f>QC!A10</f>
        <v>2</v>
      </c>
      <c r="F14" s="152">
        <f>QC!AG11</f>
        <v>296.628769230769</v>
      </c>
      <c r="G14" s="150" t="s">
        <v>1024</v>
      </c>
      <c r="H14" s="153">
        <f t="shared" si="0"/>
        <v>296.628769230769</v>
      </c>
      <c r="I14" s="165"/>
    </row>
    <row r="15" ht="30" customHeight="1" spans="1:9">
      <c r="A15" s="150">
        <v>10</v>
      </c>
      <c r="B15" s="151" t="s">
        <v>1026</v>
      </c>
      <c r="C15" s="150" t="s">
        <v>915</v>
      </c>
      <c r="D15" s="150" t="s">
        <v>915</v>
      </c>
      <c r="E15" s="150">
        <f>CUT!A16</f>
        <v>8</v>
      </c>
      <c r="F15" s="152">
        <f>CUT!AG17</f>
        <v>1511.18261538462</v>
      </c>
      <c r="G15" s="150" t="s">
        <v>1024</v>
      </c>
      <c r="H15" s="153">
        <f t="shared" si="0"/>
        <v>1511.18261538462</v>
      </c>
      <c r="I15" s="165"/>
    </row>
    <row r="16" ht="30" customHeight="1" spans="1:9">
      <c r="A16" s="150">
        <v>11</v>
      </c>
      <c r="B16" s="151" t="s">
        <v>1026</v>
      </c>
      <c r="C16" s="150" t="s">
        <v>1031</v>
      </c>
      <c r="D16" s="150" t="s">
        <v>1032</v>
      </c>
      <c r="E16" s="150">
        <f>PK!A26</f>
        <v>18</v>
      </c>
      <c r="F16" s="152">
        <f>PK!AG27</f>
        <v>3499.45441050296</v>
      </c>
      <c r="G16" s="150" t="s">
        <v>1024</v>
      </c>
      <c r="H16" s="153">
        <f t="shared" si="0"/>
        <v>3499.45441050296</v>
      </c>
      <c r="I16" s="165"/>
    </row>
    <row r="17" ht="30" customHeight="1" spans="1:9">
      <c r="A17" s="150">
        <v>12</v>
      </c>
      <c r="B17" s="151" t="s">
        <v>1026</v>
      </c>
      <c r="C17" s="150" t="s">
        <v>1033</v>
      </c>
      <c r="D17" s="150" t="s">
        <v>1034</v>
      </c>
      <c r="E17" s="150">
        <f>打纽扣!A12</f>
        <v>4</v>
      </c>
      <c r="F17" s="152">
        <f>打纽扣!AG13</f>
        <v>594.457538461537</v>
      </c>
      <c r="G17" s="150" t="s">
        <v>1024</v>
      </c>
      <c r="H17" s="153">
        <f t="shared" si="0"/>
        <v>594.457538461537</v>
      </c>
      <c r="I17" s="165"/>
    </row>
    <row r="18" ht="30" customHeight="1" spans="1:9">
      <c r="A18" s="150">
        <v>13</v>
      </c>
      <c r="B18" s="151" t="s">
        <v>1026</v>
      </c>
      <c r="C18" s="150" t="s">
        <v>973</v>
      </c>
      <c r="D18" s="150" t="s">
        <v>973</v>
      </c>
      <c r="E18" s="150">
        <f>QA!A19</f>
        <v>11</v>
      </c>
      <c r="F18" s="152">
        <f>QA!AG20</f>
        <v>1744.22868934911</v>
      </c>
      <c r="G18" s="150" t="s">
        <v>1024</v>
      </c>
      <c r="H18" s="153">
        <f t="shared" si="0"/>
        <v>1744.22868934911</v>
      </c>
      <c r="I18" s="165"/>
    </row>
    <row r="19" ht="30" customHeight="1" spans="1:9">
      <c r="A19" s="150">
        <v>14</v>
      </c>
      <c r="B19" s="151" t="s">
        <v>1026</v>
      </c>
      <c r="C19" s="154" t="s">
        <v>1048</v>
      </c>
      <c r="D19" s="150" t="s">
        <v>973</v>
      </c>
      <c r="E19" s="150">
        <v>0</v>
      </c>
      <c r="F19" s="152">
        <v>68.4</v>
      </c>
      <c r="G19" s="150" t="s">
        <v>1024</v>
      </c>
      <c r="H19" s="153">
        <f t="shared" si="0"/>
        <v>68.4</v>
      </c>
      <c r="I19" s="165"/>
    </row>
    <row r="20" ht="30" customHeight="1" spans="1:9">
      <c r="A20" s="150">
        <v>15</v>
      </c>
      <c r="B20" s="151" t="s">
        <v>1026</v>
      </c>
      <c r="C20" s="154" t="s">
        <v>1049</v>
      </c>
      <c r="D20" s="150" t="s">
        <v>973</v>
      </c>
      <c r="E20" s="150">
        <v>1</v>
      </c>
      <c r="F20" s="152">
        <v>1000</v>
      </c>
      <c r="G20" s="150" t="s">
        <v>1024</v>
      </c>
      <c r="H20" s="153">
        <f t="shared" si="0"/>
        <v>1000</v>
      </c>
      <c r="I20" s="165"/>
    </row>
    <row r="21" ht="33" customHeight="1" spans="1:9">
      <c r="A21" s="155" t="s">
        <v>1043</v>
      </c>
      <c r="B21" s="156"/>
      <c r="C21" s="157"/>
      <c r="D21" s="157"/>
      <c r="E21" s="158">
        <f>SUM(E6:E20)</f>
        <v>205</v>
      </c>
      <c r="F21" s="159">
        <f>SUM(F6:F20)</f>
        <v>34482.1624162969</v>
      </c>
      <c r="G21" s="158" t="s">
        <v>1024</v>
      </c>
      <c r="H21" s="159">
        <f>SUM(H6:H20)</f>
        <v>34482.1624162969</v>
      </c>
      <c r="I21" s="166"/>
    </row>
    <row r="22" customFormat="1"/>
    <row r="23" spans="2:9">
      <c r="B23" s="160" t="s">
        <v>1044</v>
      </c>
      <c r="C23" s="160"/>
      <c r="D23" s="160"/>
      <c r="F23" s="160" t="s">
        <v>1045</v>
      </c>
      <c r="I23" s="160" t="s">
        <v>1046</v>
      </c>
    </row>
  </sheetData>
  <mergeCells count="5">
    <mergeCell ref="A1:I1"/>
    <mergeCell ref="A2:I2"/>
    <mergeCell ref="A3:I3"/>
    <mergeCell ref="A4:I4"/>
    <mergeCell ref="A21:C21"/>
  </mergeCells>
  <pageMargins left="0.196527777777778" right="0.156944444444444" top="0.354166666666667" bottom="0.275" header="0.275" footer="0.11805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P213"/>
  <sheetViews>
    <sheetView tabSelected="1" zoomScale="130" zoomScaleNormal="130" workbookViewId="0">
      <selection activeCell="M20" sqref="M20"/>
    </sheetView>
  </sheetViews>
  <sheetFormatPr defaultColWidth="9" defaultRowHeight="13.5"/>
  <cols>
    <col min="1" max="1" width="2.49166666666667" style="6" customWidth="1"/>
    <col min="2" max="2" width="8.21666666666667" style="6" customWidth="1"/>
    <col min="3" max="3" width="9.025" style="6" customWidth="1"/>
    <col min="4" max="4" width="10.775" style="6" customWidth="1"/>
    <col min="5" max="5" width="7.75" style="6" customWidth="1"/>
    <col min="6" max="6" width="3.03333333333333" style="6" customWidth="1"/>
    <col min="7" max="7" width="2.39166666666667" style="6" customWidth="1"/>
    <col min="8" max="8" width="3.69166666666667" style="6" customWidth="1"/>
    <col min="9" max="11" width="4.78333333333333" style="6" customWidth="1"/>
    <col min="12" max="13" width="5.575" customWidth="1"/>
    <col min="14" max="14" width="4.025" customWidth="1"/>
    <col min="15" max="15" width="4.25833333333333" customWidth="1"/>
    <col min="16" max="16" width="2.28333333333333" customWidth="1"/>
    <col min="17" max="17" width="3.25833333333333" customWidth="1"/>
    <col min="18" max="18" width="2.71666666666667" customWidth="1"/>
    <col min="19" max="19" width="4.55833333333333" customWidth="1"/>
    <col min="20" max="20" width="3.83333333333333" customWidth="1"/>
    <col min="21" max="21" width="3.90833333333333" customWidth="1"/>
    <col min="22" max="23" width="4.66666666666667" customWidth="1"/>
    <col min="24" max="24" width="4.35" customWidth="1"/>
    <col min="25" max="25" width="2.93333333333333" customWidth="1"/>
    <col min="26" max="26" width="5.09166666666667" customWidth="1"/>
    <col min="27" max="27" width="4.80833333333333" customWidth="1"/>
    <col min="28" max="28" width="5.96666666666667" customWidth="1"/>
    <col min="29" max="29" width="3.25833333333333" customWidth="1"/>
    <col min="30" max="30" width="3.04166666666667" customWidth="1"/>
    <col min="31" max="31" width="5.43333333333333" customWidth="1"/>
    <col min="32" max="32" width="7.20833333333333" customWidth="1"/>
    <col min="33" max="33" width="7.3" customWidth="1"/>
    <col min="34" max="34" width="12.8166666666667" hidden="1" customWidth="1"/>
    <col min="35" max="35" width="1.54166666666667" hidden="1" customWidth="1"/>
    <col min="36" max="36" width="9.59166666666667" customWidth="1"/>
  </cols>
  <sheetData>
    <row r="1" ht="27.95" customHeight="1" spans="1:3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ht="18.95" customHeight="1" spans="1:3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ht="15.95" customHeight="1" spans="1:3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ht="15.95" customHeight="1" spans="1:36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="1" customFormat="1" ht="14.1" customHeight="1" spans="1:36">
      <c r="A5" s="10" t="s">
        <v>4</v>
      </c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56" t="s">
        <v>5</v>
      </c>
      <c r="AF5" s="56"/>
      <c r="AG5" s="56"/>
      <c r="AH5" s="56"/>
      <c r="AI5" s="56"/>
      <c r="AJ5" s="56"/>
    </row>
    <row r="6" s="2" customFormat="1" ht="35" customHeight="1" spans="1:36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1050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1051</v>
      </c>
      <c r="AD6" s="29" t="s">
        <v>32</v>
      </c>
      <c r="AE6" s="29" t="s">
        <v>1052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</row>
    <row r="7" s="3" customFormat="1" ht="12" customHeight="1" spans="1:36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1053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</row>
    <row r="8" s="4" customFormat="1" ht="11" customHeight="1" spans="1:36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</row>
    <row r="9" s="77" customFormat="1" ht="19" customHeight="1" spans="1:36">
      <c r="A9" s="19">
        <v>1</v>
      </c>
      <c r="B9" s="85" t="s">
        <v>93</v>
      </c>
      <c r="C9" s="81" t="s">
        <v>94</v>
      </c>
      <c r="D9" s="81" t="s">
        <v>95</v>
      </c>
      <c r="E9" s="127">
        <v>44642</v>
      </c>
      <c r="F9" s="85" t="s">
        <v>96</v>
      </c>
      <c r="G9" s="85" t="s">
        <v>97</v>
      </c>
      <c r="H9" s="85" t="s">
        <v>98</v>
      </c>
      <c r="I9" s="85">
        <v>26</v>
      </c>
      <c r="J9" s="85">
        <f t="shared" ref="J9:J72" si="0">26-I9</f>
        <v>0</v>
      </c>
      <c r="K9" s="85">
        <v>200</v>
      </c>
      <c r="L9" s="86">
        <f t="shared" ref="L9:L72" si="1">K9/26*I9</f>
        <v>200</v>
      </c>
      <c r="M9" s="86">
        <f t="shared" ref="M9:M72" si="2">K9/26*J9</f>
        <v>0</v>
      </c>
      <c r="N9" s="85">
        <v>0</v>
      </c>
      <c r="O9" s="85">
        <f t="shared" ref="O9:O16" si="3">K9/26/8*1.5*N9</f>
        <v>0</v>
      </c>
      <c r="P9" s="85">
        <v>0</v>
      </c>
      <c r="Q9" s="85">
        <f t="shared" ref="Q9:Q72" si="4">K9/26*2*P9</f>
        <v>0</v>
      </c>
      <c r="R9" s="85">
        <v>0</v>
      </c>
      <c r="S9" s="85">
        <f t="shared" ref="S9:S52" si="5">10/26*I9</f>
        <v>10</v>
      </c>
      <c r="T9" s="85">
        <v>0</v>
      </c>
      <c r="U9" s="85">
        <v>0</v>
      </c>
      <c r="V9" s="86">
        <v>10</v>
      </c>
      <c r="W9" s="86">
        <v>0</v>
      </c>
      <c r="X9" s="86">
        <v>0</v>
      </c>
      <c r="Y9" s="85">
        <v>0</v>
      </c>
      <c r="Z9" s="85">
        <f>VLOOKUP(B9,'[3]Annual Leave '!$B$7:$N$98,13,0)</f>
        <v>32.61</v>
      </c>
      <c r="AA9" s="85">
        <f>VLOOKUP(B9,'[3]Annual Leave '!$B$7:$Q$98,15,0)</f>
        <v>37.6286982248521</v>
      </c>
      <c r="AB9" s="86">
        <f t="shared" ref="AB9:AB27" si="6">SUM(L9++O9+Q9+S9+T9+U9+V9+X9+Y9+Z9+AA9+W9)</f>
        <v>290.238698224852</v>
      </c>
      <c r="AC9" s="19">
        <f>17467/4000</f>
        <v>4.36675</v>
      </c>
      <c r="AD9" s="85">
        <v>0</v>
      </c>
      <c r="AE9" s="85">
        <f>VLOOKUP(B9,'[1]OF-10'!$E$7:$K$25,7,0)</f>
        <v>100</v>
      </c>
      <c r="AF9" s="85">
        <f t="shared" ref="AF9:AF72" si="7">SUM(AC9:AE9)</f>
        <v>104.36675</v>
      </c>
      <c r="AG9" s="86">
        <f>ROUND(AB9-AF9,2)</f>
        <v>185.87</v>
      </c>
      <c r="AH9" s="129"/>
      <c r="AI9" s="130"/>
      <c r="AJ9" s="74"/>
    </row>
    <row r="10" s="5" customFormat="1" ht="19" customHeight="1" spans="1:36">
      <c r="A10" s="19">
        <v>2</v>
      </c>
      <c r="B10" s="19" t="s">
        <v>105</v>
      </c>
      <c r="C10" s="20" t="s">
        <v>106</v>
      </c>
      <c r="D10" s="20" t="s">
        <v>107</v>
      </c>
      <c r="E10" s="21">
        <v>44669</v>
      </c>
      <c r="F10" s="19" t="s">
        <v>108</v>
      </c>
      <c r="G10" s="19" t="s">
        <v>97</v>
      </c>
      <c r="H10" s="20" t="s">
        <v>109</v>
      </c>
      <c r="I10" s="19">
        <v>25.5</v>
      </c>
      <c r="J10" s="85">
        <f t="shared" si="0"/>
        <v>0.5</v>
      </c>
      <c r="K10" s="19">
        <v>200</v>
      </c>
      <c r="L10" s="36">
        <f t="shared" si="1"/>
        <v>196.153846153846</v>
      </c>
      <c r="M10" s="36">
        <f t="shared" si="2"/>
        <v>3.84615384615385</v>
      </c>
      <c r="N10" s="19">
        <v>0</v>
      </c>
      <c r="O10" s="19">
        <f t="shared" si="3"/>
        <v>0</v>
      </c>
      <c r="P10" s="19">
        <v>0</v>
      </c>
      <c r="Q10" s="19">
        <f t="shared" si="4"/>
        <v>0</v>
      </c>
      <c r="R10" s="19">
        <v>0</v>
      </c>
      <c r="S10" s="85">
        <f t="shared" si="5"/>
        <v>9.80769230769231</v>
      </c>
      <c r="T10" s="19">
        <v>39.3</v>
      </c>
      <c r="U10" s="19">
        <v>80</v>
      </c>
      <c r="V10" s="86">
        <v>10</v>
      </c>
      <c r="W10" s="36">
        <v>0</v>
      </c>
      <c r="X10" s="36">
        <v>8</v>
      </c>
      <c r="Y10" s="19">
        <v>0</v>
      </c>
      <c r="Z10" s="85">
        <v>0</v>
      </c>
      <c r="AA10" s="85">
        <v>0</v>
      </c>
      <c r="AB10" s="86">
        <f t="shared" si="6"/>
        <v>343.261538461538</v>
      </c>
      <c r="AC10" s="19">
        <f t="shared" ref="AC10:AC19" si="8">24000/4000</f>
        <v>6</v>
      </c>
      <c r="AD10" s="85">
        <v>0</v>
      </c>
      <c r="AE10" s="85">
        <f>VLOOKUP(B10,'[1]OF-10'!$E$7:$K$25,7,0)</f>
        <v>100</v>
      </c>
      <c r="AF10" s="85">
        <f t="shared" si="7"/>
        <v>106</v>
      </c>
      <c r="AG10" s="86">
        <f>ROUND(AB10-AF10,2)</f>
        <v>237.26</v>
      </c>
      <c r="AH10" s="129"/>
      <c r="AI10" s="130"/>
      <c r="AJ10" s="74"/>
    </row>
    <row r="11" s="5" customFormat="1" ht="19" customHeight="1" spans="1:36">
      <c r="A11" s="19">
        <v>3</v>
      </c>
      <c r="B11" s="19" t="s">
        <v>112</v>
      </c>
      <c r="C11" s="20" t="s">
        <v>113</v>
      </c>
      <c r="D11" s="20" t="s">
        <v>114</v>
      </c>
      <c r="E11" s="21">
        <v>44669</v>
      </c>
      <c r="F11" s="19" t="s">
        <v>108</v>
      </c>
      <c r="G11" s="19" t="s">
        <v>97</v>
      </c>
      <c r="H11" s="20" t="s">
        <v>109</v>
      </c>
      <c r="I11" s="19">
        <v>23</v>
      </c>
      <c r="J11" s="85">
        <f t="shared" si="0"/>
        <v>3</v>
      </c>
      <c r="K11" s="19">
        <v>200</v>
      </c>
      <c r="L11" s="36">
        <f t="shared" si="1"/>
        <v>176.923076923077</v>
      </c>
      <c r="M11" s="36">
        <f t="shared" si="2"/>
        <v>23.0769230769231</v>
      </c>
      <c r="N11" s="19">
        <v>4</v>
      </c>
      <c r="O11" s="19">
        <f t="shared" si="3"/>
        <v>5.76923076923077</v>
      </c>
      <c r="P11" s="19">
        <v>0</v>
      </c>
      <c r="Q11" s="19">
        <f t="shared" si="4"/>
        <v>0</v>
      </c>
      <c r="R11" s="19">
        <v>0</v>
      </c>
      <c r="S11" s="85">
        <f t="shared" si="5"/>
        <v>8.84615384615385</v>
      </c>
      <c r="T11" s="19">
        <v>33.84</v>
      </c>
      <c r="U11" s="19">
        <v>72</v>
      </c>
      <c r="V11" s="86">
        <v>10</v>
      </c>
      <c r="W11" s="36">
        <v>1</v>
      </c>
      <c r="X11" s="36">
        <v>8</v>
      </c>
      <c r="Y11" s="19">
        <v>0</v>
      </c>
      <c r="Z11" s="85">
        <v>0</v>
      </c>
      <c r="AA11" s="85">
        <v>0</v>
      </c>
      <c r="AB11" s="86">
        <f t="shared" si="6"/>
        <v>316.378461538462</v>
      </c>
      <c r="AC11" s="19">
        <f t="shared" si="8"/>
        <v>6</v>
      </c>
      <c r="AD11" s="85">
        <v>0</v>
      </c>
      <c r="AE11" s="85">
        <f>VLOOKUP(B11,'[1]OF-10'!$E$7:$K$25,7,0)</f>
        <v>100</v>
      </c>
      <c r="AF11" s="85">
        <f t="shared" si="7"/>
        <v>106</v>
      </c>
      <c r="AG11" s="86">
        <f t="shared" ref="AG11:AG74" si="9">ROUND(AB11-AF11,2)</f>
        <v>210.38</v>
      </c>
      <c r="AH11" s="129"/>
      <c r="AI11" s="130"/>
      <c r="AJ11" s="74"/>
    </row>
    <row r="12" s="5" customFormat="1" ht="19" customHeight="1" spans="1:36">
      <c r="A12" s="19">
        <v>4</v>
      </c>
      <c r="B12" s="19" t="s">
        <v>117</v>
      </c>
      <c r="C12" s="20" t="s">
        <v>118</v>
      </c>
      <c r="D12" s="20" t="s">
        <v>119</v>
      </c>
      <c r="E12" s="21">
        <v>44670</v>
      </c>
      <c r="F12" s="19" t="s">
        <v>108</v>
      </c>
      <c r="G12" s="19" t="s">
        <v>97</v>
      </c>
      <c r="H12" s="19" t="s">
        <v>120</v>
      </c>
      <c r="I12" s="19">
        <v>26</v>
      </c>
      <c r="J12" s="85">
        <f t="shared" si="0"/>
        <v>0</v>
      </c>
      <c r="K12" s="19">
        <v>200</v>
      </c>
      <c r="L12" s="36">
        <f t="shared" si="1"/>
        <v>200</v>
      </c>
      <c r="M12" s="36">
        <f t="shared" si="2"/>
        <v>0</v>
      </c>
      <c r="N12" s="19">
        <v>29</v>
      </c>
      <c r="O12" s="19">
        <f t="shared" si="3"/>
        <v>41.8269230769231</v>
      </c>
      <c r="P12" s="19">
        <v>0</v>
      </c>
      <c r="Q12" s="19">
        <f t="shared" si="4"/>
        <v>0</v>
      </c>
      <c r="R12" s="19">
        <v>0</v>
      </c>
      <c r="S12" s="85">
        <f t="shared" si="5"/>
        <v>10</v>
      </c>
      <c r="T12" s="19">
        <v>42</v>
      </c>
      <c r="U12" s="19">
        <v>80</v>
      </c>
      <c r="V12" s="86">
        <v>10</v>
      </c>
      <c r="W12" s="36">
        <v>7.5</v>
      </c>
      <c r="X12" s="36">
        <v>8</v>
      </c>
      <c r="Y12" s="19">
        <v>0</v>
      </c>
      <c r="Z12" s="85">
        <v>0</v>
      </c>
      <c r="AA12" s="85">
        <v>0</v>
      </c>
      <c r="AB12" s="86">
        <f t="shared" si="6"/>
        <v>399.326923076923</v>
      </c>
      <c r="AC12" s="19">
        <f t="shared" si="8"/>
        <v>6</v>
      </c>
      <c r="AD12" s="85">
        <v>2.358</v>
      </c>
      <c r="AE12" s="85">
        <f>VLOOKUP(B12,'[1]OF-10'!$E$7:$K$25,7,0)</f>
        <v>100</v>
      </c>
      <c r="AF12" s="85">
        <f t="shared" si="7"/>
        <v>108.358</v>
      </c>
      <c r="AG12" s="86">
        <f t="shared" si="9"/>
        <v>290.97</v>
      </c>
      <c r="AH12" s="129"/>
      <c r="AI12" s="130"/>
      <c r="AJ12" s="74"/>
    </row>
    <row r="13" s="5" customFormat="1" ht="19" customHeight="1" spans="1:36">
      <c r="A13" s="19">
        <v>5</v>
      </c>
      <c r="B13" s="85" t="s">
        <v>122</v>
      </c>
      <c r="C13" s="81" t="s">
        <v>123</v>
      </c>
      <c r="D13" s="81" t="s">
        <v>124</v>
      </c>
      <c r="E13" s="127">
        <v>44671</v>
      </c>
      <c r="F13" s="85" t="s">
        <v>96</v>
      </c>
      <c r="G13" s="85" t="s">
        <v>97</v>
      </c>
      <c r="H13" s="85" t="s">
        <v>125</v>
      </c>
      <c r="I13" s="85">
        <v>25</v>
      </c>
      <c r="J13" s="85">
        <f t="shared" si="0"/>
        <v>1</v>
      </c>
      <c r="K13" s="85">
        <v>200</v>
      </c>
      <c r="L13" s="86">
        <f t="shared" si="1"/>
        <v>192.307692307692</v>
      </c>
      <c r="M13" s="86">
        <f t="shared" si="2"/>
        <v>7.69230769230769</v>
      </c>
      <c r="N13" s="85">
        <v>26</v>
      </c>
      <c r="O13" s="85">
        <f t="shared" si="3"/>
        <v>37.5</v>
      </c>
      <c r="P13" s="85">
        <v>0</v>
      </c>
      <c r="Q13" s="85">
        <f t="shared" si="4"/>
        <v>0</v>
      </c>
      <c r="R13" s="85">
        <v>0</v>
      </c>
      <c r="S13" s="85">
        <f t="shared" si="5"/>
        <v>9.61538461538462</v>
      </c>
      <c r="T13" s="85">
        <v>57</v>
      </c>
      <c r="U13" s="85">
        <v>300</v>
      </c>
      <c r="V13" s="86">
        <v>10</v>
      </c>
      <c r="W13" s="36">
        <v>7</v>
      </c>
      <c r="X13" s="86">
        <v>8</v>
      </c>
      <c r="Y13" s="85">
        <v>0</v>
      </c>
      <c r="Z13" s="85">
        <v>0</v>
      </c>
      <c r="AA13" s="85">
        <v>0</v>
      </c>
      <c r="AB13" s="86">
        <f t="shared" si="6"/>
        <v>621.423076923077</v>
      </c>
      <c r="AC13" s="19">
        <f t="shared" si="8"/>
        <v>6</v>
      </c>
      <c r="AD13" s="85">
        <v>7.25</v>
      </c>
      <c r="AE13" s="85">
        <f>VLOOKUP(B13,'[1]OF-10'!$E$7:$K$25,7,0)</f>
        <v>100</v>
      </c>
      <c r="AF13" s="85">
        <f t="shared" si="7"/>
        <v>113.25</v>
      </c>
      <c r="AG13" s="86">
        <f t="shared" si="9"/>
        <v>508.17</v>
      </c>
      <c r="AH13" s="129"/>
      <c r="AI13" s="130"/>
      <c r="AJ13" s="74"/>
    </row>
    <row r="14" s="5" customFormat="1" ht="19" customHeight="1" spans="1:36">
      <c r="A14" s="19">
        <v>6</v>
      </c>
      <c r="B14" s="19" t="s">
        <v>128</v>
      </c>
      <c r="C14" s="20" t="s">
        <v>129</v>
      </c>
      <c r="D14" s="20" t="s">
        <v>130</v>
      </c>
      <c r="E14" s="21">
        <v>44673</v>
      </c>
      <c r="F14" s="19" t="s">
        <v>108</v>
      </c>
      <c r="G14" s="19" t="s">
        <v>97</v>
      </c>
      <c r="H14" s="19" t="s">
        <v>131</v>
      </c>
      <c r="I14" s="19">
        <v>25</v>
      </c>
      <c r="J14" s="85">
        <f t="shared" si="0"/>
        <v>1</v>
      </c>
      <c r="K14" s="19">
        <v>200</v>
      </c>
      <c r="L14" s="36">
        <f t="shared" si="1"/>
        <v>192.307692307692</v>
      </c>
      <c r="M14" s="36">
        <f t="shared" si="2"/>
        <v>7.69230769230769</v>
      </c>
      <c r="N14" s="19">
        <v>0</v>
      </c>
      <c r="O14" s="19">
        <f t="shared" si="3"/>
        <v>0</v>
      </c>
      <c r="P14" s="19">
        <v>0</v>
      </c>
      <c r="Q14" s="19">
        <f t="shared" si="4"/>
        <v>0</v>
      </c>
      <c r="R14" s="19">
        <v>0</v>
      </c>
      <c r="S14" s="85">
        <f t="shared" si="5"/>
        <v>9.61538461538462</v>
      </c>
      <c r="T14" s="19">
        <v>36.61</v>
      </c>
      <c r="U14" s="19">
        <v>80</v>
      </c>
      <c r="V14" s="86">
        <v>10</v>
      </c>
      <c r="W14" s="36">
        <v>0</v>
      </c>
      <c r="X14" s="36">
        <v>8</v>
      </c>
      <c r="Y14" s="19">
        <v>0</v>
      </c>
      <c r="Z14" s="85">
        <v>0</v>
      </c>
      <c r="AA14" s="85">
        <v>0</v>
      </c>
      <c r="AB14" s="86">
        <f t="shared" si="6"/>
        <v>336.533076923077</v>
      </c>
      <c r="AC14" s="19">
        <f t="shared" si="8"/>
        <v>6</v>
      </c>
      <c r="AD14" s="85">
        <v>0</v>
      </c>
      <c r="AE14" s="85">
        <f>VLOOKUP(B14,'[1]OF-10'!$E$7:$K$25,7,0)</f>
        <v>100</v>
      </c>
      <c r="AF14" s="85">
        <f t="shared" si="7"/>
        <v>106</v>
      </c>
      <c r="AG14" s="86">
        <f t="shared" si="9"/>
        <v>230.53</v>
      </c>
      <c r="AH14" s="129"/>
      <c r="AI14" s="130"/>
      <c r="AJ14" s="74"/>
    </row>
    <row r="15" s="5" customFormat="1" ht="19" customHeight="1" spans="1:36">
      <c r="A15" s="19">
        <v>7</v>
      </c>
      <c r="B15" s="19" t="s">
        <v>133</v>
      </c>
      <c r="C15" s="20" t="s">
        <v>134</v>
      </c>
      <c r="D15" s="20" t="s">
        <v>135</v>
      </c>
      <c r="E15" s="21">
        <v>44677</v>
      </c>
      <c r="F15" s="19" t="s">
        <v>108</v>
      </c>
      <c r="G15" s="19" t="s">
        <v>97</v>
      </c>
      <c r="H15" s="19" t="s">
        <v>131</v>
      </c>
      <c r="I15" s="19">
        <v>24.5</v>
      </c>
      <c r="J15" s="85">
        <f t="shared" si="0"/>
        <v>1.5</v>
      </c>
      <c r="K15" s="19">
        <v>200</v>
      </c>
      <c r="L15" s="36">
        <f t="shared" si="1"/>
        <v>188.461538461538</v>
      </c>
      <c r="M15" s="36">
        <f t="shared" si="2"/>
        <v>11.5384615384615</v>
      </c>
      <c r="N15" s="19">
        <v>2</v>
      </c>
      <c r="O15" s="19">
        <f t="shared" si="3"/>
        <v>2.88461538461538</v>
      </c>
      <c r="P15" s="19">
        <v>0</v>
      </c>
      <c r="Q15" s="19">
        <f t="shared" si="4"/>
        <v>0</v>
      </c>
      <c r="R15" s="19">
        <v>0</v>
      </c>
      <c r="S15" s="85">
        <f t="shared" si="5"/>
        <v>9.42307692307692</v>
      </c>
      <c r="T15" s="19">
        <v>33.92</v>
      </c>
      <c r="U15" s="19">
        <v>80</v>
      </c>
      <c r="V15" s="86">
        <v>10</v>
      </c>
      <c r="W15" s="36">
        <v>0.5</v>
      </c>
      <c r="X15" s="36">
        <v>8</v>
      </c>
      <c r="Y15" s="19">
        <v>0</v>
      </c>
      <c r="Z15" s="85">
        <v>0</v>
      </c>
      <c r="AA15" s="85">
        <v>0</v>
      </c>
      <c r="AB15" s="86">
        <f t="shared" si="6"/>
        <v>333.189230769231</v>
      </c>
      <c r="AC15" s="19">
        <f t="shared" si="8"/>
        <v>6</v>
      </c>
      <c r="AD15" s="85">
        <v>0</v>
      </c>
      <c r="AE15" s="85">
        <f>VLOOKUP(B15,'[1]OF-10'!$E$7:$K$25,7,0)</f>
        <v>100</v>
      </c>
      <c r="AF15" s="85">
        <f t="shared" si="7"/>
        <v>106</v>
      </c>
      <c r="AG15" s="86">
        <f t="shared" si="9"/>
        <v>227.19</v>
      </c>
      <c r="AH15" s="129"/>
      <c r="AI15" s="130"/>
      <c r="AJ15" s="74"/>
    </row>
    <row r="16" s="5" customFormat="1" ht="19" customHeight="1" spans="1:36">
      <c r="A16" s="19">
        <v>8</v>
      </c>
      <c r="B16" s="19" t="s">
        <v>137</v>
      </c>
      <c r="C16" s="20" t="s">
        <v>138</v>
      </c>
      <c r="D16" s="20" t="s">
        <v>139</v>
      </c>
      <c r="E16" s="21">
        <v>44713</v>
      </c>
      <c r="F16" s="19" t="s">
        <v>108</v>
      </c>
      <c r="G16" s="19" t="s">
        <v>97</v>
      </c>
      <c r="H16" s="19" t="s">
        <v>140</v>
      </c>
      <c r="I16" s="19">
        <v>26</v>
      </c>
      <c r="J16" s="85">
        <f t="shared" si="0"/>
        <v>0</v>
      </c>
      <c r="K16" s="19">
        <v>200</v>
      </c>
      <c r="L16" s="36">
        <f t="shared" si="1"/>
        <v>200</v>
      </c>
      <c r="M16" s="36">
        <f t="shared" si="2"/>
        <v>0</v>
      </c>
      <c r="N16" s="19">
        <v>29</v>
      </c>
      <c r="O16" s="19">
        <f t="shared" si="3"/>
        <v>41.8269230769231</v>
      </c>
      <c r="P16" s="19">
        <v>0</v>
      </c>
      <c r="Q16" s="19">
        <f t="shared" si="4"/>
        <v>0</v>
      </c>
      <c r="R16" s="19">
        <v>0</v>
      </c>
      <c r="S16" s="85">
        <f t="shared" si="5"/>
        <v>10</v>
      </c>
      <c r="T16" s="19">
        <v>42</v>
      </c>
      <c r="U16" s="19">
        <v>80</v>
      </c>
      <c r="V16" s="86">
        <v>10</v>
      </c>
      <c r="W16" s="36">
        <v>7.25</v>
      </c>
      <c r="X16" s="36">
        <v>8</v>
      </c>
      <c r="Y16" s="19">
        <v>0</v>
      </c>
      <c r="Z16" s="85">
        <v>0</v>
      </c>
      <c r="AA16" s="85">
        <v>0</v>
      </c>
      <c r="AB16" s="86">
        <f t="shared" si="6"/>
        <v>399.076923076923</v>
      </c>
      <c r="AC16" s="19">
        <f t="shared" si="8"/>
        <v>6</v>
      </c>
      <c r="AD16" s="85">
        <v>8.36</v>
      </c>
      <c r="AE16" s="85">
        <f>VLOOKUP(B16,'[1]OF-10'!$E$7:$K$25,7,0)</f>
        <v>100</v>
      </c>
      <c r="AF16" s="85">
        <f t="shared" si="7"/>
        <v>114.36</v>
      </c>
      <c r="AG16" s="86">
        <f t="shared" si="9"/>
        <v>284.72</v>
      </c>
      <c r="AH16" s="129"/>
      <c r="AI16" s="130"/>
      <c r="AJ16" s="74"/>
    </row>
    <row r="17" s="5" customFormat="1" ht="19" customHeight="1" spans="1:36">
      <c r="A17" s="19">
        <v>9</v>
      </c>
      <c r="B17" s="85" t="s">
        <v>143</v>
      </c>
      <c r="C17" s="81" t="s">
        <v>144</v>
      </c>
      <c r="D17" s="81" t="s">
        <v>145</v>
      </c>
      <c r="E17" s="127">
        <v>44719</v>
      </c>
      <c r="F17" s="85" t="s">
        <v>108</v>
      </c>
      <c r="G17" s="85" t="s">
        <v>97</v>
      </c>
      <c r="H17" s="85" t="s">
        <v>146</v>
      </c>
      <c r="I17" s="85">
        <v>26</v>
      </c>
      <c r="J17" s="85">
        <f t="shared" si="0"/>
        <v>0</v>
      </c>
      <c r="K17" s="85">
        <v>200</v>
      </c>
      <c r="L17" s="86">
        <f t="shared" si="1"/>
        <v>200</v>
      </c>
      <c r="M17" s="86">
        <f t="shared" si="2"/>
        <v>0</v>
      </c>
      <c r="N17" s="85">
        <v>33</v>
      </c>
      <c r="O17" s="85">
        <f>1*N17</f>
        <v>33</v>
      </c>
      <c r="P17" s="85">
        <v>0</v>
      </c>
      <c r="Q17" s="85">
        <f t="shared" si="4"/>
        <v>0</v>
      </c>
      <c r="R17" s="85">
        <v>0</v>
      </c>
      <c r="S17" s="85">
        <f t="shared" si="5"/>
        <v>10</v>
      </c>
      <c r="T17" s="85">
        <v>42</v>
      </c>
      <c r="U17" s="85">
        <v>80</v>
      </c>
      <c r="V17" s="86">
        <v>10</v>
      </c>
      <c r="W17" s="36">
        <v>0</v>
      </c>
      <c r="X17" s="86">
        <v>8</v>
      </c>
      <c r="Y17" s="85">
        <v>0</v>
      </c>
      <c r="Z17" s="85">
        <v>0</v>
      </c>
      <c r="AA17" s="85">
        <v>0</v>
      </c>
      <c r="AB17" s="86">
        <f t="shared" si="6"/>
        <v>383</v>
      </c>
      <c r="AC17" s="19">
        <f t="shared" si="8"/>
        <v>6</v>
      </c>
      <c r="AD17" s="85">
        <v>3.62</v>
      </c>
      <c r="AE17" s="85">
        <f>VLOOKUP(B17,'[1]OF-10'!$E$7:$K$25,7,0)</f>
        <v>100</v>
      </c>
      <c r="AF17" s="85">
        <f t="shared" si="7"/>
        <v>109.62</v>
      </c>
      <c r="AG17" s="86">
        <f t="shared" si="9"/>
        <v>273.38</v>
      </c>
      <c r="AH17" s="129"/>
      <c r="AI17" s="130"/>
      <c r="AJ17" s="74"/>
    </row>
    <row r="18" s="5" customFormat="1" ht="19" customHeight="1" spans="1:36">
      <c r="A18" s="19">
        <v>10</v>
      </c>
      <c r="B18" s="19" t="s">
        <v>148</v>
      </c>
      <c r="C18" s="20" t="s">
        <v>149</v>
      </c>
      <c r="D18" s="20" t="s">
        <v>150</v>
      </c>
      <c r="E18" s="21">
        <v>44726</v>
      </c>
      <c r="F18" s="19" t="s">
        <v>108</v>
      </c>
      <c r="G18" s="19" t="s">
        <v>97</v>
      </c>
      <c r="H18" s="19" t="s">
        <v>131</v>
      </c>
      <c r="I18" s="19">
        <v>25.5</v>
      </c>
      <c r="J18" s="85">
        <f t="shared" si="0"/>
        <v>0.5</v>
      </c>
      <c r="K18" s="19">
        <v>200</v>
      </c>
      <c r="L18" s="36">
        <f t="shared" si="1"/>
        <v>196.153846153846</v>
      </c>
      <c r="M18" s="36">
        <f t="shared" si="2"/>
        <v>3.84615384615385</v>
      </c>
      <c r="N18" s="19">
        <v>15</v>
      </c>
      <c r="O18" s="19">
        <f t="shared" ref="O18:O81" si="10">K18/26/8*1.5*N18</f>
        <v>21.6346153846154</v>
      </c>
      <c r="P18" s="19">
        <v>0</v>
      </c>
      <c r="Q18" s="19">
        <f t="shared" si="4"/>
        <v>0</v>
      </c>
      <c r="R18" s="19">
        <v>0</v>
      </c>
      <c r="S18" s="85">
        <f t="shared" si="5"/>
        <v>9.80769230769231</v>
      </c>
      <c r="T18" s="19">
        <v>39.3</v>
      </c>
      <c r="U18" s="19">
        <v>80</v>
      </c>
      <c r="V18" s="86">
        <v>10</v>
      </c>
      <c r="W18" s="36">
        <v>4</v>
      </c>
      <c r="X18" s="36">
        <v>8</v>
      </c>
      <c r="Y18" s="19">
        <v>0</v>
      </c>
      <c r="Z18" s="85">
        <f>VLOOKUP(B18,'[3]Annual Leave '!$B$7:$N$98,13,0)</f>
        <v>56.08</v>
      </c>
      <c r="AA18" s="85">
        <f>VLOOKUP(B18,'[3]Annual Leave '!$B$7:$Q$98,15,0)</f>
        <v>64.7081360946745</v>
      </c>
      <c r="AB18" s="86">
        <f t="shared" si="6"/>
        <v>489.684289940828</v>
      </c>
      <c r="AC18" s="19">
        <f t="shared" si="8"/>
        <v>6</v>
      </c>
      <c r="AD18" s="85">
        <v>0</v>
      </c>
      <c r="AE18" s="85">
        <f>VLOOKUP(B18,'[1]OF-10'!$E$7:$K$25,7,0)</f>
        <v>100</v>
      </c>
      <c r="AF18" s="85">
        <f t="shared" si="7"/>
        <v>106</v>
      </c>
      <c r="AG18" s="86">
        <f t="shared" si="9"/>
        <v>383.68</v>
      </c>
      <c r="AH18" s="129"/>
      <c r="AI18" s="130"/>
      <c r="AJ18" s="74"/>
    </row>
    <row r="19" s="5" customFormat="1" ht="19" customHeight="1" spans="1:36">
      <c r="A19" s="19">
        <v>11</v>
      </c>
      <c r="B19" s="19" t="s">
        <v>154</v>
      </c>
      <c r="C19" s="20" t="s">
        <v>155</v>
      </c>
      <c r="D19" s="20" t="s">
        <v>156</v>
      </c>
      <c r="E19" s="21">
        <v>44743</v>
      </c>
      <c r="F19" s="19" t="s">
        <v>96</v>
      </c>
      <c r="G19" s="19" t="s">
        <v>97</v>
      </c>
      <c r="H19" s="19" t="s">
        <v>157</v>
      </c>
      <c r="I19" s="19">
        <v>26</v>
      </c>
      <c r="J19" s="85">
        <f t="shared" si="0"/>
        <v>0</v>
      </c>
      <c r="K19" s="19">
        <v>200</v>
      </c>
      <c r="L19" s="36">
        <f t="shared" si="1"/>
        <v>200</v>
      </c>
      <c r="M19" s="36">
        <f t="shared" si="2"/>
        <v>0</v>
      </c>
      <c r="N19" s="19">
        <v>5.5</v>
      </c>
      <c r="O19" s="19">
        <f t="shared" si="10"/>
        <v>7.93269230769231</v>
      </c>
      <c r="P19" s="19">
        <v>0</v>
      </c>
      <c r="Q19" s="19">
        <f t="shared" si="4"/>
        <v>0</v>
      </c>
      <c r="R19" s="19">
        <v>0</v>
      </c>
      <c r="S19" s="85">
        <f t="shared" si="5"/>
        <v>10</v>
      </c>
      <c r="T19" s="19">
        <v>72</v>
      </c>
      <c r="U19" s="19">
        <v>150</v>
      </c>
      <c r="V19" s="86">
        <v>10</v>
      </c>
      <c r="W19" s="36">
        <v>2</v>
      </c>
      <c r="X19" s="36">
        <v>8</v>
      </c>
      <c r="Y19" s="19">
        <v>0</v>
      </c>
      <c r="Z19" s="85">
        <f>VLOOKUP(B19,'[3]Annual Leave '!$B$7:$N$98,13,0)</f>
        <v>69.33</v>
      </c>
      <c r="AA19" s="85">
        <f>VLOOKUP(B19,'[3]Annual Leave '!$B$7:$Q$98,15,0)</f>
        <v>79.9942677514793</v>
      </c>
      <c r="AB19" s="86">
        <f t="shared" si="6"/>
        <v>609.256960059172</v>
      </c>
      <c r="AC19" s="19">
        <f t="shared" si="8"/>
        <v>6</v>
      </c>
      <c r="AD19" s="85">
        <v>4.58</v>
      </c>
      <c r="AE19" s="85">
        <f>VLOOKUP(B19,'[1]OF-10'!$E$7:$K$25,7,0)</f>
        <v>100</v>
      </c>
      <c r="AF19" s="85">
        <f t="shared" si="7"/>
        <v>110.58</v>
      </c>
      <c r="AG19" s="86">
        <f t="shared" si="9"/>
        <v>498.68</v>
      </c>
      <c r="AH19" s="129"/>
      <c r="AI19" s="130"/>
      <c r="AJ19" s="74"/>
    </row>
    <row r="20" s="5" customFormat="1" ht="19" customHeight="1" spans="1:36">
      <c r="A20" s="19">
        <v>12</v>
      </c>
      <c r="B20" s="19" t="s">
        <v>160</v>
      </c>
      <c r="C20" s="20" t="s">
        <v>161</v>
      </c>
      <c r="D20" s="20" t="s">
        <v>162</v>
      </c>
      <c r="E20" s="21">
        <v>44743</v>
      </c>
      <c r="F20" s="19" t="s">
        <v>96</v>
      </c>
      <c r="G20" s="19" t="s">
        <v>97</v>
      </c>
      <c r="H20" s="19" t="s">
        <v>140</v>
      </c>
      <c r="I20" s="19">
        <v>26</v>
      </c>
      <c r="J20" s="85">
        <f t="shared" si="0"/>
        <v>0</v>
      </c>
      <c r="K20" s="19">
        <v>200</v>
      </c>
      <c r="L20" s="36">
        <f t="shared" si="1"/>
        <v>200</v>
      </c>
      <c r="M20" s="36">
        <f t="shared" si="2"/>
        <v>0</v>
      </c>
      <c r="N20" s="19">
        <v>12</v>
      </c>
      <c r="O20" s="19">
        <f t="shared" si="10"/>
        <v>17.3076923076923</v>
      </c>
      <c r="P20" s="19">
        <v>0</v>
      </c>
      <c r="Q20" s="19">
        <f t="shared" si="4"/>
        <v>0</v>
      </c>
      <c r="R20" s="19">
        <v>0</v>
      </c>
      <c r="S20" s="85">
        <f t="shared" si="5"/>
        <v>10</v>
      </c>
      <c r="T20" s="19">
        <v>0</v>
      </c>
      <c r="U20" s="19">
        <v>0</v>
      </c>
      <c r="V20" s="86">
        <v>10</v>
      </c>
      <c r="W20" s="36">
        <v>3</v>
      </c>
      <c r="X20" s="36">
        <v>8</v>
      </c>
      <c r="Y20" s="19">
        <v>0</v>
      </c>
      <c r="Z20" s="85">
        <f>VLOOKUP(B20,'[3]Annual Leave '!$B$7:$N$98,13,0)</f>
        <v>35.01</v>
      </c>
      <c r="AA20" s="85">
        <f>VLOOKUP(B20,'[3]Annual Leave '!$B$7:$Q$98,15,0)</f>
        <v>40.4005639792899</v>
      </c>
      <c r="AB20" s="86">
        <f t="shared" si="6"/>
        <v>323.718256286982</v>
      </c>
      <c r="AC20" s="19">
        <f>17302/4000</f>
        <v>4.3255</v>
      </c>
      <c r="AD20" s="85">
        <v>0</v>
      </c>
      <c r="AE20" s="85">
        <f>VLOOKUP(B20,'[1]OF-10'!$E$7:$K$25,7,0)</f>
        <v>100</v>
      </c>
      <c r="AF20" s="85">
        <f t="shared" si="7"/>
        <v>104.3255</v>
      </c>
      <c r="AG20" s="86">
        <f t="shared" si="9"/>
        <v>219.39</v>
      </c>
      <c r="AH20" s="129"/>
      <c r="AI20" s="130"/>
      <c r="AJ20" s="74"/>
    </row>
    <row r="21" s="5" customFormat="1" ht="19" customHeight="1" spans="1:36">
      <c r="A21" s="19">
        <v>13</v>
      </c>
      <c r="B21" s="85" t="s">
        <v>166</v>
      </c>
      <c r="C21" s="81" t="s">
        <v>167</v>
      </c>
      <c r="D21" s="81" t="s">
        <v>168</v>
      </c>
      <c r="E21" s="127">
        <v>44746</v>
      </c>
      <c r="F21" s="85" t="s">
        <v>108</v>
      </c>
      <c r="G21" s="19" t="s">
        <v>97</v>
      </c>
      <c r="H21" s="85" t="s">
        <v>169</v>
      </c>
      <c r="I21" s="19">
        <v>26</v>
      </c>
      <c r="J21" s="85">
        <f t="shared" si="0"/>
        <v>0</v>
      </c>
      <c r="K21" s="19">
        <v>200</v>
      </c>
      <c r="L21" s="36">
        <f t="shared" si="1"/>
        <v>200</v>
      </c>
      <c r="M21" s="36">
        <f t="shared" si="2"/>
        <v>0</v>
      </c>
      <c r="N21" s="19">
        <v>0</v>
      </c>
      <c r="O21" s="19">
        <f t="shared" si="10"/>
        <v>0</v>
      </c>
      <c r="P21" s="19">
        <v>0</v>
      </c>
      <c r="Q21" s="19">
        <f t="shared" si="4"/>
        <v>0</v>
      </c>
      <c r="R21" s="19">
        <v>0</v>
      </c>
      <c r="S21" s="85">
        <f t="shared" si="5"/>
        <v>10</v>
      </c>
      <c r="T21" s="19">
        <v>52</v>
      </c>
      <c r="U21" s="19">
        <v>120</v>
      </c>
      <c r="V21" s="86">
        <v>10</v>
      </c>
      <c r="W21" s="36">
        <v>0</v>
      </c>
      <c r="X21" s="36">
        <v>8</v>
      </c>
      <c r="Y21" s="19">
        <v>0</v>
      </c>
      <c r="Z21" s="85">
        <f>VLOOKUP(B21,'[3]Annual Leave '!$B$7:$N$98,13,0)</f>
        <v>60.33</v>
      </c>
      <c r="AA21" s="85">
        <f>VLOOKUP(B21,'[3]Annual Leave '!$B$7:$Q$98,15,0)</f>
        <v>61.8742603550296</v>
      </c>
      <c r="AB21" s="86">
        <f t="shared" si="6"/>
        <v>522.20426035503</v>
      </c>
      <c r="AC21" s="19">
        <f t="shared" ref="AC21:AC23" si="11">24000/4000</f>
        <v>6</v>
      </c>
      <c r="AD21" s="85">
        <v>3.37</v>
      </c>
      <c r="AE21" s="85">
        <f>VLOOKUP(B21,'[1]OF-10'!$E$7:$K$25,7,0)</f>
        <v>100</v>
      </c>
      <c r="AF21" s="85">
        <f t="shared" si="7"/>
        <v>109.37</v>
      </c>
      <c r="AG21" s="86">
        <f t="shared" si="9"/>
        <v>412.83</v>
      </c>
      <c r="AH21" s="129"/>
      <c r="AI21" s="130"/>
      <c r="AJ21" s="74"/>
    </row>
    <row r="22" s="5" customFormat="1" ht="19" customHeight="1" spans="1:36">
      <c r="A22" s="19">
        <v>14</v>
      </c>
      <c r="B22" s="85" t="s">
        <v>172</v>
      </c>
      <c r="C22" s="81" t="s">
        <v>173</v>
      </c>
      <c r="D22" s="81" t="s">
        <v>174</v>
      </c>
      <c r="E22" s="127">
        <v>44760</v>
      </c>
      <c r="F22" s="85" t="s">
        <v>96</v>
      </c>
      <c r="G22" s="19" t="s">
        <v>97</v>
      </c>
      <c r="H22" s="85" t="s">
        <v>175</v>
      </c>
      <c r="I22" s="19">
        <v>26</v>
      </c>
      <c r="J22" s="85">
        <f t="shared" si="0"/>
        <v>0</v>
      </c>
      <c r="K22" s="19">
        <v>200</v>
      </c>
      <c r="L22" s="36">
        <f t="shared" si="1"/>
        <v>200</v>
      </c>
      <c r="M22" s="36">
        <f t="shared" si="2"/>
        <v>0</v>
      </c>
      <c r="N22" s="19">
        <v>0</v>
      </c>
      <c r="O22" s="19">
        <f t="shared" si="10"/>
        <v>0</v>
      </c>
      <c r="P22" s="19">
        <v>0</v>
      </c>
      <c r="Q22" s="19">
        <f t="shared" si="4"/>
        <v>0</v>
      </c>
      <c r="R22" s="19">
        <v>0</v>
      </c>
      <c r="S22" s="85">
        <f t="shared" si="5"/>
        <v>10</v>
      </c>
      <c r="T22" s="19">
        <v>22</v>
      </c>
      <c r="U22" s="19">
        <v>50</v>
      </c>
      <c r="V22" s="86">
        <v>10</v>
      </c>
      <c r="W22" s="36">
        <v>0</v>
      </c>
      <c r="X22" s="36">
        <v>8</v>
      </c>
      <c r="Y22" s="19">
        <v>0</v>
      </c>
      <c r="Z22" s="85">
        <v>0</v>
      </c>
      <c r="AA22" s="85">
        <v>0</v>
      </c>
      <c r="AB22" s="86">
        <f t="shared" si="6"/>
        <v>300</v>
      </c>
      <c r="AC22" s="19">
        <f t="shared" si="11"/>
        <v>6</v>
      </c>
      <c r="AD22" s="85">
        <v>0</v>
      </c>
      <c r="AE22" s="85">
        <f>VLOOKUP(B22,'[1]OF-10'!$E$7:$K$25,7,0)</f>
        <v>100</v>
      </c>
      <c r="AF22" s="85">
        <f t="shared" si="7"/>
        <v>106</v>
      </c>
      <c r="AG22" s="86">
        <f t="shared" si="9"/>
        <v>194</v>
      </c>
      <c r="AH22" s="129"/>
      <c r="AI22" s="130"/>
      <c r="AJ22" s="74"/>
    </row>
    <row r="23" s="5" customFormat="1" ht="19" customHeight="1" spans="1:36">
      <c r="A23" s="19">
        <v>15</v>
      </c>
      <c r="B23" s="85" t="s">
        <v>178</v>
      </c>
      <c r="C23" s="81" t="s">
        <v>179</v>
      </c>
      <c r="D23" s="81" t="s">
        <v>180</v>
      </c>
      <c r="E23" s="127">
        <v>44805</v>
      </c>
      <c r="F23" s="85" t="s">
        <v>96</v>
      </c>
      <c r="G23" s="19" t="s">
        <v>97</v>
      </c>
      <c r="H23" s="85" t="s">
        <v>181</v>
      </c>
      <c r="I23" s="19">
        <v>26</v>
      </c>
      <c r="J23" s="85">
        <f t="shared" si="0"/>
        <v>0</v>
      </c>
      <c r="K23" s="19">
        <v>200</v>
      </c>
      <c r="L23" s="36">
        <f t="shared" si="1"/>
        <v>200</v>
      </c>
      <c r="M23" s="36">
        <f t="shared" si="2"/>
        <v>0</v>
      </c>
      <c r="N23" s="19">
        <v>0</v>
      </c>
      <c r="O23" s="19">
        <f t="shared" si="10"/>
        <v>0</v>
      </c>
      <c r="P23" s="19">
        <v>0</v>
      </c>
      <c r="Q23" s="19">
        <f t="shared" si="4"/>
        <v>0</v>
      </c>
      <c r="R23" s="19">
        <v>0</v>
      </c>
      <c r="S23" s="85">
        <f t="shared" si="5"/>
        <v>10</v>
      </c>
      <c r="T23" s="19">
        <v>0</v>
      </c>
      <c r="U23" s="19">
        <v>0</v>
      </c>
      <c r="V23" s="86">
        <v>10</v>
      </c>
      <c r="W23" s="36">
        <v>0</v>
      </c>
      <c r="X23" s="36">
        <v>8</v>
      </c>
      <c r="Y23" s="19">
        <v>0</v>
      </c>
      <c r="Z23" s="85">
        <v>0</v>
      </c>
      <c r="AA23" s="85">
        <v>0</v>
      </c>
      <c r="AB23" s="86">
        <f t="shared" si="6"/>
        <v>228</v>
      </c>
      <c r="AC23" s="19">
        <f t="shared" si="11"/>
        <v>6</v>
      </c>
      <c r="AD23" s="85">
        <v>0</v>
      </c>
      <c r="AE23" s="85">
        <f>VLOOKUP(B23,'[1]OF-10'!$E$7:$K$25,7,0)</f>
        <v>100</v>
      </c>
      <c r="AF23" s="85">
        <f t="shared" si="7"/>
        <v>106</v>
      </c>
      <c r="AG23" s="86">
        <f t="shared" si="9"/>
        <v>122</v>
      </c>
      <c r="AH23" s="129"/>
      <c r="AI23" s="130"/>
      <c r="AJ23" s="74"/>
    </row>
    <row r="24" s="5" customFormat="1" ht="19" customHeight="1" spans="1:36">
      <c r="A24" s="19">
        <v>16</v>
      </c>
      <c r="B24" s="85" t="s">
        <v>182</v>
      </c>
      <c r="C24" s="81" t="s">
        <v>183</v>
      </c>
      <c r="D24" s="81" t="s">
        <v>184</v>
      </c>
      <c r="E24" s="127">
        <v>44837</v>
      </c>
      <c r="F24" s="85" t="s">
        <v>96</v>
      </c>
      <c r="G24" s="19" t="s">
        <v>97</v>
      </c>
      <c r="H24" s="85" t="s">
        <v>181</v>
      </c>
      <c r="I24" s="19">
        <v>26</v>
      </c>
      <c r="J24" s="85">
        <f t="shared" si="0"/>
        <v>0</v>
      </c>
      <c r="K24" s="19">
        <v>200</v>
      </c>
      <c r="L24" s="36">
        <f t="shared" si="1"/>
        <v>200</v>
      </c>
      <c r="M24" s="36">
        <f t="shared" si="2"/>
        <v>0</v>
      </c>
      <c r="N24" s="19">
        <v>0</v>
      </c>
      <c r="O24" s="19">
        <f t="shared" si="10"/>
        <v>0</v>
      </c>
      <c r="P24" s="19">
        <v>0</v>
      </c>
      <c r="Q24" s="19">
        <f t="shared" si="4"/>
        <v>0</v>
      </c>
      <c r="R24" s="19">
        <v>0</v>
      </c>
      <c r="S24" s="85">
        <f t="shared" si="5"/>
        <v>10</v>
      </c>
      <c r="T24" s="19">
        <v>0</v>
      </c>
      <c r="U24" s="19">
        <v>0</v>
      </c>
      <c r="V24" s="86">
        <v>10</v>
      </c>
      <c r="W24" s="36">
        <v>0</v>
      </c>
      <c r="X24" s="36">
        <v>8</v>
      </c>
      <c r="Y24" s="19">
        <v>0</v>
      </c>
      <c r="Z24" s="85">
        <f>VLOOKUP(B24,'[3]Annual Leave '!$B$7:$N$98,13,0)</f>
        <v>34.58</v>
      </c>
      <c r="AA24" s="85">
        <f>VLOOKUP(B24,'[3]Annual Leave '!$B$7:$Q$98,15,0)</f>
        <v>39.8992233727811</v>
      </c>
      <c r="AB24" s="86">
        <f t="shared" si="6"/>
        <v>302.479223372781</v>
      </c>
      <c r="AC24" s="19">
        <f>19003/4000</f>
        <v>4.75075</v>
      </c>
      <c r="AD24" s="85">
        <v>0</v>
      </c>
      <c r="AE24" s="85">
        <f>VLOOKUP(B24,'[1]OF-10'!$E$7:$K$25,7,0)</f>
        <v>100</v>
      </c>
      <c r="AF24" s="85">
        <f t="shared" si="7"/>
        <v>104.75075</v>
      </c>
      <c r="AG24" s="86">
        <f t="shared" si="9"/>
        <v>197.73</v>
      </c>
      <c r="AH24" s="35"/>
      <c r="AI24" s="130"/>
      <c r="AJ24" s="74"/>
    </row>
    <row r="25" s="5" customFormat="1" ht="19" customHeight="1" spans="1:36">
      <c r="A25" s="19">
        <v>17</v>
      </c>
      <c r="B25" s="85" t="s">
        <v>187</v>
      </c>
      <c r="C25" s="81" t="s">
        <v>188</v>
      </c>
      <c r="D25" s="81" t="s">
        <v>189</v>
      </c>
      <c r="E25" s="127">
        <v>44886</v>
      </c>
      <c r="F25" s="85" t="s">
        <v>108</v>
      </c>
      <c r="G25" s="19" t="s">
        <v>97</v>
      </c>
      <c r="H25" s="85" t="s">
        <v>190</v>
      </c>
      <c r="I25" s="19">
        <v>20.75</v>
      </c>
      <c r="J25" s="85">
        <f t="shared" si="0"/>
        <v>5.25</v>
      </c>
      <c r="K25" s="19">
        <v>200</v>
      </c>
      <c r="L25" s="36">
        <f t="shared" si="1"/>
        <v>159.615384615385</v>
      </c>
      <c r="M25" s="36">
        <f t="shared" si="2"/>
        <v>40.3846153846154</v>
      </c>
      <c r="N25" s="19">
        <v>25</v>
      </c>
      <c r="O25" s="19">
        <f t="shared" si="10"/>
        <v>36.0576923076923</v>
      </c>
      <c r="P25" s="19">
        <v>0</v>
      </c>
      <c r="Q25" s="19">
        <f t="shared" si="4"/>
        <v>0</v>
      </c>
      <c r="R25" s="19">
        <v>0</v>
      </c>
      <c r="S25" s="85">
        <f t="shared" si="5"/>
        <v>7.98076923076923</v>
      </c>
      <c r="T25" s="19">
        <v>0</v>
      </c>
      <c r="U25" s="19">
        <v>0</v>
      </c>
      <c r="V25" s="86">
        <v>10</v>
      </c>
      <c r="W25" s="36">
        <v>7</v>
      </c>
      <c r="X25" s="36">
        <v>8</v>
      </c>
      <c r="Y25" s="19">
        <v>0</v>
      </c>
      <c r="Z25" s="85">
        <v>0</v>
      </c>
      <c r="AA25" s="85">
        <v>0</v>
      </c>
      <c r="AB25" s="86">
        <f t="shared" si="6"/>
        <v>228.653846153846</v>
      </c>
      <c r="AC25" s="19">
        <f t="shared" ref="AC25:AC27" si="12">24000/4000</f>
        <v>6</v>
      </c>
      <c r="AD25" s="85">
        <v>0</v>
      </c>
      <c r="AE25" s="85">
        <f>VLOOKUP(B25,'[1]OF-10'!$E$7:$K$25,7,0)</f>
        <v>100</v>
      </c>
      <c r="AF25" s="85">
        <f t="shared" si="7"/>
        <v>106</v>
      </c>
      <c r="AG25" s="86">
        <f t="shared" si="9"/>
        <v>122.65</v>
      </c>
      <c r="AH25" s="129"/>
      <c r="AI25" s="130"/>
      <c r="AJ25" s="74"/>
    </row>
    <row r="26" s="5" customFormat="1" ht="19" customHeight="1" spans="1:36">
      <c r="A26" s="19">
        <v>18</v>
      </c>
      <c r="B26" s="85" t="s">
        <v>191</v>
      </c>
      <c r="C26" s="81" t="s">
        <v>192</v>
      </c>
      <c r="D26" s="81" t="s">
        <v>193</v>
      </c>
      <c r="E26" s="127">
        <v>44888</v>
      </c>
      <c r="F26" s="85" t="s">
        <v>96</v>
      </c>
      <c r="G26" s="19" t="s">
        <v>97</v>
      </c>
      <c r="H26" s="85" t="s">
        <v>194</v>
      </c>
      <c r="I26" s="19">
        <v>26</v>
      </c>
      <c r="J26" s="85">
        <f t="shared" si="0"/>
        <v>0</v>
      </c>
      <c r="K26" s="19">
        <v>200</v>
      </c>
      <c r="L26" s="36">
        <f t="shared" si="1"/>
        <v>200</v>
      </c>
      <c r="M26" s="36">
        <f t="shared" si="2"/>
        <v>0</v>
      </c>
      <c r="N26" s="19">
        <v>0</v>
      </c>
      <c r="O26" s="19">
        <f t="shared" si="10"/>
        <v>0</v>
      </c>
      <c r="P26" s="19">
        <v>0</v>
      </c>
      <c r="Q26" s="19">
        <f t="shared" si="4"/>
        <v>0</v>
      </c>
      <c r="R26" s="19">
        <v>0</v>
      </c>
      <c r="S26" s="85">
        <f t="shared" si="5"/>
        <v>10</v>
      </c>
      <c r="T26" s="19">
        <v>42</v>
      </c>
      <c r="U26" s="19">
        <v>80</v>
      </c>
      <c r="V26" s="86">
        <v>10</v>
      </c>
      <c r="W26" s="36">
        <v>0</v>
      </c>
      <c r="X26" s="36">
        <v>8</v>
      </c>
      <c r="Y26" s="19">
        <v>0</v>
      </c>
      <c r="Z26" s="85">
        <v>0</v>
      </c>
      <c r="AA26" s="85">
        <v>0</v>
      </c>
      <c r="AB26" s="86">
        <f t="shared" si="6"/>
        <v>350</v>
      </c>
      <c r="AC26" s="19">
        <f t="shared" si="12"/>
        <v>6</v>
      </c>
      <c r="AD26" s="85">
        <v>0.8</v>
      </c>
      <c r="AE26" s="85">
        <f>VLOOKUP(B26,'[1]OF-10'!$E$7:$K$25,7,0)</f>
        <v>100</v>
      </c>
      <c r="AF26" s="85">
        <f t="shared" si="7"/>
        <v>106.8</v>
      </c>
      <c r="AG26" s="86">
        <f t="shared" si="9"/>
        <v>243.2</v>
      </c>
      <c r="AH26" s="35"/>
      <c r="AI26" s="130"/>
      <c r="AJ26" s="74"/>
    </row>
    <row r="27" s="5" customFormat="1" ht="19" customHeight="1" spans="1:36">
      <c r="A27" s="19">
        <v>19</v>
      </c>
      <c r="B27" s="85" t="s">
        <v>195</v>
      </c>
      <c r="C27" s="81" t="s">
        <v>196</v>
      </c>
      <c r="D27" s="81" t="s">
        <v>197</v>
      </c>
      <c r="E27" s="127">
        <v>44889</v>
      </c>
      <c r="F27" s="85" t="s">
        <v>96</v>
      </c>
      <c r="G27" s="19" t="s">
        <v>97</v>
      </c>
      <c r="H27" s="85" t="s">
        <v>198</v>
      </c>
      <c r="I27" s="19">
        <v>24.5</v>
      </c>
      <c r="J27" s="85">
        <f t="shared" si="0"/>
        <v>1.5</v>
      </c>
      <c r="K27" s="19">
        <v>200</v>
      </c>
      <c r="L27" s="36">
        <f t="shared" si="1"/>
        <v>188.461538461538</v>
      </c>
      <c r="M27" s="36">
        <f t="shared" si="2"/>
        <v>11.5384615384615</v>
      </c>
      <c r="N27" s="19">
        <v>4</v>
      </c>
      <c r="O27" s="19">
        <f t="shared" si="10"/>
        <v>5.76923076923077</v>
      </c>
      <c r="P27" s="19">
        <v>0</v>
      </c>
      <c r="Q27" s="19">
        <f t="shared" si="4"/>
        <v>0</v>
      </c>
      <c r="R27" s="19">
        <v>0</v>
      </c>
      <c r="S27" s="85">
        <f t="shared" si="5"/>
        <v>9.42307692307692</v>
      </c>
      <c r="T27" s="19">
        <v>0</v>
      </c>
      <c r="U27" s="19">
        <v>66.81</v>
      </c>
      <c r="V27" s="86">
        <v>10</v>
      </c>
      <c r="W27" s="36">
        <v>1.5</v>
      </c>
      <c r="X27" s="36">
        <v>8</v>
      </c>
      <c r="Y27" s="19">
        <v>0</v>
      </c>
      <c r="Z27" s="85">
        <v>0</v>
      </c>
      <c r="AA27" s="85">
        <v>0</v>
      </c>
      <c r="AB27" s="86">
        <f t="shared" si="6"/>
        <v>289.963846153846</v>
      </c>
      <c r="AC27" s="19">
        <f t="shared" si="12"/>
        <v>6</v>
      </c>
      <c r="AD27" s="85">
        <v>0</v>
      </c>
      <c r="AE27" s="85">
        <f>VLOOKUP(B27,'[1]OF-10'!$E$7:$K$25,7,0)</f>
        <v>100</v>
      </c>
      <c r="AF27" s="85">
        <f t="shared" si="7"/>
        <v>106</v>
      </c>
      <c r="AG27" s="86">
        <f t="shared" si="9"/>
        <v>183.96</v>
      </c>
      <c r="AH27" s="35"/>
      <c r="AI27" s="130"/>
      <c r="AJ27" s="74"/>
    </row>
    <row r="28" s="5" customFormat="1" ht="21" customHeight="1" spans="1:36">
      <c r="A28" s="19">
        <v>20</v>
      </c>
      <c r="B28" s="19" t="s">
        <v>202</v>
      </c>
      <c r="C28" s="20" t="s">
        <v>203</v>
      </c>
      <c r="D28" s="20" t="s">
        <v>204</v>
      </c>
      <c r="E28" s="21">
        <v>44709</v>
      </c>
      <c r="F28" s="19" t="s">
        <v>96</v>
      </c>
      <c r="G28" s="19" t="s">
        <v>205</v>
      </c>
      <c r="H28" s="22" t="s">
        <v>206</v>
      </c>
      <c r="I28" s="19">
        <v>23.5</v>
      </c>
      <c r="J28" s="19">
        <f t="shared" si="0"/>
        <v>2.5</v>
      </c>
      <c r="K28" s="19">
        <v>200</v>
      </c>
      <c r="L28" s="54">
        <f t="shared" si="1"/>
        <v>180.769230769231</v>
      </c>
      <c r="M28" s="84">
        <f t="shared" si="2"/>
        <v>19.2307692307692</v>
      </c>
      <c r="N28" s="19">
        <v>4</v>
      </c>
      <c r="O28" s="19">
        <f t="shared" si="10"/>
        <v>5.76923076923077</v>
      </c>
      <c r="P28" s="19">
        <v>0</v>
      </c>
      <c r="Q28" s="19">
        <f t="shared" si="4"/>
        <v>0</v>
      </c>
      <c r="R28" s="19">
        <v>0</v>
      </c>
      <c r="S28" s="19">
        <f t="shared" si="5"/>
        <v>9.03846153846154</v>
      </c>
      <c r="T28" s="19">
        <v>0</v>
      </c>
      <c r="U28" s="19">
        <v>0</v>
      </c>
      <c r="V28" s="19">
        <v>10</v>
      </c>
      <c r="W28" s="19">
        <v>1</v>
      </c>
      <c r="X28" s="19">
        <v>8</v>
      </c>
      <c r="Y28" s="19">
        <v>0</v>
      </c>
      <c r="Z28" s="19">
        <v>0</v>
      </c>
      <c r="AA28" s="19">
        <v>0</v>
      </c>
      <c r="AB28" s="36">
        <f t="shared" ref="AB28:AB91" si="13">SUM(L28+O28+Q28+R28+S28+T28+U28+V28+X28+Y28+Z28+AA28+W28)</f>
        <v>214.576923076923</v>
      </c>
      <c r="AC28" s="19">
        <f>VLOOKUP(B28,[2]Sheet1!$B$2:$L$199,11,0)/4000</f>
        <v>6</v>
      </c>
      <c r="AD28" s="19">
        <v>0</v>
      </c>
      <c r="AE28" s="19">
        <f>VLOOKUP(B28,[1]烫标!$E$7:$L$9,7,0)</f>
        <v>100</v>
      </c>
      <c r="AF28" s="19">
        <f t="shared" si="7"/>
        <v>106</v>
      </c>
      <c r="AG28" s="86">
        <f t="shared" si="9"/>
        <v>108.58</v>
      </c>
      <c r="AH28" s="35"/>
      <c r="AI28" s="130"/>
      <c r="AJ28" s="74"/>
    </row>
    <row r="29" s="77" customFormat="1" ht="18" customHeight="1" spans="1:36">
      <c r="A29" s="19">
        <v>21</v>
      </c>
      <c r="B29" s="19" t="s">
        <v>208</v>
      </c>
      <c r="C29" s="20" t="s">
        <v>209</v>
      </c>
      <c r="D29" s="20" t="s">
        <v>210</v>
      </c>
      <c r="E29" s="21">
        <v>44711</v>
      </c>
      <c r="F29" s="19" t="s">
        <v>96</v>
      </c>
      <c r="G29" s="19" t="s">
        <v>205</v>
      </c>
      <c r="H29" s="22" t="s">
        <v>206</v>
      </c>
      <c r="I29" s="19">
        <v>24.5</v>
      </c>
      <c r="J29" s="19">
        <f t="shared" si="0"/>
        <v>1.5</v>
      </c>
      <c r="K29" s="19">
        <v>200</v>
      </c>
      <c r="L29" s="54">
        <f t="shared" si="1"/>
        <v>188.461538461538</v>
      </c>
      <c r="M29" s="84">
        <f t="shared" si="2"/>
        <v>11.5384615384615</v>
      </c>
      <c r="N29" s="19">
        <v>4</v>
      </c>
      <c r="O29" s="19">
        <f t="shared" si="10"/>
        <v>5.76923076923077</v>
      </c>
      <c r="P29" s="19">
        <v>0</v>
      </c>
      <c r="Q29" s="19">
        <f t="shared" si="4"/>
        <v>0</v>
      </c>
      <c r="R29" s="19">
        <v>0</v>
      </c>
      <c r="S29" s="19">
        <f t="shared" si="5"/>
        <v>9.42307692307692</v>
      </c>
      <c r="T29" s="19">
        <v>0</v>
      </c>
      <c r="U29" s="19">
        <v>0</v>
      </c>
      <c r="V29" s="19">
        <v>10</v>
      </c>
      <c r="W29" s="19">
        <v>1</v>
      </c>
      <c r="X29" s="19">
        <v>8</v>
      </c>
      <c r="Y29" s="19">
        <v>0</v>
      </c>
      <c r="Z29" s="19">
        <v>0</v>
      </c>
      <c r="AA29" s="19">
        <v>0</v>
      </c>
      <c r="AB29" s="36">
        <f t="shared" si="13"/>
        <v>222.653846153846</v>
      </c>
      <c r="AC29" s="19">
        <f>VLOOKUP(B29,[2]Sheet1!$B$2:$L$199,11,0)/4000</f>
        <v>6</v>
      </c>
      <c r="AD29" s="19">
        <v>0</v>
      </c>
      <c r="AE29" s="19">
        <f>VLOOKUP(B29,[1]烫标!$E$7:$L$9,7,0)</f>
        <v>100</v>
      </c>
      <c r="AF29" s="19">
        <f t="shared" si="7"/>
        <v>106</v>
      </c>
      <c r="AG29" s="86">
        <f t="shared" si="9"/>
        <v>116.65</v>
      </c>
      <c r="AH29" s="19"/>
      <c r="AI29" s="60"/>
      <c r="AJ29" s="74"/>
    </row>
    <row r="30" s="5" customFormat="1" ht="18" customHeight="1" spans="1:36">
      <c r="A30" s="19">
        <v>22</v>
      </c>
      <c r="B30" s="19" t="s">
        <v>212</v>
      </c>
      <c r="C30" s="20" t="s">
        <v>213</v>
      </c>
      <c r="D30" s="20" t="s">
        <v>214</v>
      </c>
      <c r="E30" s="21">
        <v>44711</v>
      </c>
      <c r="F30" s="19" t="s">
        <v>96</v>
      </c>
      <c r="G30" s="19" t="s">
        <v>205</v>
      </c>
      <c r="H30" s="22" t="s">
        <v>206</v>
      </c>
      <c r="I30" s="19">
        <v>23.5</v>
      </c>
      <c r="J30" s="19">
        <f t="shared" si="0"/>
        <v>2.5</v>
      </c>
      <c r="K30" s="19">
        <v>200</v>
      </c>
      <c r="L30" s="54">
        <f t="shared" si="1"/>
        <v>180.769230769231</v>
      </c>
      <c r="M30" s="84">
        <f t="shared" si="2"/>
        <v>19.2307692307692</v>
      </c>
      <c r="N30" s="19">
        <v>6</v>
      </c>
      <c r="O30" s="19">
        <f t="shared" si="10"/>
        <v>8.65384615384615</v>
      </c>
      <c r="P30" s="19">
        <v>0</v>
      </c>
      <c r="Q30" s="19">
        <f t="shared" si="4"/>
        <v>0</v>
      </c>
      <c r="R30" s="19">
        <v>0</v>
      </c>
      <c r="S30" s="19">
        <f t="shared" si="5"/>
        <v>9.03846153846154</v>
      </c>
      <c r="T30" s="19">
        <v>0</v>
      </c>
      <c r="U30" s="19">
        <v>0</v>
      </c>
      <c r="V30" s="19">
        <v>10</v>
      </c>
      <c r="W30" s="19">
        <v>1.5</v>
      </c>
      <c r="X30" s="19">
        <v>8</v>
      </c>
      <c r="Y30" s="19">
        <v>0</v>
      </c>
      <c r="Z30" s="19">
        <v>0</v>
      </c>
      <c r="AA30" s="19">
        <v>0</v>
      </c>
      <c r="AB30" s="36">
        <f t="shared" si="13"/>
        <v>217.961538461538</v>
      </c>
      <c r="AC30" s="19">
        <f>VLOOKUP(B30,[2]Sheet1!$B$2:$L$199,11,0)/4000</f>
        <v>6</v>
      </c>
      <c r="AD30" s="19">
        <v>0</v>
      </c>
      <c r="AE30" s="19">
        <f>VLOOKUP(B30,[1]烫标!$E$7:$L$9,7,0)</f>
        <v>100</v>
      </c>
      <c r="AF30" s="19">
        <f t="shared" si="7"/>
        <v>106</v>
      </c>
      <c r="AG30" s="86">
        <f t="shared" si="9"/>
        <v>111.96</v>
      </c>
      <c r="AH30" s="19"/>
      <c r="AI30" s="60"/>
      <c r="AJ30" s="74"/>
    </row>
    <row r="31" s="5" customFormat="1" ht="18" customHeight="1" spans="1:36">
      <c r="A31" s="19">
        <v>23</v>
      </c>
      <c r="B31" s="19" t="s">
        <v>219</v>
      </c>
      <c r="C31" s="20" t="s">
        <v>220</v>
      </c>
      <c r="D31" s="128" t="s">
        <v>221</v>
      </c>
      <c r="E31" s="21">
        <v>44713</v>
      </c>
      <c r="F31" s="19" t="s">
        <v>96</v>
      </c>
      <c r="G31" s="75" t="s">
        <v>222</v>
      </c>
      <c r="H31" s="75" t="s">
        <v>223</v>
      </c>
      <c r="I31" s="19">
        <v>26</v>
      </c>
      <c r="J31" s="19">
        <f t="shared" si="0"/>
        <v>0</v>
      </c>
      <c r="K31" s="19">
        <v>200</v>
      </c>
      <c r="L31" s="36">
        <f t="shared" si="1"/>
        <v>200</v>
      </c>
      <c r="M31" s="36">
        <f t="shared" si="2"/>
        <v>0</v>
      </c>
      <c r="N31" s="19">
        <v>14</v>
      </c>
      <c r="O31" s="36">
        <f t="shared" si="10"/>
        <v>20.1923076923077</v>
      </c>
      <c r="P31" s="19">
        <v>0</v>
      </c>
      <c r="Q31" s="19">
        <f t="shared" si="4"/>
        <v>0</v>
      </c>
      <c r="R31" s="19">
        <v>0</v>
      </c>
      <c r="S31" s="19">
        <f t="shared" si="5"/>
        <v>10</v>
      </c>
      <c r="T31" s="19">
        <v>30</v>
      </c>
      <c r="U31" s="19">
        <v>20</v>
      </c>
      <c r="V31" s="19">
        <f>10/26*I31</f>
        <v>10</v>
      </c>
      <c r="W31" s="36">
        <v>3.5</v>
      </c>
      <c r="X31" s="19">
        <v>8</v>
      </c>
      <c r="Y31" s="19">
        <v>0</v>
      </c>
      <c r="Z31" s="19">
        <v>0</v>
      </c>
      <c r="AA31" s="19">
        <v>0</v>
      </c>
      <c r="AB31" s="36">
        <f t="shared" si="13"/>
        <v>301.692307692308</v>
      </c>
      <c r="AC31" s="19">
        <f>VLOOKUP(B31,[2]Sheet1!$B$2:$N$199,11,0)/4000</f>
        <v>6</v>
      </c>
      <c r="AD31" s="19">
        <v>0</v>
      </c>
      <c r="AE31" s="19">
        <f>VLOOKUP(B31,'[1]A01'!$E$7:$L$28,7,0)</f>
        <v>100</v>
      </c>
      <c r="AF31" s="19">
        <f t="shared" si="7"/>
        <v>106</v>
      </c>
      <c r="AG31" s="86">
        <f t="shared" si="9"/>
        <v>195.69</v>
      </c>
      <c r="AH31" s="19"/>
      <c r="AI31" s="60"/>
      <c r="AJ31" s="74"/>
    </row>
    <row r="32" s="5" customFormat="1" ht="18" customHeight="1" spans="1:36">
      <c r="A32" s="19">
        <v>24</v>
      </c>
      <c r="B32" s="19" t="s">
        <v>226</v>
      </c>
      <c r="C32" s="20" t="s">
        <v>227</v>
      </c>
      <c r="D32" s="20" t="s">
        <v>228</v>
      </c>
      <c r="E32" s="21">
        <v>44711</v>
      </c>
      <c r="F32" s="19" t="s">
        <v>96</v>
      </c>
      <c r="G32" s="75" t="s">
        <v>222</v>
      </c>
      <c r="H32" s="22" t="s">
        <v>229</v>
      </c>
      <c r="I32" s="19">
        <v>24</v>
      </c>
      <c r="J32" s="19">
        <f t="shared" si="0"/>
        <v>2</v>
      </c>
      <c r="K32" s="19">
        <v>200</v>
      </c>
      <c r="L32" s="36">
        <f t="shared" si="1"/>
        <v>184.615384615385</v>
      </c>
      <c r="M32" s="36">
        <f t="shared" si="2"/>
        <v>15.3846153846154</v>
      </c>
      <c r="N32" s="19">
        <v>4</v>
      </c>
      <c r="O32" s="36">
        <f t="shared" si="10"/>
        <v>5.76923076923077</v>
      </c>
      <c r="P32" s="19">
        <v>0</v>
      </c>
      <c r="Q32" s="19">
        <f t="shared" si="4"/>
        <v>0</v>
      </c>
      <c r="R32" s="19">
        <v>0</v>
      </c>
      <c r="S32" s="19">
        <f t="shared" si="5"/>
        <v>9.23076923076923</v>
      </c>
      <c r="T32" s="19">
        <v>0</v>
      </c>
      <c r="U32" s="19">
        <v>0</v>
      </c>
      <c r="V32" s="19">
        <v>10</v>
      </c>
      <c r="W32" s="36">
        <v>1</v>
      </c>
      <c r="X32" s="54">
        <v>8</v>
      </c>
      <c r="Y32" s="19">
        <v>0</v>
      </c>
      <c r="Z32" s="19">
        <v>0</v>
      </c>
      <c r="AA32" s="19">
        <v>0</v>
      </c>
      <c r="AB32" s="36">
        <f t="shared" si="13"/>
        <v>218.615384615385</v>
      </c>
      <c r="AC32" s="19">
        <f>VLOOKUP(B32,[2]Sheet1!$B$2:$N$199,11,0)/4000</f>
        <v>5.79775</v>
      </c>
      <c r="AD32" s="19">
        <v>0</v>
      </c>
      <c r="AE32" s="19">
        <f>VLOOKUP(B32,'[1]A01'!$E$7:$L$28,7,0)</f>
        <v>100</v>
      </c>
      <c r="AF32" s="19">
        <f t="shared" si="7"/>
        <v>105.79775</v>
      </c>
      <c r="AG32" s="86">
        <f t="shared" si="9"/>
        <v>112.82</v>
      </c>
      <c r="AH32" s="19"/>
      <c r="AI32" s="60"/>
      <c r="AJ32" s="74"/>
    </row>
    <row r="33" s="4" customFormat="1" ht="21" customHeight="1" spans="1:36">
      <c r="A33" s="19">
        <v>25</v>
      </c>
      <c r="B33" s="19" t="s">
        <v>231</v>
      </c>
      <c r="C33" s="20" t="s">
        <v>232</v>
      </c>
      <c r="D33" s="20" t="s">
        <v>233</v>
      </c>
      <c r="E33" s="21">
        <v>44711</v>
      </c>
      <c r="F33" s="19" t="s">
        <v>96</v>
      </c>
      <c r="G33" s="75" t="s">
        <v>222</v>
      </c>
      <c r="H33" s="22" t="s">
        <v>229</v>
      </c>
      <c r="I33" s="19">
        <v>24</v>
      </c>
      <c r="J33" s="19">
        <f t="shared" si="0"/>
        <v>2</v>
      </c>
      <c r="K33" s="19">
        <v>200</v>
      </c>
      <c r="L33" s="36">
        <f t="shared" si="1"/>
        <v>184.615384615385</v>
      </c>
      <c r="M33" s="36">
        <f t="shared" si="2"/>
        <v>15.3846153846154</v>
      </c>
      <c r="N33" s="19">
        <v>0</v>
      </c>
      <c r="O33" s="19">
        <f t="shared" si="10"/>
        <v>0</v>
      </c>
      <c r="P33" s="19">
        <v>0</v>
      </c>
      <c r="Q33" s="19">
        <f t="shared" si="4"/>
        <v>0</v>
      </c>
      <c r="R33" s="19">
        <v>0</v>
      </c>
      <c r="S33" s="19">
        <f t="shared" si="5"/>
        <v>9.23076923076923</v>
      </c>
      <c r="T33" s="19">
        <v>0</v>
      </c>
      <c r="U33" s="19">
        <v>0</v>
      </c>
      <c r="V33" s="19">
        <v>10</v>
      </c>
      <c r="W33" s="36">
        <v>0</v>
      </c>
      <c r="X33" s="19">
        <v>8</v>
      </c>
      <c r="Y33" s="19">
        <v>0</v>
      </c>
      <c r="Z33" s="19">
        <v>0</v>
      </c>
      <c r="AA33" s="19">
        <v>0</v>
      </c>
      <c r="AB33" s="36">
        <f t="shared" si="13"/>
        <v>211.846153846154</v>
      </c>
      <c r="AC33" s="19">
        <f>VLOOKUP(B33,[2]Sheet1!$B$2:$N$199,11,0)/4000</f>
        <v>5.749</v>
      </c>
      <c r="AD33" s="19">
        <v>0</v>
      </c>
      <c r="AE33" s="19">
        <f>VLOOKUP(B33,'[1]A01'!$E$7:$L$28,7,0)</f>
        <v>100</v>
      </c>
      <c r="AF33" s="19">
        <f t="shared" si="7"/>
        <v>105.749</v>
      </c>
      <c r="AG33" s="86">
        <f t="shared" si="9"/>
        <v>106.1</v>
      </c>
      <c r="AH33" s="19"/>
      <c r="AI33" s="60"/>
      <c r="AJ33" s="74"/>
    </row>
    <row r="34" s="77" customFormat="1" ht="21" customHeight="1" spans="1:36">
      <c r="A34" s="19">
        <v>26</v>
      </c>
      <c r="B34" s="19" t="s">
        <v>236</v>
      </c>
      <c r="C34" s="20" t="s">
        <v>237</v>
      </c>
      <c r="D34" s="20" t="s">
        <v>238</v>
      </c>
      <c r="E34" s="21">
        <v>44711</v>
      </c>
      <c r="F34" s="19" t="s">
        <v>96</v>
      </c>
      <c r="G34" s="75" t="s">
        <v>222</v>
      </c>
      <c r="H34" s="22" t="s">
        <v>229</v>
      </c>
      <c r="I34" s="19">
        <v>24</v>
      </c>
      <c r="J34" s="19">
        <f t="shared" si="0"/>
        <v>2</v>
      </c>
      <c r="K34" s="19">
        <v>200</v>
      </c>
      <c r="L34" s="36">
        <f t="shared" si="1"/>
        <v>184.615384615385</v>
      </c>
      <c r="M34" s="36">
        <f t="shared" si="2"/>
        <v>15.3846153846154</v>
      </c>
      <c r="N34" s="19">
        <v>2</v>
      </c>
      <c r="O34" s="19">
        <f t="shared" si="10"/>
        <v>2.88461538461538</v>
      </c>
      <c r="P34" s="19">
        <v>0</v>
      </c>
      <c r="Q34" s="19">
        <f t="shared" si="4"/>
        <v>0</v>
      </c>
      <c r="R34" s="19">
        <v>0</v>
      </c>
      <c r="S34" s="19">
        <f t="shared" si="5"/>
        <v>9.23076923076923</v>
      </c>
      <c r="T34" s="19">
        <v>0</v>
      </c>
      <c r="U34" s="19">
        <v>0</v>
      </c>
      <c r="V34" s="19">
        <v>10</v>
      </c>
      <c r="W34" s="36">
        <v>1</v>
      </c>
      <c r="X34" s="19">
        <v>8</v>
      </c>
      <c r="Y34" s="19">
        <v>0</v>
      </c>
      <c r="Z34" s="19">
        <v>0</v>
      </c>
      <c r="AA34" s="19">
        <v>0</v>
      </c>
      <c r="AB34" s="36">
        <f t="shared" si="13"/>
        <v>215.730769230769</v>
      </c>
      <c r="AC34" s="19">
        <f>VLOOKUP(B34,[2]Sheet1!$B$2:$N$199,11,0)/4000</f>
        <v>5.823</v>
      </c>
      <c r="AD34" s="19">
        <v>0</v>
      </c>
      <c r="AE34" s="19">
        <f>VLOOKUP(B34,'[1]A01'!$E$7:$L$28,7,0)</f>
        <v>100</v>
      </c>
      <c r="AF34" s="19">
        <f t="shared" si="7"/>
        <v>105.823</v>
      </c>
      <c r="AG34" s="86">
        <f t="shared" si="9"/>
        <v>109.91</v>
      </c>
      <c r="AH34" s="19"/>
      <c r="AI34" s="60"/>
      <c r="AJ34" s="74"/>
    </row>
    <row r="35" s="5" customFormat="1" ht="21" customHeight="1" spans="1:36">
      <c r="A35" s="19">
        <v>27</v>
      </c>
      <c r="B35" s="19" t="s">
        <v>240</v>
      </c>
      <c r="C35" s="20" t="s">
        <v>241</v>
      </c>
      <c r="D35" s="20" t="s">
        <v>242</v>
      </c>
      <c r="E35" s="21">
        <v>44711</v>
      </c>
      <c r="F35" s="19" t="s">
        <v>96</v>
      </c>
      <c r="G35" s="75" t="s">
        <v>222</v>
      </c>
      <c r="H35" s="22" t="s">
        <v>229</v>
      </c>
      <c r="I35" s="19">
        <v>24</v>
      </c>
      <c r="J35" s="19">
        <f t="shared" si="0"/>
        <v>2</v>
      </c>
      <c r="K35" s="19">
        <v>200</v>
      </c>
      <c r="L35" s="36">
        <f t="shared" si="1"/>
        <v>184.615384615385</v>
      </c>
      <c r="M35" s="36">
        <f t="shared" si="2"/>
        <v>15.3846153846154</v>
      </c>
      <c r="N35" s="19">
        <v>0</v>
      </c>
      <c r="O35" s="19">
        <f t="shared" si="10"/>
        <v>0</v>
      </c>
      <c r="P35" s="19">
        <v>0</v>
      </c>
      <c r="Q35" s="19">
        <f t="shared" si="4"/>
        <v>0</v>
      </c>
      <c r="R35" s="19">
        <v>0</v>
      </c>
      <c r="S35" s="19">
        <f t="shared" si="5"/>
        <v>9.23076923076923</v>
      </c>
      <c r="T35" s="19">
        <v>0</v>
      </c>
      <c r="U35" s="19">
        <v>0</v>
      </c>
      <c r="V35" s="19">
        <v>10</v>
      </c>
      <c r="W35" s="36">
        <v>0</v>
      </c>
      <c r="X35" s="19">
        <v>8</v>
      </c>
      <c r="Y35" s="19">
        <v>0</v>
      </c>
      <c r="Z35" s="19">
        <v>0</v>
      </c>
      <c r="AA35" s="19">
        <v>0</v>
      </c>
      <c r="AB35" s="36">
        <f t="shared" si="13"/>
        <v>211.846153846154</v>
      </c>
      <c r="AC35" s="19">
        <f>VLOOKUP(B35,[2]Sheet1!$B$2:$N$199,11,0)/4000</f>
        <v>5.892</v>
      </c>
      <c r="AD35" s="19">
        <v>0</v>
      </c>
      <c r="AE35" s="19">
        <f>VLOOKUP(B35,'[1]A01'!$E$7:$L$28,7,0)</f>
        <v>100</v>
      </c>
      <c r="AF35" s="19">
        <f t="shared" si="7"/>
        <v>105.892</v>
      </c>
      <c r="AG35" s="86">
        <f t="shared" si="9"/>
        <v>105.95</v>
      </c>
      <c r="AH35" s="19"/>
      <c r="AI35" s="60"/>
      <c r="AJ35" s="74"/>
    </row>
    <row r="36" s="5" customFormat="1" ht="21" customHeight="1" spans="1:36">
      <c r="A36" s="19">
        <v>28</v>
      </c>
      <c r="B36" s="19" t="s">
        <v>244</v>
      </c>
      <c r="C36" s="20" t="s">
        <v>245</v>
      </c>
      <c r="D36" s="20" t="s">
        <v>246</v>
      </c>
      <c r="E36" s="21">
        <v>44711</v>
      </c>
      <c r="F36" s="19" t="s">
        <v>96</v>
      </c>
      <c r="G36" s="75" t="s">
        <v>222</v>
      </c>
      <c r="H36" s="22" t="s">
        <v>229</v>
      </c>
      <c r="I36" s="19">
        <v>23</v>
      </c>
      <c r="J36" s="19">
        <f t="shared" si="0"/>
        <v>3</v>
      </c>
      <c r="K36" s="19">
        <v>200</v>
      </c>
      <c r="L36" s="36">
        <f t="shared" si="1"/>
        <v>176.923076923077</v>
      </c>
      <c r="M36" s="36">
        <f t="shared" si="2"/>
        <v>23.0769230769231</v>
      </c>
      <c r="N36" s="19">
        <v>8</v>
      </c>
      <c r="O36" s="36">
        <f t="shared" si="10"/>
        <v>11.5384615384615</v>
      </c>
      <c r="P36" s="19">
        <v>0</v>
      </c>
      <c r="Q36" s="19">
        <f t="shared" si="4"/>
        <v>0</v>
      </c>
      <c r="R36" s="19">
        <v>0</v>
      </c>
      <c r="S36" s="19">
        <f t="shared" si="5"/>
        <v>8.84615384615385</v>
      </c>
      <c r="T36" s="19">
        <v>0</v>
      </c>
      <c r="U36" s="19">
        <v>0</v>
      </c>
      <c r="V36" s="19">
        <v>10</v>
      </c>
      <c r="W36" s="36">
        <v>2</v>
      </c>
      <c r="X36" s="19">
        <v>8</v>
      </c>
      <c r="Y36" s="19">
        <v>0</v>
      </c>
      <c r="Z36" s="19">
        <v>0</v>
      </c>
      <c r="AA36" s="19">
        <v>0</v>
      </c>
      <c r="AB36" s="36">
        <f t="shared" si="13"/>
        <v>217.307692307692</v>
      </c>
      <c r="AC36" s="19">
        <f>VLOOKUP(B36,[2]Sheet1!$B$2:$N$199,11,0)/4000</f>
        <v>5.86625</v>
      </c>
      <c r="AD36" s="19">
        <v>0</v>
      </c>
      <c r="AE36" s="19">
        <f>VLOOKUP(B36,'[1]A01'!$E$7:$L$28,7,0)</f>
        <v>100</v>
      </c>
      <c r="AF36" s="19">
        <f t="shared" si="7"/>
        <v>105.86625</v>
      </c>
      <c r="AG36" s="86">
        <f t="shared" si="9"/>
        <v>111.44</v>
      </c>
      <c r="AH36" s="19"/>
      <c r="AI36" s="60"/>
      <c r="AJ36" s="74"/>
    </row>
    <row r="37" s="5" customFormat="1" ht="21" customHeight="1" spans="1:36">
      <c r="A37" s="19">
        <v>29</v>
      </c>
      <c r="B37" s="19" t="s">
        <v>248</v>
      </c>
      <c r="C37" s="20" t="s">
        <v>249</v>
      </c>
      <c r="D37" s="20" t="s">
        <v>250</v>
      </c>
      <c r="E37" s="21">
        <v>44711</v>
      </c>
      <c r="F37" s="19" t="s">
        <v>96</v>
      </c>
      <c r="G37" s="75" t="s">
        <v>222</v>
      </c>
      <c r="H37" s="22" t="s">
        <v>229</v>
      </c>
      <c r="I37" s="19">
        <v>23</v>
      </c>
      <c r="J37" s="19">
        <f t="shared" si="0"/>
        <v>3</v>
      </c>
      <c r="K37" s="19">
        <v>200</v>
      </c>
      <c r="L37" s="36">
        <f t="shared" si="1"/>
        <v>176.923076923077</v>
      </c>
      <c r="M37" s="36">
        <f t="shared" si="2"/>
        <v>23.0769230769231</v>
      </c>
      <c r="N37" s="19">
        <v>12</v>
      </c>
      <c r="O37" s="19">
        <f t="shared" si="10"/>
        <v>17.3076923076923</v>
      </c>
      <c r="P37" s="19">
        <v>0</v>
      </c>
      <c r="Q37" s="19">
        <f t="shared" si="4"/>
        <v>0</v>
      </c>
      <c r="R37" s="19">
        <v>0</v>
      </c>
      <c r="S37" s="19">
        <f t="shared" si="5"/>
        <v>8.84615384615385</v>
      </c>
      <c r="T37" s="19">
        <v>0</v>
      </c>
      <c r="U37" s="19">
        <v>0</v>
      </c>
      <c r="V37" s="19">
        <v>10</v>
      </c>
      <c r="W37" s="36">
        <v>3</v>
      </c>
      <c r="X37" s="19">
        <v>8</v>
      </c>
      <c r="Y37" s="19">
        <v>0</v>
      </c>
      <c r="Z37" s="19">
        <v>0</v>
      </c>
      <c r="AA37" s="19">
        <v>0</v>
      </c>
      <c r="AB37" s="36">
        <f t="shared" si="13"/>
        <v>224.076923076923</v>
      </c>
      <c r="AC37" s="19">
        <f>VLOOKUP(B37,[2]Sheet1!$B$2:$N$199,11,0)/4000</f>
        <v>5.46625</v>
      </c>
      <c r="AD37" s="19">
        <v>0</v>
      </c>
      <c r="AE37" s="19">
        <f>VLOOKUP(B37,'[1]A01'!$E$7:$L$28,7,0)</f>
        <v>100</v>
      </c>
      <c r="AF37" s="19">
        <f t="shared" si="7"/>
        <v>105.46625</v>
      </c>
      <c r="AG37" s="86">
        <f t="shared" si="9"/>
        <v>118.61</v>
      </c>
      <c r="AH37" s="19"/>
      <c r="AI37" s="60"/>
      <c r="AJ37" s="74"/>
    </row>
    <row r="38" s="5" customFormat="1" ht="21" customHeight="1" spans="1:36">
      <c r="A38" s="19">
        <v>30</v>
      </c>
      <c r="B38" s="19" t="s">
        <v>252</v>
      </c>
      <c r="C38" s="20" t="s">
        <v>253</v>
      </c>
      <c r="D38" s="20" t="s">
        <v>254</v>
      </c>
      <c r="E38" s="21">
        <v>44711</v>
      </c>
      <c r="F38" s="19" t="s">
        <v>96</v>
      </c>
      <c r="G38" s="75" t="s">
        <v>222</v>
      </c>
      <c r="H38" s="22" t="s">
        <v>229</v>
      </c>
      <c r="I38" s="19">
        <v>23.5</v>
      </c>
      <c r="J38" s="19">
        <f t="shared" si="0"/>
        <v>2.5</v>
      </c>
      <c r="K38" s="19">
        <v>200</v>
      </c>
      <c r="L38" s="36">
        <f t="shared" si="1"/>
        <v>180.769230769231</v>
      </c>
      <c r="M38" s="36">
        <f t="shared" si="2"/>
        <v>19.2307692307692</v>
      </c>
      <c r="N38" s="19">
        <v>2</v>
      </c>
      <c r="O38" s="19">
        <f t="shared" si="10"/>
        <v>2.88461538461538</v>
      </c>
      <c r="P38" s="19">
        <v>0</v>
      </c>
      <c r="Q38" s="19">
        <f t="shared" si="4"/>
        <v>0</v>
      </c>
      <c r="R38" s="19">
        <v>0</v>
      </c>
      <c r="S38" s="19">
        <f t="shared" si="5"/>
        <v>9.03846153846154</v>
      </c>
      <c r="T38" s="19">
        <v>0</v>
      </c>
      <c r="U38" s="19">
        <v>0</v>
      </c>
      <c r="V38" s="19">
        <v>10</v>
      </c>
      <c r="W38" s="36">
        <v>0.5</v>
      </c>
      <c r="X38" s="19">
        <v>8</v>
      </c>
      <c r="Y38" s="19">
        <v>0</v>
      </c>
      <c r="Z38" s="19">
        <v>0</v>
      </c>
      <c r="AA38" s="19">
        <v>0</v>
      </c>
      <c r="AB38" s="36">
        <f t="shared" si="13"/>
        <v>211.192307692308</v>
      </c>
      <c r="AC38" s="19">
        <f>VLOOKUP(B38,[2]Sheet1!$B$2:$N$199,11,0)/4000</f>
        <v>5.5375</v>
      </c>
      <c r="AD38" s="19">
        <v>0</v>
      </c>
      <c r="AE38" s="19">
        <f>VLOOKUP(B38,'[1]A01'!$E$7:$L$28,7,0)</f>
        <v>100</v>
      </c>
      <c r="AF38" s="19">
        <f t="shared" si="7"/>
        <v>105.5375</v>
      </c>
      <c r="AG38" s="86">
        <f t="shared" si="9"/>
        <v>105.65</v>
      </c>
      <c r="AH38" s="19"/>
      <c r="AI38" s="60"/>
      <c r="AJ38" s="74"/>
    </row>
    <row r="39" s="5" customFormat="1" ht="21" customHeight="1" spans="1:36">
      <c r="A39" s="19">
        <v>31</v>
      </c>
      <c r="B39" s="19" t="s">
        <v>256</v>
      </c>
      <c r="C39" s="20" t="s">
        <v>257</v>
      </c>
      <c r="D39" s="20" t="s">
        <v>258</v>
      </c>
      <c r="E39" s="21">
        <v>44711</v>
      </c>
      <c r="F39" s="19" t="s">
        <v>96</v>
      </c>
      <c r="G39" s="75" t="s">
        <v>222</v>
      </c>
      <c r="H39" s="22" t="s">
        <v>229</v>
      </c>
      <c r="I39" s="19">
        <v>24</v>
      </c>
      <c r="J39" s="19">
        <f t="shared" si="0"/>
        <v>2</v>
      </c>
      <c r="K39" s="19">
        <v>200</v>
      </c>
      <c r="L39" s="36">
        <f t="shared" si="1"/>
        <v>184.615384615385</v>
      </c>
      <c r="M39" s="36">
        <f t="shared" si="2"/>
        <v>15.3846153846154</v>
      </c>
      <c r="N39" s="19">
        <v>8</v>
      </c>
      <c r="O39" s="19">
        <f t="shared" si="10"/>
        <v>11.5384615384615</v>
      </c>
      <c r="P39" s="19">
        <v>0</v>
      </c>
      <c r="Q39" s="19">
        <f t="shared" si="4"/>
        <v>0</v>
      </c>
      <c r="R39" s="19">
        <v>0</v>
      </c>
      <c r="S39" s="19">
        <f t="shared" si="5"/>
        <v>9.23076923076923</v>
      </c>
      <c r="T39" s="19">
        <v>0</v>
      </c>
      <c r="U39" s="19">
        <v>0</v>
      </c>
      <c r="V39" s="19">
        <v>10</v>
      </c>
      <c r="W39" s="36">
        <v>2</v>
      </c>
      <c r="X39" s="19">
        <v>8</v>
      </c>
      <c r="Y39" s="19">
        <v>0</v>
      </c>
      <c r="Z39" s="19">
        <v>0</v>
      </c>
      <c r="AA39" s="19">
        <v>0</v>
      </c>
      <c r="AB39" s="36">
        <f t="shared" si="13"/>
        <v>225.384615384615</v>
      </c>
      <c r="AC39" s="19">
        <f>VLOOKUP(B39,[2]Sheet1!$B$2:$N$199,11,0)/4000</f>
        <v>6</v>
      </c>
      <c r="AD39" s="19">
        <v>0</v>
      </c>
      <c r="AE39" s="19">
        <f>VLOOKUP(B39,'[1]A01'!$E$7:$L$28,7,0)</f>
        <v>100</v>
      </c>
      <c r="AF39" s="19">
        <f t="shared" si="7"/>
        <v>106</v>
      </c>
      <c r="AG39" s="86">
        <f t="shared" si="9"/>
        <v>119.38</v>
      </c>
      <c r="AH39" s="19"/>
      <c r="AI39" s="60"/>
      <c r="AJ39" s="74"/>
    </row>
    <row r="40" s="5" customFormat="1" ht="21" customHeight="1" spans="1:36">
      <c r="A40" s="19">
        <v>32</v>
      </c>
      <c r="B40" s="19" t="s">
        <v>260</v>
      </c>
      <c r="C40" s="20" t="s">
        <v>261</v>
      </c>
      <c r="D40" s="20" t="s">
        <v>262</v>
      </c>
      <c r="E40" s="21">
        <v>44711</v>
      </c>
      <c r="F40" s="19" t="s">
        <v>96</v>
      </c>
      <c r="G40" s="75" t="s">
        <v>222</v>
      </c>
      <c r="H40" s="22" t="s">
        <v>229</v>
      </c>
      <c r="I40" s="19">
        <v>25.5</v>
      </c>
      <c r="J40" s="19">
        <f t="shared" si="0"/>
        <v>0.5</v>
      </c>
      <c r="K40" s="19">
        <v>200</v>
      </c>
      <c r="L40" s="36">
        <f t="shared" si="1"/>
        <v>196.153846153846</v>
      </c>
      <c r="M40" s="36">
        <f t="shared" si="2"/>
        <v>3.84615384615385</v>
      </c>
      <c r="N40" s="19">
        <v>8</v>
      </c>
      <c r="O40" s="19">
        <f t="shared" si="10"/>
        <v>11.5384615384615</v>
      </c>
      <c r="P40" s="19">
        <v>0</v>
      </c>
      <c r="Q40" s="19">
        <f t="shared" si="4"/>
        <v>0</v>
      </c>
      <c r="R40" s="19">
        <v>0</v>
      </c>
      <c r="S40" s="19">
        <f t="shared" si="5"/>
        <v>9.80769230769231</v>
      </c>
      <c r="T40" s="19">
        <v>0</v>
      </c>
      <c r="U40" s="19">
        <v>0</v>
      </c>
      <c r="V40" s="19">
        <v>10</v>
      </c>
      <c r="W40" s="36">
        <v>2</v>
      </c>
      <c r="X40" s="19">
        <v>8</v>
      </c>
      <c r="Y40" s="19">
        <v>0</v>
      </c>
      <c r="Z40" s="19">
        <v>0</v>
      </c>
      <c r="AA40" s="19">
        <v>0</v>
      </c>
      <c r="AB40" s="36">
        <f t="shared" si="13"/>
        <v>237.5</v>
      </c>
      <c r="AC40" s="19">
        <f>VLOOKUP(B40,[2]Sheet1!$B$2:$N$199,11,0)/4000</f>
        <v>6</v>
      </c>
      <c r="AD40" s="19">
        <v>0</v>
      </c>
      <c r="AE40" s="19">
        <f>VLOOKUP(B40,'[1]A01'!$E$7:$L$28,7,0)</f>
        <v>100</v>
      </c>
      <c r="AF40" s="19">
        <f t="shared" si="7"/>
        <v>106</v>
      </c>
      <c r="AG40" s="86">
        <f t="shared" si="9"/>
        <v>131.5</v>
      </c>
      <c r="AH40" s="19"/>
      <c r="AI40" s="60"/>
      <c r="AJ40" s="74"/>
    </row>
    <row r="41" s="126" customFormat="1" ht="21" customHeight="1" spans="1:36">
      <c r="A41" s="19">
        <v>33</v>
      </c>
      <c r="B41" s="19" t="s">
        <v>265</v>
      </c>
      <c r="C41" s="20" t="s">
        <v>266</v>
      </c>
      <c r="D41" s="20" t="s">
        <v>267</v>
      </c>
      <c r="E41" s="21">
        <v>44711</v>
      </c>
      <c r="F41" s="19" t="s">
        <v>96</v>
      </c>
      <c r="G41" s="75" t="s">
        <v>222</v>
      </c>
      <c r="H41" s="22" t="s">
        <v>229</v>
      </c>
      <c r="I41" s="19">
        <v>24</v>
      </c>
      <c r="J41" s="19">
        <f t="shared" si="0"/>
        <v>2</v>
      </c>
      <c r="K41" s="19">
        <v>200</v>
      </c>
      <c r="L41" s="36">
        <f t="shared" si="1"/>
        <v>184.615384615385</v>
      </c>
      <c r="M41" s="36">
        <f t="shared" si="2"/>
        <v>15.3846153846154</v>
      </c>
      <c r="N41" s="19">
        <v>10</v>
      </c>
      <c r="O41" s="19">
        <f t="shared" si="10"/>
        <v>14.4230769230769</v>
      </c>
      <c r="P41" s="19">
        <v>0</v>
      </c>
      <c r="Q41" s="19">
        <f t="shared" si="4"/>
        <v>0</v>
      </c>
      <c r="R41" s="19">
        <v>0</v>
      </c>
      <c r="S41" s="19">
        <f t="shared" si="5"/>
        <v>9.23076923076923</v>
      </c>
      <c r="T41" s="19">
        <v>0</v>
      </c>
      <c r="U41" s="19">
        <v>0</v>
      </c>
      <c r="V41" s="19">
        <v>10</v>
      </c>
      <c r="W41" s="36">
        <v>2.5</v>
      </c>
      <c r="X41" s="19">
        <v>8</v>
      </c>
      <c r="Y41" s="19">
        <v>0</v>
      </c>
      <c r="Z41" s="19">
        <v>0</v>
      </c>
      <c r="AA41" s="19">
        <v>0</v>
      </c>
      <c r="AB41" s="36">
        <f t="shared" si="13"/>
        <v>228.769230769231</v>
      </c>
      <c r="AC41" s="19">
        <f>VLOOKUP(B41,[2]Sheet1!$B$2:$N$199,11,0)/4000</f>
        <v>5.67775</v>
      </c>
      <c r="AD41" s="19">
        <v>0</v>
      </c>
      <c r="AE41" s="19">
        <f>VLOOKUP(B41,'[1]A01'!$E$7:$L$28,7,0)</f>
        <v>100</v>
      </c>
      <c r="AF41" s="19">
        <f t="shared" si="7"/>
        <v>105.67775</v>
      </c>
      <c r="AG41" s="86">
        <f t="shared" si="9"/>
        <v>123.09</v>
      </c>
      <c r="AH41" s="85"/>
      <c r="AI41" s="131"/>
      <c r="AJ41" s="74"/>
    </row>
    <row r="42" s="5" customFormat="1" ht="21" customHeight="1" spans="1:36">
      <c r="A42" s="19">
        <v>34</v>
      </c>
      <c r="B42" s="19" t="s">
        <v>269</v>
      </c>
      <c r="C42" s="81" t="s">
        <v>270</v>
      </c>
      <c r="D42" s="81" t="s">
        <v>271</v>
      </c>
      <c r="E42" s="21">
        <v>44711</v>
      </c>
      <c r="F42" s="19" t="s">
        <v>96</v>
      </c>
      <c r="G42" s="75" t="s">
        <v>222</v>
      </c>
      <c r="H42" s="22" t="s">
        <v>229</v>
      </c>
      <c r="I42" s="19">
        <v>24.75</v>
      </c>
      <c r="J42" s="19">
        <f t="shared" si="0"/>
        <v>1.25</v>
      </c>
      <c r="K42" s="19">
        <v>200</v>
      </c>
      <c r="L42" s="36">
        <f t="shared" si="1"/>
        <v>190.384615384615</v>
      </c>
      <c r="M42" s="36">
        <f t="shared" si="2"/>
        <v>9.61538461538461</v>
      </c>
      <c r="N42" s="19">
        <v>2</v>
      </c>
      <c r="O42" s="19">
        <f t="shared" si="10"/>
        <v>2.88461538461538</v>
      </c>
      <c r="P42" s="19">
        <v>0</v>
      </c>
      <c r="Q42" s="19">
        <f t="shared" si="4"/>
        <v>0</v>
      </c>
      <c r="R42" s="19">
        <v>0</v>
      </c>
      <c r="S42" s="19">
        <f t="shared" si="5"/>
        <v>9.51923076923077</v>
      </c>
      <c r="T42" s="19">
        <v>0</v>
      </c>
      <c r="U42" s="19">
        <v>0</v>
      </c>
      <c r="V42" s="19">
        <v>10</v>
      </c>
      <c r="W42" s="36">
        <v>0.5</v>
      </c>
      <c r="X42" s="19">
        <v>8</v>
      </c>
      <c r="Y42" s="19">
        <v>0</v>
      </c>
      <c r="Z42" s="19">
        <v>0</v>
      </c>
      <c r="AA42" s="19">
        <v>0</v>
      </c>
      <c r="AB42" s="36">
        <f t="shared" si="13"/>
        <v>221.288461538462</v>
      </c>
      <c r="AC42" s="19">
        <f>VLOOKUP(B42,[2]Sheet1!$B$2:$N$199,11,0)/4000</f>
        <v>6</v>
      </c>
      <c r="AD42" s="19">
        <v>0</v>
      </c>
      <c r="AE42" s="19">
        <f>VLOOKUP(B42,'[1]A01'!$E$7:$L$28,7,0)</f>
        <v>100</v>
      </c>
      <c r="AF42" s="19">
        <f t="shared" si="7"/>
        <v>106</v>
      </c>
      <c r="AG42" s="86">
        <f t="shared" si="9"/>
        <v>115.29</v>
      </c>
      <c r="AH42" s="19"/>
      <c r="AI42" s="60"/>
      <c r="AJ42" s="74"/>
    </row>
    <row r="43" s="5" customFormat="1" ht="21" customHeight="1" spans="1:36">
      <c r="A43" s="19">
        <v>35</v>
      </c>
      <c r="B43" s="19" t="s">
        <v>273</v>
      </c>
      <c r="C43" s="20" t="s">
        <v>274</v>
      </c>
      <c r="D43" s="20" t="s">
        <v>275</v>
      </c>
      <c r="E43" s="21">
        <v>44712</v>
      </c>
      <c r="F43" s="19" t="s">
        <v>96</v>
      </c>
      <c r="G43" s="75" t="s">
        <v>222</v>
      </c>
      <c r="H43" s="22" t="s">
        <v>229</v>
      </c>
      <c r="I43" s="19">
        <v>23.5</v>
      </c>
      <c r="J43" s="19">
        <f t="shared" si="0"/>
        <v>2.5</v>
      </c>
      <c r="K43" s="19">
        <v>200</v>
      </c>
      <c r="L43" s="36">
        <f t="shared" si="1"/>
        <v>180.769230769231</v>
      </c>
      <c r="M43" s="36">
        <f t="shared" si="2"/>
        <v>19.2307692307692</v>
      </c>
      <c r="N43" s="19">
        <v>4</v>
      </c>
      <c r="O43" s="19">
        <f t="shared" si="10"/>
        <v>5.76923076923077</v>
      </c>
      <c r="P43" s="19">
        <v>0</v>
      </c>
      <c r="Q43" s="19">
        <f t="shared" si="4"/>
        <v>0</v>
      </c>
      <c r="R43" s="19">
        <v>0</v>
      </c>
      <c r="S43" s="19">
        <f t="shared" si="5"/>
        <v>9.03846153846154</v>
      </c>
      <c r="T43" s="19">
        <v>0</v>
      </c>
      <c r="U43" s="19">
        <v>0</v>
      </c>
      <c r="V43" s="19">
        <v>10</v>
      </c>
      <c r="W43" s="36">
        <v>1</v>
      </c>
      <c r="X43" s="19">
        <v>8</v>
      </c>
      <c r="Y43" s="19">
        <v>0</v>
      </c>
      <c r="Z43" s="19">
        <v>0</v>
      </c>
      <c r="AA43" s="19">
        <v>0</v>
      </c>
      <c r="AB43" s="36">
        <f t="shared" si="13"/>
        <v>214.576923076923</v>
      </c>
      <c r="AC43" s="19">
        <f>VLOOKUP(B43,[2]Sheet1!$B$2:$N$199,11,0)/4000</f>
        <v>5.6945</v>
      </c>
      <c r="AD43" s="19">
        <v>0</v>
      </c>
      <c r="AE43" s="19">
        <f>VLOOKUP(B43,'[1]A01'!$E$7:$L$28,7,0)</f>
        <v>100</v>
      </c>
      <c r="AF43" s="19">
        <f t="shared" si="7"/>
        <v>105.6945</v>
      </c>
      <c r="AG43" s="86">
        <f t="shared" si="9"/>
        <v>108.88</v>
      </c>
      <c r="AH43" s="19"/>
      <c r="AI43" s="60"/>
      <c r="AJ43" s="74"/>
    </row>
    <row r="44" s="5" customFormat="1" ht="21" customHeight="1" spans="1:36">
      <c r="A44" s="19">
        <v>36</v>
      </c>
      <c r="B44" s="19" t="s">
        <v>276</v>
      </c>
      <c r="C44" s="20" t="s">
        <v>277</v>
      </c>
      <c r="D44" s="20" t="s">
        <v>278</v>
      </c>
      <c r="E44" s="21">
        <v>44714</v>
      </c>
      <c r="F44" s="19" t="s">
        <v>96</v>
      </c>
      <c r="G44" s="75" t="s">
        <v>222</v>
      </c>
      <c r="H44" s="22" t="s">
        <v>229</v>
      </c>
      <c r="I44" s="19">
        <v>22.5</v>
      </c>
      <c r="J44" s="19">
        <f t="shared" si="0"/>
        <v>3.5</v>
      </c>
      <c r="K44" s="19">
        <v>200</v>
      </c>
      <c r="L44" s="36">
        <f t="shared" si="1"/>
        <v>173.076923076923</v>
      </c>
      <c r="M44" s="36">
        <f t="shared" si="2"/>
        <v>26.9230769230769</v>
      </c>
      <c r="N44" s="19">
        <v>2</v>
      </c>
      <c r="O44" s="19">
        <f t="shared" si="10"/>
        <v>2.88461538461538</v>
      </c>
      <c r="P44" s="19">
        <v>0</v>
      </c>
      <c r="Q44" s="19">
        <f t="shared" si="4"/>
        <v>0</v>
      </c>
      <c r="R44" s="19">
        <v>0</v>
      </c>
      <c r="S44" s="19">
        <f t="shared" si="5"/>
        <v>8.65384615384616</v>
      </c>
      <c r="T44" s="19">
        <v>0</v>
      </c>
      <c r="U44" s="19">
        <v>0</v>
      </c>
      <c r="V44" s="19">
        <v>10</v>
      </c>
      <c r="W44" s="36">
        <v>0.5</v>
      </c>
      <c r="X44" s="19">
        <v>8</v>
      </c>
      <c r="Y44" s="19">
        <v>0</v>
      </c>
      <c r="Z44" s="19">
        <v>0</v>
      </c>
      <c r="AA44" s="19">
        <v>0</v>
      </c>
      <c r="AB44" s="36">
        <f t="shared" si="13"/>
        <v>203.115384615385</v>
      </c>
      <c r="AC44" s="19">
        <f>VLOOKUP(B44,[2]Sheet1!$B$2:$N$199,11,0)/4000</f>
        <v>5.8835</v>
      </c>
      <c r="AD44" s="19">
        <v>0</v>
      </c>
      <c r="AE44" s="19">
        <f>VLOOKUP(B44,'[1]A01'!$E$7:$L$28,7,0)</f>
        <v>100</v>
      </c>
      <c r="AF44" s="19">
        <f t="shared" si="7"/>
        <v>105.8835</v>
      </c>
      <c r="AG44" s="86">
        <f t="shared" si="9"/>
        <v>97.23</v>
      </c>
      <c r="AH44" s="19"/>
      <c r="AI44" s="60"/>
      <c r="AJ44" s="74"/>
    </row>
    <row r="45" s="5" customFormat="1" ht="21" customHeight="1" spans="1:36">
      <c r="A45" s="19">
        <v>37</v>
      </c>
      <c r="B45" s="19" t="s">
        <v>280</v>
      </c>
      <c r="C45" s="20" t="s">
        <v>281</v>
      </c>
      <c r="D45" s="20" t="s">
        <v>282</v>
      </c>
      <c r="E45" s="21">
        <v>44711</v>
      </c>
      <c r="F45" s="19" t="s">
        <v>96</v>
      </c>
      <c r="G45" s="75" t="s">
        <v>222</v>
      </c>
      <c r="H45" s="22" t="s">
        <v>229</v>
      </c>
      <c r="I45" s="19">
        <v>24</v>
      </c>
      <c r="J45" s="19">
        <f t="shared" si="0"/>
        <v>2</v>
      </c>
      <c r="K45" s="19">
        <v>200</v>
      </c>
      <c r="L45" s="36">
        <f t="shared" si="1"/>
        <v>184.615384615385</v>
      </c>
      <c r="M45" s="36">
        <f t="shared" si="2"/>
        <v>15.3846153846154</v>
      </c>
      <c r="N45" s="19">
        <v>0</v>
      </c>
      <c r="O45" s="19">
        <f t="shared" si="10"/>
        <v>0</v>
      </c>
      <c r="P45" s="19">
        <v>0</v>
      </c>
      <c r="Q45" s="19">
        <f t="shared" si="4"/>
        <v>0</v>
      </c>
      <c r="R45" s="19">
        <v>0</v>
      </c>
      <c r="S45" s="19">
        <f t="shared" si="5"/>
        <v>9.23076923076923</v>
      </c>
      <c r="T45" s="19">
        <v>0</v>
      </c>
      <c r="U45" s="19">
        <v>0</v>
      </c>
      <c r="V45" s="19">
        <v>10</v>
      </c>
      <c r="W45" s="36">
        <v>0</v>
      </c>
      <c r="X45" s="19">
        <v>8</v>
      </c>
      <c r="Y45" s="19">
        <v>0</v>
      </c>
      <c r="Z45" s="19">
        <v>0</v>
      </c>
      <c r="AA45" s="19">
        <v>0</v>
      </c>
      <c r="AB45" s="36">
        <f t="shared" si="13"/>
        <v>211.846153846154</v>
      </c>
      <c r="AC45" s="19">
        <f>VLOOKUP(B45,[2]Sheet1!$B$2:$N$199,11,0)/4000</f>
        <v>5.6145</v>
      </c>
      <c r="AD45" s="19">
        <v>0</v>
      </c>
      <c r="AE45" s="19">
        <f>VLOOKUP(B45,'[1]A01'!$E$7:$L$28,7,0)</f>
        <v>100</v>
      </c>
      <c r="AF45" s="19">
        <f t="shared" si="7"/>
        <v>105.6145</v>
      </c>
      <c r="AG45" s="86">
        <f t="shared" si="9"/>
        <v>106.23</v>
      </c>
      <c r="AH45" s="19"/>
      <c r="AI45" s="60"/>
      <c r="AJ45" s="74"/>
    </row>
    <row r="46" s="5" customFormat="1" ht="21" customHeight="1" spans="1:36">
      <c r="A46" s="19">
        <v>38</v>
      </c>
      <c r="B46" s="19" t="s">
        <v>285</v>
      </c>
      <c r="C46" s="20" t="s">
        <v>286</v>
      </c>
      <c r="D46" s="20" t="s">
        <v>287</v>
      </c>
      <c r="E46" s="21">
        <v>44760</v>
      </c>
      <c r="F46" s="19" t="s">
        <v>96</v>
      </c>
      <c r="G46" s="75" t="s">
        <v>222</v>
      </c>
      <c r="H46" s="22" t="s">
        <v>229</v>
      </c>
      <c r="I46" s="19">
        <v>23</v>
      </c>
      <c r="J46" s="19">
        <f t="shared" si="0"/>
        <v>3</v>
      </c>
      <c r="K46" s="19">
        <v>200</v>
      </c>
      <c r="L46" s="36">
        <f t="shared" si="1"/>
        <v>176.923076923077</v>
      </c>
      <c r="M46" s="36">
        <f t="shared" si="2"/>
        <v>23.0769230769231</v>
      </c>
      <c r="N46" s="19">
        <v>0</v>
      </c>
      <c r="O46" s="19">
        <f t="shared" si="10"/>
        <v>0</v>
      </c>
      <c r="P46" s="19">
        <v>0</v>
      </c>
      <c r="Q46" s="19">
        <f t="shared" si="4"/>
        <v>0</v>
      </c>
      <c r="R46" s="19">
        <v>0</v>
      </c>
      <c r="S46" s="19">
        <f t="shared" si="5"/>
        <v>8.84615384615385</v>
      </c>
      <c r="T46" s="19">
        <v>0</v>
      </c>
      <c r="U46" s="19">
        <v>0</v>
      </c>
      <c r="V46" s="19">
        <v>10</v>
      </c>
      <c r="W46" s="36">
        <v>0</v>
      </c>
      <c r="X46" s="19">
        <v>8</v>
      </c>
      <c r="Y46" s="19">
        <v>0</v>
      </c>
      <c r="Z46" s="19">
        <v>0</v>
      </c>
      <c r="AA46" s="19">
        <v>0</v>
      </c>
      <c r="AB46" s="36">
        <f t="shared" si="13"/>
        <v>203.769230769231</v>
      </c>
      <c r="AC46" s="19">
        <f>VLOOKUP(B46,[2]Sheet1!$B$2:$N$199,11,0)/4000</f>
        <v>4.75825</v>
      </c>
      <c r="AD46" s="19">
        <v>0</v>
      </c>
      <c r="AE46" s="19">
        <f>VLOOKUP(B46,'[1]A01'!$E$7:$L$28,7,0)</f>
        <v>100</v>
      </c>
      <c r="AF46" s="19">
        <f t="shared" si="7"/>
        <v>104.75825</v>
      </c>
      <c r="AG46" s="86">
        <f t="shared" si="9"/>
        <v>99.01</v>
      </c>
      <c r="AH46" s="19"/>
      <c r="AI46" s="60"/>
      <c r="AJ46" s="74"/>
    </row>
    <row r="47" s="5" customFormat="1" ht="21" customHeight="1" spans="1:36">
      <c r="A47" s="19">
        <v>39</v>
      </c>
      <c r="B47" s="19" t="s">
        <v>290</v>
      </c>
      <c r="C47" s="20" t="s">
        <v>291</v>
      </c>
      <c r="D47" s="20" t="s">
        <v>292</v>
      </c>
      <c r="E47" s="21">
        <v>44886</v>
      </c>
      <c r="F47" s="19" t="s">
        <v>108</v>
      </c>
      <c r="G47" s="75" t="s">
        <v>222</v>
      </c>
      <c r="H47" s="22" t="s">
        <v>229</v>
      </c>
      <c r="I47" s="19">
        <v>24.5</v>
      </c>
      <c r="J47" s="19">
        <f t="shared" si="0"/>
        <v>1.5</v>
      </c>
      <c r="K47" s="19">
        <v>200</v>
      </c>
      <c r="L47" s="36">
        <f t="shared" si="1"/>
        <v>188.461538461538</v>
      </c>
      <c r="M47" s="54">
        <f t="shared" si="2"/>
        <v>11.5384615384615</v>
      </c>
      <c r="N47" s="19">
        <v>2</v>
      </c>
      <c r="O47" s="19">
        <f t="shared" si="10"/>
        <v>2.88461538461538</v>
      </c>
      <c r="P47" s="19">
        <v>0</v>
      </c>
      <c r="Q47" s="19">
        <f t="shared" si="4"/>
        <v>0</v>
      </c>
      <c r="R47" s="19">
        <v>0</v>
      </c>
      <c r="S47" s="19">
        <f t="shared" si="5"/>
        <v>9.42307692307692</v>
      </c>
      <c r="T47" s="19">
        <v>0</v>
      </c>
      <c r="U47" s="19">
        <v>0</v>
      </c>
      <c r="V47" s="19">
        <v>10</v>
      </c>
      <c r="W47" s="36">
        <v>0.5</v>
      </c>
      <c r="X47" s="19">
        <v>8</v>
      </c>
      <c r="Y47" s="19">
        <v>0</v>
      </c>
      <c r="Z47" s="19">
        <v>0</v>
      </c>
      <c r="AA47" s="19">
        <v>0</v>
      </c>
      <c r="AB47" s="36">
        <f t="shared" si="13"/>
        <v>219.269230769231</v>
      </c>
      <c r="AC47" s="19">
        <f>VLOOKUP(B47,[2]Sheet1!$B$2:$N$199,11,0)/4000</f>
        <v>4.72825</v>
      </c>
      <c r="AD47" s="19">
        <v>0</v>
      </c>
      <c r="AE47" s="19">
        <f>VLOOKUP(B47,'[1]A01'!$E$7:$L$28,7,0)</f>
        <v>100</v>
      </c>
      <c r="AF47" s="19">
        <f t="shared" si="7"/>
        <v>104.72825</v>
      </c>
      <c r="AG47" s="86">
        <f t="shared" si="9"/>
        <v>114.54</v>
      </c>
      <c r="AH47" s="19"/>
      <c r="AI47" s="60"/>
      <c r="AJ47" s="74"/>
    </row>
    <row r="48" s="5" customFormat="1" ht="21" customHeight="1" spans="1:36">
      <c r="A48" s="19">
        <v>40</v>
      </c>
      <c r="B48" s="19" t="s">
        <v>295</v>
      </c>
      <c r="C48" s="20" t="s">
        <v>296</v>
      </c>
      <c r="D48" s="20" t="s">
        <v>297</v>
      </c>
      <c r="E48" s="21">
        <v>44886</v>
      </c>
      <c r="F48" s="19" t="s">
        <v>96</v>
      </c>
      <c r="G48" s="75" t="s">
        <v>222</v>
      </c>
      <c r="H48" s="22" t="s">
        <v>229</v>
      </c>
      <c r="I48" s="19">
        <v>24.5</v>
      </c>
      <c r="J48" s="19">
        <f t="shared" si="0"/>
        <v>1.5</v>
      </c>
      <c r="K48" s="19">
        <v>200</v>
      </c>
      <c r="L48" s="36">
        <f t="shared" si="1"/>
        <v>188.461538461538</v>
      </c>
      <c r="M48" s="36">
        <f t="shared" si="2"/>
        <v>11.5384615384615</v>
      </c>
      <c r="N48" s="19">
        <v>6</v>
      </c>
      <c r="O48" s="19">
        <f t="shared" si="10"/>
        <v>8.65384615384615</v>
      </c>
      <c r="P48" s="19">
        <v>0</v>
      </c>
      <c r="Q48" s="19">
        <f t="shared" si="4"/>
        <v>0</v>
      </c>
      <c r="R48" s="19">
        <v>0</v>
      </c>
      <c r="S48" s="19">
        <f t="shared" si="5"/>
        <v>9.42307692307692</v>
      </c>
      <c r="T48" s="19">
        <v>0</v>
      </c>
      <c r="U48" s="19">
        <v>0</v>
      </c>
      <c r="V48" s="19">
        <v>10</v>
      </c>
      <c r="W48" s="36">
        <v>1.5</v>
      </c>
      <c r="X48" s="19">
        <v>8</v>
      </c>
      <c r="Y48" s="19">
        <v>0</v>
      </c>
      <c r="Z48" s="19">
        <v>0</v>
      </c>
      <c r="AA48" s="19">
        <v>0</v>
      </c>
      <c r="AB48" s="36">
        <f t="shared" si="13"/>
        <v>226.038461538462</v>
      </c>
      <c r="AC48" s="19">
        <f>VLOOKUP(B48,[2]Sheet1!$B$2:$N$199,11,0)/4000</f>
        <v>4.72825</v>
      </c>
      <c r="AD48" s="19">
        <v>0</v>
      </c>
      <c r="AE48" s="19">
        <f>VLOOKUP(B48,'[1]A01'!$E$7:$L$28,7,0)</f>
        <v>100</v>
      </c>
      <c r="AF48" s="19">
        <f t="shared" si="7"/>
        <v>104.72825</v>
      </c>
      <c r="AG48" s="86">
        <f t="shared" si="9"/>
        <v>121.31</v>
      </c>
      <c r="AH48" s="19"/>
      <c r="AI48" s="60"/>
      <c r="AJ48" s="74"/>
    </row>
    <row r="49" s="5" customFormat="1" ht="21" customHeight="1" spans="1:36">
      <c r="A49" s="19">
        <v>41</v>
      </c>
      <c r="B49" s="19" t="s">
        <v>300</v>
      </c>
      <c r="C49" s="81" t="s">
        <v>301</v>
      </c>
      <c r="D49" s="81" t="s">
        <v>302</v>
      </c>
      <c r="E49" s="21">
        <v>44886</v>
      </c>
      <c r="F49" s="19" t="s">
        <v>96</v>
      </c>
      <c r="G49" s="75" t="s">
        <v>222</v>
      </c>
      <c r="H49" s="22" t="s">
        <v>229</v>
      </c>
      <c r="I49" s="19">
        <v>23.5</v>
      </c>
      <c r="J49" s="19">
        <f t="shared" si="0"/>
        <v>2.5</v>
      </c>
      <c r="K49" s="19">
        <v>200</v>
      </c>
      <c r="L49" s="36">
        <f t="shared" si="1"/>
        <v>180.769230769231</v>
      </c>
      <c r="M49" s="36">
        <f t="shared" si="2"/>
        <v>19.2307692307692</v>
      </c>
      <c r="N49" s="19">
        <v>0</v>
      </c>
      <c r="O49" s="19">
        <f t="shared" si="10"/>
        <v>0</v>
      </c>
      <c r="P49" s="19">
        <v>0</v>
      </c>
      <c r="Q49" s="19">
        <f t="shared" si="4"/>
        <v>0</v>
      </c>
      <c r="R49" s="19">
        <v>0</v>
      </c>
      <c r="S49" s="19">
        <f t="shared" si="5"/>
        <v>9.03846153846154</v>
      </c>
      <c r="T49" s="19">
        <v>0</v>
      </c>
      <c r="U49" s="19">
        <v>0</v>
      </c>
      <c r="V49" s="19">
        <v>10</v>
      </c>
      <c r="W49" s="36">
        <v>0</v>
      </c>
      <c r="X49" s="19">
        <v>8</v>
      </c>
      <c r="Y49" s="19">
        <v>0</v>
      </c>
      <c r="Z49" s="19">
        <v>0</v>
      </c>
      <c r="AA49" s="19">
        <v>0</v>
      </c>
      <c r="AB49" s="36">
        <f t="shared" si="13"/>
        <v>207.807692307692</v>
      </c>
      <c r="AC49" s="19">
        <f>VLOOKUP(B49,[2]Sheet1!$B$2:$N$199,11,0)/4000</f>
        <v>4.64825</v>
      </c>
      <c r="AD49" s="19">
        <v>0</v>
      </c>
      <c r="AE49" s="19">
        <f>VLOOKUP(B49,'[1]A01'!$E$7:$L$28,7,0)</f>
        <v>100</v>
      </c>
      <c r="AF49" s="19">
        <f t="shared" si="7"/>
        <v>104.64825</v>
      </c>
      <c r="AG49" s="86">
        <f t="shared" si="9"/>
        <v>103.16</v>
      </c>
      <c r="AH49" s="19"/>
      <c r="AI49" s="60"/>
      <c r="AJ49" s="74"/>
    </row>
    <row r="50" s="5" customFormat="1" ht="21" customHeight="1" spans="1:36">
      <c r="A50" s="19">
        <v>42</v>
      </c>
      <c r="B50" s="19" t="s">
        <v>305</v>
      </c>
      <c r="C50" s="20" t="s">
        <v>306</v>
      </c>
      <c r="D50" s="20" t="s">
        <v>307</v>
      </c>
      <c r="E50" s="21">
        <v>44893</v>
      </c>
      <c r="F50" s="19" t="s">
        <v>96</v>
      </c>
      <c r="G50" s="75" t="s">
        <v>222</v>
      </c>
      <c r="H50" s="22" t="s">
        <v>229</v>
      </c>
      <c r="I50" s="19">
        <v>24</v>
      </c>
      <c r="J50" s="19">
        <f t="shared" si="0"/>
        <v>2</v>
      </c>
      <c r="K50" s="19">
        <v>200</v>
      </c>
      <c r="L50" s="36">
        <f t="shared" si="1"/>
        <v>184.615384615385</v>
      </c>
      <c r="M50" s="36">
        <f t="shared" si="2"/>
        <v>15.3846153846154</v>
      </c>
      <c r="N50" s="19">
        <v>8</v>
      </c>
      <c r="O50" s="19">
        <f t="shared" si="10"/>
        <v>11.5384615384615</v>
      </c>
      <c r="P50" s="19">
        <v>0</v>
      </c>
      <c r="Q50" s="19">
        <f t="shared" si="4"/>
        <v>0</v>
      </c>
      <c r="R50" s="19">
        <v>0</v>
      </c>
      <c r="S50" s="19">
        <f t="shared" si="5"/>
        <v>9.23076923076923</v>
      </c>
      <c r="T50" s="19">
        <v>0</v>
      </c>
      <c r="U50" s="19">
        <v>0</v>
      </c>
      <c r="V50" s="19">
        <v>10</v>
      </c>
      <c r="W50" s="36">
        <v>2</v>
      </c>
      <c r="X50" s="19">
        <v>8</v>
      </c>
      <c r="Y50" s="19">
        <v>0</v>
      </c>
      <c r="Z50" s="19">
        <v>0</v>
      </c>
      <c r="AA50" s="19">
        <v>0</v>
      </c>
      <c r="AB50" s="36">
        <f t="shared" si="13"/>
        <v>225.384615384615</v>
      </c>
      <c r="AC50" s="19">
        <f>VLOOKUP(B50,[2]Sheet1!$B$2:$N$199,11,0)/4000</f>
        <v>4.64825</v>
      </c>
      <c r="AD50" s="19">
        <v>0</v>
      </c>
      <c r="AE50" s="19">
        <f>VLOOKUP(B50,'[1]A01'!$E$7:$L$28,7,0)</f>
        <v>100</v>
      </c>
      <c r="AF50" s="19">
        <f t="shared" si="7"/>
        <v>104.64825</v>
      </c>
      <c r="AG50" s="86">
        <f t="shared" si="9"/>
        <v>120.74</v>
      </c>
      <c r="AH50" s="19"/>
      <c r="AI50" s="60"/>
      <c r="AJ50" s="74"/>
    </row>
    <row r="51" s="5" customFormat="1" ht="21" customHeight="1" spans="1:36">
      <c r="A51" s="19">
        <v>43</v>
      </c>
      <c r="B51" s="19" t="s">
        <v>310</v>
      </c>
      <c r="C51" s="20" t="s">
        <v>311</v>
      </c>
      <c r="D51" s="20" t="s">
        <v>312</v>
      </c>
      <c r="E51" s="21">
        <v>44893</v>
      </c>
      <c r="F51" s="19" t="s">
        <v>96</v>
      </c>
      <c r="G51" s="75" t="s">
        <v>222</v>
      </c>
      <c r="H51" s="22" t="s">
        <v>229</v>
      </c>
      <c r="I51" s="19">
        <v>24</v>
      </c>
      <c r="J51" s="19">
        <f t="shared" si="0"/>
        <v>2</v>
      </c>
      <c r="K51" s="19">
        <v>200</v>
      </c>
      <c r="L51" s="36">
        <f t="shared" si="1"/>
        <v>184.615384615385</v>
      </c>
      <c r="M51" s="36">
        <f t="shared" si="2"/>
        <v>15.3846153846154</v>
      </c>
      <c r="N51" s="19">
        <v>10</v>
      </c>
      <c r="O51" s="19">
        <f t="shared" si="10"/>
        <v>14.4230769230769</v>
      </c>
      <c r="P51" s="19">
        <v>0</v>
      </c>
      <c r="Q51" s="19">
        <f t="shared" si="4"/>
        <v>0</v>
      </c>
      <c r="R51" s="19">
        <v>0</v>
      </c>
      <c r="S51" s="19">
        <f t="shared" si="5"/>
        <v>9.23076923076923</v>
      </c>
      <c r="T51" s="19">
        <v>0</v>
      </c>
      <c r="U51" s="19">
        <v>0</v>
      </c>
      <c r="V51" s="19">
        <v>10</v>
      </c>
      <c r="W51" s="36">
        <v>2.5</v>
      </c>
      <c r="X51" s="19">
        <v>8</v>
      </c>
      <c r="Y51" s="19">
        <v>0</v>
      </c>
      <c r="Z51" s="19">
        <v>0</v>
      </c>
      <c r="AA51" s="19">
        <v>0</v>
      </c>
      <c r="AB51" s="36">
        <f t="shared" si="13"/>
        <v>228.769230769231</v>
      </c>
      <c r="AC51" s="19">
        <f>VLOOKUP(B51,[2]Sheet1!$B$2:$N$199,11,0)/4000</f>
        <v>4.4485</v>
      </c>
      <c r="AD51" s="19">
        <v>0</v>
      </c>
      <c r="AE51" s="19">
        <f>VLOOKUP(B51,'[1]A01'!$E$7:$L$28,7,0)</f>
        <v>100</v>
      </c>
      <c r="AF51" s="19">
        <f t="shared" si="7"/>
        <v>104.4485</v>
      </c>
      <c r="AG51" s="86">
        <f t="shared" si="9"/>
        <v>124.32</v>
      </c>
      <c r="AH51" s="19"/>
      <c r="AI51" s="60"/>
      <c r="AJ51" s="74"/>
    </row>
    <row r="52" s="5" customFormat="1" ht="21" customHeight="1" spans="1:36">
      <c r="A52" s="19">
        <v>44</v>
      </c>
      <c r="B52" s="19" t="s">
        <v>314</v>
      </c>
      <c r="C52" s="20" t="s">
        <v>315</v>
      </c>
      <c r="D52" s="20" t="s">
        <v>316</v>
      </c>
      <c r="E52" s="21">
        <v>44909</v>
      </c>
      <c r="F52" s="19" t="s">
        <v>96</v>
      </c>
      <c r="G52" s="75" t="s">
        <v>222</v>
      </c>
      <c r="H52" s="22" t="s">
        <v>229</v>
      </c>
      <c r="I52" s="19">
        <v>24</v>
      </c>
      <c r="J52" s="19">
        <f t="shared" si="0"/>
        <v>2</v>
      </c>
      <c r="K52" s="19">
        <v>200</v>
      </c>
      <c r="L52" s="36">
        <f t="shared" si="1"/>
        <v>184.615384615385</v>
      </c>
      <c r="M52" s="36">
        <f t="shared" si="2"/>
        <v>15.3846153846154</v>
      </c>
      <c r="N52" s="19">
        <v>10</v>
      </c>
      <c r="O52" s="19">
        <f t="shared" si="10"/>
        <v>14.4230769230769</v>
      </c>
      <c r="P52" s="19">
        <v>0</v>
      </c>
      <c r="Q52" s="19">
        <f t="shared" si="4"/>
        <v>0</v>
      </c>
      <c r="R52" s="19">
        <v>0</v>
      </c>
      <c r="S52" s="19">
        <f t="shared" si="5"/>
        <v>9.23076923076923</v>
      </c>
      <c r="T52" s="19">
        <v>0</v>
      </c>
      <c r="U52" s="19">
        <v>0</v>
      </c>
      <c r="V52" s="19">
        <v>10</v>
      </c>
      <c r="W52" s="36">
        <v>2.5</v>
      </c>
      <c r="X52" s="19">
        <v>8</v>
      </c>
      <c r="Y52" s="19">
        <v>0</v>
      </c>
      <c r="Z52" s="19">
        <v>0</v>
      </c>
      <c r="AA52" s="19">
        <v>0</v>
      </c>
      <c r="AB52" s="36">
        <f t="shared" si="13"/>
        <v>228.769230769231</v>
      </c>
      <c r="AC52" s="19">
        <v>0</v>
      </c>
      <c r="AD52" s="19">
        <v>0</v>
      </c>
      <c r="AE52" s="19">
        <f>VLOOKUP(B52,'[1]A01'!$E$7:$L$28,7,0)</f>
        <v>100</v>
      </c>
      <c r="AF52" s="19">
        <f t="shared" si="7"/>
        <v>100</v>
      </c>
      <c r="AG52" s="86">
        <f t="shared" si="9"/>
        <v>128.77</v>
      </c>
      <c r="AH52" s="19"/>
      <c r="AI52" s="60"/>
      <c r="AJ52" s="74"/>
    </row>
    <row r="53" s="5" customFormat="1" ht="21" customHeight="1" spans="1:36">
      <c r="A53" s="19">
        <v>45</v>
      </c>
      <c r="B53" s="19" t="s">
        <v>317</v>
      </c>
      <c r="C53" s="20" t="s">
        <v>318</v>
      </c>
      <c r="D53" s="20" t="s">
        <v>319</v>
      </c>
      <c r="E53" s="21">
        <v>44951</v>
      </c>
      <c r="F53" s="19" t="s">
        <v>96</v>
      </c>
      <c r="G53" s="75" t="s">
        <v>222</v>
      </c>
      <c r="H53" s="22" t="s">
        <v>229</v>
      </c>
      <c r="I53" s="19">
        <v>6</v>
      </c>
      <c r="J53" s="19">
        <v>0</v>
      </c>
      <c r="K53" s="19">
        <v>198</v>
      </c>
      <c r="L53" s="36">
        <f t="shared" si="1"/>
        <v>45.6923076923077</v>
      </c>
      <c r="M53" s="54">
        <f t="shared" si="2"/>
        <v>0</v>
      </c>
      <c r="N53" s="19">
        <v>4</v>
      </c>
      <c r="O53" s="19">
        <f t="shared" si="10"/>
        <v>5.71153846153846</v>
      </c>
      <c r="P53" s="19">
        <v>0</v>
      </c>
      <c r="Q53" s="19">
        <f t="shared" si="4"/>
        <v>0</v>
      </c>
      <c r="R53" s="19">
        <v>0</v>
      </c>
      <c r="S53" s="19">
        <v>5</v>
      </c>
      <c r="T53" s="19">
        <v>0</v>
      </c>
      <c r="U53" s="19">
        <v>0</v>
      </c>
      <c r="V53" s="19">
        <v>5</v>
      </c>
      <c r="W53" s="36">
        <v>1</v>
      </c>
      <c r="X53" s="19">
        <v>4</v>
      </c>
      <c r="Y53" s="19">
        <v>0</v>
      </c>
      <c r="Z53" s="19">
        <v>0</v>
      </c>
      <c r="AA53" s="19">
        <v>0</v>
      </c>
      <c r="AB53" s="36">
        <f t="shared" si="13"/>
        <v>66.4038461538462</v>
      </c>
      <c r="AC53" s="19">
        <v>0</v>
      </c>
      <c r="AD53" s="19">
        <v>0</v>
      </c>
      <c r="AE53" s="19">
        <v>0</v>
      </c>
      <c r="AF53" s="19">
        <f t="shared" si="7"/>
        <v>0</v>
      </c>
      <c r="AG53" s="86">
        <f t="shared" si="9"/>
        <v>66.4</v>
      </c>
      <c r="AH53" s="19"/>
      <c r="AI53" s="60"/>
      <c r="AJ53" s="74"/>
    </row>
    <row r="54" s="77" customFormat="1" ht="21" customHeight="1" spans="1:36">
      <c r="A54" s="19">
        <v>46</v>
      </c>
      <c r="B54" s="19" t="s">
        <v>322</v>
      </c>
      <c r="C54" s="20" t="s">
        <v>323</v>
      </c>
      <c r="D54" s="20" t="s">
        <v>324</v>
      </c>
      <c r="E54" s="21">
        <v>44952</v>
      </c>
      <c r="F54" s="19" t="s">
        <v>96</v>
      </c>
      <c r="G54" s="75" t="s">
        <v>222</v>
      </c>
      <c r="H54" s="22" t="s">
        <v>229</v>
      </c>
      <c r="I54" s="19">
        <v>5</v>
      </c>
      <c r="J54" s="19">
        <v>0</v>
      </c>
      <c r="K54" s="19">
        <v>198</v>
      </c>
      <c r="L54" s="36">
        <f t="shared" si="1"/>
        <v>38.0769230769231</v>
      </c>
      <c r="M54" s="54">
        <f t="shared" si="2"/>
        <v>0</v>
      </c>
      <c r="N54" s="19">
        <v>6</v>
      </c>
      <c r="O54" s="19">
        <f t="shared" si="10"/>
        <v>8.56730769230769</v>
      </c>
      <c r="P54" s="19">
        <v>0</v>
      </c>
      <c r="Q54" s="19">
        <f t="shared" si="4"/>
        <v>0</v>
      </c>
      <c r="R54" s="19">
        <v>0</v>
      </c>
      <c r="S54" s="19">
        <v>5</v>
      </c>
      <c r="T54" s="19">
        <v>0</v>
      </c>
      <c r="U54" s="19">
        <v>0</v>
      </c>
      <c r="V54" s="19">
        <v>5</v>
      </c>
      <c r="W54" s="36">
        <v>1.5</v>
      </c>
      <c r="X54" s="19">
        <v>4</v>
      </c>
      <c r="Y54" s="19">
        <v>0</v>
      </c>
      <c r="Z54" s="19">
        <v>0</v>
      </c>
      <c r="AA54" s="19">
        <v>0</v>
      </c>
      <c r="AB54" s="36">
        <f t="shared" si="13"/>
        <v>62.1442307692308</v>
      </c>
      <c r="AC54" s="19">
        <v>0</v>
      </c>
      <c r="AD54" s="19">
        <v>0</v>
      </c>
      <c r="AE54" s="19">
        <v>0</v>
      </c>
      <c r="AF54" s="19">
        <f t="shared" si="7"/>
        <v>0</v>
      </c>
      <c r="AG54" s="86">
        <f t="shared" si="9"/>
        <v>62.14</v>
      </c>
      <c r="AH54" s="19"/>
      <c r="AI54" s="60"/>
      <c r="AJ54" s="74"/>
    </row>
    <row r="55" s="5" customFormat="1" ht="21" customHeight="1" spans="1:36">
      <c r="A55" s="19">
        <v>47</v>
      </c>
      <c r="B55" s="19" t="s">
        <v>326</v>
      </c>
      <c r="C55" s="81" t="s">
        <v>1054</v>
      </c>
      <c r="D55" s="81" t="s">
        <v>328</v>
      </c>
      <c r="E55" s="21">
        <v>44952</v>
      </c>
      <c r="F55" s="19" t="s">
        <v>96</v>
      </c>
      <c r="G55" s="75" t="s">
        <v>222</v>
      </c>
      <c r="H55" s="22" t="s">
        <v>229</v>
      </c>
      <c r="I55" s="19">
        <v>5</v>
      </c>
      <c r="J55" s="19">
        <v>0</v>
      </c>
      <c r="K55" s="19">
        <v>198</v>
      </c>
      <c r="L55" s="36">
        <f t="shared" si="1"/>
        <v>38.0769230769231</v>
      </c>
      <c r="M55" s="54">
        <f t="shared" si="2"/>
        <v>0</v>
      </c>
      <c r="N55" s="19">
        <v>8</v>
      </c>
      <c r="O55" s="19">
        <f t="shared" si="10"/>
        <v>11.4230769230769</v>
      </c>
      <c r="P55" s="19">
        <v>0</v>
      </c>
      <c r="Q55" s="19">
        <f t="shared" si="4"/>
        <v>0</v>
      </c>
      <c r="R55" s="19">
        <v>0</v>
      </c>
      <c r="S55" s="19">
        <v>5</v>
      </c>
      <c r="T55" s="19">
        <v>0</v>
      </c>
      <c r="U55" s="19">
        <v>0</v>
      </c>
      <c r="V55" s="19">
        <v>5</v>
      </c>
      <c r="W55" s="36">
        <v>2</v>
      </c>
      <c r="X55" s="19">
        <v>4</v>
      </c>
      <c r="Y55" s="19">
        <v>0</v>
      </c>
      <c r="Z55" s="19">
        <v>0</v>
      </c>
      <c r="AA55" s="19">
        <v>0</v>
      </c>
      <c r="AB55" s="36">
        <f t="shared" si="13"/>
        <v>65.5</v>
      </c>
      <c r="AC55" s="19">
        <v>0</v>
      </c>
      <c r="AD55" s="19">
        <v>0</v>
      </c>
      <c r="AE55" s="19">
        <v>0</v>
      </c>
      <c r="AF55" s="19">
        <f t="shared" si="7"/>
        <v>0</v>
      </c>
      <c r="AG55" s="86">
        <f t="shared" si="9"/>
        <v>65.5</v>
      </c>
      <c r="AH55" s="19"/>
      <c r="AI55" s="60"/>
      <c r="AJ55" s="74"/>
    </row>
    <row r="56" s="5" customFormat="1" ht="21" customHeight="1" spans="1:36">
      <c r="A56" s="19">
        <v>48</v>
      </c>
      <c r="B56" s="19" t="s">
        <v>330</v>
      </c>
      <c r="C56" s="20" t="s">
        <v>331</v>
      </c>
      <c r="D56" s="20" t="s">
        <v>1055</v>
      </c>
      <c r="E56" s="21">
        <v>44952</v>
      </c>
      <c r="F56" s="19" t="s">
        <v>96</v>
      </c>
      <c r="G56" s="75" t="s">
        <v>222</v>
      </c>
      <c r="H56" s="22" t="s">
        <v>229</v>
      </c>
      <c r="I56" s="19">
        <v>5</v>
      </c>
      <c r="J56" s="19">
        <v>0</v>
      </c>
      <c r="K56" s="19">
        <v>198</v>
      </c>
      <c r="L56" s="36">
        <f t="shared" si="1"/>
        <v>38.0769230769231</v>
      </c>
      <c r="M56" s="54">
        <f t="shared" si="2"/>
        <v>0</v>
      </c>
      <c r="N56" s="19">
        <v>8</v>
      </c>
      <c r="O56" s="19">
        <f t="shared" si="10"/>
        <v>11.4230769230769</v>
      </c>
      <c r="P56" s="19">
        <v>0</v>
      </c>
      <c r="Q56" s="19">
        <f t="shared" si="4"/>
        <v>0</v>
      </c>
      <c r="R56" s="19">
        <v>0</v>
      </c>
      <c r="S56" s="19">
        <v>5</v>
      </c>
      <c r="T56" s="19">
        <v>0</v>
      </c>
      <c r="U56" s="19">
        <v>0</v>
      </c>
      <c r="V56" s="19">
        <v>5</v>
      </c>
      <c r="W56" s="36">
        <v>2</v>
      </c>
      <c r="X56" s="19">
        <v>4</v>
      </c>
      <c r="Y56" s="19">
        <v>0</v>
      </c>
      <c r="Z56" s="19">
        <v>0</v>
      </c>
      <c r="AA56" s="19">
        <v>0</v>
      </c>
      <c r="AB56" s="36">
        <f t="shared" si="13"/>
        <v>65.5</v>
      </c>
      <c r="AC56" s="19">
        <v>0</v>
      </c>
      <c r="AD56" s="19">
        <v>0</v>
      </c>
      <c r="AE56" s="19">
        <v>0</v>
      </c>
      <c r="AF56" s="19">
        <f t="shared" si="7"/>
        <v>0</v>
      </c>
      <c r="AG56" s="86">
        <f t="shared" si="9"/>
        <v>65.5</v>
      </c>
      <c r="AH56" s="19"/>
      <c r="AI56" s="60"/>
      <c r="AJ56" s="74"/>
    </row>
    <row r="57" s="5" customFormat="1" ht="21" customHeight="1" spans="1:36">
      <c r="A57" s="19">
        <v>49</v>
      </c>
      <c r="B57" s="19" t="s">
        <v>335</v>
      </c>
      <c r="C57" s="20" t="s">
        <v>1056</v>
      </c>
      <c r="D57" s="20" t="s">
        <v>337</v>
      </c>
      <c r="E57" s="21">
        <v>44952</v>
      </c>
      <c r="F57" s="19" t="s">
        <v>96</v>
      </c>
      <c r="G57" s="75" t="s">
        <v>222</v>
      </c>
      <c r="H57" s="22" t="s">
        <v>229</v>
      </c>
      <c r="I57" s="19">
        <v>4</v>
      </c>
      <c r="J57" s="19">
        <v>0</v>
      </c>
      <c r="K57" s="19">
        <v>198</v>
      </c>
      <c r="L57" s="36">
        <f t="shared" si="1"/>
        <v>30.4615384615385</v>
      </c>
      <c r="M57" s="54">
        <f t="shared" si="2"/>
        <v>0</v>
      </c>
      <c r="N57" s="19">
        <v>2</v>
      </c>
      <c r="O57" s="19">
        <f t="shared" si="10"/>
        <v>2.85576923076923</v>
      </c>
      <c r="P57" s="19">
        <v>0</v>
      </c>
      <c r="Q57" s="19">
        <f t="shared" si="4"/>
        <v>0</v>
      </c>
      <c r="R57" s="19">
        <v>0</v>
      </c>
      <c r="S57" s="19">
        <v>5</v>
      </c>
      <c r="T57" s="19">
        <v>0</v>
      </c>
      <c r="U57" s="19">
        <v>0</v>
      </c>
      <c r="V57" s="19">
        <v>5</v>
      </c>
      <c r="W57" s="36">
        <v>0.5</v>
      </c>
      <c r="X57" s="19">
        <v>4</v>
      </c>
      <c r="Y57" s="19">
        <v>0</v>
      </c>
      <c r="Z57" s="19">
        <v>0</v>
      </c>
      <c r="AA57" s="19">
        <v>0</v>
      </c>
      <c r="AB57" s="36">
        <f t="shared" si="13"/>
        <v>47.8173076923077</v>
      </c>
      <c r="AC57" s="19">
        <v>0</v>
      </c>
      <c r="AD57" s="19">
        <v>0</v>
      </c>
      <c r="AE57" s="19">
        <v>0</v>
      </c>
      <c r="AF57" s="19">
        <f t="shared" si="7"/>
        <v>0</v>
      </c>
      <c r="AG57" s="86">
        <f t="shared" si="9"/>
        <v>47.82</v>
      </c>
      <c r="AH57" s="19"/>
      <c r="AI57" s="60"/>
      <c r="AJ57" s="74"/>
    </row>
    <row r="58" s="5" customFormat="1" ht="21" customHeight="1" spans="1:36">
      <c r="A58" s="19">
        <v>50</v>
      </c>
      <c r="B58" s="19" t="s">
        <v>339</v>
      </c>
      <c r="C58" s="20" t="s">
        <v>340</v>
      </c>
      <c r="D58" s="20" t="s">
        <v>341</v>
      </c>
      <c r="E58" s="21">
        <v>44952</v>
      </c>
      <c r="F58" s="19" t="s">
        <v>96</v>
      </c>
      <c r="G58" s="75" t="s">
        <v>222</v>
      </c>
      <c r="H58" s="22" t="s">
        <v>229</v>
      </c>
      <c r="I58" s="19">
        <v>5</v>
      </c>
      <c r="J58" s="19">
        <v>0</v>
      </c>
      <c r="K58" s="19">
        <v>198</v>
      </c>
      <c r="L58" s="36">
        <f t="shared" si="1"/>
        <v>38.0769230769231</v>
      </c>
      <c r="M58" s="54">
        <f t="shared" si="2"/>
        <v>0</v>
      </c>
      <c r="N58" s="19">
        <v>8</v>
      </c>
      <c r="O58" s="19">
        <f t="shared" si="10"/>
        <v>11.4230769230769</v>
      </c>
      <c r="P58" s="19">
        <v>0</v>
      </c>
      <c r="Q58" s="19">
        <f t="shared" si="4"/>
        <v>0</v>
      </c>
      <c r="R58" s="19">
        <v>0</v>
      </c>
      <c r="S58" s="19">
        <v>5</v>
      </c>
      <c r="T58" s="19">
        <v>0</v>
      </c>
      <c r="U58" s="19">
        <v>0</v>
      </c>
      <c r="V58" s="19">
        <v>5</v>
      </c>
      <c r="W58" s="36">
        <v>2</v>
      </c>
      <c r="X58" s="19">
        <v>4</v>
      </c>
      <c r="Y58" s="19">
        <v>0</v>
      </c>
      <c r="Z58" s="19">
        <v>0</v>
      </c>
      <c r="AA58" s="19">
        <v>0</v>
      </c>
      <c r="AB58" s="36">
        <f t="shared" si="13"/>
        <v>65.5</v>
      </c>
      <c r="AC58" s="19">
        <v>0</v>
      </c>
      <c r="AD58" s="19">
        <v>0</v>
      </c>
      <c r="AE58" s="19">
        <v>0</v>
      </c>
      <c r="AF58" s="19">
        <f t="shared" si="7"/>
        <v>0</v>
      </c>
      <c r="AG58" s="86">
        <f t="shared" si="9"/>
        <v>65.5</v>
      </c>
      <c r="AH58" s="19"/>
      <c r="AI58" s="60"/>
      <c r="AJ58" s="74"/>
    </row>
    <row r="59" s="5" customFormat="1" ht="21" customHeight="1" spans="1:36">
      <c r="A59" s="19">
        <v>51</v>
      </c>
      <c r="B59" s="128" t="s">
        <v>345</v>
      </c>
      <c r="C59" s="20" t="s">
        <v>346</v>
      </c>
      <c r="D59" s="20" t="s">
        <v>347</v>
      </c>
      <c r="E59" s="21">
        <v>44740</v>
      </c>
      <c r="F59" s="19" t="s">
        <v>108</v>
      </c>
      <c r="G59" s="75" t="s">
        <v>348</v>
      </c>
      <c r="H59" s="75" t="s">
        <v>223</v>
      </c>
      <c r="I59" s="19">
        <v>26</v>
      </c>
      <c r="J59" s="19">
        <f t="shared" si="0"/>
        <v>0</v>
      </c>
      <c r="K59" s="19">
        <v>200</v>
      </c>
      <c r="L59" s="36">
        <f t="shared" si="1"/>
        <v>200</v>
      </c>
      <c r="M59" s="36">
        <f t="shared" si="2"/>
        <v>0</v>
      </c>
      <c r="N59" s="19">
        <v>15</v>
      </c>
      <c r="O59" s="19">
        <f t="shared" si="10"/>
        <v>21.6346153846154</v>
      </c>
      <c r="P59" s="85">
        <v>0</v>
      </c>
      <c r="Q59" s="85">
        <f t="shared" si="4"/>
        <v>0</v>
      </c>
      <c r="R59" s="19">
        <v>0</v>
      </c>
      <c r="S59" s="36">
        <f t="shared" ref="S59:S81" si="14">10/26*I59</f>
        <v>10</v>
      </c>
      <c r="T59" s="19">
        <v>20</v>
      </c>
      <c r="U59" s="19">
        <v>30</v>
      </c>
      <c r="V59" s="19">
        <v>10</v>
      </c>
      <c r="W59" s="19">
        <v>3.75</v>
      </c>
      <c r="X59" s="19">
        <v>8</v>
      </c>
      <c r="Y59" s="19">
        <v>0</v>
      </c>
      <c r="Z59" s="19">
        <f>VLOOKUP(B59,'[3]Annual Leave '!$B$7:$Q$98,13,0)</f>
        <v>45.34</v>
      </c>
      <c r="AA59" s="19">
        <f>VLOOKUP(B59,'[3]Annual Leave '!$B$7:$Q$98,15,0)</f>
        <v>52.3136094674556</v>
      </c>
      <c r="AB59" s="36">
        <f t="shared" si="13"/>
        <v>401.038224852071</v>
      </c>
      <c r="AC59" s="19">
        <f>VLOOKUP(B59,[2]Sheet1!$B$2:$M$199,11,0)/4000</f>
        <v>6</v>
      </c>
      <c r="AD59" s="19">
        <v>0</v>
      </c>
      <c r="AE59" s="19">
        <f>VLOOKUP(B59,'[1]A02'!$E$7:$L$29,7,0)</f>
        <v>100</v>
      </c>
      <c r="AF59" s="19">
        <f t="shared" si="7"/>
        <v>106</v>
      </c>
      <c r="AG59" s="86">
        <f t="shared" si="9"/>
        <v>295.04</v>
      </c>
      <c r="AH59" s="19"/>
      <c r="AI59" s="60"/>
      <c r="AJ59" s="74"/>
    </row>
    <row r="60" s="5" customFormat="1" ht="21" customHeight="1" spans="1:36">
      <c r="A60" s="19">
        <v>52</v>
      </c>
      <c r="B60" s="20" t="s">
        <v>350</v>
      </c>
      <c r="C60" s="20" t="s">
        <v>351</v>
      </c>
      <c r="D60" s="20" t="s">
        <v>352</v>
      </c>
      <c r="E60" s="21">
        <v>44711</v>
      </c>
      <c r="F60" s="19" t="s">
        <v>96</v>
      </c>
      <c r="G60" s="75" t="s">
        <v>348</v>
      </c>
      <c r="H60" s="19" t="s">
        <v>229</v>
      </c>
      <c r="I60" s="19">
        <v>23</v>
      </c>
      <c r="J60" s="19">
        <f t="shared" si="0"/>
        <v>3</v>
      </c>
      <c r="K60" s="19">
        <v>200</v>
      </c>
      <c r="L60" s="36">
        <f t="shared" si="1"/>
        <v>176.923076923077</v>
      </c>
      <c r="M60" s="36">
        <f t="shared" si="2"/>
        <v>23.0769230769231</v>
      </c>
      <c r="N60" s="19">
        <v>14</v>
      </c>
      <c r="O60" s="19">
        <f t="shared" si="10"/>
        <v>20.1923076923077</v>
      </c>
      <c r="P60" s="19">
        <v>0</v>
      </c>
      <c r="Q60" s="19">
        <f t="shared" si="4"/>
        <v>0</v>
      </c>
      <c r="R60" s="19">
        <v>0</v>
      </c>
      <c r="S60" s="36">
        <f t="shared" si="14"/>
        <v>8.84615384615385</v>
      </c>
      <c r="T60" s="19">
        <v>0</v>
      </c>
      <c r="U60" s="19">
        <v>0</v>
      </c>
      <c r="V60" s="19">
        <v>10</v>
      </c>
      <c r="W60" s="19">
        <v>3.5</v>
      </c>
      <c r="X60" s="19">
        <v>8</v>
      </c>
      <c r="Y60" s="19">
        <v>0</v>
      </c>
      <c r="Z60" s="19">
        <v>0</v>
      </c>
      <c r="AA60" s="19">
        <v>0</v>
      </c>
      <c r="AB60" s="36">
        <f t="shared" si="13"/>
        <v>227.461538461538</v>
      </c>
      <c r="AC60" s="19">
        <f>VLOOKUP(B60,[2]Sheet1!$B$2:$M$199,11,0)/4000</f>
        <v>6</v>
      </c>
      <c r="AD60" s="19">
        <v>0</v>
      </c>
      <c r="AE60" s="19">
        <f>VLOOKUP(B60,'[1]A02'!$E$7:$L$29,7,0)</f>
        <v>100</v>
      </c>
      <c r="AF60" s="19">
        <f t="shared" si="7"/>
        <v>106</v>
      </c>
      <c r="AG60" s="86">
        <f t="shared" si="9"/>
        <v>121.46</v>
      </c>
      <c r="AH60" s="19"/>
      <c r="AI60" s="60"/>
      <c r="AJ60" s="74"/>
    </row>
    <row r="61" s="5" customFormat="1" ht="21" customHeight="1" spans="1:36">
      <c r="A61" s="19">
        <v>53</v>
      </c>
      <c r="B61" s="20" t="s">
        <v>354</v>
      </c>
      <c r="C61" s="20" t="s">
        <v>355</v>
      </c>
      <c r="D61" s="20" t="s">
        <v>356</v>
      </c>
      <c r="E61" s="21">
        <v>44711</v>
      </c>
      <c r="F61" s="19" t="s">
        <v>96</v>
      </c>
      <c r="G61" s="75" t="s">
        <v>348</v>
      </c>
      <c r="H61" s="19" t="s">
        <v>229</v>
      </c>
      <c r="I61" s="19">
        <v>19.5</v>
      </c>
      <c r="J61" s="19">
        <f t="shared" si="0"/>
        <v>6.5</v>
      </c>
      <c r="K61" s="19">
        <v>200</v>
      </c>
      <c r="L61" s="36">
        <f t="shared" si="1"/>
        <v>150</v>
      </c>
      <c r="M61" s="36">
        <f t="shared" si="2"/>
        <v>50</v>
      </c>
      <c r="N61" s="19">
        <v>2</v>
      </c>
      <c r="O61" s="19">
        <f t="shared" si="10"/>
        <v>2.88461538461538</v>
      </c>
      <c r="P61" s="19">
        <v>0</v>
      </c>
      <c r="Q61" s="19">
        <f t="shared" si="4"/>
        <v>0</v>
      </c>
      <c r="R61" s="19">
        <v>0</v>
      </c>
      <c r="S61" s="36">
        <f t="shared" si="14"/>
        <v>7.5</v>
      </c>
      <c r="T61" s="19">
        <v>0</v>
      </c>
      <c r="U61" s="19">
        <v>0</v>
      </c>
      <c r="V61" s="19">
        <v>10</v>
      </c>
      <c r="W61" s="19">
        <v>0.5</v>
      </c>
      <c r="X61" s="19">
        <v>8</v>
      </c>
      <c r="Y61" s="19">
        <v>0</v>
      </c>
      <c r="Z61" s="19">
        <v>0</v>
      </c>
      <c r="AA61" s="19">
        <v>0</v>
      </c>
      <c r="AB61" s="36">
        <f t="shared" si="13"/>
        <v>178.884615384615</v>
      </c>
      <c r="AC61" s="19">
        <f>VLOOKUP(B61,[2]Sheet1!$B$2:$M$199,11,0)/4000</f>
        <v>4.28825</v>
      </c>
      <c r="AD61" s="19">
        <v>0</v>
      </c>
      <c r="AE61" s="19">
        <f>VLOOKUP(B61,'[1]A02'!$E$7:$L$29,7,0)</f>
        <v>50</v>
      </c>
      <c r="AF61" s="19">
        <f t="shared" si="7"/>
        <v>54.28825</v>
      </c>
      <c r="AG61" s="86">
        <f t="shared" si="9"/>
        <v>124.6</v>
      </c>
      <c r="AH61" s="19"/>
      <c r="AI61" s="60"/>
      <c r="AJ61" s="74"/>
    </row>
    <row r="62" s="5" customFormat="1" ht="21" customHeight="1" spans="1:36">
      <c r="A62" s="19">
        <v>54</v>
      </c>
      <c r="B62" s="20" t="s">
        <v>358</v>
      </c>
      <c r="C62" s="20" t="s">
        <v>359</v>
      </c>
      <c r="D62" s="20" t="s">
        <v>360</v>
      </c>
      <c r="E62" s="21">
        <v>44711</v>
      </c>
      <c r="F62" s="19" t="s">
        <v>96</v>
      </c>
      <c r="G62" s="75" t="s">
        <v>348</v>
      </c>
      <c r="H62" s="19" t="s">
        <v>229</v>
      </c>
      <c r="I62" s="19">
        <v>19.5</v>
      </c>
      <c r="J62" s="19">
        <f t="shared" si="0"/>
        <v>6.5</v>
      </c>
      <c r="K62" s="19">
        <v>200</v>
      </c>
      <c r="L62" s="36">
        <f t="shared" si="1"/>
        <v>150</v>
      </c>
      <c r="M62" s="36">
        <f t="shared" si="2"/>
        <v>50</v>
      </c>
      <c r="N62" s="19">
        <v>2</v>
      </c>
      <c r="O62" s="19">
        <f t="shared" si="10"/>
        <v>2.88461538461538</v>
      </c>
      <c r="P62" s="19">
        <v>0</v>
      </c>
      <c r="Q62" s="19">
        <f t="shared" si="4"/>
        <v>0</v>
      </c>
      <c r="R62" s="19">
        <v>0</v>
      </c>
      <c r="S62" s="36">
        <f t="shared" si="14"/>
        <v>7.5</v>
      </c>
      <c r="T62" s="19">
        <v>0</v>
      </c>
      <c r="U62" s="19">
        <v>0</v>
      </c>
      <c r="V62" s="19">
        <v>10</v>
      </c>
      <c r="W62" s="19">
        <v>0.5</v>
      </c>
      <c r="X62" s="19">
        <v>8</v>
      </c>
      <c r="Y62" s="19">
        <v>0</v>
      </c>
      <c r="Z62" s="19">
        <v>0</v>
      </c>
      <c r="AA62" s="19">
        <v>0</v>
      </c>
      <c r="AB62" s="36">
        <f t="shared" si="13"/>
        <v>178.884615384615</v>
      </c>
      <c r="AC62" s="19">
        <f>VLOOKUP(B62,[2]Sheet1!$B$2:$M$199,11,0)/4000</f>
        <v>5.06725</v>
      </c>
      <c r="AD62" s="19">
        <v>0</v>
      </c>
      <c r="AE62" s="19">
        <f>VLOOKUP(B62,'[1]A02'!$E$7:$L$29,7,0)</f>
        <v>50</v>
      </c>
      <c r="AF62" s="19">
        <f t="shared" si="7"/>
        <v>55.06725</v>
      </c>
      <c r="AG62" s="86">
        <f t="shared" si="9"/>
        <v>123.82</v>
      </c>
      <c r="AH62" s="19"/>
      <c r="AI62" s="60"/>
      <c r="AJ62" s="74"/>
    </row>
    <row r="63" s="5" customFormat="1" ht="21" customHeight="1" spans="1:36">
      <c r="A63" s="19">
        <v>55</v>
      </c>
      <c r="B63" s="20" t="s">
        <v>362</v>
      </c>
      <c r="C63" s="20" t="s">
        <v>363</v>
      </c>
      <c r="D63" s="20" t="s">
        <v>364</v>
      </c>
      <c r="E63" s="21">
        <v>44711</v>
      </c>
      <c r="F63" s="19" t="s">
        <v>96</v>
      </c>
      <c r="G63" s="75" t="s">
        <v>348</v>
      </c>
      <c r="H63" s="19" t="s">
        <v>229</v>
      </c>
      <c r="I63" s="19">
        <v>23</v>
      </c>
      <c r="J63" s="19">
        <f t="shared" si="0"/>
        <v>3</v>
      </c>
      <c r="K63" s="19">
        <v>200</v>
      </c>
      <c r="L63" s="36">
        <f t="shared" si="1"/>
        <v>176.923076923077</v>
      </c>
      <c r="M63" s="36">
        <f t="shared" si="2"/>
        <v>23.0769230769231</v>
      </c>
      <c r="N63" s="19">
        <v>4</v>
      </c>
      <c r="O63" s="19">
        <f t="shared" si="10"/>
        <v>5.76923076923077</v>
      </c>
      <c r="P63" s="19">
        <v>0</v>
      </c>
      <c r="Q63" s="19">
        <f t="shared" si="4"/>
        <v>0</v>
      </c>
      <c r="R63" s="19">
        <v>0</v>
      </c>
      <c r="S63" s="36">
        <f t="shared" si="14"/>
        <v>8.84615384615385</v>
      </c>
      <c r="T63" s="19">
        <v>0</v>
      </c>
      <c r="U63" s="19">
        <v>0</v>
      </c>
      <c r="V63" s="19">
        <v>10</v>
      </c>
      <c r="W63" s="19">
        <v>1</v>
      </c>
      <c r="X63" s="19">
        <v>8</v>
      </c>
      <c r="Y63" s="19">
        <v>0</v>
      </c>
      <c r="Z63" s="19">
        <v>0</v>
      </c>
      <c r="AA63" s="19">
        <v>0</v>
      </c>
      <c r="AB63" s="36">
        <f t="shared" si="13"/>
        <v>210.538461538462</v>
      </c>
      <c r="AC63" s="19">
        <f>VLOOKUP(B63,[2]Sheet1!$B$2:$M$199,11,0)/4000</f>
        <v>5.43525</v>
      </c>
      <c r="AD63" s="19">
        <v>0</v>
      </c>
      <c r="AE63" s="19">
        <f>VLOOKUP(B63,'[1]A02'!$E$7:$L$29,7,0)</f>
        <v>100</v>
      </c>
      <c r="AF63" s="19">
        <f t="shared" si="7"/>
        <v>105.43525</v>
      </c>
      <c r="AG63" s="86">
        <f t="shared" si="9"/>
        <v>105.1</v>
      </c>
      <c r="AH63" s="19"/>
      <c r="AI63" s="60"/>
      <c r="AJ63" s="74"/>
    </row>
    <row r="64" s="5" customFormat="1" ht="21" customHeight="1" spans="1:36">
      <c r="A64" s="19">
        <v>56</v>
      </c>
      <c r="B64" s="20" t="s">
        <v>366</v>
      </c>
      <c r="C64" s="20" t="s">
        <v>367</v>
      </c>
      <c r="D64" s="20" t="s">
        <v>368</v>
      </c>
      <c r="E64" s="21">
        <v>44711</v>
      </c>
      <c r="F64" s="19" t="s">
        <v>96</v>
      </c>
      <c r="G64" s="75" t="s">
        <v>348</v>
      </c>
      <c r="H64" s="19" t="s">
        <v>229</v>
      </c>
      <c r="I64" s="19">
        <v>19.5</v>
      </c>
      <c r="J64" s="19">
        <f t="shared" si="0"/>
        <v>6.5</v>
      </c>
      <c r="K64" s="19">
        <v>200</v>
      </c>
      <c r="L64" s="36">
        <f t="shared" si="1"/>
        <v>150</v>
      </c>
      <c r="M64" s="36">
        <f t="shared" si="2"/>
        <v>50</v>
      </c>
      <c r="N64" s="19">
        <v>0</v>
      </c>
      <c r="O64" s="19">
        <f t="shared" si="10"/>
        <v>0</v>
      </c>
      <c r="P64" s="19">
        <v>0</v>
      </c>
      <c r="Q64" s="19">
        <f t="shared" si="4"/>
        <v>0</v>
      </c>
      <c r="R64" s="19">
        <v>0</v>
      </c>
      <c r="S64" s="36">
        <f t="shared" si="14"/>
        <v>7.5</v>
      </c>
      <c r="T64" s="19">
        <v>0</v>
      </c>
      <c r="U64" s="19">
        <v>0</v>
      </c>
      <c r="V64" s="19">
        <v>10</v>
      </c>
      <c r="W64" s="19">
        <v>0</v>
      </c>
      <c r="X64" s="19">
        <v>8</v>
      </c>
      <c r="Y64" s="19">
        <v>0</v>
      </c>
      <c r="Z64" s="19">
        <v>0</v>
      </c>
      <c r="AA64" s="19">
        <v>0</v>
      </c>
      <c r="AB64" s="36">
        <f t="shared" si="13"/>
        <v>175.5</v>
      </c>
      <c r="AC64" s="19">
        <f>VLOOKUP(B64,[2]Sheet1!$B$2:$M$199,11,0)/4000</f>
        <v>5.119</v>
      </c>
      <c r="AD64" s="19">
        <v>0</v>
      </c>
      <c r="AE64" s="19">
        <f>VLOOKUP(B64,'[1]A02'!$E$7:$L$29,7,0)</f>
        <v>50</v>
      </c>
      <c r="AF64" s="19">
        <f t="shared" si="7"/>
        <v>55.119</v>
      </c>
      <c r="AG64" s="86">
        <f t="shared" si="9"/>
        <v>120.38</v>
      </c>
      <c r="AH64" s="19"/>
      <c r="AI64" s="60"/>
      <c r="AJ64" s="74"/>
    </row>
    <row r="65" s="5" customFormat="1" ht="21" customHeight="1" spans="1:36">
      <c r="A65" s="19">
        <v>57</v>
      </c>
      <c r="B65" s="20" t="s">
        <v>370</v>
      </c>
      <c r="C65" s="20" t="s">
        <v>371</v>
      </c>
      <c r="D65" s="20" t="s">
        <v>372</v>
      </c>
      <c r="E65" s="21">
        <v>44712</v>
      </c>
      <c r="F65" s="19" t="s">
        <v>96</v>
      </c>
      <c r="G65" s="75" t="s">
        <v>348</v>
      </c>
      <c r="H65" s="19" t="s">
        <v>229</v>
      </c>
      <c r="I65" s="19">
        <v>24.25</v>
      </c>
      <c r="J65" s="19">
        <f t="shared" si="0"/>
        <v>1.75</v>
      </c>
      <c r="K65" s="19">
        <v>200</v>
      </c>
      <c r="L65" s="36">
        <f t="shared" si="1"/>
        <v>186.538461538462</v>
      </c>
      <c r="M65" s="36">
        <f t="shared" si="2"/>
        <v>13.4615384615385</v>
      </c>
      <c r="N65" s="19">
        <v>4</v>
      </c>
      <c r="O65" s="19">
        <f t="shared" si="10"/>
        <v>5.76923076923077</v>
      </c>
      <c r="P65" s="19">
        <v>0</v>
      </c>
      <c r="Q65" s="19">
        <f t="shared" si="4"/>
        <v>0</v>
      </c>
      <c r="R65" s="19">
        <v>0</v>
      </c>
      <c r="S65" s="36">
        <f t="shared" si="14"/>
        <v>9.32692307692308</v>
      </c>
      <c r="T65" s="19">
        <v>0</v>
      </c>
      <c r="U65" s="19">
        <v>0</v>
      </c>
      <c r="V65" s="19">
        <v>10</v>
      </c>
      <c r="W65" s="19">
        <v>1</v>
      </c>
      <c r="X65" s="19">
        <v>8</v>
      </c>
      <c r="Y65" s="19">
        <v>0</v>
      </c>
      <c r="Z65" s="19">
        <v>0</v>
      </c>
      <c r="AA65" s="19">
        <v>0</v>
      </c>
      <c r="AB65" s="36">
        <f t="shared" si="13"/>
        <v>220.634615384615</v>
      </c>
      <c r="AC65" s="19">
        <f>VLOOKUP(B65,[2]Sheet1!$B$2:$M$199,11,0)/4000</f>
        <v>4.89125</v>
      </c>
      <c r="AD65" s="19">
        <v>0</v>
      </c>
      <c r="AE65" s="19">
        <f>VLOOKUP(B65,'[1]A02'!$E$7:$L$29,7,0)</f>
        <v>100</v>
      </c>
      <c r="AF65" s="19">
        <f t="shared" si="7"/>
        <v>104.89125</v>
      </c>
      <c r="AG65" s="86">
        <f t="shared" si="9"/>
        <v>115.74</v>
      </c>
      <c r="AH65" s="19"/>
      <c r="AI65" s="60"/>
      <c r="AJ65" s="74"/>
    </row>
    <row r="66" s="5" customFormat="1" ht="21" customHeight="1" spans="1:36">
      <c r="A66" s="19">
        <v>58</v>
      </c>
      <c r="B66" s="20" t="s">
        <v>374</v>
      </c>
      <c r="C66" s="20" t="s">
        <v>375</v>
      </c>
      <c r="D66" s="20" t="s">
        <v>376</v>
      </c>
      <c r="E66" s="21">
        <v>44712</v>
      </c>
      <c r="F66" s="19" t="s">
        <v>96</v>
      </c>
      <c r="G66" s="75" t="s">
        <v>348</v>
      </c>
      <c r="H66" s="19" t="s">
        <v>229</v>
      </c>
      <c r="I66" s="19">
        <v>18.5</v>
      </c>
      <c r="J66" s="19">
        <f t="shared" si="0"/>
        <v>7.5</v>
      </c>
      <c r="K66" s="19">
        <v>200</v>
      </c>
      <c r="L66" s="36">
        <f t="shared" si="1"/>
        <v>142.307692307692</v>
      </c>
      <c r="M66" s="36">
        <f t="shared" si="2"/>
        <v>57.6923076923077</v>
      </c>
      <c r="N66" s="19">
        <v>0</v>
      </c>
      <c r="O66" s="19">
        <f t="shared" si="10"/>
        <v>0</v>
      </c>
      <c r="P66" s="19">
        <v>0</v>
      </c>
      <c r="Q66" s="19">
        <f t="shared" si="4"/>
        <v>0</v>
      </c>
      <c r="R66" s="19">
        <v>0</v>
      </c>
      <c r="S66" s="36">
        <f t="shared" si="14"/>
        <v>7.11538461538462</v>
      </c>
      <c r="T66" s="19">
        <v>0</v>
      </c>
      <c r="U66" s="19">
        <v>0</v>
      </c>
      <c r="V66" s="19">
        <v>10</v>
      </c>
      <c r="W66" s="19">
        <v>0</v>
      </c>
      <c r="X66" s="19">
        <v>8</v>
      </c>
      <c r="Y66" s="19">
        <v>0</v>
      </c>
      <c r="Z66" s="19">
        <v>0</v>
      </c>
      <c r="AA66" s="19">
        <v>0</v>
      </c>
      <c r="AB66" s="36">
        <f t="shared" si="13"/>
        <v>167.423076923077</v>
      </c>
      <c r="AC66" s="19">
        <f>VLOOKUP(B66,[2]Sheet1!$B$2:$M$199,11,0)/4000</f>
        <v>5.1405</v>
      </c>
      <c r="AD66" s="19">
        <v>0</v>
      </c>
      <c r="AE66" s="19">
        <f>VLOOKUP(B66,'[1]A02'!$E$7:$L$29,7,0)</f>
        <v>50</v>
      </c>
      <c r="AF66" s="19">
        <f t="shared" si="7"/>
        <v>55.1405</v>
      </c>
      <c r="AG66" s="86">
        <f t="shared" si="9"/>
        <v>112.28</v>
      </c>
      <c r="AH66" s="19"/>
      <c r="AI66" s="60"/>
      <c r="AJ66" s="74"/>
    </row>
    <row r="67" s="5" customFormat="1" ht="21" customHeight="1" spans="1:36">
      <c r="A67" s="19">
        <v>59</v>
      </c>
      <c r="B67" s="20" t="s">
        <v>378</v>
      </c>
      <c r="C67" s="20" t="s">
        <v>379</v>
      </c>
      <c r="D67" s="20" t="s">
        <v>380</v>
      </c>
      <c r="E67" s="21">
        <v>44711</v>
      </c>
      <c r="F67" s="19" t="s">
        <v>96</v>
      </c>
      <c r="G67" s="75" t="s">
        <v>348</v>
      </c>
      <c r="H67" s="19" t="s">
        <v>229</v>
      </c>
      <c r="I67" s="19">
        <v>19.5</v>
      </c>
      <c r="J67" s="19">
        <f t="shared" si="0"/>
        <v>6.5</v>
      </c>
      <c r="K67" s="19">
        <v>200</v>
      </c>
      <c r="L67" s="36">
        <f t="shared" si="1"/>
        <v>150</v>
      </c>
      <c r="M67" s="36">
        <f t="shared" si="2"/>
        <v>50</v>
      </c>
      <c r="N67" s="19">
        <v>0</v>
      </c>
      <c r="O67" s="19">
        <f t="shared" si="10"/>
        <v>0</v>
      </c>
      <c r="P67" s="19">
        <v>0</v>
      </c>
      <c r="Q67" s="19">
        <f t="shared" si="4"/>
        <v>0</v>
      </c>
      <c r="R67" s="19">
        <v>0</v>
      </c>
      <c r="S67" s="36">
        <f t="shared" si="14"/>
        <v>7.5</v>
      </c>
      <c r="T67" s="19">
        <v>0</v>
      </c>
      <c r="U67" s="19">
        <v>0</v>
      </c>
      <c r="V67" s="19">
        <v>10</v>
      </c>
      <c r="W67" s="19">
        <v>0</v>
      </c>
      <c r="X67" s="19">
        <v>8</v>
      </c>
      <c r="Y67" s="19">
        <v>0</v>
      </c>
      <c r="Z67" s="19">
        <v>0</v>
      </c>
      <c r="AA67" s="19">
        <v>0</v>
      </c>
      <c r="AB67" s="36">
        <f t="shared" si="13"/>
        <v>175.5</v>
      </c>
      <c r="AC67" s="19">
        <f>VLOOKUP(B67,[2]Sheet1!$B$2:$M$199,11,0)/4000</f>
        <v>5.34575</v>
      </c>
      <c r="AD67" s="19">
        <v>0</v>
      </c>
      <c r="AE67" s="19">
        <f>VLOOKUP(B67,'[1]A02'!$E$7:$L$29,7,0)</f>
        <v>50</v>
      </c>
      <c r="AF67" s="19">
        <f t="shared" si="7"/>
        <v>55.34575</v>
      </c>
      <c r="AG67" s="86">
        <f t="shared" si="9"/>
        <v>120.15</v>
      </c>
      <c r="AH67" s="19"/>
      <c r="AI67" s="60"/>
      <c r="AJ67" s="74"/>
    </row>
    <row r="68" s="5" customFormat="1" ht="21" customHeight="1" spans="1:36">
      <c r="A68" s="19">
        <v>60</v>
      </c>
      <c r="B68" s="81" t="s">
        <v>383</v>
      </c>
      <c r="C68" s="81" t="s">
        <v>384</v>
      </c>
      <c r="D68" s="81" t="s">
        <v>385</v>
      </c>
      <c r="E68" s="127">
        <v>44711</v>
      </c>
      <c r="F68" s="85" t="s">
        <v>96</v>
      </c>
      <c r="G68" s="132" t="s">
        <v>348</v>
      </c>
      <c r="H68" s="85" t="s">
        <v>229</v>
      </c>
      <c r="I68" s="19">
        <v>19.5</v>
      </c>
      <c r="J68" s="19">
        <f t="shared" si="0"/>
        <v>6.5</v>
      </c>
      <c r="K68" s="19">
        <v>200</v>
      </c>
      <c r="L68" s="36">
        <f t="shared" si="1"/>
        <v>150</v>
      </c>
      <c r="M68" s="36">
        <f t="shared" si="2"/>
        <v>50</v>
      </c>
      <c r="N68" s="19">
        <v>0</v>
      </c>
      <c r="O68" s="19">
        <f t="shared" si="10"/>
        <v>0</v>
      </c>
      <c r="P68" s="19">
        <v>0</v>
      </c>
      <c r="Q68" s="19">
        <f t="shared" si="4"/>
        <v>0</v>
      </c>
      <c r="R68" s="19">
        <v>0</v>
      </c>
      <c r="S68" s="36">
        <f t="shared" si="14"/>
        <v>7.5</v>
      </c>
      <c r="T68" s="19">
        <v>0</v>
      </c>
      <c r="U68" s="19">
        <v>0</v>
      </c>
      <c r="V68" s="19">
        <v>10</v>
      </c>
      <c r="W68" s="19">
        <v>0</v>
      </c>
      <c r="X68" s="19">
        <v>8</v>
      </c>
      <c r="Y68" s="19">
        <v>0</v>
      </c>
      <c r="Z68" s="19">
        <v>0</v>
      </c>
      <c r="AA68" s="19">
        <v>0</v>
      </c>
      <c r="AB68" s="36">
        <f t="shared" si="13"/>
        <v>175.5</v>
      </c>
      <c r="AC68" s="19">
        <f>VLOOKUP(B68,[2]Sheet1!$B$2:$M$199,11,0)/4000</f>
        <v>5.359</v>
      </c>
      <c r="AD68" s="19">
        <v>0</v>
      </c>
      <c r="AE68" s="19">
        <f>VLOOKUP(B68,'[1]A02'!$E$7:$L$29,7,0)</f>
        <v>50</v>
      </c>
      <c r="AF68" s="19">
        <f t="shared" si="7"/>
        <v>55.359</v>
      </c>
      <c r="AG68" s="86">
        <f t="shared" si="9"/>
        <v>120.14</v>
      </c>
      <c r="AH68" s="19"/>
      <c r="AI68" s="60"/>
      <c r="AJ68" s="74"/>
    </row>
    <row r="69" s="5" customFormat="1" ht="21" customHeight="1" spans="1:36">
      <c r="A69" s="19">
        <v>61</v>
      </c>
      <c r="B69" s="20" t="s">
        <v>387</v>
      </c>
      <c r="C69" s="20" t="s">
        <v>388</v>
      </c>
      <c r="D69" s="20" t="s">
        <v>389</v>
      </c>
      <c r="E69" s="21">
        <v>44713</v>
      </c>
      <c r="F69" s="19" t="s">
        <v>96</v>
      </c>
      <c r="G69" s="75" t="s">
        <v>348</v>
      </c>
      <c r="H69" s="19" t="s">
        <v>229</v>
      </c>
      <c r="I69" s="19">
        <v>19.5</v>
      </c>
      <c r="J69" s="19">
        <f t="shared" si="0"/>
        <v>6.5</v>
      </c>
      <c r="K69" s="19">
        <v>200</v>
      </c>
      <c r="L69" s="36">
        <f t="shared" si="1"/>
        <v>150</v>
      </c>
      <c r="M69" s="36">
        <f t="shared" si="2"/>
        <v>50</v>
      </c>
      <c r="N69" s="19">
        <v>0</v>
      </c>
      <c r="O69" s="19">
        <f t="shared" si="10"/>
        <v>0</v>
      </c>
      <c r="P69" s="19">
        <v>0</v>
      </c>
      <c r="Q69" s="19">
        <f t="shared" si="4"/>
        <v>0</v>
      </c>
      <c r="R69" s="19">
        <v>0</v>
      </c>
      <c r="S69" s="36">
        <f t="shared" si="14"/>
        <v>7.5</v>
      </c>
      <c r="T69" s="19">
        <v>0</v>
      </c>
      <c r="U69" s="19">
        <v>0</v>
      </c>
      <c r="V69" s="19">
        <v>10</v>
      </c>
      <c r="W69" s="19">
        <v>0</v>
      </c>
      <c r="X69" s="19">
        <v>8</v>
      </c>
      <c r="Y69" s="19">
        <v>0</v>
      </c>
      <c r="Z69" s="19">
        <v>0</v>
      </c>
      <c r="AA69" s="19">
        <v>0</v>
      </c>
      <c r="AB69" s="36">
        <f t="shared" si="13"/>
        <v>175.5</v>
      </c>
      <c r="AC69" s="19">
        <f>VLOOKUP(B69,[2]Sheet1!$B$2:$M$199,11,0)/4000</f>
        <v>5.359</v>
      </c>
      <c r="AD69" s="19">
        <v>0</v>
      </c>
      <c r="AE69" s="19">
        <f>VLOOKUP(B69,'[1]A02'!$E$7:$L$29,7,0)</f>
        <v>50</v>
      </c>
      <c r="AF69" s="19">
        <f t="shared" si="7"/>
        <v>55.359</v>
      </c>
      <c r="AG69" s="86">
        <f t="shared" si="9"/>
        <v>120.14</v>
      </c>
      <c r="AH69" s="19"/>
      <c r="AI69" s="60"/>
      <c r="AJ69" s="74"/>
    </row>
    <row r="70" s="5" customFormat="1" ht="21" customHeight="1" spans="1:36">
      <c r="A70" s="19">
        <v>62</v>
      </c>
      <c r="B70" s="20" t="s">
        <v>391</v>
      </c>
      <c r="C70" s="20" t="s">
        <v>392</v>
      </c>
      <c r="D70" s="20" t="s">
        <v>393</v>
      </c>
      <c r="E70" s="21">
        <v>44711</v>
      </c>
      <c r="F70" s="19" t="s">
        <v>96</v>
      </c>
      <c r="G70" s="75" t="s">
        <v>348</v>
      </c>
      <c r="H70" s="19" t="s">
        <v>229</v>
      </c>
      <c r="I70" s="19">
        <v>17.5</v>
      </c>
      <c r="J70" s="19">
        <f t="shared" si="0"/>
        <v>8.5</v>
      </c>
      <c r="K70" s="19">
        <v>200</v>
      </c>
      <c r="L70" s="36">
        <f t="shared" si="1"/>
        <v>134.615384615385</v>
      </c>
      <c r="M70" s="36">
        <f t="shared" si="2"/>
        <v>65.3846153846154</v>
      </c>
      <c r="N70" s="19">
        <v>0</v>
      </c>
      <c r="O70" s="19">
        <f t="shared" si="10"/>
        <v>0</v>
      </c>
      <c r="P70" s="19">
        <v>0</v>
      </c>
      <c r="Q70" s="19">
        <f t="shared" si="4"/>
        <v>0</v>
      </c>
      <c r="R70" s="19">
        <v>0</v>
      </c>
      <c r="S70" s="36">
        <f t="shared" si="14"/>
        <v>6.73076923076923</v>
      </c>
      <c r="T70" s="19">
        <v>0</v>
      </c>
      <c r="U70" s="19">
        <v>0</v>
      </c>
      <c r="V70" s="19">
        <v>10</v>
      </c>
      <c r="W70" s="19">
        <v>0</v>
      </c>
      <c r="X70" s="19">
        <v>8</v>
      </c>
      <c r="Y70" s="19">
        <v>0</v>
      </c>
      <c r="Z70" s="19">
        <v>0</v>
      </c>
      <c r="AA70" s="19">
        <v>0</v>
      </c>
      <c r="AB70" s="36">
        <f t="shared" si="13"/>
        <v>159.346153846154</v>
      </c>
      <c r="AC70" s="19">
        <f>VLOOKUP(B70,[2]Sheet1!$B$2:$M$199,11,0)/4000</f>
        <v>5.20825</v>
      </c>
      <c r="AD70" s="19">
        <v>0</v>
      </c>
      <c r="AE70" s="19">
        <f>VLOOKUP(B70,'[1]A02'!$E$7:$L$29,7,0)</f>
        <v>50</v>
      </c>
      <c r="AF70" s="19">
        <f t="shared" si="7"/>
        <v>55.20825</v>
      </c>
      <c r="AG70" s="86">
        <f t="shared" si="9"/>
        <v>104.14</v>
      </c>
      <c r="AH70" s="19"/>
      <c r="AI70" s="60"/>
      <c r="AJ70" s="74"/>
    </row>
    <row r="71" s="5" customFormat="1" ht="21" customHeight="1" spans="1:36">
      <c r="A71" s="19">
        <v>63</v>
      </c>
      <c r="B71" s="20" t="s">
        <v>395</v>
      </c>
      <c r="C71" s="20" t="s">
        <v>396</v>
      </c>
      <c r="D71" s="20" t="s">
        <v>397</v>
      </c>
      <c r="E71" s="21">
        <v>44711</v>
      </c>
      <c r="F71" s="19" t="s">
        <v>108</v>
      </c>
      <c r="G71" s="75" t="s">
        <v>348</v>
      </c>
      <c r="H71" s="19" t="s">
        <v>229</v>
      </c>
      <c r="I71" s="19">
        <v>19.5</v>
      </c>
      <c r="J71" s="19">
        <f t="shared" si="0"/>
        <v>6.5</v>
      </c>
      <c r="K71" s="19">
        <v>200</v>
      </c>
      <c r="L71" s="36">
        <f t="shared" si="1"/>
        <v>150</v>
      </c>
      <c r="M71" s="36">
        <f t="shared" si="2"/>
        <v>50</v>
      </c>
      <c r="N71" s="19">
        <v>0</v>
      </c>
      <c r="O71" s="19">
        <f t="shared" si="10"/>
        <v>0</v>
      </c>
      <c r="P71" s="19">
        <v>0</v>
      </c>
      <c r="Q71" s="19">
        <f t="shared" si="4"/>
        <v>0</v>
      </c>
      <c r="R71" s="19">
        <v>0</v>
      </c>
      <c r="S71" s="36">
        <f t="shared" si="14"/>
        <v>7.5</v>
      </c>
      <c r="T71" s="19">
        <v>0</v>
      </c>
      <c r="U71" s="19">
        <v>0</v>
      </c>
      <c r="V71" s="19">
        <v>10</v>
      </c>
      <c r="W71" s="19">
        <v>0</v>
      </c>
      <c r="X71" s="19">
        <v>8</v>
      </c>
      <c r="Y71" s="19">
        <v>0</v>
      </c>
      <c r="Z71" s="19">
        <v>0</v>
      </c>
      <c r="AA71" s="19">
        <v>0</v>
      </c>
      <c r="AB71" s="36">
        <f t="shared" si="13"/>
        <v>175.5</v>
      </c>
      <c r="AC71" s="19">
        <f>VLOOKUP(B71,[2]Sheet1!$B$2:$M$199,11,0)/4000</f>
        <v>4.99925</v>
      </c>
      <c r="AD71" s="19">
        <v>0</v>
      </c>
      <c r="AE71" s="19">
        <f>VLOOKUP(B71,'[1]A02'!$E$7:$L$29,7,0)</f>
        <v>50</v>
      </c>
      <c r="AF71" s="19">
        <f t="shared" si="7"/>
        <v>54.99925</v>
      </c>
      <c r="AG71" s="86">
        <f t="shared" si="9"/>
        <v>120.5</v>
      </c>
      <c r="AH71" s="19"/>
      <c r="AI71" s="60"/>
      <c r="AJ71" s="74"/>
    </row>
    <row r="72" s="5" customFormat="1" ht="21" customHeight="1" spans="1:36">
      <c r="A72" s="19">
        <v>64</v>
      </c>
      <c r="B72" s="20" t="s">
        <v>399</v>
      </c>
      <c r="C72" s="20" t="s">
        <v>400</v>
      </c>
      <c r="D72" s="20" t="s">
        <v>401</v>
      </c>
      <c r="E72" s="21">
        <v>44713</v>
      </c>
      <c r="F72" s="19" t="s">
        <v>108</v>
      </c>
      <c r="G72" s="75" t="s">
        <v>348</v>
      </c>
      <c r="H72" s="19" t="s">
        <v>229</v>
      </c>
      <c r="I72" s="19">
        <v>19.5</v>
      </c>
      <c r="J72" s="19">
        <f t="shared" si="0"/>
        <v>6.5</v>
      </c>
      <c r="K72" s="19">
        <v>200</v>
      </c>
      <c r="L72" s="36">
        <f t="shared" si="1"/>
        <v>150</v>
      </c>
      <c r="M72" s="36">
        <f t="shared" si="2"/>
        <v>50</v>
      </c>
      <c r="N72" s="19">
        <v>2</v>
      </c>
      <c r="O72" s="19">
        <f t="shared" si="10"/>
        <v>2.88461538461538</v>
      </c>
      <c r="P72" s="19">
        <v>0</v>
      </c>
      <c r="Q72" s="19">
        <f t="shared" si="4"/>
        <v>0</v>
      </c>
      <c r="R72" s="19">
        <v>0</v>
      </c>
      <c r="S72" s="36">
        <f t="shared" si="14"/>
        <v>7.5</v>
      </c>
      <c r="T72" s="19">
        <v>0</v>
      </c>
      <c r="U72" s="19">
        <v>0</v>
      </c>
      <c r="V72" s="19">
        <v>10</v>
      </c>
      <c r="W72" s="19">
        <v>0.5</v>
      </c>
      <c r="X72" s="19">
        <v>8</v>
      </c>
      <c r="Y72" s="19">
        <v>0</v>
      </c>
      <c r="Z72" s="19">
        <v>0</v>
      </c>
      <c r="AA72" s="19">
        <v>0</v>
      </c>
      <c r="AB72" s="36">
        <f t="shared" si="13"/>
        <v>178.884615384615</v>
      </c>
      <c r="AC72" s="19">
        <f>VLOOKUP(B72,[2]Sheet1!$B$2:$M$199,11,0)/4000</f>
        <v>5.31525</v>
      </c>
      <c r="AD72" s="19">
        <v>0</v>
      </c>
      <c r="AE72" s="19">
        <f>VLOOKUP(B72,'[1]A02'!$E$7:$L$29,7,0)</f>
        <v>50</v>
      </c>
      <c r="AF72" s="19">
        <f t="shared" si="7"/>
        <v>55.31525</v>
      </c>
      <c r="AG72" s="86">
        <f t="shared" si="9"/>
        <v>123.57</v>
      </c>
      <c r="AH72" s="19"/>
      <c r="AI72" s="60"/>
      <c r="AJ72" s="74"/>
    </row>
    <row r="73" s="5" customFormat="1" ht="21" customHeight="1" spans="1:36">
      <c r="A73" s="19">
        <v>65</v>
      </c>
      <c r="B73" s="20" t="s">
        <v>402</v>
      </c>
      <c r="C73" s="20" t="s">
        <v>403</v>
      </c>
      <c r="D73" s="20" t="s">
        <v>404</v>
      </c>
      <c r="E73" s="21">
        <v>44711</v>
      </c>
      <c r="F73" s="19" t="s">
        <v>96</v>
      </c>
      <c r="G73" s="75" t="s">
        <v>348</v>
      </c>
      <c r="H73" s="19" t="s">
        <v>229</v>
      </c>
      <c r="I73" s="19">
        <v>23</v>
      </c>
      <c r="J73" s="19">
        <f t="shared" ref="J73:J136" si="15">26-I73</f>
        <v>3</v>
      </c>
      <c r="K73" s="19">
        <v>200</v>
      </c>
      <c r="L73" s="36">
        <f t="shared" ref="L73:L136" si="16">K73/26*I73</f>
        <v>176.923076923077</v>
      </c>
      <c r="M73" s="36">
        <f t="shared" ref="M73:M136" si="17">K73/26*J73</f>
        <v>23.0769230769231</v>
      </c>
      <c r="N73" s="19">
        <v>4</v>
      </c>
      <c r="O73" s="19">
        <f t="shared" si="10"/>
        <v>5.76923076923077</v>
      </c>
      <c r="P73" s="19">
        <v>0</v>
      </c>
      <c r="Q73" s="19">
        <f t="shared" ref="Q73:Q136" si="18">K73/26*2*P73</f>
        <v>0</v>
      </c>
      <c r="R73" s="19">
        <v>0</v>
      </c>
      <c r="S73" s="36">
        <f t="shared" si="14"/>
        <v>8.84615384615385</v>
      </c>
      <c r="T73" s="19">
        <v>0</v>
      </c>
      <c r="U73" s="19">
        <v>0</v>
      </c>
      <c r="V73" s="19">
        <v>10</v>
      </c>
      <c r="W73" s="19">
        <v>1</v>
      </c>
      <c r="X73" s="19">
        <v>8</v>
      </c>
      <c r="Y73" s="19">
        <v>0</v>
      </c>
      <c r="Z73" s="19">
        <v>0</v>
      </c>
      <c r="AA73" s="19">
        <v>0</v>
      </c>
      <c r="AB73" s="36">
        <f t="shared" si="13"/>
        <v>210.538461538462</v>
      </c>
      <c r="AC73" s="19">
        <f>VLOOKUP(B73,[2]Sheet1!$B$2:$M$199,11,0)/4000</f>
        <v>6</v>
      </c>
      <c r="AD73" s="19">
        <v>0</v>
      </c>
      <c r="AE73" s="19">
        <f>VLOOKUP(B73,'[1]A02'!$E$7:$L$29,7,0)</f>
        <v>100</v>
      </c>
      <c r="AF73" s="19">
        <f t="shared" ref="AF73:AF136" si="19">SUM(AC73:AE73)</f>
        <v>106</v>
      </c>
      <c r="AG73" s="86">
        <f t="shared" si="9"/>
        <v>104.54</v>
      </c>
      <c r="AH73" s="19"/>
      <c r="AI73" s="60"/>
      <c r="AJ73" s="74"/>
    </row>
    <row r="74" s="5" customFormat="1" ht="21" customHeight="1" spans="1:36">
      <c r="A74" s="19">
        <v>66</v>
      </c>
      <c r="B74" s="20" t="s">
        <v>406</v>
      </c>
      <c r="C74" s="20" t="s">
        <v>407</v>
      </c>
      <c r="D74" s="20" t="s">
        <v>408</v>
      </c>
      <c r="E74" s="21">
        <v>44713</v>
      </c>
      <c r="F74" s="19" t="s">
        <v>96</v>
      </c>
      <c r="G74" s="75" t="s">
        <v>348</v>
      </c>
      <c r="H74" s="19" t="s">
        <v>229</v>
      </c>
      <c r="I74" s="19">
        <v>23</v>
      </c>
      <c r="J74" s="19">
        <f t="shared" si="15"/>
        <v>3</v>
      </c>
      <c r="K74" s="19">
        <v>200</v>
      </c>
      <c r="L74" s="36">
        <f t="shared" si="16"/>
        <v>176.923076923077</v>
      </c>
      <c r="M74" s="36">
        <f t="shared" si="17"/>
        <v>23.0769230769231</v>
      </c>
      <c r="N74" s="19">
        <v>14</v>
      </c>
      <c r="O74" s="19">
        <f t="shared" si="10"/>
        <v>20.1923076923077</v>
      </c>
      <c r="P74" s="19">
        <v>0</v>
      </c>
      <c r="Q74" s="19">
        <f t="shared" si="18"/>
        <v>0</v>
      </c>
      <c r="R74" s="19">
        <v>0</v>
      </c>
      <c r="S74" s="36">
        <f t="shared" si="14"/>
        <v>8.84615384615385</v>
      </c>
      <c r="T74" s="19">
        <v>0</v>
      </c>
      <c r="U74" s="19">
        <v>0</v>
      </c>
      <c r="V74" s="19">
        <v>10</v>
      </c>
      <c r="W74" s="19">
        <v>3.5</v>
      </c>
      <c r="X74" s="19">
        <v>8</v>
      </c>
      <c r="Y74" s="19">
        <v>0</v>
      </c>
      <c r="Z74" s="19">
        <v>0</v>
      </c>
      <c r="AA74" s="19">
        <v>0</v>
      </c>
      <c r="AB74" s="36">
        <f t="shared" si="13"/>
        <v>227.461538461538</v>
      </c>
      <c r="AC74" s="19">
        <f>VLOOKUP(B74,[2]Sheet1!$B$2:$M$199,11,0)/4000</f>
        <v>6</v>
      </c>
      <c r="AD74" s="19">
        <v>0</v>
      </c>
      <c r="AE74" s="19">
        <f>VLOOKUP(B74,'[1]A02'!$E$7:$L$29,7,0)</f>
        <v>100</v>
      </c>
      <c r="AF74" s="19">
        <f t="shared" si="19"/>
        <v>106</v>
      </c>
      <c r="AG74" s="86">
        <f t="shared" si="9"/>
        <v>121.46</v>
      </c>
      <c r="AH74" s="19"/>
      <c r="AI74" s="60"/>
      <c r="AJ74" s="74"/>
    </row>
    <row r="75" s="5" customFormat="1" ht="21" customHeight="1" spans="1:36">
      <c r="A75" s="19">
        <v>67</v>
      </c>
      <c r="B75" s="20" t="s">
        <v>410</v>
      </c>
      <c r="C75" s="20" t="s">
        <v>411</v>
      </c>
      <c r="D75" s="20" t="s">
        <v>412</v>
      </c>
      <c r="E75" s="21">
        <v>44749</v>
      </c>
      <c r="F75" s="19" t="s">
        <v>96</v>
      </c>
      <c r="G75" s="75" t="s">
        <v>348</v>
      </c>
      <c r="H75" s="19" t="s">
        <v>229</v>
      </c>
      <c r="I75" s="19">
        <v>19.5</v>
      </c>
      <c r="J75" s="19">
        <f t="shared" si="15"/>
        <v>6.5</v>
      </c>
      <c r="K75" s="19">
        <v>200</v>
      </c>
      <c r="L75" s="36">
        <f t="shared" si="16"/>
        <v>150</v>
      </c>
      <c r="M75" s="36">
        <f t="shared" si="17"/>
        <v>50</v>
      </c>
      <c r="N75" s="19">
        <v>4</v>
      </c>
      <c r="O75" s="19">
        <f t="shared" si="10"/>
        <v>5.76923076923077</v>
      </c>
      <c r="P75" s="19">
        <v>0</v>
      </c>
      <c r="Q75" s="19">
        <f t="shared" si="18"/>
        <v>0</v>
      </c>
      <c r="R75" s="19">
        <v>0</v>
      </c>
      <c r="S75" s="36">
        <f t="shared" si="14"/>
        <v>7.5</v>
      </c>
      <c r="T75" s="19">
        <v>0</v>
      </c>
      <c r="U75" s="19">
        <v>0</v>
      </c>
      <c r="V75" s="19">
        <v>10</v>
      </c>
      <c r="W75" s="19">
        <v>1</v>
      </c>
      <c r="X75" s="19">
        <v>8</v>
      </c>
      <c r="Y75" s="19">
        <v>0</v>
      </c>
      <c r="Z75" s="19">
        <f>VLOOKUP(B75,'[3]Annual Leave '!$B$7:$Q$98,13,0)</f>
        <v>31.75</v>
      </c>
      <c r="AA75" s="19">
        <f>VLOOKUP(B75,'[3]Annual Leave '!$B$7:$Q$98,15,0)</f>
        <v>20.3541050295858</v>
      </c>
      <c r="AB75" s="36">
        <f t="shared" si="13"/>
        <v>234.373335798817</v>
      </c>
      <c r="AC75" s="19">
        <f>VLOOKUP(B75,[2]Sheet1!$B$2:$M$199,11,0)/4000</f>
        <v>4.287</v>
      </c>
      <c r="AD75" s="19">
        <v>0</v>
      </c>
      <c r="AE75" s="19">
        <f>VLOOKUP(B75,'[1]A02'!$E$7:$L$29,7,0)</f>
        <v>50</v>
      </c>
      <c r="AF75" s="19">
        <f t="shared" si="19"/>
        <v>54.287</v>
      </c>
      <c r="AG75" s="86">
        <f t="shared" ref="AG75:AG138" si="20">ROUND(AB75-AF75,2)</f>
        <v>180.09</v>
      </c>
      <c r="AH75" s="19"/>
      <c r="AI75" s="60"/>
      <c r="AJ75" s="74"/>
    </row>
    <row r="76" s="5" customFormat="1" ht="21" customHeight="1" spans="1:36">
      <c r="A76" s="19">
        <v>68</v>
      </c>
      <c r="B76" s="20" t="s">
        <v>414</v>
      </c>
      <c r="C76" s="20" t="s">
        <v>415</v>
      </c>
      <c r="D76" s="20" t="s">
        <v>416</v>
      </c>
      <c r="E76" s="21">
        <v>44760</v>
      </c>
      <c r="F76" s="19" t="s">
        <v>96</v>
      </c>
      <c r="G76" s="75" t="s">
        <v>348</v>
      </c>
      <c r="H76" s="19" t="s">
        <v>229</v>
      </c>
      <c r="I76" s="19">
        <v>22.5</v>
      </c>
      <c r="J76" s="19">
        <f t="shared" si="15"/>
        <v>3.5</v>
      </c>
      <c r="K76" s="19">
        <v>200</v>
      </c>
      <c r="L76" s="36">
        <f t="shared" si="16"/>
        <v>173.076923076923</v>
      </c>
      <c r="M76" s="36">
        <f t="shared" si="17"/>
        <v>26.9230769230769</v>
      </c>
      <c r="N76" s="19">
        <v>4</v>
      </c>
      <c r="O76" s="19">
        <f t="shared" si="10"/>
        <v>5.76923076923077</v>
      </c>
      <c r="P76" s="19">
        <v>0</v>
      </c>
      <c r="Q76" s="19">
        <f t="shared" si="18"/>
        <v>0</v>
      </c>
      <c r="R76" s="19">
        <v>0</v>
      </c>
      <c r="S76" s="36">
        <f t="shared" si="14"/>
        <v>8.65384615384616</v>
      </c>
      <c r="T76" s="19">
        <v>0</v>
      </c>
      <c r="U76" s="19">
        <v>0</v>
      </c>
      <c r="V76" s="19">
        <v>10</v>
      </c>
      <c r="W76" s="19">
        <v>1</v>
      </c>
      <c r="X76" s="19">
        <v>8</v>
      </c>
      <c r="Y76" s="19">
        <v>0</v>
      </c>
      <c r="Z76" s="19">
        <v>0</v>
      </c>
      <c r="AA76" s="19">
        <v>0</v>
      </c>
      <c r="AB76" s="36">
        <f t="shared" si="13"/>
        <v>206.5</v>
      </c>
      <c r="AC76" s="19">
        <f>VLOOKUP(B76,[2]Sheet1!$B$2:$M$199,11,0)/4000</f>
        <v>4.597</v>
      </c>
      <c r="AD76" s="19">
        <v>0</v>
      </c>
      <c r="AE76" s="19">
        <f>VLOOKUP(B76,'[1]A02'!$E$7:$L$29,7,0)</f>
        <v>100</v>
      </c>
      <c r="AF76" s="19">
        <f t="shared" si="19"/>
        <v>104.597</v>
      </c>
      <c r="AG76" s="86">
        <f t="shared" si="20"/>
        <v>101.9</v>
      </c>
      <c r="AH76" s="19"/>
      <c r="AI76" s="60"/>
      <c r="AJ76" s="74"/>
    </row>
    <row r="77" s="5" customFormat="1" ht="21" customHeight="1" spans="1:36">
      <c r="A77" s="19">
        <v>69</v>
      </c>
      <c r="B77" s="20" t="s">
        <v>419</v>
      </c>
      <c r="C77" s="20" t="s">
        <v>420</v>
      </c>
      <c r="D77" s="20" t="s">
        <v>421</v>
      </c>
      <c r="E77" s="21">
        <v>44760</v>
      </c>
      <c r="F77" s="19" t="s">
        <v>96</v>
      </c>
      <c r="G77" s="75" t="s">
        <v>348</v>
      </c>
      <c r="H77" s="19" t="s">
        <v>229</v>
      </c>
      <c r="I77" s="19">
        <v>19.5</v>
      </c>
      <c r="J77" s="19">
        <f t="shared" si="15"/>
        <v>6.5</v>
      </c>
      <c r="K77" s="19">
        <v>200</v>
      </c>
      <c r="L77" s="36">
        <f t="shared" si="16"/>
        <v>150</v>
      </c>
      <c r="M77" s="36">
        <f t="shared" si="17"/>
        <v>50</v>
      </c>
      <c r="N77" s="19">
        <v>0</v>
      </c>
      <c r="O77" s="19">
        <f t="shared" si="10"/>
        <v>0</v>
      </c>
      <c r="P77" s="19">
        <v>0</v>
      </c>
      <c r="Q77" s="19">
        <f t="shared" si="18"/>
        <v>0</v>
      </c>
      <c r="R77" s="19">
        <v>0</v>
      </c>
      <c r="S77" s="36">
        <f t="shared" si="14"/>
        <v>7.5</v>
      </c>
      <c r="T77" s="19">
        <v>0</v>
      </c>
      <c r="U77" s="19">
        <v>0</v>
      </c>
      <c r="V77" s="19">
        <v>10</v>
      </c>
      <c r="W77" s="19">
        <v>0</v>
      </c>
      <c r="X77" s="19">
        <v>8</v>
      </c>
      <c r="Y77" s="19">
        <v>0</v>
      </c>
      <c r="Z77" s="19">
        <v>0</v>
      </c>
      <c r="AA77" s="19">
        <v>0</v>
      </c>
      <c r="AB77" s="36">
        <f t="shared" si="13"/>
        <v>175.5</v>
      </c>
      <c r="AC77" s="19">
        <f>VLOOKUP(B77,[2]Sheet1!$B$2:$M$199,11,0)/4000</f>
        <v>4.298</v>
      </c>
      <c r="AD77" s="19">
        <v>0</v>
      </c>
      <c r="AE77" s="19">
        <f>VLOOKUP(B77,'[1]A02'!$E$7:$L$29,7,0)</f>
        <v>50</v>
      </c>
      <c r="AF77" s="19">
        <f t="shared" si="19"/>
        <v>54.298</v>
      </c>
      <c r="AG77" s="86">
        <f t="shared" si="20"/>
        <v>121.2</v>
      </c>
      <c r="AH77" s="19"/>
      <c r="AI77" s="60"/>
      <c r="AJ77" s="74"/>
    </row>
    <row r="78" s="5" customFormat="1" ht="21" customHeight="1" spans="1:36">
      <c r="A78" s="19">
        <v>70</v>
      </c>
      <c r="B78" s="20" t="s">
        <v>424</v>
      </c>
      <c r="C78" s="20" t="s">
        <v>425</v>
      </c>
      <c r="D78" s="20" t="s">
        <v>426</v>
      </c>
      <c r="E78" s="21">
        <v>44886</v>
      </c>
      <c r="F78" s="19" t="s">
        <v>96</v>
      </c>
      <c r="G78" s="75" t="s">
        <v>348</v>
      </c>
      <c r="H78" s="19" t="s">
        <v>229</v>
      </c>
      <c r="I78" s="19">
        <v>17.5</v>
      </c>
      <c r="J78" s="19">
        <f t="shared" si="15"/>
        <v>8.5</v>
      </c>
      <c r="K78" s="19">
        <v>200</v>
      </c>
      <c r="L78" s="36">
        <f t="shared" si="16"/>
        <v>134.615384615385</v>
      </c>
      <c r="M78" s="84">
        <f t="shared" si="17"/>
        <v>65.3846153846154</v>
      </c>
      <c r="N78" s="19">
        <v>0</v>
      </c>
      <c r="O78" s="19">
        <f t="shared" si="10"/>
        <v>0</v>
      </c>
      <c r="P78" s="19">
        <v>0</v>
      </c>
      <c r="Q78" s="19">
        <f t="shared" si="18"/>
        <v>0</v>
      </c>
      <c r="R78" s="19">
        <v>0</v>
      </c>
      <c r="S78" s="36">
        <f t="shared" si="14"/>
        <v>6.73076923076923</v>
      </c>
      <c r="T78" s="19">
        <v>0</v>
      </c>
      <c r="U78" s="19">
        <v>0</v>
      </c>
      <c r="V78" s="19">
        <v>10</v>
      </c>
      <c r="W78" s="19">
        <v>0</v>
      </c>
      <c r="X78" s="19">
        <v>8</v>
      </c>
      <c r="Y78" s="19">
        <v>0</v>
      </c>
      <c r="Z78" s="19">
        <v>0</v>
      </c>
      <c r="AA78" s="19">
        <v>0</v>
      </c>
      <c r="AB78" s="36">
        <f t="shared" si="13"/>
        <v>159.346153846154</v>
      </c>
      <c r="AC78" s="19">
        <f>VLOOKUP(B78,[2]Sheet1!$B$2:$M$199,11,0)/4000</f>
        <v>4.20875</v>
      </c>
      <c r="AD78" s="19">
        <v>0</v>
      </c>
      <c r="AE78" s="19">
        <f>VLOOKUP(B78,'[1]A02'!$E$7:$L$29,7,0)</f>
        <v>50</v>
      </c>
      <c r="AF78" s="19">
        <f t="shared" si="19"/>
        <v>54.20875</v>
      </c>
      <c r="AG78" s="86">
        <f t="shared" si="20"/>
        <v>105.14</v>
      </c>
      <c r="AH78" s="19"/>
      <c r="AI78" s="60"/>
      <c r="AJ78" s="74"/>
    </row>
    <row r="79" s="5" customFormat="1" ht="21" customHeight="1" spans="1:36">
      <c r="A79" s="19">
        <v>71</v>
      </c>
      <c r="B79" s="20" t="s">
        <v>427</v>
      </c>
      <c r="C79" s="20" t="s">
        <v>428</v>
      </c>
      <c r="D79" s="20" t="s">
        <v>429</v>
      </c>
      <c r="E79" s="21">
        <v>44886</v>
      </c>
      <c r="F79" s="19" t="s">
        <v>96</v>
      </c>
      <c r="G79" s="75" t="s">
        <v>348</v>
      </c>
      <c r="H79" s="19" t="s">
        <v>229</v>
      </c>
      <c r="I79" s="19">
        <v>19.5</v>
      </c>
      <c r="J79" s="19">
        <f t="shared" si="15"/>
        <v>6.5</v>
      </c>
      <c r="K79" s="19">
        <v>200</v>
      </c>
      <c r="L79" s="36">
        <f t="shared" si="16"/>
        <v>150</v>
      </c>
      <c r="M79" s="84">
        <f t="shared" si="17"/>
        <v>50</v>
      </c>
      <c r="N79" s="19">
        <v>0</v>
      </c>
      <c r="O79" s="19">
        <f t="shared" si="10"/>
        <v>0</v>
      </c>
      <c r="P79" s="19">
        <v>0</v>
      </c>
      <c r="Q79" s="19">
        <f t="shared" si="18"/>
        <v>0</v>
      </c>
      <c r="R79" s="19">
        <v>0</v>
      </c>
      <c r="S79" s="36">
        <f t="shared" si="14"/>
        <v>7.5</v>
      </c>
      <c r="T79" s="19">
        <v>0</v>
      </c>
      <c r="U79" s="19">
        <v>0</v>
      </c>
      <c r="V79" s="19">
        <v>10</v>
      </c>
      <c r="W79" s="19">
        <v>0</v>
      </c>
      <c r="X79" s="19">
        <v>8</v>
      </c>
      <c r="Y79" s="19">
        <v>0</v>
      </c>
      <c r="Z79" s="19">
        <v>0</v>
      </c>
      <c r="AA79" s="19">
        <v>0</v>
      </c>
      <c r="AB79" s="36">
        <f t="shared" si="13"/>
        <v>175.5</v>
      </c>
      <c r="AC79" s="19">
        <f>VLOOKUP(B79,[2]Sheet1!$B$2:$M$199,11,0)/4000</f>
        <v>4.24875</v>
      </c>
      <c r="AD79" s="19">
        <v>0</v>
      </c>
      <c r="AE79" s="19">
        <f>VLOOKUP(B79,'[1]A02'!$E$7:$L$29,7,0)</f>
        <v>50</v>
      </c>
      <c r="AF79" s="19">
        <f t="shared" si="19"/>
        <v>54.24875</v>
      </c>
      <c r="AG79" s="86">
        <f t="shared" si="20"/>
        <v>121.25</v>
      </c>
      <c r="AH79" s="19"/>
      <c r="AI79" s="60"/>
      <c r="AJ79" s="74"/>
    </row>
    <row r="80" s="5" customFormat="1" ht="21" customHeight="1" spans="1:36">
      <c r="A80" s="19">
        <v>72</v>
      </c>
      <c r="B80" s="20" t="s">
        <v>431</v>
      </c>
      <c r="C80" s="20" t="s">
        <v>432</v>
      </c>
      <c r="D80" s="20" t="s">
        <v>433</v>
      </c>
      <c r="E80" s="21">
        <v>44886</v>
      </c>
      <c r="F80" s="19" t="s">
        <v>96</v>
      </c>
      <c r="G80" s="75" t="s">
        <v>348</v>
      </c>
      <c r="H80" s="19" t="s">
        <v>229</v>
      </c>
      <c r="I80" s="19">
        <v>23.5</v>
      </c>
      <c r="J80" s="19">
        <f t="shared" si="15"/>
        <v>2.5</v>
      </c>
      <c r="K80" s="19">
        <v>200</v>
      </c>
      <c r="L80" s="36">
        <f t="shared" si="16"/>
        <v>180.769230769231</v>
      </c>
      <c r="M80" s="84">
        <f t="shared" si="17"/>
        <v>19.2307692307692</v>
      </c>
      <c r="N80" s="19">
        <v>4</v>
      </c>
      <c r="O80" s="19">
        <f t="shared" si="10"/>
        <v>5.76923076923077</v>
      </c>
      <c r="P80" s="19">
        <v>0</v>
      </c>
      <c r="Q80" s="19">
        <f t="shared" si="18"/>
        <v>0</v>
      </c>
      <c r="R80" s="19">
        <v>0</v>
      </c>
      <c r="S80" s="36">
        <f t="shared" si="14"/>
        <v>9.03846153846154</v>
      </c>
      <c r="T80" s="19">
        <v>0</v>
      </c>
      <c r="U80" s="19">
        <v>0</v>
      </c>
      <c r="V80" s="19">
        <v>10</v>
      </c>
      <c r="W80" s="19">
        <v>1</v>
      </c>
      <c r="X80" s="19">
        <v>8</v>
      </c>
      <c r="Y80" s="19">
        <v>0</v>
      </c>
      <c r="Z80" s="19">
        <v>0</v>
      </c>
      <c r="AA80" s="19">
        <v>0</v>
      </c>
      <c r="AB80" s="36">
        <f t="shared" si="13"/>
        <v>214.576923076923</v>
      </c>
      <c r="AC80" s="19">
        <f>VLOOKUP(B80,[2]Sheet1!$B$2:$M$199,11,0)/4000</f>
        <v>4.64825</v>
      </c>
      <c r="AD80" s="19">
        <v>0</v>
      </c>
      <c r="AE80" s="19">
        <f>VLOOKUP(B80,'[1]A02'!$E$7:$L$29,7,0)</f>
        <v>100</v>
      </c>
      <c r="AF80" s="19">
        <f t="shared" si="19"/>
        <v>104.64825</v>
      </c>
      <c r="AG80" s="86">
        <f t="shared" si="20"/>
        <v>109.93</v>
      </c>
      <c r="AH80" s="19"/>
      <c r="AI80" s="60"/>
      <c r="AJ80" s="74"/>
    </row>
    <row r="81" s="5" customFormat="1" ht="21" customHeight="1" spans="1:36">
      <c r="A81" s="19">
        <v>73</v>
      </c>
      <c r="B81" s="20" t="s">
        <v>434</v>
      </c>
      <c r="C81" s="20" t="s">
        <v>435</v>
      </c>
      <c r="D81" s="20" t="s">
        <v>436</v>
      </c>
      <c r="E81" s="21">
        <v>44889</v>
      </c>
      <c r="F81" s="19" t="s">
        <v>96</v>
      </c>
      <c r="G81" s="75" t="s">
        <v>348</v>
      </c>
      <c r="H81" s="19" t="s">
        <v>229</v>
      </c>
      <c r="I81" s="19">
        <v>19.5</v>
      </c>
      <c r="J81" s="19">
        <f t="shared" si="15"/>
        <v>6.5</v>
      </c>
      <c r="K81" s="19">
        <v>200</v>
      </c>
      <c r="L81" s="36">
        <f t="shared" si="16"/>
        <v>150</v>
      </c>
      <c r="M81" s="84">
        <f t="shared" si="17"/>
        <v>50</v>
      </c>
      <c r="N81" s="19">
        <v>4</v>
      </c>
      <c r="O81" s="19">
        <f t="shared" si="10"/>
        <v>5.76923076923077</v>
      </c>
      <c r="P81" s="19">
        <v>0</v>
      </c>
      <c r="Q81" s="19">
        <f t="shared" si="18"/>
        <v>0</v>
      </c>
      <c r="R81" s="19">
        <v>0</v>
      </c>
      <c r="S81" s="36">
        <f t="shared" si="14"/>
        <v>7.5</v>
      </c>
      <c r="T81" s="19">
        <v>0</v>
      </c>
      <c r="U81" s="19">
        <v>0</v>
      </c>
      <c r="V81" s="19">
        <v>10</v>
      </c>
      <c r="W81" s="19">
        <v>1</v>
      </c>
      <c r="X81" s="19">
        <v>8</v>
      </c>
      <c r="Y81" s="19">
        <v>0</v>
      </c>
      <c r="Z81" s="19">
        <v>0</v>
      </c>
      <c r="AA81" s="19">
        <v>0</v>
      </c>
      <c r="AB81" s="36">
        <f t="shared" si="13"/>
        <v>182.269230769231</v>
      </c>
      <c r="AC81" s="19">
        <v>0</v>
      </c>
      <c r="AD81" s="19">
        <v>0</v>
      </c>
      <c r="AE81" s="19">
        <f>VLOOKUP(B81,'[1]A02'!$E$7:$L$29,7,0)</f>
        <v>50</v>
      </c>
      <c r="AF81" s="19">
        <f t="shared" si="19"/>
        <v>50</v>
      </c>
      <c r="AG81" s="86">
        <f t="shared" si="20"/>
        <v>132.27</v>
      </c>
      <c r="AH81" s="19"/>
      <c r="AI81" s="60"/>
      <c r="AJ81" s="74"/>
    </row>
    <row r="82" s="5" customFormat="1" ht="21" customHeight="1" spans="1:36">
      <c r="A82" s="19">
        <v>74</v>
      </c>
      <c r="B82" s="20" t="s">
        <v>437</v>
      </c>
      <c r="C82" s="20" t="s">
        <v>438</v>
      </c>
      <c r="D82" s="20" t="s">
        <v>439</v>
      </c>
      <c r="E82" s="21">
        <v>44953</v>
      </c>
      <c r="F82" s="19" t="s">
        <v>96</v>
      </c>
      <c r="G82" s="75" t="s">
        <v>348</v>
      </c>
      <c r="H82" s="19" t="s">
        <v>229</v>
      </c>
      <c r="I82" s="19">
        <v>4</v>
      </c>
      <c r="J82" s="19">
        <v>0</v>
      </c>
      <c r="K82" s="19">
        <v>198</v>
      </c>
      <c r="L82" s="36">
        <f t="shared" si="16"/>
        <v>30.4615384615385</v>
      </c>
      <c r="M82" s="54">
        <f t="shared" si="17"/>
        <v>0</v>
      </c>
      <c r="N82" s="19">
        <v>6</v>
      </c>
      <c r="O82" s="19">
        <f t="shared" ref="O82:O145" si="21">K82/26/8*1.5*N82</f>
        <v>8.56730769230769</v>
      </c>
      <c r="P82" s="19">
        <v>0</v>
      </c>
      <c r="Q82" s="19">
        <f t="shared" si="18"/>
        <v>0</v>
      </c>
      <c r="R82" s="19">
        <v>0</v>
      </c>
      <c r="S82" s="36">
        <v>5</v>
      </c>
      <c r="T82" s="19">
        <v>0</v>
      </c>
      <c r="U82" s="19">
        <v>0</v>
      </c>
      <c r="V82" s="19">
        <v>5</v>
      </c>
      <c r="W82" s="19">
        <v>1.5</v>
      </c>
      <c r="X82" s="19">
        <v>4</v>
      </c>
      <c r="Y82" s="19">
        <v>0</v>
      </c>
      <c r="Z82" s="19">
        <v>0</v>
      </c>
      <c r="AA82" s="19">
        <v>0</v>
      </c>
      <c r="AB82" s="36">
        <f t="shared" si="13"/>
        <v>54.5288461538462</v>
      </c>
      <c r="AC82" s="19">
        <v>0</v>
      </c>
      <c r="AD82" s="19">
        <v>0</v>
      </c>
      <c r="AE82" s="19">
        <v>0</v>
      </c>
      <c r="AF82" s="19">
        <f t="shared" si="19"/>
        <v>0</v>
      </c>
      <c r="AG82" s="86">
        <f t="shared" si="20"/>
        <v>54.53</v>
      </c>
      <c r="AH82" s="19"/>
      <c r="AI82" s="60"/>
      <c r="AJ82" s="74"/>
    </row>
    <row r="83" s="5" customFormat="1" ht="21" customHeight="1" spans="1:36">
      <c r="A83" s="19">
        <v>75</v>
      </c>
      <c r="B83" s="20" t="s">
        <v>440</v>
      </c>
      <c r="C83" s="20" t="s">
        <v>441</v>
      </c>
      <c r="D83" s="20" t="s">
        <v>442</v>
      </c>
      <c r="E83" s="21">
        <v>44953</v>
      </c>
      <c r="F83" s="19" t="s">
        <v>96</v>
      </c>
      <c r="G83" s="75" t="s">
        <v>348</v>
      </c>
      <c r="H83" s="19" t="s">
        <v>229</v>
      </c>
      <c r="I83" s="19">
        <v>4</v>
      </c>
      <c r="J83" s="19">
        <v>0</v>
      </c>
      <c r="K83" s="19">
        <v>198</v>
      </c>
      <c r="L83" s="36">
        <f t="shared" si="16"/>
        <v>30.4615384615385</v>
      </c>
      <c r="M83" s="54">
        <f t="shared" si="17"/>
        <v>0</v>
      </c>
      <c r="N83" s="19">
        <v>0</v>
      </c>
      <c r="O83" s="19">
        <f t="shared" si="21"/>
        <v>0</v>
      </c>
      <c r="P83" s="19">
        <v>0</v>
      </c>
      <c r="Q83" s="19">
        <f t="shared" si="18"/>
        <v>0</v>
      </c>
      <c r="R83" s="19">
        <v>0</v>
      </c>
      <c r="S83" s="36">
        <v>5</v>
      </c>
      <c r="T83" s="19">
        <v>0</v>
      </c>
      <c r="U83" s="19">
        <v>0</v>
      </c>
      <c r="V83" s="19">
        <v>5</v>
      </c>
      <c r="W83" s="19">
        <v>0</v>
      </c>
      <c r="X83" s="19">
        <v>4</v>
      </c>
      <c r="Y83" s="19">
        <v>0</v>
      </c>
      <c r="Z83" s="19">
        <v>0</v>
      </c>
      <c r="AA83" s="19">
        <v>0</v>
      </c>
      <c r="AB83" s="36">
        <f t="shared" si="13"/>
        <v>44.4615384615385</v>
      </c>
      <c r="AC83" s="19">
        <v>0</v>
      </c>
      <c r="AD83" s="19">
        <v>0</v>
      </c>
      <c r="AE83" s="19">
        <v>0</v>
      </c>
      <c r="AF83" s="19">
        <f t="shared" si="19"/>
        <v>0</v>
      </c>
      <c r="AG83" s="86">
        <f t="shared" si="20"/>
        <v>44.46</v>
      </c>
      <c r="AH83" s="19"/>
      <c r="AI83" s="60"/>
      <c r="AJ83" s="74"/>
    </row>
    <row r="84" s="5" customFormat="1" ht="21" customHeight="1" spans="1:36">
      <c r="A84" s="19">
        <v>76</v>
      </c>
      <c r="B84" s="75" t="s">
        <v>445</v>
      </c>
      <c r="C84" s="20" t="s">
        <v>446</v>
      </c>
      <c r="D84" s="20" t="s">
        <v>447</v>
      </c>
      <c r="E84" s="21">
        <v>44740</v>
      </c>
      <c r="F84" s="19" t="s">
        <v>96</v>
      </c>
      <c r="G84" s="75" t="s">
        <v>448</v>
      </c>
      <c r="H84" s="19" t="s">
        <v>223</v>
      </c>
      <c r="I84" s="19">
        <v>26</v>
      </c>
      <c r="J84" s="19">
        <f t="shared" si="15"/>
        <v>0</v>
      </c>
      <c r="K84" s="19">
        <v>200</v>
      </c>
      <c r="L84" s="36">
        <f t="shared" si="16"/>
        <v>200</v>
      </c>
      <c r="M84" s="36">
        <f t="shared" si="17"/>
        <v>0</v>
      </c>
      <c r="N84" s="19">
        <v>22</v>
      </c>
      <c r="O84" s="36">
        <f t="shared" si="21"/>
        <v>31.7307692307692</v>
      </c>
      <c r="P84" s="19">
        <v>0</v>
      </c>
      <c r="Q84" s="19">
        <f t="shared" si="18"/>
        <v>0</v>
      </c>
      <c r="R84" s="19">
        <v>0</v>
      </c>
      <c r="S84" s="19">
        <f t="shared" ref="S84:S147" si="22">10/26*I84</f>
        <v>10</v>
      </c>
      <c r="T84" s="19">
        <v>30</v>
      </c>
      <c r="U84" s="19">
        <v>20</v>
      </c>
      <c r="V84" s="19">
        <v>10</v>
      </c>
      <c r="W84" s="19">
        <v>5.5</v>
      </c>
      <c r="X84" s="19">
        <v>8</v>
      </c>
      <c r="Y84" s="19">
        <v>0</v>
      </c>
      <c r="Z84" s="19">
        <f>VLOOKUP(B84,'[3]Annual Leave '!$B$7:$Q$98,13,0)</f>
        <v>45.96</v>
      </c>
      <c r="AA84" s="19">
        <f>VLOOKUP(B84,'[3]Annual Leave '!$B$7:$Q$98,15,0)</f>
        <v>53.0336538461539</v>
      </c>
      <c r="AB84" s="36">
        <f t="shared" si="13"/>
        <v>414.224423076923</v>
      </c>
      <c r="AC84" s="19">
        <f>VLOOKUP(B84,[2]Sheet1!$B$2:$N$199,11,0)/4000</f>
        <v>6</v>
      </c>
      <c r="AD84" s="19">
        <v>0</v>
      </c>
      <c r="AE84" s="19">
        <f>VLOOKUP(B84,'[1]A03'!$E$7:$L$33,7,0)</f>
        <v>100</v>
      </c>
      <c r="AF84" s="19">
        <f t="shared" si="19"/>
        <v>106</v>
      </c>
      <c r="AG84" s="86">
        <f t="shared" si="20"/>
        <v>308.22</v>
      </c>
      <c r="AH84" s="19"/>
      <c r="AI84" s="60"/>
      <c r="AJ84" s="74"/>
    </row>
    <row r="85" s="5" customFormat="1" ht="21" customHeight="1" spans="1:36">
      <c r="A85" s="19">
        <v>77</v>
      </c>
      <c r="B85" s="75" t="s">
        <v>450</v>
      </c>
      <c r="C85" s="81" t="s">
        <v>451</v>
      </c>
      <c r="D85" s="20" t="s">
        <v>452</v>
      </c>
      <c r="E85" s="21">
        <v>44732</v>
      </c>
      <c r="F85" s="19" t="s">
        <v>96</v>
      </c>
      <c r="G85" s="75" t="s">
        <v>448</v>
      </c>
      <c r="H85" s="19" t="s">
        <v>229</v>
      </c>
      <c r="I85" s="19">
        <v>20.5</v>
      </c>
      <c r="J85" s="19">
        <f t="shared" si="15"/>
        <v>5.5</v>
      </c>
      <c r="K85" s="19">
        <v>200</v>
      </c>
      <c r="L85" s="36">
        <f t="shared" si="16"/>
        <v>157.692307692308</v>
      </c>
      <c r="M85" s="36">
        <f t="shared" si="17"/>
        <v>42.3076923076923</v>
      </c>
      <c r="N85" s="19">
        <v>22</v>
      </c>
      <c r="O85" s="36">
        <f t="shared" si="21"/>
        <v>31.7307692307692</v>
      </c>
      <c r="P85" s="19">
        <v>0</v>
      </c>
      <c r="Q85" s="19">
        <f t="shared" si="18"/>
        <v>0</v>
      </c>
      <c r="R85" s="19">
        <v>0</v>
      </c>
      <c r="S85" s="19">
        <f t="shared" si="22"/>
        <v>7.88461538461539</v>
      </c>
      <c r="T85" s="19">
        <v>0</v>
      </c>
      <c r="U85" s="19">
        <v>0</v>
      </c>
      <c r="V85" s="19">
        <v>10</v>
      </c>
      <c r="W85" s="19">
        <v>5.5</v>
      </c>
      <c r="X85" s="19">
        <v>8</v>
      </c>
      <c r="Y85" s="19">
        <v>0</v>
      </c>
      <c r="Z85" s="19">
        <f>VLOOKUP(B85,'[3]Annual Leave '!$B$7:$Q$98,13,0)</f>
        <v>34.07</v>
      </c>
      <c r="AA85" s="19">
        <f>VLOOKUP(B85,'[3]Annual Leave '!$B$7:$Q$98,15,0)</f>
        <v>13.1056767751479</v>
      </c>
      <c r="AB85" s="36">
        <f t="shared" si="13"/>
        <v>267.98336908284</v>
      </c>
      <c r="AC85" s="19">
        <f>VLOOKUP(B85,[2]Sheet1!$B$2:$N$199,11,0)/4000</f>
        <v>4.20625</v>
      </c>
      <c r="AD85" s="19">
        <v>0</v>
      </c>
      <c r="AE85" s="19">
        <f>VLOOKUP(B85,'[1]A03'!$E$7:$L$33,7,0)</f>
        <v>50</v>
      </c>
      <c r="AF85" s="19">
        <f t="shared" si="19"/>
        <v>54.20625</v>
      </c>
      <c r="AG85" s="86">
        <f t="shared" si="20"/>
        <v>213.78</v>
      </c>
      <c r="AH85" s="19"/>
      <c r="AI85" s="60"/>
      <c r="AJ85" s="74"/>
    </row>
    <row r="86" s="5" customFormat="1" ht="21" customHeight="1" spans="1:36">
      <c r="A86" s="19">
        <v>78</v>
      </c>
      <c r="B86" s="75" t="s">
        <v>454</v>
      </c>
      <c r="C86" s="20" t="s">
        <v>455</v>
      </c>
      <c r="D86" s="20" t="s">
        <v>456</v>
      </c>
      <c r="E86" s="21">
        <v>44732</v>
      </c>
      <c r="F86" s="19" t="s">
        <v>96</v>
      </c>
      <c r="G86" s="75" t="s">
        <v>448</v>
      </c>
      <c r="H86" s="19" t="s">
        <v>229</v>
      </c>
      <c r="I86" s="19">
        <v>20.25</v>
      </c>
      <c r="J86" s="19">
        <f t="shared" si="15"/>
        <v>5.75</v>
      </c>
      <c r="K86" s="19">
        <v>200</v>
      </c>
      <c r="L86" s="36">
        <f t="shared" si="16"/>
        <v>155.769230769231</v>
      </c>
      <c r="M86" s="36">
        <f t="shared" si="17"/>
        <v>44.2307692307692</v>
      </c>
      <c r="N86" s="19">
        <v>22</v>
      </c>
      <c r="O86" s="19">
        <f t="shared" si="21"/>
        <v>31.7307692307692</v>
      </c>
      <c r="P86" s="19">
        <v>0</v>
      </c>
      <c r="Q86" s="19">
        <f t="shared" si="18"/>
        <v>0</v>
      </c>
      <c r="R86" s="19">
        <v>0</v>
      </c>
      <c r="S86" s="19">
        <f t="shared" si="22"/>
        <v>7.78846153846154</v>
      </c>
      <c r="T86" s="19">
        <v>0</v>
      </c>
      <c r="U86" s="19">
        <v>0</v>
      </c>
      <c r="V86" s="19">
        <v>10</v>
      </c>
      <c r="W86" s="19">
        <v>5.5</v>
      </c>
      <c r="X86" s="54">
        <v>8</v>
      </c>
      <c r="Y86" s="19">
        <v>0</v>
      </c>
      <c r="Z86" s="19">
        <f>VLOOKUP(B86,'[3]Annual Leave '!$B$7:$Q$98,13,0)</f>
        <v>33.45</v>
      </c>
      <c r="AA86" s="19">
        <f>VLOOKUP(B86,'[3]Annual Leave '!$B$7:$Q$98,15,0)</f>
        <v>12.8645525147929</v>
      </c>
      <c r="AB86" s="36">
        <f t="shared" si="13"/>
        <v>265.103014053254</v>
      </c>
      <c r="AC86" s="19">
        <f>VLOOKUP(B86,[2]Sheet1!$B$2:$N$199,11,0)/4000</f>
        <v>4.287</v>
      </c>
      <c r="AD86" s="19">
        <v>0</v>
      </c>
      <c r="AE86" s="19">
        <f>VLOOKUP(B86,'[1]A03'!$E$7:$L$33,7,0)</f>
        <v>50</v>
      </c>
      <c r="AF86" s="19">
        <f t="shared" si="19"/>
        <v>54.287</v>
      </c>
      <c r="AG86" s="86">
        <f t="shared" si="20"/>
        <v>210.82</v>
      </c>
      <c r="AH86" s="19"/>
      <c r="AI86" s="60"/>
      <c r="AJ86" s="74"/>
    </row>
    <row r="87" s="5" customFormat="1" ht="21" customHeight="1" spans="1:36">
      <c r="A87" s="19">
        <v>79</v>
      </c>
      <c r="B87" s="75" t="s">
        <v>459</v>
      </c>
      <c r="C87" s="20" t="s">
        <v>460</v>
      </c>
      <c r="D87" s="20" t="s">
        <v>461</v>
      </c>
      <c r="E87" s="21">
        <v>44732</v>
      </c>
      <c r="F87" s="19" t="s">
        <v>96</v>
      </c>
      <c r="G87" s="75" t="s">
        <v>448</v>
      </c>
      <c r="H87" s="19" t="s">
        <v>229</v>
      </c>
      <c r="I87" s="19">
        <v>24.5</v>
      </c>
      <c r="J87" s="19">
        <f t="shared" si="15"/>
        <v>1.5</v>
      </c>
      <c r="K87" s="19">
        <v>200</v>
      </c>
      <c r="L87" s="36">
        <f t="shared" si="16"/>
        <v>188.461538461538</v>
      </c>
      <c r="M87" s="36">
        <f t="shared" si="17"/>
        <v>11.5384615384615</v>
      </c>
      <c r="N87" s="19">
        <v>14</v>
      </c>
      <c r="O87" s="19">
        <f t="shared" si="21"/>
        <v>20.1923076923077</v>
      </c>
      <c r="P87" s="19">
        <v>0</v>
      </c>
      <c r="Q87" s="19">
        <f t="shared" si="18"/>
        <v>0</v>
      </c>
      <c r="R87" s="19">
        <v>0</v>
      </c>
      <c r="S87" s="19">
        <f t="shared" si="22"/>
        <v>9.42307692307692</v>
      </c>
      <c r="T87" s="19">
        <v>0</v>
      </c>
      <c r="U87" s="19">
        <v>0</v>
      </c>
      <c r="V87" s="19">
        <v>10</v>
      </c>
      <c r="W87" s="19">
        <v>3.5</v>
      </c>
      <c r="X87" s="54">
        <v>8</v>
      </c>
      <c r="Y87" s="19">
        <v>0</v>
      </c>
      <c r="Z87" s="19">
        <f>VLOOKUP(B87,'[3]Annual Leave '!$B$7:$Q$98,13,0)</f>
        <v>34</v>
      </c>
      <c r="AA87" s="19">
        <f>VLOOKUP(B87,'[3]Annual Leave '!$B$7:$Q$98,15,0)</f>
        <v>4.35897435897436</v>
      </c>
      <c r="AB87" s="36">
        <f t="shared" si="13"/>
        <v>277.935897435897</v>
      </c>
      <c r="AC87" s="19">
        <f>VLOOKUP(B87,[2]Sheet1!$B$2:$N$199,11,0)/4000</f>
        <v>4.20625</v>
      </c>
      <c r="AD87" s="19">
        <v>0</v>
      </c>
      <c r="AE87" s="19">
        <f>VLOOKUP(B87,'[1]A03'!$E$7:$L$33,7,0)</f>
        <v>100</v>
      </c>
      <c r="AF87" s="19">
        <f t="shared" si="19"/>
        <v>104.20625</v>
      </c>
      <c r="AG87" s="86">
        <f t="shared" si="20"/>
        <v>173.73</v>
      </c>
      <c r="AH87" s="19"/>
      <c r="AI87" s="60"/>
      <c r="AJ87" s="74"/>
    </row>
    <row r="88" s="5" customFormat="1" ht="21" customHeight="1" spans="1:36">
      <c r="A88" s="19">
        <v>80</v>
      </c>
      <c r="B88" s="75" t="s">
        <v>463</v>
      </c>
      <c r="C88" s="81" t="s">
        <v>464</v>
      </c>
      <c r="D88" s="20" t="s">
        <v>465</v>
      </c>
      <c r="E88" s="21">
        <v>44732</v>
      </c>
      <c r="F88" s="19" t="s">
        <v>108</v>
      </c>
      <c r="G88" s="75" t="s">
        <v>448</v>
      </c>
      <c r="H88" s="19" t="s">
        <v>229</v>
      </c>
      <c r="I88" s="19">
        <v>20.5</v>
      </c>
      <c r="J88" s="19">
        <f t="shared" si="15"/>
        <v>5.5</v>
      </c>
      <c r="K88" s="19">
        <v>200</v>
      </c>
      <c r="L88" s="36">
        <f t="shared" si="16"/>
        <v>157.692307692308</v>
      </c>
      <c r="M88" s="36">
        <f t="shared" si="17"/>
        <v>42.3076923076923</v>
      </c>
      <c r="N88" s="19">
        <v>0</v>
      </c>
      <c r="O88" s="19">
        <f t="shared" si="21"/>
        <v>0</v>
      </c>
      <c r="P88" s="19">
        <v>0</v>
      </c>
      <c r="Q88" s="19">
        <f t="shared" si="18"/>
        <v>0</v>
      </c>
      <c r="R88" s="19">
        <v>0</v>
      </c>
      <c r="S88" s="19">
        <f t="shared" si="22"/>
        <v>7.88461538461539</v>
      </c>
      <c r="T88" s="19">
        <v>0</v>
      </c>
      <c r="U88" s="19">
        <v>0</v>
      </c>
      <c r="V88" s="19">
        <v>10</v>
      </c>
      <c r="W88" s="19">
        <v>0</v>
      </c>
      <c r="X88" s="54">
        <v>8</v>
      </c>
      <c r="Y88" s="19">
        <v>0</v>
      </c>
      <c r="Z88" s="19">
        <f>VLOOKUP(B88,'[3]Annual Leave '!$B$7:$Q$98,13,0)</f>
        <v>30.48</v>
      </c>
      <c r="AA88" s="19">
        <f>VLOOKUP(B88,'[3]Annual Leave '!$B$7:$Q$98,15,0)</f>
        <v>11.7220784023669</v>
      </c>
      <c r="AB88" s="36">
        <f t="shared" si="13"/>
        <v>225.77900147929</v>
      </c>
      <c r="AC88" s="19">
        <f>VLOOKUP(B88,[2]Sheet1!$B$2:$N$199,11,0)/4000</f>
        <v>4.32725</v>
      </c>
      <c r="AD88" s="19">
        <v>0</v>
      </c>
      <c r="AE88" s="19">
        <f>VLOOKUP(B88,'[1]A03'!$E$7:$L$33,7,0)</f>
        <v>50</v>
      </c>
      <c r="AF88" s="19">
        <f t="shared" si="19"/>
        <v>54.32725</v>
      </c>
      <c r="AG88" s="86">
        <f t="shared" si="20"/>
        <v>171.45</v>
      </c>
      <c r="AH88" s="19"/>
      <c r="AI88" s="60"/>
      <c r="AJ88" s="74"/>
    </row>
    <row r="89" s="5" customFormat="1" ht="21" customHeight="1" spans="1:36">
      <c r="A89" s="19">
        <v>81</v>
      </c>
      <c r="B89" s="75" t="s">
        <v>468</v>
      </c>
      <c r="C89" s="20" t="s">
        <v>469</v>
      </c>
      <c r="D89" s="20" t="s">
        <v>470</v>
      </c>
      <c r="E89" s="21">
        <v>44732</v>
      </c>
      <c r="F89" s="19" t="s">
        <v>96</v>
      </c>
      <c r="G89" s="75" t="s">
        <v>448</v>
      </c>
      <c r="H89" s="19" t="s">
        <v>229</v>
      </c>
      <c r="I89" s="19">
        <v>20.5</v>
      </c>
      <c r="J89" s="19">
        <f t="shared" si="15"/>
        <v>5.5</v>
      </c>
      <c r="K89" s="19">
        <v>200</v>
      </c>
      <c r="L89" s="36">
        <f t="shared" si="16"/>
        <v>157.692307692308</v>
      </c>
      <c r="M89" s="36">
        <f t="shared" si="17"/>
        <v>42.3076923076923</v>
      </c>
      <c r="N89" s="19">
        <v>22</v>
      </c>
      <c r="O89" s="19">
        <f t="shared" si="21"/>
        <v>31.7307692307692</v>
      </c>
      <c r="P89" s="19">
        <v>0</v>
      </c>
      <c r="Q89" s="19">
        <f t="shared" si="18"/>
        <v>0</v>
      </c>
      <c r="R89" s="19">
        <v>0</v>
      </c>
      <c r="S89" s="19">
        <f t="shared" si="22"/>
        <v>7.88461538461539</v>
      </c>
      <c r="T89" s="19">
        <v>0</v>
      </c>
      <c r="U89" s="19">
        <v>0</v>
      </c>
      <c r="V89" s="19">
        <v>10</v>
      </c>
      <c r="W89" s="19">
        <v>5.5</v>
      </c>
      <c r="X89" s="54">
        <v>8</v>
      </c>
      <c r="Y89" s="19">
        <v>0</v>
      </c>
      <c r="Z89" s="19">
        <f>VLOOKUP(B89,'[3]Annual Leave '!$B$7:$Q$98,13,0)</f>
        <v>33.91</v>
      </c>
      <c r="AA89" s="19">
        <f>VLOOKUP(B89,'[3]Annual Leave '!$B$7:$Q$98,15,0)</f>
        <v>39.1267566568047</v>
      </c>
      <c r="AB89" s="36">
        <f t="shared" si="13"/>
        <v>293.844448964497</v>
      </c>
      <c r="AC89" s="19">
        <f>VLOOKUP(B89,[2]Sheet1!$B$2:$N$199,11,0)/4000</f>
        <v>4.287</v>
      </c>
      <c r="AD89" s="19">
        <v>0</v>
      </c>
      <c r="AE89" s="19">
        <f>VLOOKUP(B89,'[1]A03'!$E$7:$L$33,7,0)</f>
        <v>50</v>
      </c>
      <c r="AF89" s="19">
        <f t="shared" si="19"/>
        <v>54.287</v>
      </c>
      <c r="AG89" s="86">
        <f t="shared" si="20"/>
        <v>239.56</v>
      </c>
      <c r="AH89" s="19"/>
      <c r="AI89" s="60"/>
      <c r="AJ89" s="74"/>
    </row>
    <row r="90" s="5" customFormat="1" ht="21" customHeight="1" spans="1:36">
      <c r="A90" s="19">
        <v>82</v>
      </c>
      <c r="B90" s="75" t="s">
        <v>472</v>
      </c>
      <c r="C90" s="20" t="s">
        <v>473</v>
      </c>
      <c r="D90" s="20" t="s">
        <v>474</v>
      </c>
      <c r="E90" s="21">
        <v>44732</v>
      </c>
      <c r="F90" s="19" t="s">
        <v>96</v>
      </c>
      <c r="G90" s="75" t="s">
        <v>448</v>
      </c>
      <c r="H90" s="19" t="s">
        <v>229</v>
      </c>
      <c r="I90" s="19">
        <v>22.5</v>
      </c>
      <c r="J90" s="19">
        <f t="shared" si="15"/>
        <v>3.5</v>
      </c>
      <c r="K90" s="19">
        <v>200</v>
      </c>
      <c r="L90" s="36">
        <f t="shared" si="16"/>
        <v>173.076923076923</v>
      </c>
      <c r="M90" s="36">
        <f t="shared" si="17"/>
        <v>26.9230769230769</v>
      </c>
      <c r="N90" s="19">
        <v>16</v>
      </c>
      <c r="O90" s="19">
        <f t="shared" si="21"/>
        <v>23.0769230769231</v>
      </c>
      <c r="P90" s="19">
        <v>0</v>
      </c>
      <c r="Q90" s="19">
        <f t="shared" si="18"/>
        <v>0</v>
      </c>
      <c r="R90" s="19">
        <v>0</v>
      </c>
      <c r="S90" s="19">
        <f t="shared" si="22"/>
        <v>8.65384615384616</v>
      </c>
      <c r="T90" s="19">
        <v>0</v>
      </c>
      <c r="U90" s="19">
        <v>0</v>
      </c>
      <c r="V90" s="19">
        <v>10</v>
      </c>
      <c r="W90" s="19">
        <v>4</v>
      </c>
      <c r="X90" s="54">
        <v>8</v>
      </c>
      <c r="Y90" s="19">
        <v>0</v>
      </c>
      <c r="Z90" s="19">
        <f>VLOOKUP(B90,'[3]Annual Leave '!$B$7:$Q$98,13,0)</f>
        <v>32.84</v>
      </c>
      <c r="AA90" s="19">
        <f>VLOOKUP(B90,'[3]Annual Leave '!$B$7:$Q$98,15,0)</f>
        <v>4.21024408284024</v>
      </c>
      <c r="AB90" s="36">
        <f t="shared" si="13"/>
        <v>263.857936390533</v>
      </c>
      <c r="AC90" s="19">
        <f>VLOOKUP(B90,[2]Sheet1!$B$2:$N$199,11,0)/4000</f>
        <v>3.82825</v>
      </c>
      <c r="AD90" s="19">
        <v>0</v>
      </c>
      <c r="AE90" s="19">
        <f>VLOOKUP(B90,'[1]A03'!$E$7:$L$33,7,0)</f>
        <v>100</v>
      </c>
      <c r="AF90" s="19">
        <f t="shared" si="19"/>
        <v>103.82825</v>
      </c>
      <c r="AG90" s="86">
        <f t="shared" si="20"/>
        <v>160.03</v>
      </c>
      <c r="AH90" s="19"/>
      <c r="AI90" s="60"/>
      <c r="AJ90" s="74"/>
    </row>
    <row r="91" s="5" customFormat="1" ht="21" customHeight="1" spans="1:36">
      <c r="A91" s="19">
        <v>83</v>
      </c>
      <c r="B91" s="133" t="s">
        <v>476</v>
      </c>
      <c r="C91" s="20" t="s">
        <v>477</v>
      </c>
      <c r="D91" s="20" t="s">
        <v>478</v>
      </c>
      <c r="E91" s="21">
        <v>44733</v>
      </c>
      <c r="F91" s="19" t="s">
        <v>96</v>
      </c>
      <c r="G91" s="75" t="s">
        <v>448</v>
      </c>
      <c r="H91" s="19" t="s">
        <v>229</v>
      </c>
      <c r="I91" s="19">
        <v>20.25</v>
      </c>
      <c r="J91" s="19">
        <f t="shared" si="15"/>
        <v>5.75</v>
      </c>
      <c r="K91" s="19">
        <v>200</v>
      </c>
      <c r="L91" s="36">
        <f t="shared" si="16"/>
        <v>155.769230769231</v>
      </c>
      <c r="M91" s="36">
        <f t="shared" si="17"/>
        <v>44.2307692307692</v>
      </c>
      <c r="N91" s="19">
        <v>0</v>
      </c>
      <c r="O91" s="36">
        <f t="shared" si="21"/>
        <v>0</v>
      </c>
      <c r="P91" s="19">
        <v>0</v>
      </c>
      <c r="Q91" s="19">
        <f t="shared" si="18"/>
        <v>0</v>
      </c>
      <c r="R91" s="19">
        <v>0</v>
      </c>
      <c r="S91" s="19">
        <f t="shared" si="22"/>
        <v>7.78846153846154</v>
      </c>
      <c r="T91" s="19">
        <v>0</v>
      </c>
      <c r="U91" s="19">
        <v>0</v>
      </c>
      <c r="V91" s="19">
        <v>10</v>
      </c>
      <c r="W91" s="19">
        <v>0</v>
      </c>
      <c r="X91" s="54">
        <v>8</v>
      </c>
      <c r="Y91" s="19">
        <v>0</v>
      </c>
      <c r="Z91" s="19">
        <f>VLOOKUP(B91,'[3]Annual Leave '!$B$7:$Q$98,13,0)</f>
        <v>31.75</v>
      </c>
      <c r="AA91" s="19">
        <f>VLOOKUP(B91,'[3]Annual Leave '!$B$7:$Q$98,15,0)</f>
        <v>4.07082100591716</v>
      </c>
      <c r="AB91" s="36">
        <f t="shared" si="13"/>
        <v>217.378513313609</v>
      </c>
      <c r="AC91" s="19">
        <f>VLOOKUP(B91,[2]Sheet1!$B$2:$N$199,11,0)/4000</f>
        <v>4.219</v>
      </c>
      <c r="AD91" s="19">
        <v>0</v>
      </c>
      <c r="AE91" s="19">
        <f>VLOOKUP(B91,'[1]A03'!$E$7:$L$33,7,0)</f>
        <v>50</v>
      </c>
      <c r="AF91" s="19">
        <f t="shared" si="19"/>
        <v>54.219</v>
      </c>
      <c r="AG91" s="86">
        <f t="shared" si="20"/>
        <v>163.16</v>
      </c>
      <c r="AH91" s="19"/>
      <c r="AI91" s="60"/>
      <c r="AJ91" s="74"/>
    </row>
    <row r="92" s="5" customFormat="1" ht="21" customHeight="1" spans="1:36">
      <c r="A92" s="19">
        <v>84</v>
      </c>
      <c r="B92" s="133" t="s">
        <v>481</v>
      </c>
      <c r="C92" s="20" t="s">
        <v>482</v>
      </c>
      <c r="D92" s="20" t="s">
        <v>483</v>
      </c>
      <c r="E92" s="21">
        <v>44734</v>
      </c>
      <c r="F92" s="19" t="s">
        <v>96</v>
      </c>
      <c r="G92" s="75" t="s">
        <v>448</v>
      </c>
      <c r="H92" s="19" t="s">
        <v>229</v>
      </c>
      <c r="I92" s="19">
        <v>20.5</v>
      </c>
      <c r="J92" s="19">
        <f t="shared" si="15"/>
        <v>5.5</v>
      </c>
      <c r="K92" s="19">
        <v>200</v>
      </c>
      <c r="L92" s="36">
        <f t="shared" si="16"/>
        <v>157.692307692308</v>
      </c>
      <c r="M92" s="36">
        <f t="shared" si="17"/>
        <v>42.3076923076923</v>
      </c>
      <c r="N92" s="19">
        <v>10</v>
      </c>
      <c r="O92" s="36">
        <f t="shared" si="21"/>
        <v>14.4230769230769</v>
      </c>
      <c r="P92" s="19">
        <v>0</v>
      </c>
      <c r="Q92" s="19">
        <f t="shared" si="18"/>
        <v>0</v>
      </c>
      <c r="R92" s="19">
        <v>0</v>
      </c>
      <c r="S92" s="19">
        <f t="shared" si="22"/>
        <v>7.88461538461539</v>
      </c>
      <c r="T92" s="19">
        <v>0</v>
      </c>
      <c r="U92" s="19">
        <v>0</v>
      </c>
      <c r="V92" s="19">
        <v>10</v>
      </c>
      <c r="W92" s="19">
        <v>2.5</v>
      </c>
      <c r="X92" s="54">
        <v>8</v>
      </c>
      <c r="Y92" s="19">
        <v>0</v>
      </c>
      <c r="Z92" s="19">
        <f>VLOOKUP(B92,'[3]Annual Leave '!$B$7:$Q$98,13,0)</f>
        <v>31.36</v>
      </c>
      <c r="AA92" s="19">
        <f>VLOOKUP(B92,'[3]Annual Leave '!$B$7:$Q$98,15,0)</f>
        <v>4.02046351084813</v>
      </c>
      <c r="AB92" s="36">
        <f t="shared" ref="AB92:AB155" si="23">SUM(L92+O92+Q92+R92+S92+T92+U92+V92+X92+Y92+Z92+AA92+W92)</f>
        <v>235.880463510848</v>
      </c>
      <c r="AC92" s="19">
        <f>VLOOKUP(B92,[2]Sheet1!$B$2:$N$199,11,0)/4000</f>
        <v>3.964</v>
      </c>
      <c r="AD92" s="19">
        <v>0</v>
      </c>
      <c r="AE92" s="19">
        <f>VLOOKUP(B92,'[1]A03'!$E$7:$L$33,7,0)</f>
        <v>50</v>
      </c>
      <c r="AF92" s="19">
        <f t="shared" si="19"/>
        <v>53.964</v>
      </c>
      <c r="AG92" s="86">
        <f t="shared" si="20"/>
        <v>181.92</v>
      </c>
      <c r="AH92" s="19"/>
      <c r="AI92" s="60"/>
      <c r="AJ92" s="74"/>
    </row>
    <row r="93" s="5" customFormat="1" ht="21" customHeight="1" spans="1:36">
      <c r="A93" s="19">
        <v>85</v>
      </c>
      <c r="B93" s="75" t="s">
        <v>486</v>
      </c>
      <c r="C93" s="20" t="s">
        <v>487</v>
      </c>
      <c r="D93" s="20" t="s">
        <v>488</v>
      </c>
      <c r="E93" s="21">
        <v>44733</v>
      </c>
      <c r="F93" s="19" t="s">
        <v>96</v>
      </c>
      <c r="G93" s="75" t="s">
        <v>448</v>
      </c>
      <c r="H93" s="19" t="s">
        <v>229</v>
      </c>
      <c r="I93" s="19">
        <v>20.5</v>
      </c>
      <c r="J93" s="19">
        <f t="shared" si="15"/>
        <v>5.5</v>
      </c>
      <c r="K93" s="19">
        <v>200</v>
      </c>
      <c r="L93" s="36">
        <f t="shared" si="16"/>
        <v>157.692307692308</v>
      </c>
      <c r="M93" s="36">
        <f t="shared" si="17"/>
        <v>42.3076923076923</v>
      </c>
      <c r="N93" s="19">
        <v>0</v>
      </c>
      <c r="O93" s="19">
        <f t="shared" si="21"/>
        <v>0</v>
      </c>
      <c r="P93" s="19">
        <v>0</v>
      </c>
      <c r="Q93" s="19">
        <f t="shared" si="18"/>
        <v>0</v>
      </c>
      <c r="R93" s="19">
        <v>0</v>
      </c>
      <c r="S93" s="19">
        <f t="shared" si="22"/>
        <v>7.88461538461539</v>
      </c>
      <c r="T93" s="19">
        <v>0</v>
      </c>
      <c r="U93" s="19">
        <v>0</v>
      </c>
      <c r="V93" s="19">
        <v>10</v>
      </c>
      <c r="W93" s="19">
        <v>0</v>
      </c>
      <c r="X93" s="54">
        <v>8</v>
      </c>
      <c r="Y93" s="19">
        <v>0</v>
      </c>
      <c r="Z93" s="19">
        <f>VLOOKUP(B93,'[3]Annual Leave '!$B$7:$Q$98,13,0)</f>
        <v>31.46</v>
      </c>
      <c r="AA93" s="19">
        <f>VLOOKUP(B93,'[3]Annual Leave '!$B$7:$Q$98,15,0)</f>
        <v>12.0992973372781</v>
      </c>
      <c r="AB93" s="36">
        <f t="shared" si="23"/>
        <v>227.136220414201</v>
      </c>
      <c r="AC93" s="19">
        <f>VLOOKUP(B93,[2]Sheet1!$B$2:$N$199,11,0)/4000</f>
        <v>4.32725</v>
      </c>
      <c r="AD93" s="19">
        <v>0</v>
      </c>
      <c r="AE93" s="19">
        <f>VLOOKUP(B93,'[1]A03'!$E$7:$L$33,7,0)</f>
        <v>50</v>
      </c>
      <c r="AF93" s="19">
        <f t="shared" si="19"/>
        <v>54.32725</v>
      </c>
      <c r="AG93" s="86">
        <f t="shared" si="20"/>
        <v>172.81</v>
      </c>
      <c r="AH93" s="19"/>
      <c r="AI93" s="60"/>
      <c r="AJ93" s="74"/>
    </row>
    <row r="94" s="5" customFormat="1" ht="21" customHeight="1" spans="1:36">
      <c r="A94" s="19">
        <v>86</v>
      </c>
      <c r="B94" s="75" t="s">
        <v>490</v>
      </c>
      <c r="C94" s="20" t="s">
        <v>491</v>
      </c>
      <c r="D94" s="20" t="s">
        <v>492</v>
      </c>
      <c r="E94" s="21">
        <v>44733</v>
      </c>
      <c r="F94" s="19" t="s">
        <v>96</v>
      </c>
      <c r="G94" s="75" t="s">
        <v>448</v>
      </c>
      <c r="H94" s="19" t="s">
        <v>229</v>
      </c>
      <c r="I94" s="19">
        <v>20.5</v>
      </c>
      <c r="J94" s="19">
        <f t="shared" si="15"/>
        <v>5.5</v>
      </c>
      <c r="K94" s="19">
        <v>200</v>
      </c>
      <c r="L94" s="36">
        <f t="shared" si="16"/>
        <v>157.692307692308</v>
      </c>
      <c r="M94" s="36">
        <f t="shared" si="17"/>
        <v>42.3076923076923</v>
      </c>
      <c r="N94" s="19">
        <v>18</v>
      </c>
      <c r="O94" s="19">
        <f t="shared" si="21"/>
        <v>25.9615384615385</v>
      </c>
      <c r="P94" s="19">
        <v>0</v>
      </c>
      <c r="Q94" s="19">
        <f t="shared" si="18"/>
        <v>0</v>
      </c>
      <c r="R94" s="19">
        <v>0</v>
      </c>
      <c r="S94" s="19">
        <f t="shared" si="22"/>
        <v>7.88461538461539</v>
      </c>
      <c r="T94" s="19">
        <v>0</v>
      </c>
      <c r="U94" s="19">
        <v>0</v>
      </c>
      <c r="V94" s="19">
        <v>10</v>
      </c>
      <c r="W94" s="19">
        <v>4.5</v>
      </c>
      <c r="X94" s="54">
        <v>8</v>
      </c>
      <c r="Y94" s="19">
        <v>0</v>
      </c>
      <c r="Z94" s="19">
        <f>VLOOKUP(B94,'[3]Annual Leave '!$B$7:$Q$98,13,0)</f>
        <v>32.82</v>
      </c>
      <c r="AA94" s="19">
        <f>VLOOKUP(B94,'[3]Annual Leave '!$B$7:$Q$98,15,0)</f>
        <v>4.20743959566075</v>
      </c>
      <c r="AB94" s="36">
        <f t="shared" si="23"/>
        <v>251.065901134122</v>
      </c>
      <c r="AC94" s="19">
        <f>VLOOKUP(B94,[2]Sheet1!$B$2:$N$199,11,0)/4000</f>
        <v>4.20625</v>
      </c>
      <c r="AD94" s="19">
        <v>0</v>
      </c>
      <c r="AE94" s="19">
        <f>VLOOKUP(B94,'[1]A03'!$E$7:$L$33,7,0)</f>
        <v>50</v>
      </c>
      <c r="AF94" s="19">
        <f t="shared" si="19"/>
        <v>54.20625</v>
      </c>
      <c r="AG94" s="86">
        <f t="shared" si="20"/>
        <v>196.86</v>
      </c>
      <c r="AH94" s="19"/>
      <c r="AI94" s="60"/>
      <c r="AJ94" s="74"/>
    </row>
    <row r="95" s="5" customFormat="1" ht="21" customHeight="1" spans="1:36">
      <c r="A95" s="19">
        <v>87</v>
      </c>
      <c r="B95" s="75" t="s">
        <v>493</v>
      </c>
      <c r="C95" s="20" t="s">
        <v>494</v>
      </c>
      <c r="D95" s="20" t="s">
        <v>495</v>
      </c>
      <c r="E95" s="21">
        <v>44740</v>
      </c>
      <c r="F95" s="19" t="s">
        <v>108</v>
      </c>
      <c r="G95" s="75" t="s">
        <v>448</v>
      </c>
      <c r="H95" s="19" t="s">
        <v>229</v>
      </c>
      <c r="I95" s="19">
        <v>20.5</v>
      </c>
      <c r="J95" s="19">
        <f t="shared" si="15"/>
        <v>5.5</v>
      </c>
      <c r="K95" s="19">
        <v>200</v>
      </c>
      <c r="L95" s="36">
        <f t="shared" si="16"/>
        <v>157.692307692308</v>
      </c>
      <c r="M95" s="36">
        <f t="shared" si="17"/>
        <v>42.3076923076923</v>
      </c>
      <c r="N95" s="19">
        <v>6</v>
      </c>
      <c r="O95" s="19">
        <f t="shared" si="21"/>
        <v>8.65384615384615</v>
      </c>
      <c r="P95" s="19">
        <v>0</v>
      </c>
      <c r="Q95" s="19">
        <f t="shared" si="18"/>
        <v>0</v>
      </c>
      <c r="R95" s="19">
        <v>0</v>
      </c>
      <c r="S95" s="19">
        <f t="shared" si="22"/>
        <v>7.88461538461539</v>
      </c>
      <c r="T95" s="19">
        <v>0</v>
      </c>
      <c r="U95" s="19">
        <v>0</v>
      </c>
      <c r="V95" s="19">
        <v>10</v>
      </c>
      <c r="W95" s="19">
        <v>1.5</v>
      </c>
      <c r="X95" s="54">
        <v>8</v>
      </c>
      <c r="Y95" s="19">
        <v>0</v>
      </c>
      <c r="Z95" s="19">
        <f>VLOOKUP(B95,'[3]Annual Leave '!$B$7:$Q$98,13,0)</f>
        <v>30.77</v>
      </c>
      <c r="AA95" s="19">
        <f>VLOOKUP(B95,'[3]Annual Leave '!$B$7:$Q$98,15,0)</f>
        <v>3.94508136094674</v>
      </c>
      <c r="AB95" s="36">
        <f t="shared" si="23"/>
        <v>228.445850591716</v>
      </c>
      <c r="AC95" s="19">
        <f>VLOOKUP(B95,[2]Sheet1!$B$2:$N$199,11,0)/4000</f>
        <v>4.05775</v>
      </c>
      <c r="AD95" s="19">
        <v>0</v>
      </c>
      <c r="AE95" s="19">
        <f>VLOOKUP(B95,'[1]A03'!$E$7:$L$33,7,0)</f>
        <v>50</v>
      </c>
      <c r="AF95" s="19">
        <f t="shared" si="19"/>
        <v>54.05775</v>
      </c>
      <c r="AG95" s="86">
        <f t="shared" si="20"/>
        <v>174.39</v>
      </c>
      <c r="AH95" s="19"/>
      <c r="AI95" s="60"/>
      <c r="AJ95" s="74"/>
    </row>
    <row r="96" s="5" customFormat="1" ht="21" customHeight="1" spans="1:36">
      <c r="A96" s="19">
        <v>88</v>
      </c>
      <c r="B96" s="75" t="s">
        <v>497</v>
      </c>
      <c r="C96" s="20" t="s">
        <v>498</v>
      </c>
      <c r="D96" s="20" t="s">
        <v>499</v>
      </c>
      <c r="E96" s="21">
        <v>44755</v>
      </c>
      <c r="F96" s="19" t="s">
        <v>96</v>
      </c>
      <c r="G96" s="75" t="s">
        <v>448</v>
      </c>
      <c r="H96" s="19" t="s">
        <v>229</v>
      </c>
      <c r="I96" s="19">
        <v>24.5</v>
      </c>
      <c r="J96" s="19">
        <f t="shared" si="15"/>
        <v>1.5</v>
      </c>
      <c r="K96" s="19">
        <v>200</v>
      </c>
      <c r="L96" s="36">
        <f t="shared" si="16"/>
        <v>188.461538461538</v>
      </c>
      <c r="M96" s="36">
        <f t="shared" si="17"/>
        <v>11.5384615384615</v>
      </c>
      <c r="N96" s="19">
        <v>18</v>
      </c>
      <c r="O96" s="19">
        <f t="shared" si="21"/>
        <v>25.9615384615385</v>
      </c>
      <c r="P96" s="19">
        <v>0</v>
      </c>
      <c r="Q96" s="19">
        <f t="shared" si="18"/>
        <v>0</v>
      </c>
      <c r="R96" s="19">
        <v>0</v>
      </c>
      <c r="S96" s="19">
        <f t="shared" si="22"/>
        <v>9.42307692307692</v>
      </c>
      <c r="T96" s="19">
        <v>0</v>
      </c>
      <c r="U96" s="19">
        <v>0</v>
      </c>
      <c r="V96" s="19">
        <v>10</v>
      </c>
      <c r="W96" s="19">
        <v>4.5</v>
      </c>
      <c r="X96" s="54">
        <v>8</v>
      </c>
      <c r="Y96" s="19">
        <v>0</v>
      </c>
      <c r="Z96" s="19">
        <v>0</v>
      </c>
      <c r="AA96" s="19">
        <v>0</v>
      </c>
      <c r="AB96" s="36">
        <f t="shared" si="23"/>
        <v>246.346153846154</v>
      </c>
      <c r="AC96" s="19">
        <f>VLOOKUP(B96,[2]Sheet1!$B$2:$N$199,11,0)/4000</f>
        <v>4.287</v>
      </c>
      <c r="AD96" s="19">
        <v>0</v>
      </c>
      <c r="AE96" s="19">
        <f>VLOOKUP(B96,'[1]A03'!$E$7:$L$33,7,0)</f>
        <v>100</v>
      </c>
      <c r="AF96" s="19">
        <f t="shared" si="19"/>
        <v>104.287</v>
      </c>
      <c r="AG96" s="86">
        <f t="shared" si="20"/>
        <v>142.06</v>
      </c>
      <c r="AH96" s="19"/>
      <c r="AI96" s="60"/>
      <c r="AJ96" s="74"/>
    </row>
    <row r="97" s="5" customFormat="1" ht="21" customHeight="1" spans="1:36">
      <c r="A97" s="19">
        <v>89</v>
      </c>
      <c r="B97" s="75" t="s">
        <v>502</v>
      </c>
      <c r="C97" s="20" t="s">
        <v>503</v>
      </c>
      <c r="D97" s="20" t="s">
        <v>504</v>
      </c>
      <c r="E97" s="21">
        <v>44755</v>
      </c>
      <c r="F97" s="19" t="s">
        <v>96</v>
      </c>
      <c r="G97" s="75" t="s">
        <v>448</v>
      </c>
      <c r="H97" s="19" t="s">
        <v>229</v>
      </c>
      <c r="I97" s="19">
        <v>20.5</v>
      </c>
      <c r="J97" s="19">
        <f t="shared" si="15"/>
        <v>5.5</v>
      </c>
      <c r="K97" s="19">
        <v>200</v>
      </c>
      <c r="L97" s="36">
        <f t="shared" si="16"/>
        <v>157.692307692308</v>
      </c>
      <c r="M97" s="36">
        <f t="shared" si="17"/>
        <v>42.3076923076923</v>
      </c>
      <c r="N97" s="19">
        <v>22</v>
      </c>
      <c r="O97" s="19">
        <f t="shared" si="21"/>
        <v>31.7307692307692</v>
      </c>
      <c r="P97" s="19">
        <v>0</v>
      </c>
      <c r="Q97" s="19">
        <f t="shared" si="18"/>
        <v>0</v>
      </c>
      <c r="R97" s="19">
        <v>0</v>
      </c>
      <c r="S97" s="19">
        <f t="shared" si="22"/>
        <v>7.88461538461539</v>
      </c>
      <c r="T97" s="19">
        <v>0</v>
      </c>
      <c r="U97" s="19">
        <v>0</v>
      </c>
      <c r="V97" s="19">
        <v>10</v>
      </c>
      <c r="W97" s="19">
        <v>5.5</v>
      </c>
      <c r="X97" s="54">
        <v>8</v>
      </c>
      <c r="Y97" s="19">
        <v>0</v>
      </c>
      <c r="Z97" s="19">
        <v>0</v>
      </c>
      <c r="AA97" s="19">
        <v>0</v>
      </c>
      <c r="AB97" s="36">
        <f t="shared" si="23"/>
        <v>220.807692307692</v>
      </c>
      <c r="AC97" s="19">
        <f>VLOOKUP(B97,[2]Sheet1!$B$2:$N$199,11,0)/4000</f>
        <v>4.287</v>
      </c>
      <c r="AD97" s="19">
        <v>0</v>
      </c>
      <c r="AE97" s="19">
        <f>VLOOKUP(B97,'[1]A03'!$E$7:$L$33,7,0)</f>
        <v>50</v>
      </c>
      <c r="AF97" s="19">
        <f t="shared" si="19"/>
        <v>54.287</v>
      </c>
      <c r="AG97" s="86">
        <f t="shared" si="20"/>
        <v>166.52</v>
      </c>
      <c r="AH97" s="19"/>
      <c r="AI97" s="60"/>
      <c r="AJ97" s="74"/>
    </row>
    <row r="98" s="5" customFormat="1" ht="21" customHeight="1" spans="1:36">
      <c r="A98" s="19">
        <v>90</v>
      </c>
      <c r="B98" s="75" t="s">
        <v>507</v>
      </c>
      <c r="C98" s="20" t="s">
        <v>508</v>
      </c>
      <c r="D98" s="20" t="s">
        <v>509</v>
      </c>
      <c r="E98" s="21">
        <v>44755</v>
      </c>
      <c r="F98" s="19" t="s">
        <v>96</v>
      </c>
      <c r="G98" s="75" t="s">
        <v>448</v>
      </c>
      <c r="H98" s="19" t="s">
        <v>229</v>
      </c>
      <c r="I98" s="19">
        <v>24</v>
      </c>
      <c r="J98" s="19">
        <f t="shared" si="15"/>
        <v>2</v>
      </c>
      <c r="K98" s="19">
        <v>200</v>
      </c>
      <c r="L98" s="36">
        <f t="shared" si="16"/>
        <v>184.615384615385</v>
      </c>
      <c r="M98" s="36">
        <f t="shared" si="17"/>
        <v>15.3846153846154</v>
      </c>
      <c r="N98" s="19">
        <v>14</v>
      </c>
      <c r="O98" s="19">
        <f t="shared" si="21"/>
        <v>20.1923076923077</v>
      </c>
      <c r="P98" s="19">
        <v>0</v>
      </c>
      <c r="Q98" s="19">
        <f t="shared" si="18"/>
        <v>0</v>
      </c>
      <c r="R98" s="19">
        <v>0</v>
      </c>
      <c r="S98" s="19">
        <f t="shared" si="22"/>
        <v>9.23076923076923</v>
      </c>
      <c r="T98" s="19">
        <v>0</v>
      </c>
      <c r="U98" s="19">
        <v>0</v>
      </c>
      <c r="V98" s="19">
        <v>10</v>
      </c>
      <c r="W98" s="19">
        <v>3.5</v>
      </c>
      <c r="X98" s="54">
        <v>8</v>
      </c>
      <c r="Y98" s="19">
        <v>0</v>
      </c>
      <c r="Z98" s="19">
        <v>0</v>
      </c>
      <c r="AA98" s="19">
        <v>0</v>
      </c>
      <c r="AB98" s="36">
        <f t="shared" si="23"/>
        <v>235.538461538462</v>
      </c>
      <c r="AC98" s="19">
        <f>VLOOKUP(B98,[2]Sheet1!$B$2:$N$199,11,0)/4000</f>
        <v>4.839</v>
      </c>
      <c r="AD98" s="19">
        <v>0</v>
      </c>
      <c r="AE98" s="19">
        <f>VLOOKUP(B98,'[1]A03'!$E$7:$L$33,7,0)</f>
        <v>100</v>
      </c>
      <c r="AF98" s="19">
        <f t="shared" si="19"/>
        <v>104.839</v>
      </c>
      <c r="AG98" s="86">
        <f t="shared" si="20"/>
        <v>130.7</v>
      </c>
      <c r="AH98" s="19"/>
      <c r="AI98" s="60"/>
      <c r="AJ98" s="74"/>
    </row>
    <row r="99" s="77" customFormat="1" ht="21" customHeight="1" spans="1:36">
      <c r="A99" s="19">
        <v>91</v>
      </c>
      <c r="B99" s="75" t="s">
        <v>512</v>
      </c>
      <c r="C99" s="20" t="s">
        <v>513</v>
      </c>
      <c r="D99" s="20" t="s">
        <v>514</v>
      </c>
      <c r="E99" s="21">
        <v>44755</v>
      </c>
      <c r="F99" s="19" t="s">
        <v>96</v>
      </c>
      <c r="G99" s="75" t="s">
        <v>448</v>
      </c>
      <c r="H99" s="19" t="s">
        <v>229</v>
      </c>
      <c r="I99" s="19">
        <v>22.5</v>
      </c>
      <c r="J99" s="19">
        <f t="shared" si="15"/>
        <v>3.5</v>
      </c>
      <c r="K99" s="19">
        <v>200</v>
      </c>
      <c r="L99" s="36">
        <f t="shared" si="16"/>
        <v>173.076923076923</v>
      </c>
      <c r="M99" s="36">
        <f t="shared" si="17"/>
        <v>26.9230769230769</v>
      </c>
      <c r="N99" s="19">
        <v>22</v>
      </c>
      <c r="O99" s="19">
        <f t="shared" si="21"/>
        <v>31.7307692307692</v>
      </c>
      <c r="P99" s="19">
        <v>0</v>
      </c>
      <c r="Q99" s="19">
        <f t="shared" si="18"/>
        <v>0</v>
      </c>
      <c r="R99" s="19">
        <v>0</v>
      </c>
      <c r="S99" s="19">
        <f t="shared" si="22"/>
        <v>8.65384615384616</v>
      </c>
      <c r="T99" s="19">
        <v>0</v>
      </c>
      <c r="U99" s="19">
        <v>0</v>
      </c>
      <c r="V99" s="19">
        <v>10</v>
      </c>
      <c r="W99" s="19">
        <v>5.5</v>
      </c>
      <c r="X99" s="54">
        <v>8</v>
      </c>
      <c r="Y99" s="19">
        <v>0</v>
      </c>
      <c r="Z99" s="19">
        <v>0</v>
      </c>
      <c r="AA99" s="19">
        <v>0</v>
      </c>
      <c r="AB99" s="36">
        <f t="shared" si="23"/>
        <v>236.961538461538</v>
      </c>
      <c r="AC99" s="19">
        <f>VLOOKUP(B99,[2]Sheet1!$B$2:$N$199,11,0)/4000</f>
        <v>4.287</v>
      </c>
      <c r="AD99" s="19">
        <v>0</v>
      </c>
      <c r="AE99" s="19">
        <f>VLOOKUP(B99,'[1]A03'!$E$7:$L$33,7,0)</f>
        <v>100</v>
      </c>
      <c r="AF99" s="19">
        <f t="shared" si="19"/>
        <v>104.287</v>
      </c>
      <c r="AG99" s="86">
        <f t="shared" si="20"/>
        <v>132.67</v>
      </c>
      <c r="AH99" s="19"/>
      <c r="AI99" s="60"/>
      <c r="AJ99" s="74"/>
    </row>
    <row r="100" s="77" customFormat="1" ht="21" customHeight="1" spans="1:36">
      <c r="A100" s="19">
        <v>92</v>
      </c>
      <c r="B100" s="75" t="s">
        <v>517</v>
      </c>
      <c r="C100" s="20" t="s">
        <v>518</v>
      </c>
      <c r="D100" s="20" t="s">
        <v>519</v>
      </c>
      <c r="E100" s="21">
        <v>44755</v>
      </c>
      <c r="F100" s="19" t="s">
        <v>96</v>
      </c>
      <c r="G100" s="75" t="s">
        <v>448</v>
      </c>
      <c r="H100" s="19" t="s">
        <v>229</v>
      </c>
      <c r="I100" s="19">
        <v>23.5</v>
      </c>
      <c r="J100" s="19">
        <f t="shared" si="15"/>
        <v>2.5</v>
      </c>
      <c r="K100" s="19">
        <v>200</v>
      </c>
      <c r="L100" s="36">
        <f t="shared" si="16"/>
        <v>180.769230769231</v>
      </c>
      <c r="M100" s="36">
        <f t="shared" si="17"/>
        <v>19.2307692307692</v>
      </c>
      <c r="N100" s="19">
        <v>12</v>
      </c>
      <c r="O100" s="19">
        <f t="shared" si="21"/>
        <v>17.3076923076923</v>
      </c>
      <c r="P100" s="19">
        <v>0</v>
      </c>
      <c r="Q100" s="19">
        <f t="shared" si="18"/>
        <v>0</v>
      </c>
      <c r="R100" s="19">
        <v>0</v>
      </c>
      <c r="S100" s="19">
        <f t="shared" si="22"/>
        <v>9.03846153846154</v>
      </c>
      <c r="T100" s="19">
        <v>0</v>
      </c>
      <c r="U100" s="19">
        <v>0</v>
      </c>
      <c r="V100" s="19">
        <v>10</v>
      </c>
      <c r="W100" s="19">
        <v>3</v>
      </c>
      <c r="X100" s="54">
        <v>8</v>
      </c>
      <c r="Y100" s="19">
        <v>0</v>
      </c>
      <c r="Z100" s="19">
        <v>0</v>
      </c>
      <c r="AA100" s="19">
        <v>0</v>
      </c>
      <c r="AB100" s="36">
        <f t="shared" si="23"/>
        <v>228.115384615385</v>
      </c>
      <c r="AC100" s="19">
        <f>VLOOKUP(B100,[2]Sheet1!$B$2:$N$199,11,0)/4000</f>
        <v>4.1255</v>
      </c>
      <c r="AD100" s="19">
        <v>0</v>
      </c>
      <c r="AE100" s="19">
        <f>VLOOKUP(B100,'[1]A03'!$E$7:$L$33,7,0)</f>
        <v>100</v>
      </c>
      <c r="AF100" s="19">
        <f t="shared" si="19"/>
        <v>104.1255</v>
      </c>
      <c r="AG100" s="86">
        <f t="shared" si="20"/>
        <v>123.99</v>
      </c>
      <c r="AH100" s="19"/>
      <c r="AI100" s="60"/>
      <c r="AJ100" s="74"/>
    </row>
    <row r="101" s="77" customFormat="1" ht="21" customHeight="1" spans="1:36">
      <c r="A101" s="19">
        <v>93</v>
      </c>
      <c r="B101" s="75" t="s">
        <v>521</v>
      </c>
      <c r="C101" s="134" t="s">
        <v>522</v>
      </c>
      <c r="D101" s="20" t="s">
        <v>523</v>
      </c>
      <c r="E101" s="21">
        <v>44835</v>
      </c>
      <c r="F101" s="19" t="s">
        <v>96</v>
      </c>
      <c r="G101" s="75" t="s">
        <v>448</v>
      </c>
      <c r="H101" s="19" t="s">
        <v>229</v>
      </c>
      <c r="I101" s="137">
        <v>20.5</v>
      </c>
      <c r="J101" s="19">
        <f t="shared" si="15"/>
        <v>5.5</v>
      </c>
      <c r="K101" s="19">
        <v>200</v>
      </c>
      <c r="L101" s="36">
        <f t="shared" si="16"/>
        <v>157.692307692308</v>
      </c>
      <c r="M101" s="36">
        <f t="shared" si="17"/>
        <v>42.3076923076923</v>
      </c>
      <c r="N101" s="19">
        <v>22</v>
      </c>
      <c r="O101" s="19">
        <f t="shared" si="21"/>
        <v>31.7307692307692</v>
      </c>
      <c r="P101" s="19">
        <v>0</v>
      </c>
      <c r="Q101" s="19">
        <f t="shared" si="18"/>
        <v>0</v>
      </c>
      <c r="R101" s="19">
        <v>0</v>
      </c>
      <c r="S101" s="19">
        <f t="shared" si="22"/>
        <v>7.88461538461539</v>
      </c>
      <c r="T101" s="19">
        <v>0</v>
      </c>
      <c r="U101" s="19">
        <v>0</v>
      </c>
      <c r="V101" s="19">
        <v>10</v>
      </c>
      <c r="W101" s="19">
        <v>5.5</v>
      </c>
      <c r="X101" s="54">
        <v>8</v>
      </c>
      <c r="Y101" s="19">
        <v>0</v>
      </c>
      <c r="Z101" s="19">
        <f>VLOOKUP(B101,'[3]Annual Leave '!$B$7:$Q$98,13,0)</f>
        <v>34.93</v>
      </c>
      <c r="AA101" s="19">
        <f>VLOOKUP(B101,'[3]Annual Leave '!$B$7:$Q$98,15,0)</f>
        <v>40.2994637573964</v>
      </c>
      <c r="AB101" s="36">
        <f t="shared" si="23"/>
        <v>296.037156065089</v>
      </c>
      <c r="AC101" s="19">
        <f>VLOOKUP(B101,[2]Sheet1!$B$2:$N$199,11,0)/4000</f>
        <v>4.718</v>
      </c>
      <c r="AD101" s="19">
        <v>0</v>
      </c>
      <c r="AE101" s="19">
        <f>VLOOKUP(B101,'[1]A03'!$E$7:$L$33,7,0)</f>
        <v>50</v>
      </c>
      <c r="AF101" s="19">
        <f t="shared" si="19"/>
        <v>54.718</v>
      </c>
      <c r="AG101" s="86">
        <f t="shared" si="20"/>
        <v>241.32</v>
      </c>
      <c r="AH101" s="19"/>
      <c r="AI101" s="60"/>
      <c r="AJ101" s="74"/>
    </row>
    <row r="102" s="77" customFormat="1" ht="21" customHeight="1" spans="1:36">
      <c r="A102" s="19">
        <v>94</v>
      </c>
      <c r="B102" s="75" t="s">
        <v>527</v>
      </c>
      <c r="C102" s="20" t="s">
        <v>528</v>
      </c>
      <c r="D102" s="20" t="s">
        <v>529</v>
      </c>
      <c r="E102" s="21">
        <v>44889</v>
      </c>
      <c r="F102" s="19" t="s">
        <v>96</v>
      </c>
      <c r="G102" s="75" t="s">
        <v>448</v>
      </c>
      <c r="H102" s="19" t="s">
        <v>229</v>
      </c>
      <c r="I102" s="19">
        <v>20.5</v>
      </c>
      <c r="J102" s="19">
        <f t="shared" si="15"/>
        <v>5.5</v>
      </c>
      <c r="K102" s="19">
        <v>200</v>
      </c>
      <c r="L102" s="36">
        <f t="shared" si="16"/>
        <v>157.692307692308</v>
      </c>
      <c r="M102" s="36">
        <f t="shared" si="17"/>
        <v>42.3076923076923</v>
      </c>
      <c r="N102" s="19">
        <v>22</v>
      </c>
      <c r="O102" s="19">
        <f t="shared" si="21"/>
        <v>31.7307692307692</v>
      </c>
      <c r="P102" s="19">
        <v>0</v>
      </c>
      <c r="Q102" s="19">
        <f t="shared" si="18"/>
        <v>0</v>
      </c>
      <c r="R102" s="19">
        <v>0</v>
      </c>
      <c r="S102" s="19">
        <f t="shared" si="22"/>
        <v>7.88461538461539</v>
      </c>
      <c r="T102" s="19">
        <v>0</v>
      </c>
      <c r="U102" s="19">
        <v>0</v>
      </c>
      <c r="V102" s="19">
        <v>10</v>
      </c>
      <c r="W102" s="19">
        <v>5.5</v>
      </c>
      <c r="X102" s="54">
        <v>8</v>
      </c>
      <c r="Y102" s="19">
        <v>0</v>
      </c>
      <c r="Z102" s="19">
        <v>0</v>
      </c>
      <c r="AA102" s="19">
        <v>0</v>
      </c>
      <c r="AB102" s="36">
        <f t="shared" si="23"/>
        <v>220.807692307692</v>
      </c>
      <c r="AC102" s="19">
        <f>VLOOKUP(B102,[2]Sheet1!$B$2:$N$199,11,0)/4000</f>
        <v>4.4485</v>
      </c>
      <c r="AD102" s="19">
        <v>0</v>
      </c>
      <c r="AE102" s="19">
        <f>VLOOKUP(B102,'[1]A03'!$E$7:$L$33,7,0)</f>
        <v>50</v>
      </c>
      <c r="AF102" s="19">
        <f t="shared" si="19"/>
        <v>54.4485</v>
      </c>
      <c r="AG102" s="86">
        <f t="shared" si="20"/>
        <v>166.36</v>
      </c>
      <c r="AH102" s="19"/>
      <c r="AI102" s="60"/>
      <c r="AJ102" s="74"/>
    </row>
    <row r="103" s="77" customFormat="1" ht="21" customHeight="1" spans="1:36">
      <c r="A103" s="19">
        <v>95</v>
      </c>
      <c r="B103" s="75" t="s">
        <v>531</v>
      </c>
      <c r="C103" s="20" t="s">
        <v>532</v>
      </c>
      <c r="D103" s="20" t="s">
        <v>533</v>
      </c>
      <c r="E103" s="21">
        <v>44889</v>
      </c>
      <c r="F103" s="19" t="s">
        <v>96</v>
      </c>
      <c r="G103" s="75" t="s">
        <v>448</v>
      </c>
      <c r="H103" s="19" t="s">
        <v>229</v>
      </c>
      <c r="I103" s="19">
        <v>20.5</v>
      </c>
      <c r="J103" s="19">
        <f t="shared" si="15"/>
        <v>5.5</v>
      </c>
      <c r="K103" s="19">
        <v>200</v>
      </c>
      <c r="L103" s="36">
        <f t="shared" si="16"/>
        <v>157.692307692308</v>
      </c>
      <c r="M103" s="36">
        <f t="shared" si="17"/>
        <v>42.3076923076923</v>
      </c>
      <c r="N103" s="19">
        <v>22</v>
      </c>
      <c r="O103" s="19">
        <f t="shared" si="21"/>
        <v>31.7307692307692</v>
      </c>
      <c r="P103" s="19">
        <v>0</v>
      </c>
      <c r="Q103" s="19">
        <f t="shared" si="18"/>
        <v>0</v>
      </c>
      <c r="R103" s="19">
        <v>0</v>
      </c>
      <c r="S103" s="19">
        <f t="shared" si="22"/>
        <v>7.88461538461539</v>
      </c>
      <c r="T103" s="19">
        <v>0</v>
      </c>
      <c r="U103" s="19">
        <v>0</v>
      </c>
      <c r="V103" s="19">
        <v>10</v>
      </c>
      <c r="W103" s="19">
        <v>5.5</v>
      </c>
      <c r="X103" s="54">
        <v>8</v>
      </c>
      <c r="Y103" s="19">
        <v>0</v>
      </c>
      <c r="Z103" s="19">
        <v>0</v>
      </c>
      <c r="AA103" s="19">
        <v>0</v>
      </c>
      <c r="AB103" s="36">
        <f t="shared" si="23"/>
        <v>220.807692307692</v>
      </c>
      <c r="AC103" s="19">
        <f>VLOOKUP(B103,[2]Sheet1!$B$2:$N$199,11,0)/4000</f>
        <v>4.67575</v>
      </c>
      <c r="AD103" s="19">
        <v>0</v>
      </c>
      <c r="AE103" s="19">
        <f>VLOOKUP(B103,'[1]A03'!$E$7:$L$33,7,0)</f>
        <v>50</v>
      </c>
      <c r="AF103" s="19">
        <f t="shared" si="19"/>
        <v>54.67575</v>
      </c>
      <c r="AG103" s="86">
        <f t="shared" si="20"/>
        <v>166.13</v>
      </c>
      <c r="AH103" s="19"/>
      <c r="AI103" s="60"/>
      <c r="AJ103" s="74"/>
    </row>
    <row r="104" s="5" customFormat="1" ht="21" customHeight="1" spans="1:36">
      <c r="A104" s="19">
        <v>96</v>
      </c>
      <c r="B104" s="75" t="s">
        <v>536</v>
      </c>
      <c r="C104" s="80" t="s">
        <v>537</v>
      </c>
      <c r="D104" s="20" t="s">
        <v>538</v>
      </c>
      <c r="E104" s="21">
        <v>44889</v>
      </c>
      <c r="F104" s="19" t="s">
        <v>96</v>
      </c>
      <c r="G104" s="75" t="s">
        <v>448</v>
      </c>
      <c r="H104" s="19" t="s">
        <v>229</v>
      </c>
      <c r="I104" s="137">
        <v>22.5</v>
      </c>
      <c r="J104" s="19">
        <f t="shared" si="15"/>
        <v>3.5</v>
      </c>
      <c r="K104" s="19">
        <v>200</v>
      </c>
      <c r="L104" s="36">
        <f t="shared" si="16"/>
        <v>173.076923076923</v>
      </c>
      <c r="M104" s="36">
        <f t="shared" si="17"/>
        <v>26.9230769230769</v>
      </c>
      <c r="N104" s="19">
        <v>22</v>
      </c>
      <c r="O104" s="19">
        <f t="shared" si="21"/>
        <v>31.7307692307692</v>
      </c>
      <c r="P104" s="19">
        <v>0</v>
      </c>
      <c r="Q104" s="19">
        <f t="shared" si="18"/>
        <v>0</v>
      </c>
      <c r="R104" s="19">
        <v>0</v>
      </c>
      <c r="S104" s="19">
        <f t="shared" si="22"/>
        <v>8.65384615384616</v>
      </c>
      <c r="T104" s="19">
        <v>0</v>
      </c>
      <c r="U104" s="19">
        <v>0</v>
      </c>
      <c r="V104" s="19">
        <v>10</v>
      </c>
      <c r="W104" s="19">
        <v>5.5</v>
      </c>
      <c r="X104" s="54">
        <v>8</v>
      </c>
      <c r="Y104" s="19">
        <v>0</v>
      </c>
      <c r="Z104" s="19">
        <v>0</v>
      </c>
      <c r="AA104" s="19">
        <v>0</v>
      </c>
      <c r="AB104" s="36">
        <f t="shared" si="23"/>
        <v>236.961538461538</v>
      </c>
      <c r="AC104" s="19">
        <f>VLOOKUP(B104,[2]Sheet1!$B$2:$N$199,11,0)/4000</f>
        <v>4.24875</v>
      </c>
      <c r="AD104" s="19">
        <v>0</v>
      </c>
      <c r="AE104" s="19">
        <f>VLOOKUP(B104,'[1]A03'!$E$7:$L$33,7,0)</f>
        <v>100</v>
      </c>
      <c r="AF104" s="19">
        <f t="shared" si="19"/>
        <v>104.24875</v>
      </c>
      <c r="AG104" s="86">
        <f t="shared" si="20"/>
        <v>132.71</v>
      </c>
      <c r="AH104" s="19"/>
      <c r="AI104" s="60"/>
      <c r="AJ104" s="74"/>
    </row>
    <row r="105" s="5" customFormat="1" ht="21" customHeight="1" spans="1:36">
      <c r="A105" s="19">
        <v>97</v>
      </c>
      <c r="B105" s="75" t="s">
        <v>540</v>
      </c>
      <c r="C105" s="81" t="s">
        <v>541</v>
      </c>
      <c r="D105" s="20" t="s">
        <v>542</v>
      </c>
      <c r="E105" s="21">
        <v>44897</v>
      </c>
      <c r="F105" s="19" t="s">
        <v>96</v>
      </c>
      <c r="G105" s="75" t="s">
        <v>448</v>
      </c>
      <c r="H105" s="19" t="s">
        <v>229</v>
      </c>
      <c r="I105" s="19">
        <v>20.5</v>
      </c>
      <c r="J105" s="19">
        <f t="shared" si="15"/>
        <v>5.5</v>
      </c>
      <c r="K105" s="19">
        <v>200</v>
      </c>
      <c r="L105" s="36">
        <f t="shared" si="16"/>
        <v>157.692307692308</v>
      </c>
      <c r="M105" s="36">
        <f t="shared" si="17"/>
        <v>42.3076923076923</v>
      </c>
      <c r="N105" s="19">
        <v>22</v>
      </c>
      <c r="O105" s="19">
        <f t="shared" si="21"/>
        <v>31.7307692307692</v>
      </c>
      <c r="P105" s="19">
        <v>0</v>
      </c>
      <c r="Q105" s="19">
        <f t="shared" si="18"/>
        <v>0</v>
      </c>
      <c r="R105" s="19">
        <v>0</v>
      </c>
      <c r="S105" s="19">
        <f t="shared" si="22"/>
        <v>7.88461538461539</v>
      </c>
      <c r="T105" s="19">
        <v>0</v>
      </c>
      <c r="U105" s="19">
        <v>0</v>
      </c>
      <c r="V105" s="19">
        <v>10</v>
      </c>
      <c r="W105" s="19">
        <v>5.5</v>
      </c>
      <c r="X105" s="54">
        <v>8</v>
      </c>
      <c r="Y105" s="19">
        <v>0</v>
      </c>
      <c r="Z105" s="19">
        <v>0</v>
      </c>
      <c r="AA105" s="19">
        <v>0</v>
      </c>
      <c r="AB105" s="36">
        <f t="shared" si="23"/>
        <v>220.807692307692</v>
      </c>
      <c r="AC105" s="19">
        <f>VLOOKUP(B105,[2]Sheet1!$B$2:$N$199,11,0)/4000</f>
        <v>4.05775</v>
      </c>
      <c r="AD105" s="19">
        <v>0</v>
      </c>
      <c r="AE105" s="19">
        <f>VLOOKUP(B105,'[1]A03'!$E$7:$L$33,7,0)</f>
        <v>50</v>
      </c>
      <c r="AF105" s="19">
        <f t="shared" si="19"/>
        <v>54.05775</v>
      </c>
      <c r="AG105" s="86">
        <f t="shared" si="20"/>
        <v>166.75</v>
      </c>
      <c r="AH105" s="19"/>
      <c r="AI105" s="60"/>
      <c r="AJ105" s="74"/>
    </row>
    <row r="106" s="5" customFormat="1" ht="21" customHeight="1" spans="1:36">
      <c r="A106" s="19">
        <v>98</v>
      </c>
      <c r="B106" s="75" t="s">
        <v>545</v>
      </c>
      <c r="C106" s="134" t="s">
        <v>546</v>
      </c>
      <c r="D106" s="20" t="s">
        <v>547</v>
      </c>
      <c r="E106" s="21">
        <v>44897</v>
      </c>
      <c r="F106" s="19" t="s">
        <v>96</v>
      </c>
      <c r="G106" s="75" t="s">
        <v>448</v>
      </c>
      <c r="H106" s="19" t="s">
        <v>229</v>
      </c>
      <c r="I106" s="137">
        <v>20.5</v>
      </c>
      <c r="J106" s="19">
        <f t="shared" si="15"/>
        <v>5.5</v>
      </c>
      <c r="K106" s="19">
        <v>200</v>
      </c>
      <c r="L106" s="36">
        <f t="shared" si="16"/>
        <v>157.692307692308</v>
      </c>
      <c r="M106" s="36">
        <f t="shared" si="17"/>
        <v>42.3076923076923</v>
      </c>
      <c r="N106" s="19">
        <v>22</v>
      </c>
      <c r="O106" s="19">
        <f t="shared" si="21"/>
        <v>31.7307692307692</v>
      </c>
      <c r="P106" s="19">
        <v>0</v>
      </c>
      <c r="Q106" s="19">
        <f t="shared" si="18"/>
        <v>0</v>
      </c>
      <c r="R106" s="19">
        <v>0</v>
      </c>
      <c r="S106" s="19">
        <f t="shared" si="22"/>
        <v>7.88461538461539</v>
      </c>
      <c r="T106" s="19">
        <v>0</v>
      </c>
      <c r="U106" s="19">
        <v>0</v>
      </c>
      <c r="V106" s="19">
        <v>10</v>
      </c>
      <c r="W106" s="19">
        <v>5.5</v>
      </c>
      <c r="X106" s="54">
        <v>8</v>
      </c>
      <c r="Y106" s="19">
        <v>0</v>
      </c>
      <c r="Z106" s="19">
        <v>0</v>
      </c>
      <c r="AA106" s="19">
        <v>0</v>
      </c>
      <c r="AB106" s="36">
        <f t="shared" si="23"/>
        <v>220.807692307692</v>
      </c>
      <c r="AC106" s="19">
        <f>VLOOKUP(B106,[2]Sheet1!$B$2:$N$199,11,0)/4000</f>
        <v>4.05775</v>
      </c>
      <c r="AD106" s="19">
        <v>0</v>
      </c>
      <c r="AE106" s="19">
        <f>VLOOKUP(B106,'[1]A03'!$E$7:$L$33,7,0)</f>
        <v>50</v>
      </c>
      <c r="AF106" s="19">
        <f t="shared" si="19"/>
        <v>54.05775</v>
      </c>
      <c r="AG106" s="86">
        <f t="shared" si="20"/>
        <v>166.75</v>
      </c>
      <c r="AH106" s="19"/>
      <c r="AI106" s="60"/>
      <c r="AJ106" s="74"/>
    </row>
    <row r="107" s="5" customFormat="1" ht="21" customHeight="1" spans="1:36">
      <c r="A107" s="19">
        <v>99</v>
      </c>
      <c r="B107" s="75" t="s">
        <v>548</v>
      </c>
      <c r="C107" s="20" t="s">
        <v>549</v>
      </c>
      <c r="D107" s="20" t="s">
        <v>550</v>
      </c>
      <c r="E107" s="21">
        <v>44897</v>
      </c>
      <c r="F107" s="19" t="s">
        <v>96</v>
      </c>
      <c r="G107" s="75" t="s">
        <v>448</v>
      </c>
      <c r="H107" s="19" t="s">
        <v>229</v>
      </c>
      <c r="I107" s="19">
        <v>26</v>
      </c>
      <c r="J107" s="19">
        <f t="shared" si="15"/>
        <v>0</v>
      </c>
      <c r="K107" s="19">
        <v>200</v>
      </c>
      <c r="L107" s="36">
        <f t="shared" si="16"/>
        <v>200</v>
      </c>
      <c r="M107" s="36">
        <f t="shared" si="17"/>
        <v>0</v>
      </c>
      <c r="N107" s="19">
        <v>18</v>
      </c>
      <c r="O107" s="19">
        <f t="shared" si="21"/>
        <v>25.9615384615385</v>
      </c>
      <c r="P107" s="19">
        <v>0</v>
      </c>
      <c r="Q107" s="19">
        <f t="shared" si="18"/>
        <v>0</v>
      </c>
      <c r="R107" s="19">
        <v>0</v>
      </c>
      <c r="S107" s="19">
        <f t="shared" si="22"/>
        <v>10</v>
      </c>
      <c r="T107" s="19">
        <v>0</v>
      </c>
      <c r="U107" s="19">
        <v>0</v>
      </c>
      <c r="V107" s="19">
        <v>10</v>
      </c>
      <c r="W107" s="19">
        <v>4.5</v>
      </c>
      <c r="X107" s="54">
        <v>8</v>
      </c>
      <c r="Y107" s="19">
        <v>0</v>
      </c>
      <c r="Z107" s="19">
        <v>0</v>
      </c>
      <c r="AA107" s="19">
        <v>0</v>
      </c>
      <c r="AB107" s="36">
        <f t="shared" si="23"/>
        <v>258.461538461538</v>
      </c>
      <c r="AC107" s="19">
        <f>VLOOKUP(B107,[2]Sheet1!$B$2:$N$199,11,0)/4000</f>
        <v>4.5685</v>
      </c>
      <c r="AD107" s="19">
        <v>0</v>
      </c>
      <c r="AE107" s="19">
        <f>VLOOKUP(B107,'[1]A03'!$E$7:$L$33,7,0)</f>
        <v>100</v>
      </c>
      <c r="AF107" s="19">
        <f t="shared" si="19"/>
        <v>104.5685</v>
      </c>
      <c r="AG107" s="86">
        <f t="shared" si="20"/>
        <v>153.89</v>
      </c>
      <c r="AH107" s="19"/>
      <c r="AI107" s="60"/>
      <c r="AJ107" s="74"/>
    </row>
    <row r="108" s="5" customFormat="1" ht="21" customHeight="1" spans="1:36">
      <c r="A108" s="19">
        <v>100</v>
      </c>
      <c r="B108" s="75" t="s">
        <v>551</v>
      </c>
      <c r="C108" s="20" t="s">
        <v>552</v>
      </c>
      <c r="D108" s="20" t="s">
        <v>553</v>
      </c>
      <c r="E108" s="21">
        <v>44909</v>
      </c>
      <c r="F108" s="19" t="s">
        <v>96</v>
      </c>
      <c r="G108" s="75" t="s">
        <v>448</v>
      </c>
      <c r="H108" s="19" t="s">
        <v>229</v>
      </c>
      <c r="I108" s="19">
        <v>23</v>
      </c>
      <c r="J108" s="19">
        <f t="shared" si="15"/>
        <v>3</v>
      </c>
      <c r="K108" s="19">
        <v>200</v>
      </c>
      <c r="L108" s="36">
        <f t="shared" si="16"/>
        <v>176.923076923077</v>
      </c>
      <c r="M108" s="36">
        <f t="shared" si="17"/>
        <v>23.0769230769231</v>
      </c>
      <c r="N108" s="19">
        <v>8</v>
      </c>
      <c r="O108" s="19">
        <f t="shared" si="21"/>
        <v>11.5384615384615</v>
      </c>
      <c r="P108" s="19">
        <v>0</v>
      </c>
      <c r="Q108" s="19">
        <f t="shared" si="18"/>
        <v>0</v>
      </c>
      <c r="R108" s="19">
        <v>0</v>
      </c>
      <c r="S108" s="19">
        <f t="shared" si="22"/>
        <v>8.84615384615385</v>
      </c>
      <c r="T108" s="19">
        <v>0</v>
      </c>
      <c r="U108" s="19">
        <v>0</v>
      </c>
      <c r="V108" s="19">
        <v>10</v>
      </c>
      <c r="W108" s="19">
        <v>2</v>
      </c>
      <c r="X108" s="54">
        <v>8</v>
      </c>
      <c r="Y108" s="19">
        <v>0</v>
      </c>
      <c r="Z108" s="19">
        <v>0</v>
      </c>
      <c r="AA108" s="19">
        <v>0</v>
      </c>
      <c r="AB108" s="36">
        <f t="shared" si="23"/>
        <v>217.307692307692</v>
      </c>
      <c r="AC108" s="19">
        <v>0</v>
      </c>
      <c r="AD108" s="19">
        <v>0</v>
      </c>
      <c r="AE108" s="19">
        <f>VLOOKUP(B108,'[1]A03'!$E$7:$L$33,7,0)</f>
        <v>100</v>
      </c>
      <c r="AF108" s="19">
        <f t="shared" si="19"/>
        <v>100</v>
      </c>
      <c r="AG108" s="86">
        <f t="shared" si="20"/>
        <v>117.31</v>
      </c>
      <c r="AH108" s="19"/>
      <c r="AI108" s="60"/>
      <c r="AJ108" s="74"/>
    </row>
    <row r="109" s="5" customFormat="1" ht="21" customHeight="1" spans="1:36">
      <c r="A109" s="19">
        <v>101</v>
      </c>
      <c r="B109" s="75" t="s">
        <v>554</v>
      </c>
      <c r="C109" s="134" t="s">
        <v>555</v>
      </c>
      <c r="D109" s="20" t="s">
        <v>556</v>
      </c>
      <c r="E109" s="21">
        <v>44909</v>
      </c>
      <c r="F109" s="19" t="s">
        <v>96</v>
      </c>
      <c r="G109" s="75" t="s">
        <v>448</v>
      </c>
      <c r="H109" s="19" t="s">
        <v>229</v>
      </c>
      <c r="I109" s="137">
        <v>20.5</v>
      </c>
      <c r="J109" s="19">
        <f t="shared" si="15"/>
        <v>5.5</v>
      </c>
      <c r="K109" s="19">
        <v>200</v>
      </c>
      <c r="L109" s="36">
        <f t="shared" si="16"/>
        <v>157.692307692308</v>
      </c>
      <c r="M109" s="36">
        <f t="shared" si="17"/>
        <v>42.3076923076923</v>
      </c>
      <c r="N109" s="19">
        <v>20</v>
      </c>
      <c r="O109" s="19">
        <f t="shared" si="21"/>
        <v>28.8461538461538</v>
      </c>
      <c r="P109" s="19">
        <v>0</v>
      </c>
      <c r="Q109" s="19">
        <f t="shared" si="18"/>
        <v>0</v>
      </c>
      <c r="R109" s="19">
        <v>0</v>
      </c>
      <c r="S109" s="19">
        <f t="shared" si="22"/>
        <v>7.88461538461539</v>
      </c>
      <c r="T109" s="19">
        <v>0</v>
      </c>
      <c r="U109" s="19">
        <v>0</v>
      </c>
      <c r="V109" s="19">
        <v>10</v>
      </c>
      <c r="W109" s="19">
        <v>5</v>
      </c>
      <c r="X109" s="54">
        <v>8</v>
      </c>
      <c r="Y109" s="19">
        <v>0</v>
      </c>
      <c r="Z109" s="19">
        <v>0</v>
      </c>
      <c r="AA109" s="19">
        <v>0</v>
      </c>
      <c r="AB109" s="36">
        <f t="shared" si="23"/>
        <v>217.423076923077</v>
      </c>
      <c r="AC109" s="19">
        <v>0</v>
      </c>
      <c r="AD109" s="19">
        <v>0</v>
      </c>
      <c r="AE109" s="19">
        <f>VLOOKUP(B109,'[1]A03'!$E$7:$L$33,7,0)</f>
        <v>50</v>
      </c>
      <c r="AF109" s="19">
        <f t="shared" si="19"/>
        <v>50</v>
      </c>
      <c r="AG109" s="86">
        <f t="shared" si="20"/>
        <v>167.42</v>
      </c>
      <c r="AH109" s="19"/>
      <c r="AI109" s="60"/>
      <c r="AJ109" s="74"/>
    </row>
    <row r="110" s="5" customFormat="1" ht="21" customHeight="1" spans="1:36">
      <c r="A110" s="19">
        <v>102</v>
      </c>
      <c r="B110" s="75" t="s">
        <v>559</v>
      </c>
      <c r="C110" s="20" t="s">
        <v>560</v>
      </c>
      <c r="D110" s="20" t="s">
        <v>561</v>
      </c>
      <c r="E110" s="21">
        <v>44732</v>
      </c>
      <c r="F110" s="19" t="s">
        <v>96</v>
      </c>
      <c r="G110" s="75" t="s">
        <v>562</v>
      </c>
      <c r="H110" s="19" t="s">
        <v>223</v>
      </c>
      <c r="I110" s="19">
        <v>26</v>
      </c>
      <c r="J110" s="19">
        <f t="shared" si="15"/>
        <v>0</v>
      </c>
      <c r="K110" s="19">
        <v>200</v>
      </c>
      <c r="L110" s="36">
        <f t="shared" si="16"/>
        <v>200</v>
      </c>
      <c r="M110" s="84">
        <f t="shared" si="17"/>
        <v>0</v>
      </c>
      <c r="N110" s="19">
        <v>18</v>
      </c>
      <c r="O110" s="19">
        <f t="shared" si="21"/>
        <v>25.9615384615385</v>
      </c>
      <c r="P110" s="19">
        <v>0</v>
      </c>
      <c r="Q110" s="19">
        <f t="shared" si="18"/>
        <v>0</v>
      </c>
      <c r="R110" s="19">
        <v>0</v>
      </c>
      <c r="S110" s="36">
        <f t="shared" si="22"/>
        <v>10</v>
      </c>
      <c r="T110" s="19">
        <v>30</v>
      </c>
      <c r="U110" s="19">
        <v>20</v>
      </c>
      <c r="V110" s="54">
        <v>10</v>
      </c>
      <c r="W110" s="84">
        <v>6</v>
      </c>
      <c r="X110" s="54">
        <v>8</v>
      </c>
      <c r="Y110" s="19">
        <v>0</v>
      </c>
      <c r="Z110" s="19">
        <f>VLOOKUP(B110,'[3]Annual Leave '!$B$7:$Q$98,13,0)</f>
        <v>44.58</v>
      </c>
      <c r="AA110" s="19">
        <f>VLOOKUP(B110,'[3]Annual Leave '!$B$7:$Q$98,15,0)</f>
        <v>51.4360207100592</v>
      </c>
      <c r="AB110" s="36">
        <f t="shared" si="23"/>
        <v>405.977559171598</v>
      </c>
      <c r="AC110" s="19">
        <f>VLOOKUP(B110,[2]Sheet1!$B$2:$N$199,11,0)/4000</f>
        <v>5.98175</v>
      </c>
      <c r="AD110" s="19">
        <v>0</v>
      </c>
      <c r="AE110" s="19">
        <f>VLOOKUP(B110,'[1]A04'!$E$7:$L$30,7,0)</f>
        <v>100</v>
      </c>
      <c r="AF110" s="19">
        <f t="shared" si="19"/>
        <v>105.98175</v>
      </c>
      <c r="AG110" s="86">
        <f t="shared" si="20"/>
        <v>300</v>
      </c>
      <c r="AH110" s="19"/>
      <c r="AI110" s="60"/>
      <c r="AJ110" s="74"/>
    </row>
    <row r="111" s="61" customFormat="1" ht="21" customHeight="1" spans="1:42">
      <c r="A111" s="19">
        <v>103</v>
      </c>
      <c r="B111" s="75" t="s">
        <v>564</v>
      </c>
      <c r="C111" s="20" t="s">
        <v>565</v>
      </c>
      <c r="D111" s="20" t="s">
        <v>566</v>
      </c>
      <c r="E111" s="21">
        <v>44732</v>
      </c>
      <c r="F111" s="19" t="s">
        <v>96</v>
      </c>
      <c r="G111" s="75" t="s">
        <v>562</v>
      </c>
      <c r="H111" s="19" t="s">
        <v>229</v>
      </c>
      <c r="I111" s="19">
        <v>23</v>
      </c>
      <c r="J111" s="19">
        <f t="shared" si="15"/>
        <v>3</v>
      </c>
      <c r="K111" s="19">
        <v>200</v>
      </c>
      <c r="L111" s="36">
        <f t="shared" si="16"/>
        <v>176.923076923077</v>
      </c>
      <c r="M111" s="84">
        <f t="shared" si="17"/>
        <v>23.0769230769231</v>
      </c>
      <c r="N111" s="19">
        <v>12</v>
      </c>
      <c r="O111" s="19">
        <f t="shared" si="21"/>
        <v>17.3076923076923</v>
      </c>
      <c r="P111" s="19">
        <v>0</v>
      </c>
      <c r="Q111" s="19">
        <f t="shared" si="18"/>
        <v>0</v>
      </c>
      <c r="R111" s="19">
        <v>0</v>
      </c>
      <c r="S111" s="36">
        <f t="shared" si="22"/>
        <v>8.84615384615385</v>
      </c>
      <c r="T111" s="19">
        <v>0</v>
      </c>
      <c r="U111" s="19">
        <v>0</v>
      </c>
      <c r="V111" s="54">
        <v>10</v>
      </c>
      <c r="W111" s="84">
        <v>3</v>
      </c>
      <c r="X111" s="54">
        <v>8</v>
      </c>
      <c r="Y111" s="19">
        <v>0</v>
      </c>
      <c r="Z111" s="19">
        <f>VLOOKUP(B111,'[3]Annual Leave '!$B$7:$Q$98,13,0)</f>
        <v>34.17</v>
      </c>
      <c r="AA111" s="19">
        <f>VLOOKUP(B111,'[3]Annual Leave '!$B$7:$Q$98,15,0)</f>
        <v>13.1428439349113</v>
      </c>
      <c r="AB111" s="36">
        <f t="shared" si="23"/>
        <v>271.389767011834</v>
      </c>
      <c r="AC111" s="19">
        <f>VLOOKUP(B111,[2]Sheet1!$B$2:$N$199,11,0)/4000</f>
        <v>4.32725</v>
      </c>
      <c r="AD111" s="19">
        <v>0</v>
      </c>
      <c r="AE111" s="19">
        <f>VLOOKUP(B111,'[1]A04'!$E$7:$L$30,7,0)</f>
        <v>100</v>
      </c>
      <c r="AF111" s="19">
        <f t="shared" si="19"/>
        <v>104.32725</v>
      </c>
      <c r="AG111" s="86">
        <f t="shared" si="20"/>
        <v>167.06</v>
      </c>
      <c r="AH111" s="19"/>
      <c r="AI111" s="60"/>
      <c r="AJ111" s="74"/>
      <c r="AK111" s="62"/>
      <c r="AL111" s="62"/>
      <c r="AM111" s="62"/>
      <c r="AN111" s="62"/>
      <c r="AO111" s="62"/>
      <c r="AP111" s="62"/>
    </row>
    <row r="112" s="5" customFormat="1" ht="21" customHeight="1" spans="1:36">
      <c r="A112" s="19">
        <v>104</v>
      </c>
      <c r="B112" s="75" t="s">
        <v>568</v>
      </c>
      <c r="C112" s="20" t="s">
        <v>569</v>
      </c>
      <c r="D112" s="20" t="s">
        <v>570</v>
      </c>
      <c r="E112" s="21">
        <v>44732</v>
      </c>
      <c r="F112" s="19" t="s">
        <v>96</v>
      </c>
      <c r="G112" s="75" t="s">
        <v>562</v>
      </c>
      <c r="H112" s="19" t="s">
        <v>229</v>
      </c>
      <c r="I112" s="19">
        <v>23</v>
      </c>
      <c r="J112" s="19">
        <f t="shared" si="15"/>
        <v>3</v>
      </c>
      <c r="K112" s="19">
        <v>200</v>
      </c>
      <c r="L112" s="36">
        <f t="shared" si="16"/>
        <v>176.923076923077</v>
      </c>
      <c r="M112" s="84">
        <f t="shared" si="17"/>
        <v>23.0769230769231</v>
      </c>
      <c r="N112" s="19">
        <v>8</v>
      </c>
      <c r="O112" s="19">
        <f t="shared" si="21"/>
        <v>11.5384615384615</v>
      </c>
      <c r="P112" s="19">
        <v>0</v>
      </c>
      <c r="Q112" s="19">
        <f t="shared" si="18"/>
        <v>0</v>
      </c>
      <c r="R112" s="19">
        <v>0</v>
      </c>
      <c r="S112" s="36">
        <f t="shared" si="22"/>
        <v>8.84615384615385</v>
      </c>
      <c r="T112" s="19">
        <v>0</v>
      </c>
      <c r="U112" s="19">
        <v>0</v>
      </c>
      <c r="V112" s="54">
        <v>10</v>
      </c>
      <c r="W112" s="84">
        <v>2</v>
      </c>
      <c r="X112" s="54">
        <v>8</v>
      </c>
      <c r="Y112" s="19">
        <v>0</v>
      </c>
      <c r="Z112" s="19">
        <f>VLOOKUP(B112,'[3]Annual Leave '!$B$7:$Q$98,13,0)</f>
        <v>34.19</v>
      </c>
      <c r="AA112" s="19">
        <f>VLOOKUP(B112,'[3]Annual Leave '!$B$7:$Q$98,15,0)</f>
        <v>13.1515347633136</v>
      </c>
      <c r="AB112" s="36">
        <f t="shared" si="23"/>
        <v>264.649227071006</v>
      </c>
      <c r="AC112" s="19">
        <f>VLOOKUP(B112,[2]Sheet1!$B$2:$N$199,11,0)/4000</f>
        <v>4.32725</v>
      </c>
      <c r="AD112" s="19">
        <v>0</v>
      </c>
      <c r="AE112" s="19">
        <f>VLOOKUP(B112,'[1]A04'!$E$7:$L$30,7,0)</f>
        <v>100</v>
      </c>
      <c r="AF112" s="19">
        <f t="shared" si="19"/>
        <v>104.32725</v>
      </c>
      <c r="AG112" s="86">
        <f t="shared" si="20"/>
        <v>160.32</v>
      </c>
      <c r="AH112" s="75"/>
      <c r="AI112" s="139"/>
      <c r="AJ112" s="74"/>
    </row>
    <row r="113" s="5" customFormat="1" ht="21" customHeight="1" spans="1:36">
      <c r="A113" s="19">
        <v>105</v>
      </c>
      <c r="B113" s="75" t="s">
        <v>573</v>
      </c>
      <c r="C113" s="20" t="s">
        <v>574</v>
      </c>
      <c r="D113" s="20" t="s">
        <v>575</v>
      </c>
      <c r="E113" s="21">
        <v>44732</v>
      </c>
      <c r="F113" s="19" t="s">
        <v>96</v>
      </c>
      <c r="G113" s="75" t="s">
        <v>562</v>
      </c>
      <c r="H113" s="19" t="s">
        <v>229</v>
      </c>
      <c r="I113" s="19">
        <v>20</v>
      </c>
      <c r="J113" s="19">
        <f t="shared" si="15"/>
        <v>6</v>
      </c>
      <c r="K113" s="19">
        <v>200</v>
      </c>
      <c r="L113" s="36">
        <f t="shared" si="16"/>
        <v>153.846153846154</v>
      </c>
      <c r="M113" s="84">
        <f t="shared" si="17"/>
        <v>46.1538461538462</v>
      </c>
      <c r="N113" s="19">
        <v>4</v>
      </c>
      <c r="O113" s="19">
        <f t="shared" si="21"/>
        <v>5.76923076923077</v>
      </c>
      <c r="P113" s="19">
        <v>0</v>
      </c>
      <c r="Q113" s="19">
        <f t="shared" si="18"/>
        <v>0</v>
      </c>
      <c r="R113" s="19">
        <v>0</v>
      </c>
      <c r="S113" s="36">
        <f t="shared" si="22"/>
        <v>7.69230769230769</v>
      </c>
      <c r="T113" s="19">
        <v>0</v>
      </c>
      <c r="U113" s="19">
        <v>0</v>
      </c>
      <c r="V113" s="54">
        <v>10</v>
      </c>
      <c r="W113" s="84">
        <v>1</v>
      </c>
      <c r="X113" s="54">
        <v>8</v>
      </c>
      <c r="Y113" s="19">
        <v>0</v>
      </c>
      <c r="Z113" s="19">
        <f>VLOOKUP(B113,'[3]Annual Leave '!$B$7:$Q$98,13,0)</f>
        <v>32.86</v>
      </c>
      <c r="AA113" s="19">
        <f>VLOOKUP(B113,'[3]Annual Leave '!$B$7:$Q$98,15,0)</f>
        <v>29.4930658284024</v>
      </c>
      <c r="AB113" s="36">
        <f t="shared" si="23"/>
        <v>248.660758136095</v>
      </c>
      <c r="AC113" s="19">
        <f>VLOOKUP(B113,[2]Sheet1!$B$2:$N$199,11,0)/4000</f>
        <v>4.32725</v>
      </c>
      <c r="AD113" s="19">
        <v>0</v>
      </c>
      <c r="AE113" s="19">
        <f>VLOOKUP(B113,'[1]A04'!$E$7:$L$30,7,0)</f>
        <v>50</v>
      </c>
      <c r="AF113" s="19">
        <f t="shared" si="19"/>
        <v>54.32725</v>
      </c>
      <c r="AG113" s="86">
        <f t="shared" si="20"/>
        <v>194.33</v>
      </c>
      <c r="AH113" s="19"/>
      <c r="AI113" s="60"/>
      <c r="AJ113" s="74"/>
    </row>
    <row r="114" s="5" customFormat="1" ht="21" customHeight="1" spans="1:36">
      <c r="A114" s="19">
        <v>106</v>
      </c>
      <c r="B114" s="75" t="s">
        <v>578</v>
      </c>
      <c r="C114" s="20" t="s">
        <v>579</v>
      </c>
      <c r="D114" s="20" t="s">
        <v>580</v>
      </c>
      <c r="E114" s="21">
        <v>44733</v>
      </c>
      <c r="F114" s="19" t="s">
        <v>96</v>
      </c>
      <c r="G114" s="75" t="s">
        <v>562</v>
      </c>
      <c r="H114" s="19" t="s">
        <v>229</v>
      </c>
      <c r="I114" s="19">
        <v>20</v>
      </c>
      <c r="J114" s="19">
        <f t="shared" si="15"/>
        <v>6</v>
      </c>
      <c r="K114" s="19">
        <v>200</v>
      </c>
      <c r="L114" s="36">
        <f t="shared" si="16"/>
        <v>153.846153846154</v>
      </c>
      <c r="M114" s="84">
        <f t="shared" si="17"/>
        <v>46.1538461538462</v>
      </c>
      <c r="N114" s="19">
        <v>0</v>
      </c>
      <c r="O114" s="19">
        <f t="shared" si="21"/>
        <v>0</v>
      </c>
      <c r="P114" s="19">
        <v>0</v>
      </c>
      <c r="Q114" s="19">
        <f t="shared" si="18"/>
        <v>0</v>
      </c>
      <c r="R114" s="19">
        <v>0</v>
      </c>
      <c r="S114" s="36">
        <f t="shared" si="22"/>
        <v>7.69230769230769</v>
      </c>
      <c r="T114" s="19">
        <v>0</v>
      </c>
      <c r="U114" s="19">
        <v>0</v>
      </c>
      <c r="V114" s="54">
        <v>10</v>
      </c>
      <c r="W114" s="84">
        <v>0</v>
      </c>
      <c r="X114" s="54">
        <v>8</v>
      </c>
      <c r="Y114" s="19">
        <v>0</v>
      </c>
      <c r="Z114" s="19">
        <f>VLOOKUP(B114,'[3]Annual Leave '!$B$7:$Q$98,13,0)</f>
        <v>32.28</v>
      </c>
      <c r="AA114" s="19">
        <f>VLOOKUP(B114,'[3]Annual Leave '!$B$7:$Q$98,15,0)</f>
        <v>12.4147559171598</v>
      </c>
      <c r="AB114" s="36">
        <f t="shared" si="23"/>
        <v>224.233217455621</v>
      </c>
      <c r="AC114" s="19">
        <f>VLOOKUP(B114,[2]Sheet1!$B$2:$N$199,11,0)/4000</f>
        <v>4.4355</v>
      </c>
      <c r="AD114" s="19">
        <v>0</v>
      </c>
      <c r="AE114" s="19">
        <f>VLOOKUP(B114,'[1]A04'!$E$7:$L$30,7,0)</f>
        <v>50</v>
      </c>
      <c r="AF114" s="19">
        <f t="shared" si="19"/>
        <v>54.4355</v>
      </c>
      <c r="AG114" s="86">
        <f t="shared" si="20"/>
        <v>169.8</v>
      </c>
      <c r="AH114" s="19"/>
      <c r="AI114" s="60"/>
      <c r="AJ114" s="74"/>
    </row>
    <row r="115" s="5" customFormat="1" ht="21" customHeight="1" spans="1:36">
      <c r="A115" s="19">
        <v>107</v>
      </c>
      <c r="B115" s="75" t="s">
        <v>582</v>
      </c>
      <c r="C115" s="81" t="s">
        <v>583</v>
      </c>
      <c r="D115" s="20" t="s">
        <v>584</v>
      </c>
      <c r="E115" s="21">
        <v>44733</v>
      </c>
      <c r="F115" s="19" t="s">
        <v>96</v>
      </c>
      <c r="G115" s="75" t="s">
        <v>562</v>
      </c>
      <c r="H115" s="19" t="s">
        <v>229</v>
      </c>
      <c r="I115" s="19">
        <v>20</v>
      </c>
      <c r="J115" s="19">
        <f t="shared" si="15"/>
        <v>6</v>
      </c>
      <c r="K115" s="19">
        <v>200</v>
      </c>
      <c r="L115" s="36">
        <f t="shared" si="16"/>
        <v>153.846153846154</v>
      </c>
      <c r="M115" s="84">
        <f t="shared" si="17"/>
        <v>46.1538461538462</v>
      </c>
      <c r="N115" s="19">
        <v>0</v>
      </c>
      <c r="O115" s="19">
        <f t="shared" si="21"/>
        <v>0</v>
      </c>
      <c r="P115" s="19">
        <v>0</v>
      </c>
      <c r="Q115" s="19">
        <f t="shared" si="18"/>
        <v>0</v>
      </c>
      <c r="R115" s="19">
        <v>0</v>
      </c>
      <c r="S115" s="36">
        <f t="shared" si="22"/>
        <v>7.69230769230769</v>
      </c>
      <c r="T115" s="19">
        <v>0</v>
      </c>
      <c r="U115" s="19">
        <v>0</v>
      </c>
      <c r="V115" s="54">
        <v>10</v>
      </c>
      <c r="W115" s="84">
        <v>0</v>
      </c>
      <c r="X115" s="54">
        <v>8</v>
      </c>
      <c r="Y115" s="19">
        <v>0</v>
      </c>
      <c r="Z115" s="19">
        <f>VLOOKUP(B115,'[3]Annual Leave '!$B$7:$Q$98,13,0)</f>
        <v>30.7</v>
      </c>
      <c r="AA115" s="19">
        <f>VLOOKUP(B115,'[3]Annual Leave '!$B$7:$Q$98,15,0)</f>
        <v>11.8095414201183</v>
      </c>
      <c r="AB115" s="36">
        <f t="shared" si="23"/>
        <v>222.04800295858</v>
      </c>
      <c r="AC115" s="19">
        <f>VLOOKUP(B115,[2]Sheet1!$B$2:$N$199,11,0)/4000</f>
        <v>4.32725</v>
      </c>
      <c r="AD115" s="19">
        <v>0</v>
      </c>
      <c r="AE115" s="19">
        <f>VLOOKUP(B115,'[1]A04'!$E$7:$L$30,7,0)</f>
        <v>50</v>
      </c>
      <c r="AF115" s="19">
        <f t="shared" si="19"/>
        <v>54.32725</v>
      </c>
      <c r="AG115" s="86">
        <f t="shared" si="20"/>
        <v>167.72</v>
      </c>
      <c r="AH115" s="19"/>
      <c r="AI115" s="60"/>
      <c r="AJ115" s="74"/>
    </row>
    <row r="116" s="5" customFormat="1" ht="21" customHeight="1" spans="1:36">
      <c r="A116" s="19">
        <v>108</v>
      </c>
      <c r="B116" s="75" t="s">
        <v>586</v>
      </c>
      <c r="C116" s="81" t="s">
        <v>587</v>
      </c>
      <c r="D116" s="20" t="s">
        <v>588</v>
      </c>
      <c r="E116" s="21">
        <v>44733</v>
      </c>
      <c r="F116" s="19" t="s">
        <v>96</v>
      </c>
      <c r="G116" s="75" t="s">
        <v>562</v>
      </c>
      <c r="H116" s="19" t="s">
        <v>229</v>
      </c>
      <c r="I116" s="19">
        <v>20</v>
      </c>
      <c r="J116" s="19">
        <f t="shared" si="15"/>
        <v>6</v>
      </c>
      <c r="K116" s="19">
        <v>200</v>
      </c>
      <c r="L116" s="36">
        <f t="shared" si="16"/>
        <v>153.846153846154</v>
      </c>
      <c r="M116" s="84">
        <f t="shared" si="17"/>
        <v>46.1538461538462</v>
      </c>
      <c r="N116" s="19">
        <v>0</v>
      </c>
      <c r="O116" s="19">
        <f t="shared" si="21"/>
        <v>0</v>
      </c>
      <c r="P116" s="19">
        <v>0</v>
      </c>
      <c r="Q116" s="19">
        <f t="shared" si="18"/>
        <v>0</v>
      </c>
      <c r="R116" s="19">
        <v>0</v>
      </c>
      <c r="S116" s="36">
        <f t="shared" si="22"/>
        <v>7.69230769230769</v>
      </c>
      <c r="T116" s="19">
        <v>0</v>
      </c>
      <c r="U116" s="19">
        <v>0</v>
      </c>
      <c r="V116" s="54">
        <v>10</v>
      </c>
      <c r="W116" s="84">
        <v>0</v>
      </c>
      <c r="X116" s="54">
        <v>8</v>
      </c>
      <c r="Y116" s="19">
        <v>0</v>
      </c>
      <c r="Z116" s="19">
        <f>VLOOKUP(B116,'[3]Annual Leave '!$B$7:$Q$98,13,0)</f>
        <v>33.32</v>
      </c>
      <c r="AA116" s="19">
        <f>VLOOKUP(B116,'[3]Annual Leave '!$B$7:$Q$98,15,0)</f>
        <v>38.4494267751479</v>
      </c>
      <c r="AB116" s="36">
        <f t="shared" si="23"/>
        <v>251.307888313609</v>
      </c>
      <c r="AC116" s="19">
        <f>VLOOKUP(B116,[2]Sheet1!$B$2:$N$199,11,0)/4000</f>
        <v>4.839</v>
      </c>
      <c r="AD116" s="19">
        <v>0</v>
      </c>
      <c r="AE116" s="19">
        <f>VLOOKUP(B116,'[1]A04'!$E$7:$L$30,7,0)</f>
        <v>50</v>
      </c>
      <c r="AF116" s="19">
        <f t="shared" si="19"/>
        <v>54.839</v>
      </c>
      <c r="AG116" s="86">
        <f t="shared" si="20"/>
        <v>196.47</v>
      </c>
      <c r="AH116" s="19"/>
      <c r="AI116" s="60"/>
      <c r="AJ116" s="74"/>
    </row>
    <row r="117" s="5" customFormat="1" ht="21" customHeight="1" spans="1:36">
      <c r="A117" s="19">
        <v>109</v>
      </c>
      <c r="B117" s="75" t="s">
        <v>590</v>
      </c>
      <c r="C117" s="20" t="s">
        <v>591</v>
      </c>
      <c r="D117" s="20" t="s">
        <v>592</v>
      </c>
      <c r="E117" s="21">
        <v>44733</v>
      </c>
      <c r="F117" s="19" t="s">
        <v>108</v>
      </c>
      <c r="G117" s="75" t="s">
        <v>562</v>
      </c>
      <c r="H117" s="19" t="s">
        <v>229</v>
      </c>
      <c r="I117" s="19">
        <v>15</v>
      </c>
      <c r="J117" s="19">
        <f t="shared" si="15"/>
        <v>11</v>
      </c>
      <c r="K117" s="19">
        <v>200</v>
      </c>
      <c r="L117" s="36">
        <f t="shared" si="16"/>
        <v>115.384615384615</v>
      </c>
      <c r="M117" s="84">
        <f t="shared" si="17"/>
        <v>84.6153846153846</v>
      </c>
      <c r="N117" s="19">
        <v>0</v>
      </c>
      <c r="O117" s="19">
        <f t="shared" si="21"/>
        <v>0</v>
      </c>
      <c r="P117" s="19">
        <v>0</v>
      </c>
      <c r="Q117" s="19">
        <f t="shared" si="18"/>
        <v>0</v>
      </c>
      <c r="R117" s="19">
        <v>0</v>
      </c>
      <c r="S117" s="36">
        <f t="shared" si="22"/>
        <v>5.76923076923077</v>
      </c>
      <c r="T117" s="19">
        <v>0</v>
      </c>
      <c r="U117" s="19">
        <v>0</v>
      </c>
      <c r="V117" s="54">
        <v>10</v>
      </c>
      <c r="W117" s="84">
        <v>0</v>
      </c>
      <c r="X117" s="54">
        <v>8</v>
      </c>
      <c r="Y117" s="19">
        <v>0</v>
      </c>
      <c r="Z117" s="19">
        <f>VLOOKUP(B117,'[3]Annual Leave '!$B$7:$Q$98,13,0)</f>
        <v>30.83</v>
      </c>
      <c r="AA117" s="19">
        <f>VLOOKUP(B117,'[3]Annual Leave '!$B$7:$Q$98,15,0)</f>
        <v>11.8592825443787</v>
      </c>
      <c r="AB117" s="36">
        <f t="shared" si="23"/>
        <v>181.843128698225</v>
      </c>
      <c r="AC117" s="19">
        <f>VLOOKUP(B117,[2]Sheet1!$B$2:$N$199,11,0)/4000</f>
        <v>4.20625</v>
      </c>
      <c r="AD117" s="19">
        <v>0</v>
      </c>
      <c r="AE117" s="19">
        <f>VLOOKUP(B117,'[1]A04'!$E$7:$L$30,7,0)</f>
        <v>50</v>
      </c>
      <c r="AF117" s="19">
        <f t="shared" si="19"/>
        <v>54.20625</v>
      </c>
      <c r="AG117" s="86">
        <f t="shared" si="20"/>
        <v>127.64</v>
      </c>
      <c r="AH117" s="19"/>
      <c r="AI117" s="60"/>
      <c r="AJ117" s="74"/>
    </row>
    <row r="118" s="5" customFormat="1" ht="21" customHeight="1" spans="1:36">
      <c r="A118" s="19">
        <v>110</v>
      </c>
      <c r="B118" s="75" t="s">
        <v>594</v>
      </c>
      <c r="C118" s="81" t="s">
        <v>487</v>
      </c>
      <c r="D118" s="20" t="s">
        <v>488</v>
      </c>
      <c r="E118" s="21">
        <v>44733</v>
      </c>
      <c r="F118" s="19" t="s">
        <v>96</v>
      </c>
      <c r="G118" s="75" t="s">
        <v>562</v>
      </c>
      <c r="H118" s="19" t="s">
        <v>229</v>
      </c>
      <c r="I118" s="19">
        <v>23</v>
      </c>
      <c r="J118" s="19">
        <f t="shared" si="15"/>
        <v>3</v>
      </c>
      <c r="K118" s="19">
        <v>200</v>
      </c>
      <c r="L118" s="36">
        <f t="shared" si="16"/>
        <v>176.923076923077</v>
      </c>
      <c r="M118" s="84">
        <f t="shared" si="17"/>
        <v>23.0769230769231</v>
      </c>
      <c r="N118" s="19">
        <v>23</v>
      </c>
      <c r="O118" s="19">
        <f t="shared" si="21"/>
        <v>33.1730769230769</v>
      </c>
      <c r="P118" s="19">
        <v>0</v>
      </c>
      <c r="Q118" s="19">
        <f t="shared" si="18"/>
        <v>0</v>
      </c>
      <c r="R118" s="19">
        <v>0</v>
      </c>
      <c r="S118" s="36">
        <f t="shared" si="22"/>
        <v>8.84615384615385</v>
      </c>
      <c r="T118" s="19">
        <v>0</v>
      </c>
      <c r="U118" s="19">
        <v>0</v>
      </c>
      <c r="V118" s="54">
        <v>10</v>
      </c>
      <c r="W118" s="84">
        <v>6</v>
      </c>
      <c r="X118" s="54">
        <v>8</v>
      </c>
      <c r="Y118" s="19">
        <v>0</v>
      </c>
      <c r="Z118" s="19">
        <f>VLOOKUP(B118,'[3]Annual Leave '!$B$7:$Q$98,13,0)</f>
        <v>34.33</v>
      </c>
      <c r="AA118" s="19">
        <f>VLOOKUP(B118,'[3]Annual Leave '!$B$7:$Q$98,15,0)</f>
        <v>30.809017504931</v>
      </c>
      <c r="AB118" s="36">
        <f t="shared" si="23"/>
        <v>308.081325197239</v>
      </c>
      <c r="AC118" s="19">
        <f>VLOOKUP(B118,[2]Sheet1!$B$2:$N$199,11,0)/4000</f>
        <v>4.0045</v>
      </c>
      <c r="AD118" s="19">
        <v>0</v>
      </c>
      <c r="AE118" s="19">
        <f>VLOOKUP(B118,'[1]A04'!$E$7:$L$30,7,0)</f>
        <v>100</v>
      </c>
      <c r="AF118" s="19">
        <f t="shared" si="19"/>
        <v>104.0045</v>
      </c>
      <c r="AG118" s="86">
        <f t="shared" si="20"/>
        <v>204.08</v>
      </c>
      <c r="AH118" s="19"/>
      <c r="AI118" s="60"/>
      <c r="AJ118" s="74"/>
    </row>
    <row r="119" s="5" customFormat="1" ht="21" customHeight="1" spans="1:36">
      <c r="A119" s="19">
        <v>111</v>
      </c>
      <c r="B119" s="19" t="s">
        <v>595</v>
      </c>
      <c r="C119" s="81" t="s">
        <v>596</v>
      </c>
      <c r="D119" s="20" t="s">
        <v>597</v>
      </c>
      <c r="E119" s="21">
        <v>44733</v>
      </c>
      <c r="F119" s="19" t="s">
        <v>108</v>
      </c>
      <c r="G119" s="75" t="s">
        <v>562</v>
      </c>
      <c r="H119" s="19" t="s">
        <v>229</v>
      </c>
      <c r="I119" s="19">
        <v>22</v>
      </c>
      <c r="J119" s="19">
        <f t="shared" si="15"/>
        <v>4</v>
      </c>
      <c r="K119" s="19">
        <v>200</v>
      </c>
      <c r="L119" s="36">
        <f t="shared" si="16"/>
        <v>169.230769230769</v>
      </c>
      <c r="M119" s="84">
        <f t="shared" si="17"/>
        <v>30.7692307692308</v>
      </c>
      <c r="N119" s="19">
        <v>0</v>
      </c>
      <c r="O119" s="19">
        <f t="shared" si="21"/>
        <v>0</v>
      </c>
      <c r="P119" s="19">
        <v>0</v>
      </c>
      <c r="Q119" s="19">
        <f t="shared" si="18"/>
        <v>0</v>
      </c>
      <c r="R119" s="19">
        <v>0</v>
      </c>
      <c r="S119" s="36">
        <f t="shared" si="22"/>
        <v>8.46153846153846</v>
      </c>
      <c r="T119" s="19">
        <v>0</v>
      </c>
      <c r="U119" s="19">
        <v>0</v>
      </c>
      <c r="V119" s="54">
        <v>10</v>
      </c>
      <c r="W119" s="84">
        <v>0</v>
      </c>
      <c r="X119" s="54">
        <v>8</v>
      </c>
      <c r="Y119" s="19">
        <v>0</v>
      </c>
      <c r="Z119" s="19">
        <f>VLOOKUP(B119,'[3]Annual Leave '!$B$7:$Q$98,13,0)</f>
        <v>31.54</v>
      </c>
      <c r="AA119" s="19">
        <f>VLOOKUP(B119,'[3]Annual Leave '!$B$7:$Q$98,15,0)</f>
        <v>12.1318417159763</v>
      </c>
      <c r="AB119" s="36">
        <f t="shared" si="23"/>
        <v>239.364149408284</v>
      </c>
      <c r="AC119" s="19">
        <f>VLOOKUP(B119,[2]Sheet1!$B$2:$N$199,11,0)/4000</f>
        <v>4.32725</v>
      </c>
      <c r="AD119" s="19">
        <v>0</v>
      </c>
      <c r="AE119" s="19">
        <f>VLOOKUP(B119,'[1]A04'!$E$7:$L$30,7,0)</f>
        <v>100</v>
      </c>
      <c r="AF119" s="19">
        <f t="shared" si="19"/>
        <v>104.32725</v>
      </c>
      <c r="AG119" s="86">
        <f t="shared" si="20"/>
        <v>135.04</v>
      </c>
      <c r="AH119" s="19"/>
      <c r="AI119" s="60"/>
      <c r="AJ119" s="74"/>
    </row>
    <row r="120" s="5" customFormat="1" ht="21" customHeight="1" spans="1:36">
      <c r="A120" s="19">
        <v>112</v>
      </c>
      <c r="B120" s="75" t="s">
        <v>599</v>
      </c>
      <c r="C120" s="135" t="s">
        <v>600</v>
      </c>
      <c r="D120" s="128" t="s">
        <v>601</v>
      </c>
      <c r="E120" s="136">
        <v>44733</v>
      </c>
      <c r="F120" s="75" t="s">
        <v>96</v>
      </c>
      <c r="G120" s="75" t="s">
        <v>562</v>
      </c>
      <c r="H120" s="75" t="s">
        <v>229</v>
      </c>
      <c r="I120" s="75">
        <v>20</v>
      </c>
      <c r="J120" s="19">
        <f t="shared" si="15"/>
        <v>6</v>
      </c>
      <c r="K120" s="19">
        <v>200</v>
      </c>
      <c r="L120" s="138">
        <f t="shared" si="16"/>
        <v>153.846153846154</v>
      </c>
      <c r="M120" s="84">
        <f t="shared" si="17"/>
        <v>46.1538461538462</v>
      </c>
      <c r="N120" s="75">
        <v>0</v>
      </c>
      <c r="O120" s="19">
        <f t="shared" si="21"/>
        <v>0</v>
      </c>
      <c r="P120" s="75">
        <v>0</v>
      </c>
      <c r="Q120" s="19">
        <f t="shared" si="18"/>
        <v>0</v>
      </c>
      <c r="R120" s="75">
        <v>0</v>
      </c>
      <c r="S120" s="36">
        <f t="shared" si="22"/>
        <v>7.69230769230769</v>
      </c>
      <c r="T120" s="75">
        <v>0</v>
      </c>
      <c r="U120" s="75">
        <v>0</v>
      </c>
      <c r="V120" s="54">
        <v>10</v>
      </c>
      <c r="W120" s="84">
        <v>0</v>
      </c>
      <c r="X120" s="54">
        <v>8</v>
      </c>
      <c r="Y120" s="75">
        <v>0</v>
      </c>
      <c r="Z120" s="19">
        <f>VLOOKUP(B120,'[3]Annual Leave '!$B$7:$Q$98,13,0)</f>
        <v>31.07</v>
      </c>
      <c r="AA120" s="19">
        <f>VLOOKUP(B120,'[3]Annual Leave '!$B$7:$Q$98,15,0)</f>
        <v>11.9484097633136</v>
      </c>
      <c r="AB120" s="36">
        <f t="shared" si="23"/>
        <v>222.556871301775</v>
      </c>
      <c r="AC120" s="19">
        <f>VLOOKUP(B120,[2]Sheet1!$B$2:$N$199,11,0)/4000</f>
        <v>4.16575</v>
      </c>
      <c r="AD120" s="19">
        <v>0</v>
      </c>
      <c r="AE120" s="19">
        <f>VLOOKUP(B120,'[1]A04'!$E$7:$L$30,7,0)</f>
        <v>50</v>
      </c>
      <c r="AF120" s="19">
        <f t="shared" si="19"/>
        <v>54.16575</v>
      </c>
      <c r="AG120" s="86">
        <f t="shared" si="20"/>
        <v>168.39</v>
      </c>
      <c r="AH120" s="19"/>
      <c r="AI120" s="60"/>
      <c r="AJ120" s="74"/>
    </row>
    <row r="121" s="5" customFormat="1" ht="21" customHeight="1" spans="1:36">
      <c r="A121" s="19">
        <v>113</v>
      </c>
      <c r="B121" s="75" t="s">
        <v>604</v>
      </c>
      <c r="C121" s="20" t="s">
        <v>605</v>
      </c>
      <c r="D121" s="20" t="s">
        <v>606</v>
      </c>
      <c r="E121" s="21">
        <v>44733</v>
      </c>
      <c r="F121" s="19" t="s">
        <v>96</v>
      </c>
      <c r="G121" s="75" t="s">
        <v>562</v>
      </c>
      <c r="H121" s="19" t="s">
        <v>229</v>
      </c>
      <c r="I121" s="19">
        <v>20</v>
      </c>
      <c r="J121" s="19">
        <f t="shared" si="15"/>
        <v>6</v>
      </c>
      <c r="K121" s="19">
        <v>200</v>
      </c>
      <c r="L121" s="36">
        <f t="shared" si="16"/>
        <v>153.846153846154</v>
      </c>
      <c r="M121" s="84">
        <f t="shared" si="17"/>
        <v>46.1538461538462</v>
      </c>
      <c r="N121" s="19">
        <v>0</v>
      </c>
      <c r="O121" s="19">
        <f t="shared" si="21"/>
        <v>0</v>
      </c>
      <c r="P121" s="19">
        <v>0</v>
      </c>
      <c r="Q121" s="19">
        <f t="shared" si="18"/>
        <v>0</v>
      </c>
      <c r="R121" s="19">
        <v>0</v>
      </c>
      <c r="S121" s="36">
        <f t="shared" si="22"/>
        <v>7.69230769230769</v>
      </c>
      <c r="T121" s="19">
        <v>0</v>
      </c>
      <c r="U121" s="19">
        <v>0</v>
      </c>
      <c r="V121" s="54">
        <v>10</v>
      </c>
      <c r="W121" s="84">
        <v>0</v>
      </c>
      <c r="X121" s="54">
        <v>8</v>
      </c>
      <c r="Y121" s="19">
        <v>0</v>
      </c>
      <c r="Z121" s="19">
        <f>VLOOKUP(B121,'[3]Annual Leave '!$B$7:$Q$98,13,0)</f>
        <v>31.82</v>
      </c>
      <c r="AA121" s="19">
        <f>VLOOKUP(B121,'[3]Annual Leave '!$B$7:$Q$98,15,0)</f>
        <v>12.2381656804734</v>
      </c>
      <c r="AB121" s="36">
        <f t="shared" si="23"/>
        <v>223.596627218935</v>
      </c>
      <c r="AC121" s="19">
        <f>VLOOKUP(B121,[2]Sheet1!$B$2:$N$199,11,0)/4000</f>
        <v>4.39525</v>
      </c>
      <c r="AD121" s="19">
        <v>0</v>
      </c>
      <c r="AE121" s="19">
        <f>VLOOKUP(B121,'[1]A04'!$E$7:$L$30,7,0)</f>
        <v>50</v>
      </c>
      <c r="AF121" s="19">
        <f t="shared" si="19"/>
        <v>54.39525</v>
      </c>
      <c r="AG121" s="86">
        <f t="shared" si="20"/>
        <v>169.2</v>
      </c>
      <c r="AH121" s="19"/>
      <c r="AI121" s="60"/>
      <c r="AJ121" s="74"/>
    </row>
    <row r="122" s="5" customFormat="1" ht="21" customHeight="1" spans="1:36">
      <c r="A122" s="19">
        <v>114</v>
      </c>
      <c r="B122" s="75" t="s">
        <v>608</v>
      </c>
      <c r="C122" s="20" t="s">
        <v>609</v>
      </c>
      <c r="D122" s="20" t="s">
        <v>610</v>
      </c>
      <c r="E122" s="21">
        <v>44733</v>
      </c>
      <c r="F122" s="19" t="s">
        <v>96</v>
      </c>
      <c r="G122" s="75" t="s">
        <v>562</v>
      </c>
      <c r="H122" s="19" t="s">
        <v>229</v>
      </c>
      <c r="I122" s="19">
        <v>20</v>
      </c>
      <c r="J122" s="19">
        <f t="shared" si="15"/>
        <v>6</v>
      </c>
      <c r="K122" s="19">
        <v>200</v>
      </c>
      <c r="L122" s="36">
        <f t="shared" si="16"/>
        <v>153.846153846154</v>
      </c>
      <c r="M122" s="84">
        <f t="shared" si="17"/>
        <v>46.1538461538462</v>
      </c>
      <c r="N122" s="19">
        <v>0</v>
      </c>
      <c r="O122" s="19">
        <f t="shared" si="21"/>
        <v>0</v>
      </c>
      <c r="P122" s="19">
        <v>0</v>
      </c>
      <c r="Q122" s="19">
        <f t="shared" si="18"/>
        <v>0</v>
      </c>
      <c r="R122" s="19">
        <v>0</v>
      </c>
      <c r="S122" s="36">
        <f t="shared" si="22"/>
        <v>7.69230769230769</v>
      </c>
      <c r="T122" s="19">
        <v>0</v>
      </c>
      <c r="U122" s="19">
        <v>0</v>
      </c>
      <c r="V122" s="54">
        <v>10</v>
      </c>
      <c r="W122" s="84">
        <v>0</v>
      </c>
      <c r="X122" s="54">
        <v>8</v>
      </c>
      <c r="Y122" s="19">
        <v>0</v>
      </c>
      <c r="Z122" s="19">
        <f>VLOOKUP(B122,'[3]Annual Leave '!$B$7:$Q$98,13,0)</f>
        <v>31.65</v>
      </c>
      <c r="AA122" s="19">
        <f>VLOOKUP(B122,'[3]Annual Leave '!$B$7:$Q$98,15,0)</f>
        <v>12.1747411242604</v>
      </c>
      <c r="AB122" s="36">
        <f t="shared" si="23"/>
        <v>223.363202662722</v>
      </c>
      <c r="AC122" s="19">
        <f>VLOOKUP(B122,[2]Sheet1!$B$2:$N$199,11,0)/4000</f>
        <v>4.32725</v>
      </c>
      <c r="AD122" s="19">
        <v>0</v>
      </c>
      <c r="AE122" s="19">
        <f>VLOOKUP(B122,'[1]A04'!$E$7:$L$30,7,0)</f>
        <v>50</v>
      </c>
      <c r="AF122" s="19">
        <f t="shared" si="19"/>
        <v>54.32725</v>
      </c>
      <c r="AG122" s="86">
        <f t="shared" si="20"/>
        <v>169.04</v>
      </c>
      <c r="AH122" s="19"/>
      <c r="AI122" s="60"/>
      <c r="AJ122" s="74"/>
    </row>
    <row r="123" s="5" customFormat="1" ht="21" customHeight="1" spans="1:36">
      <c r="A123" s="19">
        <v>115</v>
      </c>
      <c r="B123" s="75" t="s">
        <v>612</v>
      </c>
      <c r="C123" s="20" t="s">
        <v>613</v>
      </c>
      <c r="D123" s="20" t="s">
        <v>614</v>
      </c>
      <c r="E123" s="21">
        <v>44733</v>
      </c>
      <c r="F123" s="19" t="s">
        <v>108</v>
      </c>
      <c r="G123" s="75" t="s">
        <v>562</v>
      </c>
      <c r="H123" s="19" t="s">
        <v>229</v>
      </c>
      <c r="I123" s="19">
        <v>23</v>
      </c>
      <c r="J123" s="19">
        <f t="shared" si="15"/>
        <v>3</v>
      </c>
      <c r="K123" s="19">
        <v>200</v>
      </c>
      <c r="L123" s="36">
        <f t="shared" si="16"/>
        <v>176.923076923077</v>
      </c>
      <c r="M123" s="84">
        <f t="shared" si="17"/>
        <v>23.0769230769231</v>
      </c>
      <c r="N123" s="19">
        <v>0</v>
      </c>
      <c r="O123" s="19">
        <f t="shared" si="21"/>
        <v>0</v>
      </c>
      <c r="P123" s="19">
        <v>0</v>
      </c>
      <c r="Q123" s="19">
        <f t="shared" si="18"/>
        <v>0</v>
      </c>
      <c r="R123" s="19">
        <v>0</v>
      </c>
      <c r="S123" s="36">
        <f t="shared" si="22"/>
        <v>8.84615384615385</v>
      </c>
      <c r="T123" s="19">
        <v>0</v>
      </c>
      <c r="U123" s="19">
        <v>0</v>
      </c>
      <c r="V123" s="54">
        <v>10</v>
      </c>
      <c r="W123" s="84">
        <v>0</v>
      </c>
      <c r="X123" s="54">
        <v>8</v>
      </c>
      <c r="Y123" s="19">
        <v>0</v>
      </c>
      <c r="Z123" s="19">
        <f>VLOOKUP(B123,'[3]Annual Leave '!$B$7:$Q$98,13,0)</f>
        <v>32.01</v>
      </c>
      <c r="AA123" s="19">
        <f>VLOOKUP(B123,'[3]Annual Leave '!$B$7:$Q$98,15,0)</f>
        <v>12.3116678994083</v>
      </c>
      <c r="AB123" s="36">
        <f t="shared" si="23"/>
        <v>248.090898668639</v>
      </c>
      <c r="AC123" s="19">
        <f>VLOOKUP(B123,[2]Sheet1!$B$2:$N$199,11,0)/4000</f>
        <v>4.2465</v>
      </c>
      <c r="AD123" s="19">
        <v>0</v>
      </c>
      <c r="AE123" s="19">
        <f>VLOOKUP(B123,'[1]A04'!$E$7:$L$30,7,0)</f>
        <v>100</v>
      </c>
      <c r="AF123" s="19">
        <f t="shared" si="19"/>
        <v>104.2465</v>
      </c>
      <c r="AG123" s="86">
        <f t="shared" si="20"/>
        <v>143.84</v>
      </c>
      <c r="AH123" s="19"/>
      <c r="AI123" s="60"/>
      <c r="AJ123" s="74"/>
    </row>
    <row r="124" s="5" customFormat="1" ht="21" customHeight="1" spans="1:36">
      <c r="A124" s="19">
        <v>116</v>
      </c>
      <c r="B124" s="75" t="s">
        <v>616</v>
      </c>
      <c r="C124" s="20" t="s">
        <v>617</v>
      </c>
      <c r="D124" s="20" t="s">
        <v>618</v>
      </c>
      <c r="E124" s="21">
        <v>44733</v>
      </c>
      <c r="F124" s="19" t="s">
        <v>96</v>
      </c>
      <c r="G124" s="75" t="s">
        <v>562</v>
      </c>
      <c r="H124" s="19" t="s">
        <v>229</v>
      </c>
      <c r="I124" s="19">
        <v>20</v>
      </c>
      <c r="J124" s="19">
        <f t="shared" si="15"/>
        <v>6</v>
      </c>
      <c r="K124" s="19">
        <v>200</v>
      </c>
      <c r="L124" s="36">
        <f t="shared" si="16"/>
        <v>153.846153846154</v>
      </c>
      <c r="M124" s="84">
        <f t="shared" si="17"/>
        <v>46.1538461538462</v>
      </c>
      <c r="N124" s="19">
        <v>2</v>
      </c>
      <c r="O124" s="19">
        <f t="shared" si="21"/>
        <v>2.88461538461538</v>
      </c>
      <c r="P124" s="19">
        <v>0</v>
      </c>
      <c r="Q124" s="19">
        <f t="shared" si="18"/>
        <v>0</v>
      </c>
      <c r="R124" s="19">
        <v>0</v>
      </c>
      <c r="S124" s="36">
        <f t="shared" si="22"/>
        <v>7.69230769230769</v>
      </c>
      <c r="T124" s="19">
        <v>0</v>
      </c>
      <c r="U124" s="19">
        <v>0</v>
      </c>
      <c r="V124" s="54">
        <v>10</v>
      </c>
      <c r="W124" s="84">
        <v>0.5</v>
      </c>
      <c r="X124" s="54">
        <v>8</v>
      </c>
      <c r="Y124" s="19">
        <v>0</v>
      </c>
      <c r="Z124" s="19">
        <f>VLOOKUP(B124,'[3]Annual Leave '!$B$7:$Q$98,13,0)</f>
        <v>34.01</v>
      </c>
      <c r="AA124" s="19">
        <f>VLOOKUP(B124,'[3]Annual Leave '!$B$7:$Q$98,15,0)</f>
        <v>17.4407051282051</v>
      </c>
      <c r="AB124" s="36">
        <f t="shared" si="23"/>
        <v>234.373782051282</v>
      </c>
      <c r="AC124" s="19">
        <f>VLOOKUP(B124,[2]Sheet1!$B$2:$N$199,11,0)/4000</f>
        <v>4.79875</v>
      </c>
      <c r="AD124" s="19">
        <v>0</v>
      </c>
      <c r="AE124" s="19">
        <f>VLOOKUP(B124,'[1]A04'!$E$7:$L$30,7,0)</f>
        <v>50</v>
      </c>
      <c r="AF124" s="19">
        <f t="shared" si="19"/>
        <v>54.79875</v>
      </c>
      <c r="AG124" s="86">
        <f t="shared" si="20"/>
        <v>179.58</v>
      </c>
      <c r="AH124" s="19"/>
      <c r="AI124" s="60"/>
      <c r="AJ124" s="74"/>
    </row>
    <row r="125" s="5" customFormat="1" ht="21" customHeight="1" spans="1:36">
      <c r="A125" s="19">
        <v>117</v>
      </c>
      <c r="B125" s="75" t="s">
        <v>621</v>
      </c>
      <c r="C125" s="81" t="s">
        <v>622</v>
      </c>
      <c r="D125" s="20" t="s">
        <v>623</v>
      </c>
      <c r="E125" s="21">
        <v>44734</v>
      </c>
      <c r="F125" s="19" t="s">
        <v>96</v>
      </c>
      <c r="G125" s="75" t="s">
        <v>562</v>
      </c>
      <c r="H125" s="19" t="s">
        <v>229</v>
      </c>
      <c r="I125" s="19">
        <v>20</v>
      </c>
      <c r="J125" s="19">
        <f t="shared" si="15"/>
        <v>6</v>
      </c>
      <c r="K125" s="19">
        <v>200</v>
      </c>
      <c r="L125" s="36">
        <f t="shared" si="16"/>
        <v>153.846153846154</v>
      </c>
      <c r="M125" s="84">
        <f t="shared" si="17"/>
        <v>46.1538461538462</v>
      </c>
      <c r="N125" s="19">
        <v>4</v>
      </c>
      <c r="O125" s="19">
        <f t="shared" si="21"/>
        <v>5.76923076923077</v>
      </c>
      <c r="P125" s="19">
        <v>0</v>
      </c>
      <c r="Q125" s="19">
        <f t="shared" si="18"/>
        <v>0</v>
      </c>
      <c r="R125" s="19">
        <v>0</v>
      </c>
      <c r="S125" s="36">
        <f t="shared" si="22"/>
        <v>7.69230769230769</v>
      </c>
      <c r="T125" s="19">
        <v>0</v>
      </c>
      <c r="U125" s="19">
        <v>0</v>
      </c>
      <c r="V125" s="54">
        <v>10</v>
      </c>
      <c r="W125" s="84">
        <v>1</v>
      </c>
      <c r="X125" s="54">
        <v>8</v>
      </c>
      <c r="Y125" s="19">
        <v>0</v>
      </c>
      <c r="Z125" s="19">
        <f>VLOOKUP(B125,'[3]Annual Leave '!$B$7:$Q$98,13,0)</f>
        <v>32.93</v>
      </c>
      <c r="AA125" s="19">
        <f>VLOOKUP(B125,'[3]Annual Leave '!$B$7:$Q$98,15,0)</f>
        <v>21.1093133629191</v>
      </c>
      <c r="AB125" s="36">
        <f t="shared" si="23"/>
        <v>240.347005670611</v>
      </c>
      <c r="AC125" s="19">
        <f>VLOOKUP(B125,[2]Sheet1!$B$2:$N$199,11,0)/4000</f>
        <v>4.287</v>
      </c>
      <c r="AD125" s="19">
        <v>0</v>
      </c>
      <c r="AE125" s="19">
        <f>VLOOKUP(B125,'[1]A04'!$E$7:$L$30,7,0)</f>
        <v>50</v>
      </c>
      <c r="AF125" s="19">
        <f t="shared" si="19"/>
        <v>54.287</v>
      </c>
      <c r="AG125" s="86">
        <f t="shared" si="20"/>
        <v>186.06</v>
      </c>
      <c r="AH125" s="19"/>
      <c r="AI125" s="60"/>
      <c r="AJ125" s="74"/>
    </row>
    <row r="126" s="5" customFormat="1" ht="21" customHeight="1" spans="1:36">
      <c r="A126" s="19">
        <v>118</v>
      </c>
      <c r="B126" s="75" t="s">
        <v>625</v>
      </c>
      <c r="C126" s="20" t="s">
        <v>626</v>
      </c>
      <c r="D126" s="20" t="s">
        <v>627</v>
      </c>
      <c r="E126" s="21">
        <v>44736</v>
      </c>
      <c r="F126" s="19" t="s">
        <v>96</v>
      </c>
      <c r="G126" s="75" t="s">
        <v>562</v>
      </c>
      <c r="H126" s="19" t="s">
        <v>229</v>
      </c>
      <c r="I126" s="19">
        <v>20</v>
      </c>
      <c r="J126" s="19">
        <f t="shared" si="15"/>
        <v>6</v>
      </c>
      <c r="K126" s="19">
        <v>200</v>
      </c>
      <c r="L126" s="36">
        <f t="shared" si="16"/>
        <v>153.846153846154</v>
      </c>
      <c r="M126" s="84">
        <f t="shared" si="17"/>
        <v>46.1538461538462</v>
      </c>
      <c r="N126" s="19">
        <v>2</v>
      </c>
      <c r="O126" s="19">
        <f t="shared" si="21"/>
        <v>2.88461538461538</v>
      </c>
      <c r="P126" s="19">
        <v>0</v>
      </c>
      <c r="Q126" s="19">
        <f t="shared" si="18"/>
        <v>0</v>
      </c>
      <c r="R126" s="19">
        <v>0</v>
      </c>
      <c r="S126" s="36">
        <f t="shared" si="22"/>
        <v>7.69230769230769</v>
      </c>
      <c r="T126" s="19">
        <v>0</v>
      </c>
      <c r="U126" s="19">
        <v>0</v>
      </c>
      <c r="V126" s="54">
        <v>10</v>
      </c>
      <c r="W126" s="84">
        <v>0.5</v>
      </c>
      <c r="X126" s="54">
        <v>8</v>
      </c>
      <c r="Y126" s="19">
        <v>0</v>
      </c>
      <c r="Z126" s="19">
        <f>VLOOKUP(B126,'[3]Annual Leave '!$B$7:$Q$98,13,0)</f>
        <v>31.62</v>
      </c>
      <c r="AA126" s="19">
        <f>VLOOKUP(B126,'[3]Annual Leave '!$B$7:$Q$98,15,0)</f>
        <v>20.2712031558185</v>
      </c>
      <c r="AB126" s="36">
        <f t="shared" si="23"/>
        <v>234.814280078895</v>
      </c>
      <c r="AC126" s="19">
        <f>VLOOKUP(B126,[2]Sheet1!$B$2:$N$199,11,0)/4000</f>
        <v>4.79875</v>
      </c>
      <c r="AD126" s="19">
        <v>0</v>
      </c>
      <c r="AE126" s="19">
        <f>VLOOKUP(B126,'[1]A04'!$E$7:$L$30,7,0)</f>
        <v>50</v>
      </c>
      <c r="AF126" s="19">
        <f t="shared" si="19"/>
        <v>54.79875</v>
      </c>
      <c r="AG126" s="86">
        <f t="shared" si="20"/>
        <v>180.02</v>
      </c>
      <c r="AH126" s="19"/>
      <c r="AI126" s="60"/>
      <c r="AJ126" s="74"/>
    </row>
    <row r="127" s="5" customFormat="1" ht="21" customHeight="1" spans="1:36">
      <c r="A127" s="19">
        <v>119</v>
      </c>
      <c r="B127" s="75" t="s">
        <v>629</v>
      </c>
      <c r="C127" s="20" t="s">
        <v>630</v>
      </c>
      <c r="D127" s="20" t="s">
        <v>631</v>
      </c>
      <c r="E127" s="21">
        <v>44741</v>
      </c>
      <c r="F127" s="19" t="s">
        <v>96</v>
      </c>
      <c r="G127" s="75" t="s">
        <v>562</v>
      </c>
      <c r="H127" s="19" t="s">
        <v>229</v>
      </c>
      <c r="I127" s="19">
        <v>25</v>
      </c>
      <c r="J127" s="19">
        <f t="shared" si="15"/>
        <v>1</v>
      </c>
      <c r="K127" s="19">
        <v>200</v>
      </c>
      <c r="L127" s="36">
        <f t="shared" si="16"/>
        <v>192.307692307692</v>
      </c>
      <c r="M127" s="84">
        <f t="shared" si="17"/>
        <v>7.69230769230769</v>
      </c>
      <c r="N127" s="19">
        <v>24</v>
      </c>
      <c r="O127" s="19">
        <f t="shared" si="21"/>
        <v>34.6153846153846</v>
      </c>
      <c r="P127" s="19">
        <v>0</v>
      </c>
      <c r="Q127" s="19">
        <f t="shared" si="18"/>
        <v>0</v>
      </c>
      <c r="R127" s="19">
        <v>0</v>
      </c>
      <c r="S127" s="36">
        <f t="shared" si="22"/>
        <v>9.61538461538462</v>
      </c>
      <c r="T127" s="19">
        <v>0</v>
      </c>
      <c r="U127" s="19">
        <v>0</v>
      </c>
      <c r="V127" s="54">
        <v>10</v>
      </c>
      <c r="W127" s="84">
        <v>6</v>
      </c>
      <c r="X127" s="54">
        <v>8</v>
      </c>
      <c r="Y127" s="19">
        <v>0</v>
      </c>
      <c r="Z127" s="19">
        <f>VLOOKUP(B127,'[3]Annual Leave '!$B$7:$Q$98,13,0)</f>
        <v>35.87</v>
      </c>
      <c r="AA127" s="19">
        <f>VLOOKUP(B127,'[3]Annual Leave '!$B$7:$Q$98,15,0)</f>
        <v>41.3828587278106</v>
      </c>
      <c r="AB127" s="36">
        <f t="shared" si="23"/>
        <v>337.791320266272</v>
      </c>
      <c r="AC127" s="19">
        <f>VLOOKUP(B127,[2]Sheet1!$B$2:$N$199,11,0)/4000</f>
        <v>4.77125</v>
      </c>
      <c r="AD127" s="19">
        <v>0</v>
      </c>
      <c r="AE127" s="19">
        <f>VLOOKUP(B127,'[1]A04'!$E$7:$L$30,7,0)</f>
        <v>100</v>
      </c>
      <c r="AF127" s="19">
        <f t="shared" si="19"/>
        <v>104.77125</v>
      </c>
      <c r="AG127" s="86">
        <f t="shared" si="20"/>
        <v>233.02</v>
      </c>
      <c r="AH127" s="19"/>
      <c r="AI127" s="60"/>
      <c r="AJ127" s="74"/>
    </row>
    <row r="128" s="5" customFormat="1" ht="21" customHeight="1" spans="1:36">
      <c r="A128" s="19">
        <v>120</v>
      </c>
      <c r="B128" s="75" t="s">
        <v>633</v>
      </c>
      <c r="C128" s="20" t="s">
        <v>634</v>
      </c>
      <c r="D128" s="20" t="s">
        <v>635</v>
      </c>
      <c r="E128" s="21">
        <v>44741</v>
      </c>
      <c r="F128" s="19" t="s">
        <v>96</v>
      </c>
      <c r="G128" s="75" t="s">
        <v>562</v>
      </c>
      <c r="H128" s="19" t="s">
        <v>229</v>
      </c>
      <c r="I128" s="19">
        <v>25</v>
      </c>
      <c r="J128" s="19">
        <f t="shared" si="15"/>
        <v>1</v>
      </c>
      <c r="K128" s="19">
        <v>200</v>
      </c>
      <c r="L128" s="36">
        <f t="shared" si="16"/>
        <v>192.307692307692</v>
      </c>
      <c r="M128" s="84">
        <f t="shared" si="17"/>
        <v>7.69230769230769</v>
      </c>
      <c r="N128" s="19">
        <v>24</v>
      </c>
      <c r="O128" s="19">
        <f t="shared" si="21"/>
        <v>34.6153846153846</v>
      </c>
      <c r="P128" s="19">
        <v>0</v>
      </c>
      <c r="Q128" s="19">
        <f t="shared" si="18"/>
        <v>0</v>
      </c>
      <c r="R128" s="19">
        <v>0</v>
      </c>
      <c r="S128" s="36">
        <f t="shared" si="22"/>
        <v>9.61538461538462</v>
      </c>
      <c r="T128" s="19">
        <v>0</v>
      </c>
      <c r="U128" s="19">
        <v>0</v>
      </c>
      <c r="V128" s="54">
        <v>10</v>
      </c>
      <c r="W128" s="84">
        <v>6</v>
      </c>
      <c r="X128" s="54">
        <v>8</v>
      </c>
      <c r="Y128" s="19">
        <v>0</v>
      </c>
      <c r="Z128" s="19">
        <f>VLOOKUP(B128,'[3]Annual Leave '!$B$7:$Q$98,13,0)</f>
        <v>35.87</v>
      </c>
      <c r="AA128" s="19">
        <f>VLOOKUP(B128,'[3]Annual Leave '!$B$7:$Q$98,15,0)</f>
        <v>41.3828587278106</v>
      </c>
      <c r="AB128" s="36">
        <f t="shared" si="23"/>
        <v>337.791320266272</v>
      </c>
      <c r="AC128" s="19">
        <f>VLOOKUP(B128,[2]Sheet1!$B$2:$N$199,11,0)/4000</f>
        <v>4.77125</v>
      </c>
      <c r="AD128" s="19">
        <v>0</v>
      </c>
      <c r="AE128" s="19">
        <f>VLOOKUP(B128,'[1]A04'!$E$7:$L$30,7,0)</f>
        <v>100</v>
      </c>
      <c r="AF128" s="19">
        <f t="shared" si="19"/>
        <v>104.77125</v>
      </c>
      <c r="AG128" s="86">
        <f t="shared" si="20"/>
        <v>233.02</v>
      </c>
      <c r="AH128" s="19"/>
      <c r="AI128" s="60"/>
      <c r="AJ128" s="74"/>
    </row>
    <row r="129" s="5" customFormat="1" ht="21" customHeight="1" spans="1:36">
      <c r="A129" s="19">
        <v>121</v>
      </c>
      <c r="B129" s="75" t="s">
        <v>637</v>
      </c>
      <c r="C129" s="20" t="s">
        <v>638</v>
      </c>
      <c r="D129" s="20" t="s">
        <v>639</v>
      </c>
      <c r="E129" s="21">
        <v>44754</v>
      </c>
      <c r="F129" s="19" t="s">
        <v>96</v>
      </c>
      <c r="G129" s="75" t="s">
        <v>562</v>
      </c>
      <c r="H129" s="19" t="s">
        <v>229</v>
      </c>
      <c r="I129" s="19">
        <v>20</v>
      </c>
      <c r="J129" s="19">
        <f t="shared" si="15"/>
        <v>6</v>
      </c>
      <c r="K129" s="19">
        <v>200</v>
      </c>
      <c r="L129" s="36">
        <f t="shared" si="16"/>
        <v>153.846153846154</v>
      </c>
      <c r="M129" s="84">
        <f t="shared" si="17"/>
        <v>46.1538461538462</v>
      </c>
      <c r="N129" s="19">
        <v>0</v>
      </c>
      <c r="O129" s="19">
        <f t="shared" si="21"/>
        <v>0</v>
      </c>
      <c r="P129" s="19">
        <v>0</v>
      </c>
      <c r="Q129" s="19">
        <f t="shared" si="18"/>
        <v>0</v>
      </c>
      <c r="R129" s="19">
        <v>0</v>
      </c>
      <c r="S129" s="36">
        <f t="shared" si="22"/>
        <v>7.69230769230769</v>
      </c>
      <c r="T129" s="19">
        <v>0</v>
      </c>
      <c r="U129" s="19">
        <v>0</v>
      </c>
      <c r="V129" s="54">
        <v>10</v>
      </c>
      <c r="W129" s="84">
        <v>0</v>
      </c>
      <c r="X129" s="54">
        <v>8</v>
      </c>
      <c r="Y129" s="19">
        <v>0</v>
      </c>
      <c r="Z129" s="19">
        <v>0</v>
      </c>
      <c r="AA129" s="19">
        <v>0</v>
      </c>
      <c r="AB129" s="36">
        <f t="shared" si="23"/>
        <v>179.538461538462</v>
      </c>
      <c r="AC129" s="19">
        <f>VLOOKUP(B129,[2]Sheet1!$B$2:$N$199,11,0)/4000</f>
        <v>4.63725</v>
      </c>
      <c r="AD129" s="19">
        <v>0</v>
      </c>
      <c r="AE129" s="19">
        <f>VLOOKUP(B129,'[1]A04'!$E$7:$L$30,7,0)</f>
        <v>50</v>
      </c>
      <c r="AF129" s="19">
        <f t="shared" si="19"/>
        <v>54.63725</v>
      </c>
      <c r="AG129" s="86">
        <f t="shared" si="20"/>
        <v>124.9</v>
      </c>
      <c r="AH129" s="19"/>
      <c r="AI129" s="60"/>
      <c r="AJ129" s="74"/>
    </row>
    <row r="130" s="5" customFormat="1" ht="21" customHeight="1" spans="1:36">
      <c r="A130" s="19">
        <v>122</v>
      </c>
      <c r="B130" s="75" t="s">
        <v>642</v>
      </c>
      <c r="C130" s="20" t="s">
        <v>643</v>
      </c>
      <c r="D130" s="20" t="s">
        <v>644</v>
      </c>
      <c r="E130" s="21">
        <v>44754</v>
      </c>
      <c r="F130" s="19" t="s">
        <v>96</v>
      </c>
      <c r="G130" s="75" t="s">
        <v>562</v>
      </c>
      <c r="H130" s="19" t="s">
        <v>229</v>
      </c>
      <c r="I130" s="19">
        <v>23</v>
      </c>
      <c r="J130" s="19">
        <f t="shared" si="15"/>
        <v>3</v>
      </c>
      <c r="K130" s="19">
        <v>200</v>
      </c>
      <c r="L130" s="36">
        <f t="shared" si="16"/>
        <v>176.923076923077</v>
      </c>
      <c r="M130" s="84">
        <f t="shared" si="17"/>
        <v>23.0769230769231</v>
      </c>
      <c r="N130" s="19">
        <v>21</v>
      </c>
      <c r="O130" s="19">
        <f t="shared" si="21"/>
        <v>30.2884615384615</v>
      </c>
      <c r="P130" s="19">
        <v>0</v>
      </c>
      <c r="Q130" s="19">
        <f t="shared" si="18"/>
        <v>0</v>
      </c>
      <c r="R130" s="19">
        <v>0</v>
      </c>
      <c r="S130" s="36">
        <f t="shared" si="22"/>
        <v>8.84615384615385</v>
      </c>
      <c r="T130" s="19">
        <v>0</v>
      </c>
      <c r="U130" s="19">
        <v>0</v>
      </c>
      <c r="V130" s="54">
        <v>10</v>
      </c>
      <c r="W130" s="84">
        <v>5.5</v>
      </c>
      <c r="X130" s="54">
        <v>8</v>
      </c>
      <c r="Y130" s="19">
        <v>0</v>
      </c>
      <c r="Z130" s="19">
        <v>0</v>
      </c>
      <c r="AA130" s="19">
        <v>0</v>
      </c>
      <c r="AB130" s="36">
        <f t="shared" si="23"/>
        <v>239.557692307692</v>
      </c>
      <c r="AC130" s="19">
        <f>VLOOKUP(B130,[2]Sheet1!$B$2:$N$199,11,0)/4000</f>
        <v>4.32725</v>
      </c>
      <c r="AD130" s="19">
        <v>0</v>
      </c>
      <c r="AE130" s="19">
        <f>VLOOKUP(B130,'[1]A04'!$E$7:$L$30,7,0)</f>
        <v>100</v>
      </c>
      <c r="AF130" s="19">
        <f t="shared" si="19"/>
        <v>104.32725</v>
      </c>
      <c r="AG130" s="86">
        <f t="shared" si="20"/>
        <v>135.23</v>
      </c>
      <c r="AH130" s="19"/>
      <c r="AI130" s="60"/>
      <c r="AJ130" s="74"/>
    </row>
    <row r="131" s="5" customFormat="1" ht="21" customHeight="1" spans="1:36">
      <c r="A131" s="19">
        <v>123</v>
      </c>
      <c r="B131" s="75" t="s">
        <v>647</v>
      </c>
      <c r="C131" s="20" t="s">
        <v>648</v>
      </c>
      <c r="D131" s="20" t="s">
        <v>649</v>
      </c>
      <c r="E131" s="21">
        <v>44754</v>
      </c>
      <c r="F131" s="19" t="s">
        <v>96</v>
      </c>
      <c r="G131" s="75" t="s">
        <v>562</v>
      </c>
      <c r="H131" s="19" t="s">
        <v>229</v>
      </c>
      <c r="I131" s="19">
        <v>23</v>
      </c>
      <c r="J131" s="19">
        <f t="shared" si="15"/>
        <v>3</v>
      </c>
      <c r="K131" s="19">
        <v>200</v>
      </c>
      <c r="L131" s="36">
        <f t="shared" si="16"/>
        <v>176.923076923077</v>
      </c>
      <c r="M131" s="84">
        <f t="shared" si="17"/>
        <v>23.0769230769231</v>
      </c>
      <c r="N131" s="19">
        <v>22</v>
      </c>
      <c r="O131" s="19">
        <f t="shared" si="21"/>
        <v>31.7307692307692</v>
      </c>
      <c r="P131" s="19">
        <v>0</v>
      </c>
      <c r="Q131" s="19">
        <f t="shared" si="18"/>
        <v>0</v>
      </c>
      <c r="R131" s="19">
        <v>0</v>
      </c>
      <c r="S131" s="36">
        <f t="shared" si="22"/>
        <v>8.84615384615385</v>
      </c>
      <c r="T131" s="19">
        <v>0</v>
      </c>
      <c r="U131" s="19">
        <v>0</v>
      </c>
      <c r="V131" s="54">
        <v>10</v>
      </c>
      <c r="W131" s="84">
        <v>5.5</v>
      </c>
      <c r="X131" s="54">
        <v>8</v>
      </c>
      <c r="Y131" s="19">
        <v>0</v>
      </c>
      <c r="Z131" s="19">
        <v>0</v>
      </c>
      <c r="AA131" s="19">
        <v>0</v>
      </c>
      <c r="AB131" s="36">
        <f t="shared" si="23"/>
        <v>241</v>
      </c>
      <c r="AC131" s="19">
        <f>VLOOKUP(B131,[2]Sheet1!$B$2:$N$199,11,0)/4000</f>
        <v>4.32725</v>
      </c>
      <c r="AD131" s="19">
        <v>0</v>
      </c>
      <c r="AE131" s="19">
        <f>VLOOKUP(B131,'[1]A04'!$E$7:$L$30,7,0)</f>
        <v>100</v>
      </c>
      <c r="AF131" s="19">
        <f t="shared" si="19"/>
        <v>104.32725</v>
      </c>
      <c r="AG131" s="86">
        <f t="shared" si="20"/>
        <v>136.67</v>
      </c>
      <c r="AH131" s="19"/>
      <c r="AI131" s="60"/>
      <c r="AJ131" s="74"/>
    </row>
    <row r="132" s="77" customFormat="1" ht="21" customHeight="1" spans="1:36">
      <c r="A132" s="19">
        <v>124</v>
      </c>
      <c r="B132" s="75" t="s">
        <v>652</v>
      </c>
      <c r="C132" s="20" t="s">
        <v>653</v>
      </c>
      <c r="D132" s="20" t="s">
        <v>654</v>
      </c>
      <c r="E132" s="21">
        <v>44754</v>
      </c>
      <c r="F132" s="19" t="s">
        <v>96</v>
      </c>
      <c r="G132" s="75" t="s">
        <v>562</v>
      </c>
      <c r="H132" s="19" t="s">
        <v>229</v>
      </c>
      <c r="I132" s="19">
        <v>20</v>
      </c>
      <c r="J132" s="19">
        <f t="shared" si="15"/>
        <v>6</v>
      </c>
      <c r="K132" s="19">
        <v>200</v>
      </c>
      <c r="L132" s="36">
        <f t="shared" si="16"/>
        <v>153.846153846154</v>
      </c>
      <c r="M132" s="84">
        <f t="shared" si="17"/>
        <v>46.1538461538462</v>
      </c>
      <c r="N132" s="19">
        <v>2</v>
      </c>
      <c r="O132" s="19">
        <f t="shared" si="21"/>
        <v>2.88461538461538</v>
      </c>
      <c r="P132" s="19">
        <v>0</v>
      </c>
      <c r="Q132" s="19">
        <f t="shared" si="18"/>
        <v>0</v>
      </c>
      <c r="R132" s="19">
        <v>0</v>
      </c>
      <c r="S132" s="36">
        <f t="shared" si="22"/>
        <v>7.69230769230769</v>
      </c>
      <c r="T132" s="19">
        <v>0</v>
      </c>
      <c r="U132" s="19">
        <v>0</v>
      </c>
      <c r="V132" s="54">
        <v>10</v>
      </c>
      <c r="W132" s="84">
        <v>0.5</v>
      </c>
      <c r="X132" s="54">
        <v>8</v>
      </c>
      <c r="Y132" s="19">
        <v>0</v>
      </c>
      <c r="Z132" s="19">
        <v>0</v>
      </c>
      <c r="AA132" s="19">
        <v>0</v>
      </c>
      <c r="AB132" s="36">
        <f t="shared" si="23"/>
        <v>182.923076923077</v>
      </c>
      <c r="AC132" s="19">
        <f>VLOOKUP(B132,[2]Sheet1!$B$2:$N$199,11,0)/4000</f>
        <v>4.32725</v>
      </c>
      <c r="AD132" s="19">
        <v>0</v>
      </c>
      <c r="AE132" s="19">
        <f>VLOOKUP(B132,'[1]A04'!$E$7:$L$30,7,0)</f>
        <v>50</v>
      </c>
      <c r="AF132" s="19">
        <f t="shared" si="19"/>
        <v>54.32725</v>
      </c>
      <c r="AG132" s="86">
        <f t="shared" si="20"/>
        <v>128.6</v>
      </c>
      <c r="AH132" s="19"/>
      <c r="AI132" s="60"/>
      <c r="AJ132" s="74"/>
    </row>
    <row r="133" s="5" customFormat="1" ht="21" customHeight="1" spans="1:36">
      <c r="A133" s="19">
        <v>125</v>
      </c>
      <c r="B133" s="132" t="s">
        <v>657</v>
      </c>
      <c r="C133" s="80" t="s">
        <v>658</v>
      </c>
      <c r="D133" s="81" t="s">
        <v>659</v>
      </c>
      <c r="E133" s="127">
        <v>44837</v>
      </c>
      <c r="F133" s="85" t="s">
        <v>96</v>
      </c>
      <c r="G133" s="132" t="s">
        <v>562</v>
      </c>
      <c r="H133" s="85" t="s">
        <v>229</v>
      </c>
      <c r="I133" s="85">
        <v>21</v>
      </c>
      <c r="J133" s="85">
        <f t="shared" si="15"/>
        <v>5</v>
      </c>
      <c r="K133" s="19">
        <v>200</v>
      </c>
      <c r="L133" s="86">
        <f t="shared" si="16"/>
        <v>161.538461538462</v>
      </c>
      <c r="M133" s="140">
        <f t="shared" si="17"/>
        <v>38.4615384615385</v>
      </c>
      <c r="N133" s="85">
        <v>18</v>
      </c>
      <c r="O133" s="85">
        <f t="shared" si="21"/>
        <v>25.9615384615385</v>
      </c>
      <c r="P133" s="85">
        <v>0</v>
      </c>
      <c r="Q133" s="85">
        <f t="shared" si="18"/>
        <v>0</v>
      </c>
      <c r="R133" s="85">
        <v>0</v>
      </c>
      <c r="S133" s="86">
        <f t="shared" si="22"/>
        <v>8.07692307692308</v>
      </c>
      <c r="T133" s="85">
        <v>0</v>
      </c>
      <c r="U133" s="85">
        <v>0</v>
      </c>
      <c r="V133" s="141">
        <v>10</v>
      </c>
      <c r="W133" s="140">
        <v>4.5</v>
      </c>
      <c r="X133" s="141">
        <v>8</v>
      </c>
      <c r="Y133" s="85">
        <v>0</v>
      </c>
      <c r="Z133" s="19">
        <f>VLOOKUP(B133,'[3]Annual Leave '!$B$7:$Q$98,13,0)</f>
        <v>33.97</v>
      </c>
      <c r="AA133" s="19">
        <f>VLOOKUP(B133,'[3]Annual Leave '!$B$7:$Q$98,15,0)</f>
        <v>13.0651812130178</v>
      </c>
      <c r="AB133" s="86">
        <f t="shared" si="23"/>
        <v>265.112104289941</v>
      </c>
      <c r="AC133" s="19">
        <f>VLOOKUP(B133,[2]Sheet1!$B$2:$N$199,11,0)/4000</f>
        <v>4.32725</v>
      </c>
      <c r="AD133" s="19">
        <v>0</v>
      </c>
      <c r="AE133" s="19">
        <f>VLOOKUP(B133,'[1]A04'!$E$7:$L$30,7,0)</f>
        <v>100</v>
      </c>
      <c r="AF133" s="85">
        <f t="shared" si="19"/>
        <v>104.32725</v>
      </c>
      <c r="AG133" s="86">
        <f t="shared" si="20"/>
        <v>160.78</v>
      </c>
      <c r="AH133" s="19"/>
      <c r="AI133" s="60"/>
      <c r="AJ133" s="74"/>
    </row>
    <row r="134" s="5" customFormat="1" ht="21" customHeight="1" spans="1:36">
      <c r="A134" s="19">
        <v>126</v>
      </c>
      <c r="B134" s="75" t="s">
        <v>664</v>
      </c>
      <c r="C134" s="20" t="s">
        <v>665</v>
      </c>
      <c r="D134" s="20" t="s">
        <v>666</v>
      </c>
      <c r="E134" s="21">
        <v>44742</v>
      </c>
      <c r="F134" s="19" t="s">
        <v>667</v>
      </c>
      <c r="G134" s="75" t="s">
        <v>668</v>
      </c>
      <c r="H134" s="76" t="s">
        <v>223</v>
      </c>
      <c r="I134" s="19">
        <v>26</v>
      </c>
      <c r="J134" s="19">
        <f t="shared" si="15"/>
        <v>0</v>
      </c>
      <c r="K134" s="19">
        <v>200</v>
      </c>
      <c r="L134" s="36">
        <f t="shared" si="16"/>
        <v>200</v>
      </c>
      <c r="M134" s="36">
        <f t="shared" si="17"/>
        <v>0</v>
      </c>
      <c r="N134" s="19">
        <v>14</v>
      </c>
      <c r="O134" s="19">
        <f t="shared" si="21"/>
        <v>20.1923076923077</v>
      </c>
      <c r="P134" s="85">
        <v>0</v>
      </c>
      <c r="Q134" s="85">
        <f t="shared" si="18"/>
        <v>0</v>
      </c>
      <c r="R134" s="19">
        <v>0</v>
      </c>
      <c r="S134" s="19">
        <f t="shared" si="22"/>
        <v>10</v>
      </c>
      <c r="T134" s="19">
        <v>20</v>
      </c>
      <c r="U134" s="19">
        <v>30</v>
      </c>
      <c r="V134" s="19">
        <v>10</v>
      </c>
      <c r="W134" s="19">
        <v>3.5</v>
      </c>
      <c r="X134" s="19">
        <v>8</v>
      </c>
      <c r="Y134" s="19">
        <v>0</v>
      </c>
      <c r="Z134" s="19">
        <f>VLOOKUP(B134,'[3]Annual Leave '!$B$7:$Q$98,13,0)</f>
        <v>41.26</v>
      </c>
      <c r="AA134" s="36">
        <f>VLOOKUP(B134,'[3]Annual Leave '!$B$7:$Q$98,15,0)</f>
        <v>47.6047633136095</v>
      </c>
      <c r="AB134" s="36">
        <f t="shared" si="23"/>
        <v>390.557071005917</v>
      </c>
      <c r="AC134" s="19">
        <f>VLOOKUP(B134,[2]Sheet1!$B$2:$N$199,11,0)/4000</f>
        <v>4.86875</v>
      </c>
      <c r="AD134" s="19">
        <v>0</v>
      </c>
      <c r="AE134" s="19">
        <f>VLOOKUP(B134,'[1]A05'!$E$7:$L$28,7,0)</f>
        <v>100</v>
      </c>
      <c r="AF134" s="19">
        <f t="shared" si="19"/>
        <v>104.86875</v>
      </c>
      <c r="AG134" s="86">
        <f t="shared" si="20"/>
        <v>285.69</v>
      </c>
      <c r="AH134" s="19"/>
      <c r="AI134" s="60"/>
      <c r="AJ134" s="74"/>
    </row>
    <row r="135" s="5" customFormat="1" ht="21" customHeight="1" spans="1:36">
      <c r="A135" s="19">
        <v>127</v>
      </c>
      <c r="B135" s="75" t="s">
        <v>670</v>
      </c>
      <c r="C135" s="20" t="s">
        <v>671</v>
      </c>
      <c r="D135" s="20" t="s">
        <v>672</v>
      </c>
      <c r="E135" s="21">
        <v>44747</v>
      </c>
      <c r="F135" s="19" t="s">
        <v>96</v>
      </c>
      <c r="G135" s="75" t="s">
        <v>668</v>
      </c>
      <c r="H135" s="76" t="s">
        <v>229</v>
      </c>
      <c r="I135" s="19">
        <v>23</v>
      </c>
      <c r="J135" s="19">
        <f t="shared" si="15"/>
        <v>3</v>
      </c>
      <c r="K135" s="19">
        <v>200</v>
      </c>
      <c r="L135" s="36">
        <f t="shared" si="16"/>
        <v>176.923076923077</v>
      </c>
      <c r="M135" s="36">
        <f t="shared" si="17"/>
        <v>23.0769230769231</v>
      </c>
      <c r="N135" s="19">
        <v>8</v>
      </c>
      <c r="O135" s="19">
        <f t="shared" si="21"/>
        <v>11.5384615384615</v>
      </c>
      <c r="P135" s="85">
        <v>0</v>
      </c>
      <c r="Q135" s="85">
        <f t="shared" si="18"/>
        <v>0</v>
      </c>
      <c r="R135" s="19">
        <v>0</v>
      </c>
      <c r="S135" s="19">
        <f t="shared" si="22"/>
        <v>8.84615384615385</v>
      </c>
      <c r="T135" s="19">
        <v>0</v>
      </c>
      <c r="U135" s="19">
        <v>0</v>
      </c>
      <c r="V135" s="19">
        <v>10</v>
      </c>
      <c r="W135" s="19">
        <v>2</v>
      </c>
      <c r="X135" s="19">
        <v>8</v>
      </c>
      <c r="Y135" s="19">
        <v>0</v>
      </c>
      <c r="Z135" s="19">
        <f>VLOOKUP(B135,'[3]Annual Leave '!$B$7:$Q$98,13,0)</f>
        <v>33.67</v>
      </c>
      <c r="AA135" s="36">
        <f>VLOOKUP(B135,'[3]Annual Leave '!$B$7:$Q$98,15,0)</f>
        <v>12.9504437869823</v>
      </c>
      <c r="AB135" s="36">
        <f t="shared" si="23"/>
        <v>263.928136094675</v>
      </c>
      <c r="AC135" s="19">
        <f>VLOOKUP(B135,[2]Sheet1!$B$2:$N$199,11,0)/4000</f>
        <v>4.597</v>
      </c>
      <c r="AD135" s="19">
        <v>0</v>
      </c>
      <c r="AE135" s="19">
        <f>VLOOKUP(B135,'[1]A05'!$E$7:$L$28,7,0)</f>
        <v>100</v>
      </c>
      <c r="AF135" s="19">
        <f t="shared" si="19"/>
        <v>104.597</v>
      </c>
      <c r="AG135" s="86">
        <f t="shared" si="20"/>
        <v>159.33</v>
      </c>
      <c r="AH135" s="19"/>
      <c r="AI135" s="60"/>
      <c r="AJ135" s="74"/>
    </row>
    <row r="136" s="5" customFormat="1" ht="21" customHeight="1" spans="1:36">
      <c r="A136" s="19">
        <v>128</v>
      </c>
      <c r="B136" s="75" t="s">
        <v>675</v>
      </c>
      <c r="C136" s="20" t="s">
        <v>676</v>
      </c>
      <c r="D136" s="20" t="s">
        <v>677</v>
      </c>
      <c r="E136" s="21">
        <v>44747</v>
      </c>
      <c r="F136" s="19" t="s">
        <v>96</v>
      </c>
      <c r="G136" s="75" t="s">
        <v>668</v>
      </c>
      <c r="H136" s="76" t="s">
        <v>229</v>
      </c>
      <c r="I136" s="19">
        <v>23</v>
      </c>
      <c r="J136" s="19">
        <f t="shared" si="15"/>
        <v>3</v>
      </c>
      <c r="K136" s="19">
        <v>200</v>
      </c>
      <c r="L136" s="36">
        <f t="shared" si="16"/>
        <v>176.923076923077</v>
      </c>
      <c r="M136" s="36">
        <f t="shared" si="17"/>
        <v>23.0769230769231</v>
      </c>
      <c r="N136" s="19">
        <v>6</v>
      </c>
      <c r="O136" s="19">
        <f t="shared" si="21"/>
        <v>8.65384615384615</v>
      </c>
      <c r="P136" s="85">
        <v>0</v>
      </c>
      <c r="Q136" s="85">
        <f t="shared" si="18"/>
        <v>0</v>
      </c>
      <c r="R136" s="19">
        <v>0</v>
      </c>
      <c r="S136" s="19">
        <f t="shared" si="22"/>
        <v>8.84615384615385</v>
      </c>
      <c r="T136" s="19">
        <v>0</v>
      </c>
      <c r="U136" s="19">
        <v>0</v>
      </c>
      <c r="V136" s="19">
        <v>10</v>
      </c>
      <c r="W136" s="19">
        <v>1.5</v>
      </c>
      <c r="X136" s="19">
        <v>8</v>
      </c>
      <c r="Y136" s="19">
        <v>0</v>
      </c>
      <c r="Z136" s="19">
        <f>VLOOKUP(B136,'[3]Annual Leave '!$B$7:$Q$98,13,0)</f>
        <v>33.5</v>
      </c>
      <c r="AA136" s="36">
        <f>VLOOKUP(B136,'[3]Annual Leave '!$B$7:$Q$98,15,0)</f>
        <v>12.8853550295858</v>
      </c>
      <c r="AB136" s="36">
        <f t="shared" si="23"/>
        <v>260.308431952663</v>
      </c>
      <c r="AC136" s="19">
        <f>VLOOKUP(B136,[2]Sheet1!$B$2:$N$199,11,0)/4000</f>
        <v>4.597</v>
      </c>
      <c r="AD136" s="19">
        <v>0</v>
      </c>
      <c r="AE136" s="19">
        <f>VLOOKUP(B136,'[1]A05'!$E$7:$L$28,7,0)</f>
        <v>100</v>
      </c>
      <c r="AF136" s="19">
        <f t="shared" si="19"/>
        <v>104.597</v>
      </c>
      <c r="AG136" s="86">
        <f t="shared" si="20"/>
        <v>155.71</v>
      </c>
      <c r="AH136" s="19"/>
      <c r="AI136" s="60"/>
      <c r="AJ136" s="74"/>
    </row>
    <row r="137" s="5" customFormat="1" ht="21" customHeight="1" spans="1:36">
      <c r="A137" s="19">
        <v>129</v>
      </c>
      <c r="B137" s="75" t="s">
        <v>680</v>
      </c>
      <c r="C137" s="20" t="s">
        <v>681</v>
      </c>
      <c r="D137" s="20" t="s">
        <v>682</v>
      </c>
      <c r="E137" s="21">
        <v>44747</v>
      </c>
      <c r="F137" s="19" t="s">
        <v>96</v>
      </c>
      <c r="G137" s="75" t="s">
        <v>668</v>
      </c>
      <c r="H137" s="76" t="s">
        <v>229</v>
      </c>
      <c r="I137" s="19">
        <v>23</v>
      </c>
      <c r="J137" s="19">
        <f t="shared" ref="J137:J200" si="24">26-I137</f>
        <v>3</v>
      </c>
      <c r="K137" s="19">
        <v>200</v>
      </c>
      <c r="L137" s="36">
        <f t="shared" ref="L137:L200" si="25">K137/26*I137</f>
        <v>176.923076923077</v>
      </c>
      <c r="M137" s="36">
        <f t="shared" ref="M137:M200" si="26">K137/26*J137</f>
        <v>23.0769230769231</v>
      </c>
      <c r="N137" s="19">
        <v>10</v>
      </c>
      <c r="O137" s="19">
        <f t="shared" si="21"/>
        <v>14.4230769230769</v>
      </c>
      <c r="P137" s="85">
        <v>0</v>
      </c>
      <c r="Q137" s="85">
        <f t="shared" ref="Q137:Q200" si="27">K137/26*2*P137</f>
        <v>0</v>
      </c>
      <c r="R137" s="19">
        <v>0</v>
      </c>
      <c r="S137" s="19">
        <f t="shared" si="22"/>
        <v>8.84615384615385</v>
      </c>
      <c r="T137" s="19">
        <v>0</v>
      </c>
      <c r="U137" s="19">
        <v>0</v>
      </c>
      <c r="V137" s="19">
        <v>10</v>
      </c>
      <c r="W137" s="19">
        <v>2.5</v>
      </c>
      <c r="X137" s="19">
        <v>8</v>
      </c>
      <c r="Y137" s="19">
        <v>0</v>
      </c>
      <c r="Z137" s="19">
        <f>VLOOKUP(B137,'[3]Annual Leave '!$B$7:$Q$98,13,0)</f>
        <v>33.64</v>
      </c>
      <c r="AA137" s="36">
        <f>VLOOKUP(B137,'[3]Annual Leave '!$B$7:$Q$98,15,0)</f>
        <v>12.9400887573965</v>
      </c>
      <c r="AB137" s="36">
        <f t="shared" si="23"/>
        <v>267.272396449704</v>
      </c>
      <c r="AC137" s="19">
        <f>VLOOKUP(B137,[2]Sheet1!$B$2:$N$199,11,0)/4000</f>
        <v>4.51625</v>
      </c>
      <c r="AD137" s="19">
        <v>0</v>
      </c>
      <c r="AE137" s="19">
        <f>VLOOKUP(B137,'[1]A05'!$E$7:$L$28,7,0)</f>
        <v>100</v>
      </c>
      <c r="AF137" s="19">
        <f t="shared" ref="AF137:AF200" si="28">SUM(AC137:AE137)</f>
        <v>104.51625</v>
      </c>
      <c r="AG137" s="86">
        <f t="shared" si="20"/>
        <v>162.76</v>
      </c>
      <c r="AH137" s="19"/>
      <c r="AI137" s="60"/>
      <c r="AJ137" s="74"/>
    </row>
    <row r="138" s="5" customFormat="1" ht="21" customHeight="1" spans="1:36">
      <c r="A138" s="19">
        <v>130</v>
      </c>
      <c r="B138" s="75" t="s">
        <v>685</v>
      </c>
      <c r="C138" s="20" t="s">
        <v>686</v>
      </c>
      <c r="D138" s="20" t="s">
        <v>687</v>
      </c>
      <c r="E138" s="21">
        <v>44747</v>
      </c>
      <c r="F138" s="19" t="s">
        <v>96</v>
      </c>
      <c r="G138" s="75" t="s">
        <v>668</v>
      </c>
      <c r="H138" s="76" t="s">
        <v>229</v>
      </c>
      <c r="I138" s="19">
        <v>23</v>
      </c>
      <c r="J138" s="19">
        <f t="shared" si="24"/>
        <v>3</v>
      </c>
      <c r="K138" s="19">
        <v>200</v>
      </c>
      <c r="L138" s="36">
        <f t="shared" si="25"/>
        <v>176.923076923077</v>
      </c>
      <c r="M138" s="36">
        <f t="shared" si="26"/>
        <v>23.0769230769231</v>
      </c>
      <c r="N138" s="19">
        <v>8</v>
      </c>
      <c r="O138" s="19">
        <f t="shared" si="21"/>
        <v>11.5384615384615</v>
      </c>
      <c r="P138" s="85">
        <v>0</v>
      </c>
      <c r="Q138" s="85">
        <f t="shared" si="27"/>
        <v>0</v>
      </c>
      <c r="R138" s="19">
        <v>0</v>
      </c>
      <c r="S138" s="19">
        <f t="shared" si="22"/>
        <v>8.84615384615385</v>
      </c>
      <c r="T138" s="19">
        <v>0</v>
      </c>
      <c r="U138" s="19">
        <v>0</v>
      </c>
      <c r="V138" s="19">
        <v>10</v>
      </c>
      <c r="W138" s="19">
        <v>2</v>
      </c>
      <c r="X138" s="19">
        <v>8</v>
      </c>
      <c r="Y138" s="19">
        <v>0</v>
      </c>
      <c r="Z138" s="19">
        <f>VLOOKUP(B138,'[3]Annual Leave '!$B$7:$Q$98,13,0)</f>
        <v>33.11</v>
      </c>
      <c r="AA138" s="36">
        <f>VLOOKUP(B138,'[3]Annual Leave '!$B$7:$Q$98,15,0)</f>
        <v>12.7361316568047</v>
      </c>
      <c r="AB138" s="36">
        <f t="shared" si="23"/>
        <v>263.153823964497</v>
      </c>
      <c r="AC138" s="19">
        <f>VLOOKUP(B138,[2]Sheet1!$B$2:$N$199,11,0)/4000</f>
        <v>4.4355</v>
      </c>
      <c r="AD138" s="19">
        <v>0</v>
      </c>
      <c r="AE138" s="19">
        <f>VLOOKUP(B138,'[1]A05'!$E$7:$L$28,7,0)</f>
        <v>100</v>
      </c>
      <c r="AF138" s="19">
        <f t="shared" si="28"/>
        <v>104.4355</v>
      </c>
      <c r="AG138" s="86">
        <f t="shared" si="20"/>
        <v>158.72</v>
      </c>
      <c r="AH138" s="19"/>
      <c r="AI138" s="60"/>
      <c r="AJ138" s="74"/>
    </row>
    <row r="139" s="5" customFormat="1" ht="21" customHeight="1" spans="1:36">
      <c r="A139" s="19">
        <v>131</v>
      </c>
      <c r="B139" s="75" t="s">
        <v>690</v>
      </c>
      <c r="C139" s="20" t="s">
        <v>691</v>
      </c>
      <c r="D139" s="20" t="s">
        <v>692</v>
      </c>
      <c r="E139" s="21">
        <v>44747</v>
      </c>
      <c r="F139" s="19" t="s">
        <v>96</v>
      </c>
      <c r="G139" s="75" t="s">
        <v>668</v>
      </c>
      <c r="H139" s="76" t="s">
        <v>229</v>
      </c>
      <c r="I139" s="19">
        <v>23</v>
      </c>
      <c r="J139" s="19">
        <f t="shared" si="24"/>
        <v>3</v>
      </c>
      <c r="K139" s="19">
        <v>200</v>
      </c>
      <c r="L139" s="36">
        <f t="shared" si="25"/>
        <v>176.923076923077</v>
      </c>
      <c r="M139" s="36">
        <f t="shared" si="26"/>
        <v>23.0769230769231</v>
      </c>
      <c r="N139" s="19">
        <v>24</v>
      </c>
      <c r="O139" s="19">
        <f t="shared" si="21"/>
        <v>34.6153846153846</v>
      </c>
      <c r="P139" s="85">
        <v>0</v>
      </c>
      <c r="Q139" s="85">
        <f t="shared" si="27"/>
        <v>0</v>
      </c>
      <c r="R139" s="19">
        <v>0</v>
      </c>
      <c r="S139" s="19">
        <f t="shared" si="22"/>
        <v>8.84615384615385</v>
      </c>
      <c r="T139" s="19">
        <v>0</v>
      </c>
      <c r="U139" s="19">
        <v>0</v>
      </c>
      <c r="V139" s="19">
        <v>10</v>
      </c>
      <c r="W139" s="19">
        <v>6</v>
      </c>
      <c r="X139" s="19">
        <v>8</v>
      </c>
      <c r="Y139" s="19">
        <v>0</v>
      </c>
      <c r="Z139" s="19">
        <f>VLOOKUP(B139,'[3]Annual Leave '!$B$7:$Q$98,13,0)</f>
        <v>35.22</v>
      </c>
      <c r="AA139" s="36">
        <f>VLOOKUP(B139,'[3]Annual Leave '!$B$7:$Q$98,15,0)</f>
        <v>13.5465976331361</v>
      </c>
      <c r="AB139" s="36">
        <f t="shared" si="23"/>
        <v>293.151213017752</v>
      </c>
      <c r="AC139" s="19">
        <f>VLOOKUP(B139,[2]Sheet1!$B$2:$N$199,11,0)/4000</f>
        <v>4.67775</v>
      </c>
      <c r="AD139" s="19">
        <v>0</v>
      </c>
      <c r="AE139" s="19">
        <f>VLOOKUP(B139,'[1]A05'!$E$7:$L$28,7,0)</f>
        <v>100</v>
      </c>
      <c r="AF139" s="19">
        <f t="shared" si="28"/>
        <v>104.67775</v>
      </c>
      <c r="AG139" s="86">
        <f t="shared" ref="AG139:AG202" si="29">ROUND(AB139-AF139,2)</f>
        <v>188.47</v>
      </c>
      <c r="AH139" s="19"/>
      <c r="AI139" s="60"/>
      <c r="AJ139" s="74"/>
    </row>
    <row r="140" s="5" customFormat="1" ht="21" customHeight="1" spans="1:36">
      <c r="A140" s="19">
        <v>132</v>
      </c>
      <c r="B140" s="75" t="s">
        <v>695</v>
      </c>
      <c r="C140" s="20" t="s">
        <v>696</v>
      </c>
      <c r="D140" s="20" t="s">
        <v>697</v>
      </c>
      <c r="E140" s="21">
        <v>44747</v>
      </c>
      <c r="F140" s="19" t="s">
        <v>96</v>
      </c>
      <c r="G140" s="75" t="s">
        <v>668</v>
      </c>
      <c r="H140" s="76" t="s">
        <v>229</v>
      </c>
      <c r="I140" s="19">
        <v>23</v>
      </c>
      <c r="J140" s="19">
        <f t="shared" si="24"/>
        <v>3</v>
      </c>
      <c r="K140" s="19">
        <v>200</v>
      </c>
      <c r="L140" s="36">
        <f t="shared" si="25"/>
        <v>176.923076923077</v>
      </c>
      <c r="M140" s="36">
        <f t="shared" si="26"/>
        <v>23.0769230769231</v>
      </c>
      <c r="N140" s="19">
        <v>14</v>
      </c>
      <c r="O140" s="19">
        <f t="shared" si="21"/>
        <v>20.1923076923077</v>
      </c>
      <c r="P140" s="85">
        <v>0</v>
      </c>
      <c r="Q140" s="85">
        <f t="shared" si="27"/>
        <v>0</v>
      </c>
      <c r="R140" s="19">
        <v>0</v>
      </c>
      <c r="S140" s="19">
        <f t="shared" si="22"/>
        <v>8.84615384615385</v>
      </c>
      <c r="T140" s="19">
        <v>0</v>
      </c>
      <c r="U140" s="19">
        <v>0</v>
      </c>
      <c r="V140" s="19">
        <v>10</v>
      </c>
      <c r="W140" s="19">
        <v>3.5</v>
      </c>
      <c r="X140" s="19">
        <v>8</v>
      </c>
      <c r="Y140" s="19">
        <v>0</v>
      </c>
      <c r="Z140" s="19">
        <f>VLOOKUP(B140,'[3]Annual Leave '!$B$7:$Q$98,13,0)</f>
        <v>34.18</v>
      </c>
      <c r="AA140" s="36">
        <f>VLOOKUP(B140,'[3]Annual Leave '!$B$7:$Q$98,15,0)</f>
        <v>13.1457100591716</v>
      </c>
      <c r="AB140" s="36">
        <f t="shared" si="23"/>
        <v>274.78724852071</v>
      </c>
      <c r="AC140" s="19">
        <f>VLOOKUP(B140,[2]Sheet1!$B$2:$N$199,11,0)/4000</f>
        <v>4.597</v>
      </c>
      <c r="AD140" s="19">
        <v>0</v>
      </c>
      <c r="AE140" s="19">
        <f>VLOOKUP(B140,'[1]A05'!$E$7:$L$28,7,0)</f>
        <v>100</v>
      </c>
      <c r="AF140" s="19">
        <f t="shared" si="28"/>
        <v>104.597</v>
      </c>
      <c r="AG140" s="86">
        <f t="shared" si="29"/>
        <v>170.19</v>
      </c>
      <c r="AH140" s="19"/>
      <c r="AI140" s="60"/>
      <c r="AJ140" s="74"/>
    </row>
    <row r="141" s="5" customFormat="1" ht="21" customHeight="1" spans="1:36">
      <c r="A141" s="19">
        <v>133</v>
      </c>
      <c r="B141" s="75" t="s">
        <v>700</v>
      </c>
      <c r="C141" s="20" t="s">
        <v>701</v>
      </c>
      <c r="D141" s="20" t="s">
        <v>702</v>
      </c>
      <c r="E141" s="21">
        <v>44747</v>
      </c>
      <c r="F141" s="19" t="s">
        <v>96</v>
      </c>
      <c r="G141" s="75" t="s">
        <v>668</v>
      </c>
      <c r="H141" s="76" t="s">
        <v>229</v>
      </c>
      <c r="I141" s="19">
        <v>23</v>
      </c>
      <c r="J141" s="19">
        <f t="shared" si="24"/>
        <v>3</v>
      </c>
      <c r="K141" s="19">
        <v>200</v>
      </c>
      <c r="L141" s="36">
        <f t="shared" si="25"/>
        <v>176.923076923077</v>
      </c>
      <c r="M141" s="36">
        <f t="shared" si="26"/>
        <v>23.0769230769231</v>
      </c>
      <c r="N141" s="19">
        <v>8</v>
      </c>
      <c r="O141" s="19">
        <f t="shared" si="21"/>
        <v>11.5384615384615</v>
      </c>
      <c r="P141" s="85">
        <v>0</v>
      </c>
      <c r="Q141" s="85">
        <f t="shared" si="27"/>
        <v>0</v>
      </c>
      <c r="R141" s="19">
        <v>0</v>
      </c>
      <c r="S141" s="19">
        <f t="shared" si="22"/>
        <v>8.84615384615385</v>
      </c>
      <c r="T141" s="19">
        <v>0</v>
      </c>
      <c r="U141" s="19">
        <v>0</v>
      </c>
      <c r="V141" s="19">
        <v>10</v>
      </c>
      <c r="W141" s="19">
        <v>2</v>
      </c>
      <c r="X141" s="19">
        <v>8</v>
      </c>
      <c r="Y141" s="19">
        <v>0</v>
      </c>
      <c r="Z141" s="19">
        <f>VLOOKUP(B141,'[3]Annual Leave '!$B$7:$Q$98,13,0)</f>
        <v>33.73</v>
      </c>
      <c r="AA141" s="36">
        <f>VLOOKUP(B141,'[3]Annual Leave '!$B$7:$Q$98,15,0)</f>
        <v>12.9744822485207</v>
      </c>
      <c r="AB141" s="36">
        <f t="shared" si="23"/>
        <v>264.012174556213</v>
      </c>
      <c r="AC141" s="19">
        <f>VLOOKUP(B141,[2]Sheet1!$B$2:$N$199,11,0)/4000</f>
        <v>4.3805</v>
      </c>
      <c r="AD141" s="19">
        <v>0</v>
      </c>
      <c r="AE141" s="19">
        <f>VLOOKUP(B141,'[1]A05'!$E$7:$L$28,7,0)</f>
        <v>100</v>
      </c>
      <c r="AF141" s="19">
        <f t="shared" si="28"/>
        <v>104.3805</v>
      </c>
      <c r="AG141" s="86">
        <f t="shared" si="29"/>
        <v>159.63</v>
      </c>
      <c r="AH141" s="19"/>
      <c r="AI141" s="60"/>
      <c r="AJ141" s="74"/>
    </row>
    <row r="142" s="5" customFormat="1" ht="21" customHeight="1" spans="1:36">
      <c r="A142" s="19">
        <v>134</v>
      </c>
      <c r="B142" s="75" t="s">
        <v>704</v>
      </c>
      <c r="C142" s="20" t="s">
        <v>705</v>
      </c>
      <c r="D142" s="20" t="s">
        <v>706</v>
      </c>
      <c r="E142" s="21">
        <v>44747</v>
      </c>
      <c r="F142" s="19" t="s">
        <v>96</v>
      </c>
      <c r="G142" s="75" t="s">
        <v>668</v>
      </c>
      <c r="H142" s="76" t="s">
        <v>229</v>
      </c>
      <c r="I142" s="19">
        <v>23</v>
      </c>
      <c r="J142" s="19">
        <f t="shared" si="24"/>
        <v>3</v>
      </c>
      <c r="K142" s="19">
        <v>200</v>
      </c>
      <c r="L142" s="36">
        <f t="shared" si="25"/>
        <v>176.923076923077</v>
      </c>
      <c r="M142" s="36">
        <f t="shared" si="26"/>
        <v>23.0769230769231</v>
      </c>
      <c r="N142" s="19">
        <v>8</v>
      </c>
      <c r="O142" s="19">
        <f t="shared" si="21"/>
        <v>11.5384615384615</v>
      </c>
      <c r="P142" s="85">
        <v>0</v>
      </c>
      <c r="Q142" s="85">
        <f t="shared" si="27"/>
        <v>0</v>
      </c>
      <c r="R142" s="19">
        <v>0</v>
      </c>
      <c r="S142" s="19">
        <f t="shared" si="22"/>
        <v>8.84615384615385</v>
      </c>
      <c r="T142" s="19">
        <v>0</v>
      </c>
      <c r="U142" s="19">
        <v>0</v>
      </c>
      <c r="V142" s="19">
        <v>10</v>
      </c>
      <c r="W142" s="19">
        <v>2</v>
      </c>
      <c r="X142" s="19">
        <v>8</v>
      </c>
      <c r="Y142" s="19">
        <v>0</v>
      </c>
      <c r="Z142" s="19">
        <f>VLOOKUP(B142,'[3]Annual Leave '!$B$7:$Q$98,13,0)</f>
        <v>32.56</v>
      </c>
      <c r="AA142" s="36">
        <f>VLOOKUP(B142,'[3]Annual Leave '!$B$7:$Q$98,15,0)</f>
        <v>20.8696992110454</v>
      </c>
      <c r="AB142" s="36">
        <f t="shared" si="23"/>
        <v>270.737391518738</v>
      </c>
      <c r="AC142" s="19">
        <f>VLOOKUP(B142,[2]Sheet1!$B$2:$N$199,11,0)/4000</f>
        <v>4.13825</v>
      </c>
      <c r="AD142" s="19">
        <v>0</v>
      </c>
      <c r="AE142" s="19">
        <f>VLOOKUP(B142,'[1]A05'!$E$7:$L$28,7,0)</f>
        <v>100</v>
      </c>
      <c r="AF142" s="19">
        <f t="shared" si="28"/>
        <v>104.13825</v>
      </c>
      <c r="AG142" s="86">
        <f t="shared" si="29"/>
        <v>166.6</v>
      </c>
      <c r="AH142" s="19"/>
      <c r="AI142" s="60"/>
      <c r="AJ142" s="74"/>
    </row>
    <row r="143" s="5" customFormat="1" ht="21" customHeight="1" spans="1:36">
      <c r="A143" s="19">
        <v>135</v>
      </c>
      <c r="B143" s="75" t="s">
        <v>709</v>
      </c>
      <c r="C143" s="20" t="s">
        <v>710</v>
      </c>
      <c r="D143" s="20" t="s">
        <v>711</v>
      </c>
      <c r="E143" s="21">
        <v>44747</v>
      </c>
      <c r="F143" s="19" t="s">
        <v>96</v>
      </c>
      <c r="G143" s="75" t="s">
        <v>668</v>
      </c>
      <c r="H143" s="76" t="s">
        <v>229</v>
      </c>
      <c r="I143" s="19">
        <v>23</v>
      </c>
      <c r="J143" s="19">
        <f t="shared" si="24"/>
        <v>3</v>
      </c>
      <c r="K143" s="19">
        <v>200</v>
      </c>
      <c r="L143" s="36">
        <f t="shared" si="25"/>
        <v>176.923076923077</v>
      </c>
      <c r="M143" s="36">
        <f t="shared" si="26"/>
        <v>23.0769230769231</v>
      </c>
      <c r="N143" s="19">
        <v>0</v>
      </c>
      <c r="O143" s="19">
        <f t="shared" si="21"/>
        <v>0</v>
      </c>
      <c r="P143" s="85">
        <v>0</v>
      </c>
      <c r="Q143" s="85">
        <f t="shared" si="27"/>
        <v>0</v>
      </c>
      <c r="R143" s="19">
        <v>0</v>
      </c>
      <c r="S143" s="19">
        <f t="shared" si="22"/>
        <v>8.84615384615385</v>
      </c>
      <c r="T143" s="19">
        <v>0</v>
      </c>
      <c r="U143" s="19">
        <v>0</v>
      </c>
      <c r="V143" s="19">
        <v>10</v>
      </c>
      <c r="W143" s="19">
        <v>0</v>
      </c>
      <c r="X143" s="19">
        <v>8</v>
      </c>
      <c r="Y143" s="19">
        <v>0</v>
      </c>
      <c r="Z143" s="19">
        <f>VLOOKUP(B143,'[3]Annual Leave '!$B$7:$Q$98,13,0)</f>
        <v>33.03</v>
      </c>
      <c r="AA143" s="36">
        <f>VLOOKUP(B143,'[3]Annual Leave '!$B$7:$Q$98,15,0)</f>
        <v>12.7021079881657</v>
      </c>
      <c r="AB143" s="36">
        <f t="shared" si="23"/>
        <v>249.501338757396</v>
      </c>
      <c r="AC143" s="19">
        <f>VLOOKUP(B143,[2]Sheet1!$B$2:$N$199,11,0)/4000</f>
        <v>4.60975</v>
      </c>
      <c r="AD143" s="19">
        <v>0</v>
      </c>
      <c r="AE143" s="19">
        <f>VLOOKUP(B143,'[1]A05'!$E$7:$L$28,7,0)</f>
        <v>100</v>
      </c>
      <c r="AF143" s="19">
        <f t="shared" si="28"/>
        <v>104.60975</v>
      </c>
      <c r="AG143" s="86">
        <f t="shared" si="29"/>
        <v>144.89</v>
      </c>
      <c r="AH143" s="19"/>
      <c r="AI143" s="60"/>
      <c r="AJ143" s="74"/>
    </row>
    <row r="144" s="5" customFormat="1" ht="21" customHeight="1" spans="1:36">
      <c r="A144" s="19">
        <v>136</v>
      </c>
      <c r="B144" s="75" t="s">
        <v>714</v>
      </c>
      <c r="C144" s="20" t="s">
        <v>715</v>
      </c>
      <c r="D144" s="20" t="s">
        <v>716</v>
      </c>
      <c r="E144" s="21">
        <v>44747</v>
      </c>
      <c r="F144" s="19" t="s">
        <v>96</v>
      </c>
      <c r="G144" s="75" t="s">
        <v>668</v>
      </c>
      <c r="H144" s="76" t="s">
        <v>229</v>
      </c>
      <c r="I144" s="19">
        <v>22</v>
      </c>
      <c r="J144" s="19">
        <f t="shared" si="24"/>
        <v>4</v>
      </c>
      <c r="K144" s="19">
        <v>200</v>
      </c>
      <c r="L144" s="36">
        <f t="shared" si="25"/>
        <v>169.230769230769</v>
      </c>
      <c r="M144" s="36">
        <f t="shared" si="26"/>
        <v>30.7692307692308</v>
      </c>
      <c r="N144" s="19">
        <v>2</v>
      </c>
      <c r="O144" s="19">
        <f t="shared" si="21"/>
        <v>2.88461538461538</v>
      </c>
      <c r="P144" s="85">
        <v>0</v>
      </c>
      <c r="Q144" s="85">
        <f t="shared" si="27"/>
        <v>0</v>
      </c>
      <c r="R144" s="19">
        <v>0</v>
      </c>
      <c r="S144" s="19">
        <f t="shared" si="22"/>
        <v>8.46153846153846</v>
      </c>
      <c r="T144" s="19">
        <v>0</v>
      </c>
      <c r="U144" s="19">
        <v>0</v>
      </c>
      <c r="V144" s="19">
        <v>10</v>
      </c>
      <c r="W144" s="19">
        <v>0.5</v>
      </c>
      <c r="X144" s="19">
        <v>8</v>
      </c>
      <c r="Y144" s="19">
        <v>0</v>
      </c>
      <c r="Z144" s="19">
        <f>VLOOKUP(B144,'[3]Annual Leave '!$B$7:$Q$98,13,0)</f>
        <v>32.4</v>
      </c>
      <c r="AA144" s="36">
        <f>VLOOKUP(B144,'[3]Annual Leave '!$B$7:$Q$98,15,0)</f>
        <v>20.7683062130178</v>
      </c>
      <c r="AB144" s="36">
        <f t="shared" si="23"/>
        <v>252.245229289941</v>
      </c>
      <c r="AC144" s="19">
        <f>VLOOKUP(B144,[2]Sheet1!$B$2:$N$199,11,0)/4000</f>
        <v>4.44825</v>
      </c>
      <c r="AD144" s="19">
        <v>0</v>
      </c>
      <c r="AE144" s="19">
        <f>VLOOKUP(B144,'[1]A05'!$E$7:$L$28,7,0)</f>
        <v>100</v>
      </c>
      <c r="AF144" s="19">
        <f t="shared" si="28"/>
        <v>104.44825</v>
      </c>
      <c r="AG144" s="86">
        <f t="shared" si="29"/>
        <v>147.8</v>
      </c>
      <c r="AH144" s="19"/>
      <c r="AI144" s="60"/>
      <c r="AJ144" s="74"/>
    </row>
    <row r="145" s="5" customFormat="1" ht="21" customHeight="1" spans="1:36">
      <c r="A145" s="19">
        <v>137</v>
      </c>
      <c r="B145" s="75" t="s">
        <v>719</v>
      </c>
      <c r="C145" s="20" t="s">
        <v>720</v>
      </c>
      <c r="D145" s="20" t="s">
        <v>721</v>
      </c>
      <c r="E145" s="21">
        <v>44747</v>
      </c>
      <c r="F145" s="19" t="s">
        <v>96</v>
      </c>
      <c r="G145" s="75" t="s">
        <v>668</v>
      </c>
      <c r="H145" s="76" t="s">
        <v>229</v>
      </c>
      <c r="I145" s="19">
        <v>23</v>
      </c>
      <c r="J145" s="19">
        <f t="shared" si="24"/>
        <v>3</v>
      </c>
      <c r="K145" s="19">
        <v>200</v>
      </c>
      <c r="L145" s="36">
        <f t="shared" si="25"/>
        <v>176.923076923077</v>
      </c>
      <c r="M145" s="36">
        <f t="shared" si="26"/>
        <v>23.0769230769231</v>
      </c>
      <c r="N145" s="19">
        <v>10</v>
      </c>
      <c r="O145" s="19">
        <f t="shared" si="21"/>
        <v>14.4230769230769</v>
      </c>
      <c r="P145" s="85">
        <v>0</v>
      </c>
      <c r="Q145" s="85">
        <f t="shared" si="27"/>
        <v>0</v>
      </c>
      <c r="R145" s="19">
        <v>0</v>
      </c>
      <c r="S145" s="19">
        <f t="shared" si="22"/>
        <v>8.84615384615385</v>
      </c>
      <c r="T145" s="19">
        <v>0</v>
      </c>
      <c r="U145" s="19">
        <v>0</v>
      </c>
      <c r="V145" s="19">
        <v>10</v>
      </c>
      <c r="W145" s="19">
        <v>2.5</v>
      </c>
      <c r="X145" s="19">
        <v>8</v>
      </c>
      <c r="Y145" s="19">
        <v>0</v>
      </c>
      <c r="Z145" s="19">
        <f>VLOOKUP(B145,'[3]Annual Leave '!$B$7:$Q$98,13,0)</f>
        <v>33.25</v>
      </c>
      <c r="AA145" s="36">
        <f>VLOOKUP(B145,'[3]Annual Leave '!$B$7:$Q$98,15,0)</f>
        <v>21.3153353057199</v>
      </c>
      <c r="AB145" s="36">
        <f t="shared" si="23"/>
        <v>275.257642998028</v>
      </c>
      <c r="AC145" s="19">
        <f>VLOOKUP(B145,[2]Sheet1!$B$2:$N$199,11,0)/4000</f>
        <v>4.51625</v>
      </c>
      <c r="AD145" s="19">
        <v>0</v>
      </c>
      <c r="AE145" s="19">
        <f>VLOOKUP(B145,'[1]A05'!$E$7:$L$28,7,0)</f>
        <v>100</v>
      </c>
      <c r="AF145" s="19">
        <f t="shared" si="28"/>
        <v>104.51625</v>
      </c>
      <c r="AG145" s="86">
        <f t="shared" si="29"/>
        <v>170.74</v>
      </c>
      <c r="AH145" s="19"/>
      <c r="AI145" s="60"/>
      <c r="AJ145" s="74"/>
    </row>
    <row r="146" s="5" customFormat="1" ht="21" customHeight="1" spans="1:36">
      <c r="A146" s="19">
        <v>138</v>
      </c>
      <c r="B146" s="75" t="s">
        <v>724</v>
      </c>
      <c r="C146" s="20" t="s">
        <v>725</v>
      </c>
      <c r="D146" s="20" t="s">
        <v>726</v>
      </c>
      <c r="E146" s="21">
        <v>44747</v>
      </c>
      <c r="F146" s="19" t="s">
        <v>96</v>
      </c>
      <c r="G146" s="75" t="s">
        <v>668</v>
      </c>
      <c r="H146" s="76" t="s">
        <v>229</v>
      </c>
      <c r="I146" s="19">
        <v>24.5</v>
      </c>
      <c r="J146" s="19">
        <f t="shared" si="24"/>
        <v>1.5</v>
      </c>
      <c r="K146" s="19">
        <v>200</v>
      </c>
      <c r="L146" s="36">
        <f t="shared" si="25"/>
        <v>188.461538461538</v>
      </c>
      <c r="M146" s="36">
        <f t="shared" si="26"/>
        <v>11.5384615384615</v>
      </c>
      <c r="N146" s="19">
        <v>12</v>
      </c>
      <c r="O146" s="19">
        <f t="shared" ref="O146:O209" si="30">K146/26/8*1.5*N146</f>
        <v>17.3076923076923</v>
      </c>
      <c r="P146" s="85">
        <v>0</v>
      </c>
      <c r="Q146" s="85">
        <f t="shared" si="27"/>
        <v>0</v>
      </c>
      <c r="R146" s="19">
        <v>0</v>
      </c>
      <c r="S146" s="19">
        <f t="shared" si="22"/>
        <v>9.42307692307692</v>
      </c>
      <c r="T146" s="19">
        <v>0</v>
      </c>
      <c r="U146" s="19">
        <v>0</v>
      </c>
      <c r="V146" s="19">
        <v>10</v>
      </c>
      <c r="W146" s="19">
        <v>3</v>
      </c>
      <c r="X146" s="19">
        <v>8</v>
      </c>
      <c r="Y146" s="19">
        <v>0</v>
      </c>
      <c r="Z146" s="19">
        <f>VLOOKUP(B146,'[3]Annual Leave '!$B$7:$Q$98,13,0)</f>
        <v>34.03</v>
      </c>
      <c r="AA146" s="36">
        <f>VLOOKUP(B146,'[3]Annual Leave '!$B$7:$Q$98,15,0)</f>
        <v>8.72485207100592</v>
      </c>
      <c r="AB146" s="36">
        <f t="shared" si="23"/>
        <v>278.947159763314</v>
      </c>
      <c r="AC146" s="19">
        <f>VLOOKUP(B146,[2]Sheet1!$B$2:$N$199,11,0)/4000</f>
        <v>4.75825</v>
      </c>
      <c r="AD146" s="19">
        <v>0</v>
      </c>
      <c r="AE146" s="19">
        <f>VLOOKUP(B146,'[1]A05'!$E$7:$L$28,7,0)</f>
        <v>100</v>
      </c>
      <c r="AF146" s="19">
        <f t="shared" si="28"/>
        <v>104.75825</v>
      </c>
      <c r="AG146" s="86">
        <f t="shared" si="29"/>
        <v>174.19</v>
      </c>
      <c r="AH146" s="19"/>
      <c r="AI146" s="60"/>
      <c r="AJ146" s="74"/>
    </row>
    <row r="147" s="5" customFormat="1" ht="21" customHeight="1" spans="1:36">
      <c r="A147" s="19">
        <v>139</v>
      </c>
      <c r="B147" s="75" t="s">
        <v>727</v>
      </c>
      <c r="C147" s="20" t="s">
        <v>728</v>
      </c>
      <c r="D147" s="20" t="s">
        <v>729</v>
      </c>
      <c r="E147" s="21">
        <v>44747</v>
      </c>
      <c r="F147" s="19" t="s">
        <v>96</v>
      </c>
      <c r="G147" s="75" t="s">
        <v>668</v>
      </c>
      <c r="H147" s="76" t="s">
        <v>229</v>
      </c>
      <c r="I147" s="19">
        <v>21</v>
      </c>
      <c r="J147" s="19">
        <f t="shared" si="24"/>
        <v>5</v>
      </c>
      <c r="K147" s="19">
        <v>200</v>
      </c>
      <c r="L147" s="36">
        <f t="shared" si="25"/>
        <v>161.538461538462</v>
      </c>
      <c r="M147" s="36">
        <f t="shared" si="26"/>
        <v>38.4615384615385</v>
      </c>
      <c r="N147" s="19">
        <v>6</v>
      </c>
      <c r="O147" s="19">
        <f t="shared" si="30"/>
        <v>8.65384615384615</v>
      </c>
      <c r="P147" s="85">
        <v>0</v>
      </c>
      <c r="Q147" s="85">
        <f t="shared" si="27"/>
        <v>0</v>
      </c>
      <c r="R147" s="19">
        <v>0</v>
      </c>
      <c r="S147" s="19">
        <f t="shared" si="22"/>
        <v>8.07692307692308</v>
      </c>
      <c r="T147" s="19">
        <v>0</v>
      </c>
      <c r="U147" s="19">
        <v>0</v>
      </c>
      <c r="V147" s="19">
        <v>10</v>
      </c>
      <c r="W147" s="19">
        <v>1.5</v>
      </c>
      <c r="X147" s="19">
        <v>8</v>
      </c>
      <c r="Y147" s="19">
        <v>0</v>
      </c>
      <c r="Z147" s="19">
        <f>VLOOKUP(B147,'[3]Annual Leave '!$B$7:$Q$98,13,0)</f>
        <v>31.91</v>
      </c>
      <c r="AA147" s="36">
        <f>VLOOKUP(B147,'[3]Annual Leave '!$B$7:$Q$98,15,0)</f>
        <v>8.1819526627219</v>
      </c>
      <c r="AB147" s="36">
        <f t="shared" si="23"/>
        <v>237.861183431953</v>
      </c>
      <c r="AC147" s="19">
        <f>VLOOKUP(B147,[2]Sheet1!$B$2:$N$199,11,0)/4000</f>
        <v>4.274</v>
      </c>
      <c r="AD147" s="19">
        <v>0</v>
      </c>
      <c r="AE147" s="19">
        <f>VLOOKUP(B147,'[1]A05'!$E$7:$L$28,7,0)</f>
        <v>100</v>
      </c>
      <c r="AF147" s="19">
        <f t="shared" si="28"/>
        <v>104.274</v>
      </c>
      <c r="AG147" s="86">
        <f t="shared" si="29"/>
        <v>133.59</v>
      </c>
      <c r="AH147" s="19"/>
      <c r="AI147" s="60"/>
      <c r="AJ147" s="74"/>
    </row>
    <row r="148" s="5" customFormat="1" ht="21" customHeight="1" spans="1:36">
      <c r="A148" s="19">
        <v>140</v>
      </c>
      <c r="B148" s="75" t="s">
        <v>732</v>
      </c>
      <c r="C148" s="20" t="s">
        <v>733</v>
      </c>
      <c r="D148" s="20" t="s">
        <v>734</v>
      </c>
      <c r="E148" s="21">
        <v>44747</v>
      </c>
      <c r="F148" s="19" t="s">
        <v>96</v>
      </c>
      <c r="G148" s="75" t="s">
        <v>668</v>
      </c>
      <c r="H148" s="76" t="s">
        <v>229</v>
      </c>
      <c r="I148" s="19">
        <v>23</v>
      </c>
      <c r="J148" s="19">
        <f t="shared" si="24"/>
        <v>3</v>
      </c>
      <c r="K148" s="19">
        <v>200</v>
      </c>
      <c r="L148" s="36">
        <f t="shared" si="25"/>
        <v>176.923076923077</v>
      </c>
      <c r="M148" s="36">
        <f t="shared" si="26"/>
        <v>23.0769230769231</v>
      </c>
      <c r="N148" s="19">
        <v>10</v>
      </c>
      <c r="O148" s="19">
        <f t="shared" si="30"/>
        <v>14.4230769230769</v>
      </c>
      <c r="P148" s="85">
        <v>0</v>
      </c>
      <c r="Q148" s="85">
        <f t="shared" si="27"/>
        <v>0</v>
      </c>
      <c r="R148" s="19">
        <v>0</v>
      </c>
      <c r="S148" s="19">
        <f t="shared" ref="S148:S154" si="31">10/26*I148</f>
        <v>8.84615384615385</v>
      </c>
      <c r="T148" s="19">
        <v>0</v>
      </c>
      <c r="U148" s="19">
        <v>0</v>
      </c>
      <c r="V148" s="19">
        <v>10</v>
      </c>
      <c r="W148" s="19">
        <v>2.5</v>
      </c>
      <c r="X148" s="19">
        <v>8</v>
      </c>
      <c r="Y148" s="19">
        <v>0</v>
      </c>
      <c r="Z148" s="19">
        <f>VLOOKUP(B148,'[3]Annual Leave '!$B$7:$Q$98,13,0)</f>
        <v>34.04</v>
      </c>
      <c r="AA148" s="36">
        <f>VLOOKUP(B148,'[3]Annual Leave '!$B$7:$Q$98,15,0)</f>
        <v>13.090976331361</v>
      </c>
      <c r="AB148" s="36">
        <f t="shared" si="23"/>
        <v>267.823284023669</v>
      </c>
      <c r="AC148" s="19">
        <f>VLOOKUP(B148,[2]Sheet1!$B$2:$N$199,11,0)/4000</f>
        <v>4.67775</v>
      </c>
      <c r="AD148" s="19">
        <v>0</v>
      </c>
      <c r="AE148" s="19">
        <f>VLOOKUP(B148,'[1]A05'!$E$7:$L$28,7,0)</f>
        <v>100</v>
      </c>
      <c r="AF148" s="19">
        <f t="shared" si="28"/>
        <v>104.67775</v>
      </c>
      <c r="AG148" s="86">
        <f t="shared" si="29"/>
        <v>163.15</v>
      </c>
      <c r="AH148" s="19"/>
      <c r="AI148" s="60"/>
      <c r="AJ148" s="74"/>
    </row>
    <row r="149" s="5" customFormat="1" ht="21" customHeight="1" spans="1:36">
      <c r="A149" s="19">
        <v>141</v>
      </c>
      <c r="B149" s="75" t="s">
        <v>737</v>
      </c>
      <c r="C149" s="20" t="s">
        <v>738</v>
      </c>
      <c r="D149" s="20" t="s">
        <v>509</v>
      </c>
      <c r="E149" s="21">
        <v>44760</v>
      </c>
      <c r="F149" s="19" t="s">
        <v>96</v>
      </c>
      <c r="G149" s="75" t="s">
        <v>668</v>
      </c>
      <c r="H149" s="76" t="s">
        <v>229</v>
      </c>
      <c r="I149" s="19">
        <v>24.5</v>
      </c>
      <c r="J149" s="19">
        <f t="shared" si="24"/>
        <v>1.5</v>
      </c>
      <c r="K149" s="19">
        <v>200</v>
      </c>
      <c r="L149" s="36">
        <f t="shared" si="25"/>
        <v>188.461538461538</v>
      </c>
      <c r="M149" s="36">
        <f t="shared" si="26"/>
        <v>11.5384615384615</v>
      </c>
      <c r="N149" s="19">
        <v>12</v>
      </c>
      <c r="O149" s="19">
        <f t="shared" si="30"/>
        <v>17.3076923076923</v>
      </c>
      <c r="P149" s="85">
        <v>0</v>
      </c>
      <c r="Q149" s="85">
        <f t="shared" si="27"/>
        <v>0</v>
      </c>
      <c r="R149" s="19">
        <v>0</v>
      </c>
      <c r="S149" s="19">
        <f t="shared" si="31"/>
        <v>9.42307692307692</v>
      </c>
      <c r="T149" s="19">
        <v>0</v>
      </c>
      <c r="U149" s="19">
        <v>0</v>
      </c>
      <c r="V149" s="19">
        <v>10</v>
      </c>
      <c r="W149" s="19">
        <v>3</v>
      </c>
      <c r="X149" s="19">
        <v>8</v>
      </c>
      <c r="Y149" s="19">
        <v>0</v>
      </c>
      <c r="Z149" s="19">
        <v>0</v>
      </c>
      <c r="AA149" s="36">
        <v>0</v>
      </c>
      <c r="AB149" s="36">
        <f t="shared" si="23"/>
        <v>236.192307692308</v>
      </c>
      <c r="AC149" s="19">
        <f>VLOOKUP(B149,[2]Sheet1!$B$2:$N$199,11,0)/4000</f>
        <v>4.75825</v>
      </c>
      <c r="AD149" s="19">
        <v>0</v>
      </c>
      <c r="AE149" s="19">
        <f>VLOOKUP(B149,'[1]A05'!$E$7:$L$28,7,0)</f>
        <v>100</v>
      </c>
      <c r="AF149" s="19">
        <f t="shared" si="28"/>
        <v>104.75825</v>
      </c>
      <c r="AG149" s="86">
        <f t="shared" si="29"/>
        <v>131.43</v>
      </c>
      <c r="AH149" s="19"/>
      <c r="AI149" s="60"/>
      <c r="AJ149" s="74"/>
    </row>
    <row r="150" s="5" customFormat="1" ht="21" customHeight="1" spans="1:36">
      <c r="A150" s="19">
        <v>142</v>
      </c>
      <c r="B150" s="75" t="s">
        <v>739</v>
      </c>
      <c r="C150" s="20" t="s">
        <v>740</v>
      </c>
      <c r="D150" s="20" t="s">
        <v>741</v>
      </c>
      <c r="E150" s="21">
        <v>44802</v>
      </c>
      <c r="F150" s="19" t="s">
        <v>108</v>
      </c>
      <c r="G150" s="75" t="s">
        <v>668</v>
      </c>
      <c r="H150" s="76" t="s">
        <v>229</v>
      </c>
      <c r="I150" s="19">
        <v>24</v>
      </c>
      <c r="J150" s="19">
        <f t="shared" si="24"/>
        <v>2</v>
      </c>
      <c r="K150" s="19">
        <v>200</v>
      </c>
      <c r="L150" s="36">
        <f t="shared" si="25"/>
        <v>184.615384615385</v>
      </c>
      <c r="M150" s="36">
        <f t="shared" si="26"/>
        <v>15.3846153846154</v>
      </c>
      <c r="N150" s="19">
        <v>2</v>
      </c>
      <c r="O150" s="19">
        <f t="shared" si="30"/>
        <v>2.88461538461538</v>
      </c>
      <c r="P150" s="85">
        <v>0</v>
      </c>
      <c r="Q150" s="85">
        <f t="shared" si="27"/>
        <v>0</v>
      </c>
      <c r="R150" s="19">
        <v>0</v>
      </c>
      <c r="S150" s="19">
        <f t="shared" si="31"/>
        <v>9.23076923076923</v>
      </c>
      <c r="T150" s="19">
        <v>0</v>
      </c>
      <c r="U150" s="19">
        <v>0</v>
      </c>
      <c r="V150" s="19">
        <v>10</v>
      </c>
      <c r="W150" s="19">
        <v>0.5</v>
      </c>
      <c r="X150" s="19">
        <v>8</v>
      </c>
      <c r="Y150" s="19">
        <v>0</v>
      </c>
      <c r="Z150" s="19">
        <v>0</v>
      </c>
      <c r="AA150" s="36">
        <v>0</v>
      </c>
      <c r="AB150" s="36">
        <f t="shared" si="23"/>
        <v>215.230769230769</v>
      </c>
      <c r="AC150" s="19">
        <f>VLOOKUP(B150,[2]Sheet1!$B$2:$N$199,11,0)/4000</f>
        <v>5.7825</v>
      </c>
      <c r="AD150" s="19">
        <v>0</v>
      </c>
      <c r="AE150" s="19">
        <f>VLOOKUP(B150,'[1]A05'!$E$7:$L$28,7,0)</f>
        <v>100</v>
      </c>
      <c r="AF150" s="19">
        <f t="shared" si="28"/>
        <v>105.7825</v>
      </c>
      <c r="AG150" s="86">
        <f t="shared" si="29"/>
        <v>109.45</v>
      </c>
      <c r="AH150" s="19"/>
      <c r="AI150" s="60"/>
      <c r="AJ150" s="74"/>
    </row>
    <row r="151" s="5" customFormat="1" ht="21" customHeight="1" spans="1:36">
      <c r="A151" s="19">
        <v>143</v>
      </c>
      <c r="B151" s="75" t="s">
        <v>744</v>
      </c>
      <c r="C151" s="20" t="s">
        <v>745</v>
      </c>
      <c r="D151" s="20" t="s">
        <v>746</v>
      </c>
      <c r="E151" s="21">
        <v>44823</v>
      </c>
      <c r="F151" s="19" t="s">
        <v>96</v>
      </c>
      <c r="G151" s="75" t="s">
        <v>668</v>
      </c>
      <c r="H151" s="76" t="s">
        <v>229</v>
      </c>
      <c r="I151" s="19">
        <v>24.5</v>
      </c>
      <c r="J151" s="19">
        <f t="shared" si="24"/>
        <v>1.5</v>
      </c>
      <c r="K151" s="19">
        <v>200</v>
      </c>
      <c r="L151" s="36">
        <f t="shared" si="25"/>
        <v>188.461538461538</v>
      </c>
      <c r="M151" s="36">
        <f t="shared" si="26"/>
        <v>11.5384615384615</v>
      </c>
      <c r="N151" s="19">
        <v>6</v>
      </c>
      <c r="O151" s="19">
        <f t="shared" si="30"/>
        <v>8.65384615384615</v>
      </c>
      <c r="P151" s="85">
        <v>0</v>
      </c>
      <c r="Q151" s="85">
        <f t="shared" si="27"/>
        <v>0</v>
      </c>
      <c r="R151" s="19">
        <v>0</v>
      </c>
      <c r="S151" s="19">
        <f t="shared" si="31"/>
        <v>9.42307692307692</v>
      </c>
      <c r="T151" s="19">
        <v>0</v>
      </c>
      <c r="U151" s="19">
        <v>0</v>
      </c>
      <c r="V151" s="19">
        <v>10</v>
      </c>
      <c r="W151" s="19">
        <v>1.5</v>
      </c>
      <c r="X151" s="19">
        <v>8</v>
      </c>
      <c r="Y151" s="19">
        <v>0</v>
      </c>
      <c r="Z151" s="19">
        <f>VLOOKUP(B151,'[3]Annual Leave '!$B$7:$Q$98,13,0)</f>
        <v>33.72</v>
      </c>
      <c r="AA151" s="36">
        <f>VLOOKUP(B151,'[3]Annual Leave '!$B$7:$Q$98,15,0)</f>
        <v>17.2899408284024</v>
      </c>
      <c r="AB151" s="36">
        <f t="shared" si="23"/>
        <v>277.048402366864</v>
      </c>
      <c r="AC151" s="19">
        <f>VLOOKUP(B151,[2]Sheet1!$B$2:$N$199,11,0)/4000</f>
        <v>4.51625</v>
      </c>
      <c r="AD151" s="19">
        <v>0</v>
      </c>
      <c r="AE151" s="19">
        <f>VLOOKUP(B151,'[1]A05'!$E$7:$L$28,7,0)</f>
        <v>100</v>
      </c>
      <c r="AF151" s="19">
        <f t="shared" si="28"/>
        <v>104.51625</v>
      </c>
      <c r="AG151" s="86">
        <f t="shared" si="29"/>
        <v>172.53</v>
      </c>
      <c r="AH151" s="19"/>
      <c r="AI151" s="60"/>
      <c r="AJ151" s="74"/>
    </row>
    <row r="152" s="5" customFormat="1" ht="21" customHeight="1" spans="1:36">
      <c r="A152" s="19">
        <v>144</v>
      </c>
      <c r="B152" s="75" t="s">
        <v>749</v>
      </c>
      <c r="C152" s="20" t="s">
        <v>750</v>
      </c>
      <c r="D152" s="20" t="s">
        <v>751</v>
      </c>
      <c r="E152" s="21">
        <v>44886</v>
      </c>
      <c r="F152" s="19" t="s">
        <v>96</v>
      </c>
      <c r="G152" s="75" t="s">
        <v>668</v>
      </c>
      <c r="H152" s="76" t="s">
        <v>229</v>
      </c>
      <c r="I152" s="19">
        <v>23</v>
      </c>
      <c r="J152" s="19">
        <f t="shared" si="24"/>
        <v>3</v>
      </c>
      <c r="K152" s="19">
        <v>200</v>
      </c>
      <c r="L152" s="36">
        <f t="shared" si="25"/>
        <v>176.923076923077</v>
      </c>
      <c r="M152" s="84">
        <f t="shared" si="26"/>
        <v>23.0769230769231</v>
      </c>
      <c r="N152" s="19">
        <v>8</v>
      </c>
      <c r="O152" s="19">
        <f t="shared" si="30"/>
        <v>11.5384615384615</v>
      </c>
      <c r="P152" s="85">
        <v>0</v>
      </c>
      <c r="Q152" s="85">
        <f t="shared" si="27"/>
        <v>0</v>
      </c>
      <c r="R152" s="19">
        <v>0</v>
      </c>
      <c r="S152" s="19">
        <f t="shared" si="31"/>
        <v>8.84615384615385</v>
      </c>
      <c r="T152" s="19">
        <v>0</v>
      </c>
      <c r="U152" s="19">
        <v>0</v>
      </c>
      <c r="V152" s="19">
        <v>10</v>
      </c>
      <c r="W152" s="19">
        <v>2</v>
      </c>
      <c r="X152" s="19">
        <v>8</v>
      </c>
      <c r="Y152" s="19">
        <v>0</v>
      </c>
      <c r="Z152" s="19">
        <v>0</v>
      </c>
      <c r="AA152" s="36">
        <v>0</v>
      </c>
      <c r="AB152" s="36">
        <f t="shared" si="23"/>
        <v>217.307692307692</v>
      </c>
      <c r="AC152" s="19">
        <f>VLOOKUP(B152,[2]Sheet1!$B$2:$N$199,11,0)/4000</f>
        <v>4.55575</v>
      </c>
      <c r="AD152" s="19">
        <v>0</v>
      </c>
      <c r="AE152" s="19">
        <f>VLOOKUP(B152,'[1]A05'!$E$7:$L$28,7,0)</f>
        <v>100</v>
      </c>
      <c r="AF152" s="19">
        <f t="shared" si="28"/>
        <v>104.55575</v>
      </c>
      <c r="AG152" s="86">
        <f t="shared" si="29"/>
        <v>112.75</v>
      </c>
      <c r="AH152" s="19"/>
      <c r="AI152" s="60"/>
      <c r="AJ152" s="74"/>
    </row>
    <row r="153" s="5" customFormat="1" ht="21" customHeight="1" spans="1:36">
      <c r="A153" s="19">
        <v>145</v>
      </c>
      <c r="B153" s="75" t="s">
        <v>752</v>
      </c>
      <c r="C153" s="20" t="s">
        <v>753</v>
      </c>
      <c r="D153" s="20" t="s">
        <v>754</v>
      </c>
      <c r="E153" s="21">
        <v>44886</v>
      </c>
      <c r="F153" s="19" t="s">
        <v>108</v>
      </c>
      <c r="G153" s="75" t="s">
        <v>668</v>
      </c>
      <c r="H153" s="76" t="s">
        <v>229</v>
      </c>
      <c r="I153" s="19">
        <v>21</v>
      </c>
      <c r="J153" s="19">
        <f t="shared" si="24"/>
        <v>5</v>
      </c>
      <c r="K153" s="19">
        <v>200</v>
      </c>
      <c r="L153" s="36">
        <f t="shared" si="25"/>
        <v>161.538461538462</v>
      </c>
      <c r="M153" s="84">
        <f t="shared" si="26"/>
        <v>38.4615384615385</v>
      </c>
      <c r="N153" s="19">
        <v>8</v>
      </c>
      <c r="O153" s="19">
        <f t="shared" si="30"/>
        <v>11.5384615384615</v>
      </c>
      <c r="P153" s="85">
        <v>0</v>
      </c>
      <c r="Q153" s="85">
        <f t="shared" si="27"/>
        <v>0</v>
      </c>
      <c r="R153" s="19">
        <v>0</v>
      </c>
      <c r="S153" s="19">
        <f t="shared" si="31"/>
        <v>8.07692307692308</v>
      </c>
      <c r="T153" s="19">
        <v>0</v>
      </c>
      <c r="U153" s="19">
        <v>0</v>
      </c>
      <c r="V153" s="19">
        <v>10</v>
      </c>
      <c r="W153" s="19">
        <v>2</v>
      </c>
      <c r="X153" s="19">
        <v>8</v>
      </c>
      <c r="Y153" s="19">
        <v>0</v>
      </c>
      <c r="Z153" s="19">
        <v>0</v>
      </c>
      <c r="AA153" s="36">
        <v>0</v>
      </c>
      <c r="AB153" s="36">
        <f t="shared" si="23"/>
        <v>201.153846153846</v>
      </c>
      <c r="AC153" s="19">
        <f>VLOOKUP(B153,[2]Sheet1!$B$2:$N$199,11,0)/4000</f>
        <v>4.55575</v>
      </c>
      <c r="AD153" s="19">
        <v>0</v>
      </c>
      <c r="AE153" s="19">
        <f>VLOOKUP(B153,'[1]A05'!$E$7:$L$28,7,0)</f>
        <v>100</v>
      </c>
      <c r="AF153" s="19">
        <f t="shared" si="28"/>
        <v>104.55575</v>
      </c>
      <c r="AG153" s="86">
        <f t="shared" si="29"/>
        <v>96.6</v>
      </c>
      <c r="AH153" s="19"/>
      <c r="AI153" s="60"/>
      <c r="AJ153" s="74"/>
    </row>
    <row r="154" s="5" customFormat="1" ht="21" customHeight="1" spans="1:36">
      <c r="A154" s="19">
        <v>146</v>
      </c>
      <c r="B154" s="75" t="s">
        <v>755</v>
      </c>
      <c r="C154" s="20" t="s">
        <v>756</v>
      </c>
      <c r="D154" s="20" t="s">
        <v>757</v>
      </c>
      <c r="E154" s="21">
        <v>44886</v>
      </c>
      <c r="F154" s="19" t="s">
        <v>96</v>
      </c>
      <c r="G154" s="75" t="s">
        <v>668</v>
      </c>
      <c r="H154" s="76" t="s">
        <v>229</v>
      </c>
      <c r="I154" s="19">
        <v>23</v>
      </c>
      <c r="J154" s="19">
        <f t="shared" si="24"/>
        <v>3</v>
      </c>
      <c r="K154" s="19">
        <v>200</v>
      </c>
      <c r="L154" s="36">
        <f t="shared" si="25"/>
        <v>176.923076923077</v>
      </c>
      <c r="M154" s="84">
        <f t="shared" si="26"/>
        <v>23.0769230769231</v>
      </c>
      <c r="N154" s="19">
        <v>10</v>
      </c>
      <c r="O154" s="19">
        <f t="shared" si="30"/>
        <v>14.4230769230769</v>
      </c>
      <c r="P154" s="85">
        <v>0</v>
      </c>
      <c r="Q154" s="85">
        <f t="shared" si="27"/>
        <v>0</v>
      </c>
      <c r="R154" s="19">
        <v>0</v>
      </c>
      <c r="S154" s="19">
        <f t="shared" si="31"/>
        <v>8.84615384615385</v>
      </c>
      <c r="T154" s="19">
        <v>0</v>
      </c>
      <c r="U154" s="19">
        <v>0</v>
      </c>
      <c r="V154" s="19">
        <v>10</v>
      </c>
      <c r="W154" s="19">
        <v>2.5</v>
      </c>
      <c r="X154" s="19">
        <v>8</v>
      </c>
      <c r="Y154" s="19">
        <v>0</v>
      </c>
      <c r="Z154" s="19">
        <v>0</v>
      </c>
      <c r="AA154" s="36">
        <v>0</v>
      </c>
      <c r="AB154" s="36">
        <f t="shared" si="23"/>
        <v>220.692307692308</v>
      </c>
      <c r="AC154" s="19">
        <f>VLOOKUP(B154,[2]Sheet1!$B$2:$N$199,11,0)/4000</f>
        <v>4.47575</v>
      </c>
      <c r="AD154" s="19">
        <v>0</v>
      </c>
      <c r="AE154" s="19">
        <f>VLOOKUP(B154,'[1]A05'!$E$7:$L$28,7,0)</f>
        <v>100</v>
      </c>
      <c r="AF154" s="19">
        <f t="shared" si="28"/>
        <v>104.47575</v>
      </c>
      <c r="AG154" s="86">
        <f t="shared" si="29"/>
        <v>116.22</v>
      </c>
      <c r="AH154" s="19"/>
      <c r="AI154" s="60"/>
      <c r="AJ154" s="74"/>
    </row>
    <row r="155" s="5" customFormat="1" ht="21" customHeight="1" spans="1:36">
      <c r="A155" s="19">
        <v>147</v>
      </c>
      <c r="B155" s="75" t="s">
        <v>758</v>
      </c>
      <c r="C155" s="20" t="s">
        <v>759</v>
      </c>
      <c r="D155" s="20" t="s">
        <v>760</v>
      </c>
      <c r="E155" s="21">
        <v>44953</v>
      </c>
      <c r="F155" s="19" t="s">
        <v>108</v>
      </c>
      <c r="G155" s="75" t="s">
        <v>668</v>
      </c>
      <c r="H155" s="76" t="s">
        <v>229</v>
      </c>
      <c r="I155" s="19">
        <v>4</v>
      </c>
      <c r="J155" s="19">
        <f t="shared" si="24"/>
        <v>22</v>
      </c>
      <c r="K155" s="19">
        <v>198</v>
      </c>
      <c r="L155" s="36">
        <f t="shared" si="25"/>
        <v>30.4615384615385</v>
      </c>
      <c r="M155" s="84">
        <f t="shared" si="26"/>
        <v>167.538461538462</v>
      </c>
      <c r="N155" s="19">
        <v>2</v>
      </c>
      <c r="O155" s="19">
        <f t="shared" si="30"/>
        <v>2.85576923076923</v>
      </c>
      <c r="P155" s="85">
        <v>0</v>
      </c>
      <c r="Q155" s="85">
        <f t="shared" si="27"/>
        <v>0</v>
      </c>
      <c r="R155" s="19">
        <v>0</v>
      </c>
      <c r="S155" s="19">
        <v>5</v>
      </c>
      <c r="T155" s="19">
        <v>0</v>
      </c>
      <c r="U155" s="19">
        <v>0</v>
      </c>
      <c r="V155" s="19">
        <v>5</v>
      </c>
      <c r="W155" s="19">
        <v>0.5</v>
      </c>
      <c r="X155" s="19">
        <v>4</v>
      </c>
      <c r="Y155" s="19">
        <v>0</v>
      </c>
      <c r="Z155" s="19">
        <v>0</v>
      </c>
      <c r="AA155" s="36">
        <v>0</v>
      </c>
      <c r="AB155" s="36">
        <f t="shared" si="23"/>
        <v>47.8173076923077</v>
      </c>
      <c r="AC155" s="19">
        <v>0</v>
      </c>
      <c r="AD155" s="19">
        <v>0</v>
      </c>
      <c r="AE155" s="19">
        <v>0</v>
      </c>
      <c r="AF155" s="19">
        <f t="shared" si="28"/>
        <v>0</v>
      </c>
      <c r="AG155" s="86">
        <f t="shared" si="29"/>
        <v>47.82</v>
      </c>
      <c r="AH155" s="19"/>
      <c r="AI155" s="60"/>
      <c r="AJ155" s="74"/>
    </row>
    <row r="156" s="5" customFormat="1" ht="21" customHeight="1" spans="1:36">
      <c r="A156" s="19">
        <v>148</v>
      </c>
      <c r="B156" s="75" t="s">
        <v>764</v>
      </c>
      <c r="C156" s="20" t="s">
        <v>765</v>
      </c>
      <c r="D156" s="20" t="s">
        <v>766</v>
      </c>
      <c r="E156" s="21">
        <v>44729</v>
      </c>
      <c r="F156" s="19" t="s">
        <v>108</v>
      </c>
      <c r="G156" s="19" t="s">
        <v>767</v>
      </c>
      <c r="H156" s="19" t="s">
        <v>223</v>
      </c>
      <c r="I156" s="19">
        <v>23</v>
      </c>
      <c r="J156" s="19">
        <f t="shared" si="24"/>
        <v>3</v>
      </c>
      <c r="K156" s="19">
        <v>200</v>
      </c>
      <c r="L156" s="36">
        <f t="shared" si="25"/>
        <v>176.923076923077</v>
      </c>
      <c r="M156" s="84">
        <f t="shared" si="26"/>
        <v>23.0769230769231</v>
      </c>
      <c r="N156" s="19">
        <v>1</v>
      </c>
      <c r="O156" s="19">
        <f t="shared" si="30"/>
        <v>1.44230769230769</v>
      </c>
      <c r="P156" s="19">
        <v>0</v>
      </c>
      <c r="Q156" s="19">
        <f t="shared" si="27"/>
        <v>0</v>
      </c>
      <c r="R156" s="19">
        <v>0</v>
      </c>
      <c r="S156" s="36">
        <f t="shared" ref="S156:S195" si="32">10/26*I156</f>
        <v>8.84615384615385</v>
      </c>
      <c r="T156" s="19">
        <v>14.23</v>
      </c>
      <c r="U156" s="19">
        <v>30</v>
      </c>
      <c r="V156" s="19">
        <v>10</v>
      </c>
      <c r="W156" s="19">
        <v>0.5</v>
      </c>
      <c r="X156" s="19">
        <v>8</v>
      </c>
      <c r="Y156" s="19">
        <v>0</v>
      </c>
      <c r="Z156" s="19">
        <f>VLOOKUP(B156,'[3]Annual Leave '!$B$7:$Q$98,13,0)</f>
        <v>43.08</v>
      </c>
      <c r="AA156" s="19">
        <f>VLOOKUP(B156,'[3]Annual Leave '!$B$7:$Q$98,15,0)</f>
        <v>49.7040976331361</v>
      </c>
      <c r="AB156" s="36">
        <f t="shared" ref="AB156:AB171" si="33">SUM(L156+O156+Q156+R156+S156+T156+U156+V156+X156+Y156+Z156+AA156+W156)</f>
        <v>342.725636094675</v>
      </c>
      <c r="AC156" s="19">
        <f>VLOOKUP(B156,[2]Sheet1!$B$2:$N$199,11,0)/4000</f>
        <v>6</v>
      </c>
      <c r="AD156" s="19">
        <v>0</v>
      </c>
      <c r="AE156" s="19">
        <f>VLOOKUP(B156,[1]烫组អ៊ុត!$E$7:$L$20,7,0)</f>
        <v>100</v>
      </c>
      <c r="AF156" s="19">
        <f t="shared" si="28"/>
        <v>106</v>
      </c>
      <c r="AG156" s="86">
        <f t="shared" si="29"/>
        <v>236.73</v>
      </c>
      <c r="AH156" s="129"/>
      <c r="AI156" s="130"/>
      <c r="AJ156" s="74"/>
    </row>
    <row r="157" s="5" customFormat="1" ht="21" customHeight="1" spans="1:36">
      <c r="A157" s="19">
        <v>149</v>
      </c>
      <c r="B157" s="75" t="s">
        <v>770</v>
      </c>
      <c r="C157" s="20" t="s">
        <v>771</v>
      </c>
      <c r="D157" s="20" t="s">
        <v>772</v>
      </c>
      <c r="E157" s="21">
        <v>44726</v>
      </c>
      <c r="F157" s="19" t="s">
        <v>96</v>
      </c>
      <c r="G157" s="19" t="s">
        <v>767</v>
      </c>
      <c r="H157" s="22" t="s">
        <v>773</v>
      </c>
      <c r="I157" s="19">
        <v>23</v>
      </c>
      <c r="J157" s="19">
        <f t="shared" si="24"/>
        <v>3</v>
      </c>
      <c r="K157" s="19">
        <v>200</v>
      </c>
      <c r="L157" s="36">
        <f t="shared" si="25"/>
        <v>176.923076923077</v>
      </c>
      <c r="M157" s="84">
        <f t="shared" si="26"/>
        <v>23.0769230769231</v>
      </c>
      <c r="N157" s="19">
        <v>4</v>
      </c>
      <c r="O157" s="19">
        <f t="shared" si="30"/>
        <v>5.76923076923077</v>
      </c>
      <c r="P157" s="19">
        <v>0</v>
      </c>
      <c r="Q157" s="19">
        <f t="shared" si="27"/>
        <v>0</v>
      </c>
      <c r="R157" s="19">
        <v>0</v>
      </c>
      <c r="S157" s="36">
        <f t="shared" si="32"/>
        <v>8.84615384615385</v>
      </c>
      <c r="T157" s="19">
        <v>0</v>
      </c>
      <c r="U157" s="19">
        <v>0</v>
      </c>
      <c r="V157" s="19">
        <v>10</v>
      </c>
      <c r="W157" s="19">
        <v>1</v>
      </c>
      <c r="X157" s="19">
        <v>8</v>
      </c>
      <c r="Y157" s="19">
        <v>0</v>
      </c>
      <c r="Z157" s="19">
        <f>VLOOKUP(B157,'[3]Annual Leave '!$B$7:$Q$98,13,0)</f>
        <v>32.05</v>
      </c>
      <c r="AA157" s="19">
        <f>VLOOKUP(B157,'[3]Annual Leave '!$B$7:$Q$98,15,0)</f>
        <v>36.9810465976331</v>
      </c>
      <c r="AB157" s="36">
        <f t="shared" si="33"/>
        <v>279.569508136095</v>
      </c>
      <c r="AC157" s="19">
        <f>VLOOKUP(B157,[2]Sheet1!$B$2:$N$199,11,0)/4000</f>
        <v>4.86525</v>
      </c>
      <c r="AD157" s="19">
        <v>0</v>
      </c>
      <c r="AE157" s="19">
        <f>VLOOKUP(B157,[1]烫组អ៊ុត!$E$7:$L$20,7,0)</f>
        <v>100</v>
      </c>
      <c r="AF157" s="19">
        <f t="shared" si="28"/>
        <v>104.86525</v>
      </c>
      <c r="AG157" s="86">
        <f t="shared" si="29"/>
        <v>174.7</v>
      </c>
      <c r="AH157" s="129"/>
      <c r="AI157" s="130"/>
      <c r="AJ157" s="74"/>
    </row>
    <row r="158" s="5" customFormat="1" ht="21" customHeight="1" spans="1:36">
      <c r="A158" s="19">
        <v>150</v>
      </c>
      <c r="B158" s="75" t="s">
        <v>775</v>
      </c>
      <c r="C158" s="20" t="s">
        <v>776</v>
      </c>
      <c r="D158" s="20" t="s">
        <v>777</v>
      </c>
      <c r="E158" s="21">
        <v>44726</v>
      </c>
      <c r="F158" s="19" t="s">
        <v>96</v>
      </c>
      <c r="G158" s="19" t="s">
        <v>767</v>
      </c>
      <c r="H158" s="22" t="s">
        <v>773</v>
      </c>
      <c r="I158" s="19">
        <v>20.75</v>
      </c>
      <c r="J158" s="19">
        <f t="shared" si="24"/>
        <v>5.25</v>
      </c>
      <c r="K158" s="19">
        <v>200</v>
      </c>
      <c r="L158" s="36">
        <f t="shared" si="25"/>
        <v>159.615384615385</v>
      </c>
      <c r="M158" s="84">
        <f t="shared" si="26"/>
        <v>40.3846153846154</v>
      </c>
      <c r="N158" s="19">
        <v>0</v>
      </c>
      <c r="O158" s="19">
        <f t="shared" si="30"/>
        <v>0</v>
      </c>
      <c r="P158" s="19">
        <v>0</v>
      </c>
      <c r="Q158" s="19">
        <f t="shared" si="27"/>
        <v>0</v>
      </c>
      <c r="R158" s="19">
        <v>0</v>
      </c>
      <c r="S158" s="36">
        <f t="shared" si="32"/>
        <v>7.98076923076923</v>
      </c>
      <c r="T158" s="19">
        <v>0</v>
      </c>
      <c r="U158" s="19">
        <v>0</v>
      </c>
      <c r="V158" s="19">
        <v>10</v>
      </c>
      <c r="W158" s="19">
        <v>0</v>
      </c>
      <c r="X158" s="19">
        <v>8</v>
      </c>
      <c r="Y158" s="19">
        <v>0</v>
      </c>
      <c r="Z158" s="19">
        <f>VLOOKUP(B158,'[3]Annual Leave '!$B$7:$Q$98,13,0)</f>
        <v>34.44</v>
      </c>
      <c r="AA158" s="19">
        <f>VLOOKUP(B158,'[3]Annual Leave '!$B$7:$Q$98,15,0)</f>
        <v>39.735299556213</v>
      </c>
      <c r="AB158" s="36">
        <f t="shared" si="33"/>
        <v>259.771453402367</v>
      </c>
      <c r="AC158" s="19">
        <f>VLOOKUP(B158,[2]Sheet1!$B$2:$N$199,11,0)/4000</f>
        <v>5.1495</v>
      </c>
      <c r="AD158" s="19">
        <v>0</v>
      </c>
      <c r="AE158" s="19">
        <f>VLOOKUP(B158,[1]烫组អ៊ុត!$E$7:$L$20,7,0)</f>
        <v>50</v>
      </c>
      <c r="AF158" s="19">
        <f t="shared" si="28"/>
        <v>55.1495</v>
      </c>
      <c r="AG158" s="86">
        <f t="shared" si="29"/>
        <v>204.62</v>
      </c>
      <c r="AH158" s="129"/>
      <c r="AI158" s="130"/>
      <c r="AJ158" s="74"/>
    </row>
    <row r="159" s="5" customFormat="1" ht="21" customHeight="1" spans="1:36">
      <c r="A159" s="19">
        <v>151</v>
      </c>
      <c r="B159" s="75" t="s">
        <v>779</v>
      </c>
      <c r="C159" s="20" t="s">
        <v>780</v>
      </c>
      <c r="D159" s="20" t="s">
        <v>781</v>
      </c>
      <c r="E159" s="21">
        <v>44726</v>
      </c>
      <c r="F159" s="19" t="s">
        <v>96</v>
      </c>
      <c r="G159" s="19" t="s">
        <v>767</v>
      </c>
      <c r="H159" s="22" t="s">
        <v>773</v>
      </c>
      <c r="I159" s="19">
        <v>19.75</v>
      </c>
      <c r="J159" s="19">
        <f t="shared" si="24"/>
        <v>6.25</v>
      </c>
      <c r="K159" s="19">
        <v>200</v>
      </c>
      <c r="L159" s="36">
        <f t="shared" si="25"/>
        <v>151.923076923077</v>
      </c>
      <c r="M159" s="84">
        <f t="shared" si="26"/>
        <v>48.0769230769231</v>
      </c>
      <c r="N159" s="19">
        <v>0</v>
      </c>
      <c r="O159" s="19">
        <f t="shared" si="30"/>
        <v>0</v>
      </c>
      <c r="P159" s="19">
        <v>0</v>
      </c>
      <c r="Q159" s="19">
        <f t="shared" si="27"/>
        <v>0</v>
      </c>
      <c r="R159" s="19">
        <v>0</v>
      </c>
      <c r="S159" s="36">
        <f t="shared" si="32"/>
        <v>7.59615384615385</v>
      </c>
      <c r="T159" s="19">
        <v>0</v>
      </c>
      <c r="U159" s="19">
        <v>0</v>
      </c>
      <c r="V159" s="19">
        <v>10</v>
      </c>
      <c r="W159" s="19">
        <v>0</v>
      </c>
      <c r="X159" s="19">
        <v>8</v>
      </c>
      <c r="Y159" s="19">
        <v>0</v>
      </c>
      <c r="Z159" s="19">
        <f>VLOOKUP(B159,'[3]Annual Leave '!$B$7:$Q$98,13,0)</f>
        <v>33.46</v>
      </c>
      <c r="AA159" s="19">
        <f>VLOOKUP(B159,'[3]Annual Leave '!$B$7:$Q$98,15,0)</f>
        <v>38.6022559171598</v>
      </c>
      <c r="AB159" s="36">
        <f t="shared" si="33"/>
        <v>249.581486686391</v>
      </c>
      <c r="AC159" s="19">
        <f>VLOOKUP(B159,[2]Sheet1!$B$2:$N$199,11,0)/4000</f>
        <v>4.66475</v>
      </c>
      <c r="AD159" s="19">
        <v>0</v>
      </c>
      <c r="AE159" s="19">
        <f>VLOOKUP(B159,[1]烫组អ៊ុត!$E$7:$L$20,7,0)</f>
        <v>100</v>
      </c>
      <c r="AF159" s="19">
        <f t="shared" si="28"/>
        <v>104.66475</v>
      </c>
      <c r="AG159" s="86">
        <f t="shared" si="29"/>
        <v>144.92</v>
      </c>
      <c r="AH159" s="129"/>
      <c r="AI159" s="130"/>
      <c r="AJ159" s="74"/>
    </row>
    <row r="160" s="5" customFormat="1" ht="21" customHeight="1" spans="1:36">
      <c r="A160" s="19">
        <v>152</v>
      </c>
      <c r="B160" s="75" t="s">
        <v>783</v>
      </c>
      <c r="C160" s="20" t="s">
        <v>784</v>
      </c>
      <c r="D160" s="20" t="s">
        <v>785</v>
      </c>
      <c r="E160" s="21">
        <v>44726</v>
      </c>
      <c r="F160" s="19" t="s">
        <v>96</v>
      </c>
      <c r="G160" s="19" t="s">
        <v>767</v>
      </c>
      <c r="H160" s="22" t="s">
        <v>773</v>
      </c>
      <c r="I160" s="19">
        <v>20.5</v>
      </c>
      <c r="J160" s="19">
        <f t="shared" si="24"/>
        <v>5.5</v>
      </c>
      <c r="K160" s="19">
        <v>200</v>
      </c>
      <c r="L160" s="36">
        <f t="shared" si="25"/>
        <v>157.692307692308</v>
      </c>
      <c r="M160" s="84">
        <f t="shared" si="26"/>
        <v>42.3076923076923</v>
      </c>
      <c r="N160" s="19">
        <v>4</v>
      </c>
      <c r="O160" s="19">
        <f t="shared" si="30"/>
        <v>5.76923076923077</v>
      </c>
      <c r="P160" s="19">
        <v>0</v>
      </c>
      <c r="Q160" s="19">
        <f t="shared" si="27"/>
        <v>0</v>
      </c>
      <c r="R160" s="19">
        <v>0</v>
      </c>
      <c r="S160" s="36">
        <f t="shared" si="32"/>
        <v>7.88461538461539</v>
      </c>
      <c r="T160" s="19">
        <v>0</v>
      </c>
      <c r="U160" s="19">
        <v>0</v>
      </c>
      <c r="V160" s="19">
        <v>10</v>
      </c>
      <c r="W160" s="19">
        <v>1</v>
      </c>
      <c r="X160" s="19">
        <v>8</v>
      </c>
      <c r="Y160" s="19">
        <v>0</v>
      </c>
      <c r="Z160" s="19">
        <f>VLOOKUP(B160,'[3]Annual Leave '!$B$7:$Q$98,13,0)</f>
        <v>34.6</v>
      </c>
      <c r="AA160" s="19">
        <f>VLOOKUP(B160,'[3]Annual Leave '!$B$7:$Q$98,15,0)</f>
        <v>39.9212740384615</v>
      </c>
      <c r="AB160" s="36">
        <f t="shared" si="33"/>
        <v>264.867427884615</v>
      </c>
      <c r="AC160" s="19">
        <f>VLOOKUP(B160,[2]Sheet1!$B$2:$N$199,11,0)/4000</f>
        <v>5.203</v>
      </c>
      <c r="AD160" s="19">
        <v>0</v>
      </c>
      <c r="AE160" s="19">
        <f>VLOOKUP(B160,[1]烫组អ៊ុត!$E$7:$L$20,7,0)</f>
        <v>50</v>
      </c>
      <c r="AF160" s="19">
        <f t="shared" si="28"/>
        <v>55.203</v>
      </c>
      <c r="AG160" s="86">
        <f t="shared" si="29"/>
        <v>209.66</v>
      </c>
      <c r="AH160" s="129"/>
      <c r="AI160" s="130"/>
      <c r="AJ160" s="74"/>
    </row>
    <row r="161" s="5" customFormat="1" ht="21" customHeight="1" spans="1:36">
      <c r="A161" s="19">
        <v>153</v>
      </c>
      <c r="B161" s="75" t="s">
        <v>787</v>
      </c>
      <c r="C161" s="81" t="s">
        <v>788</v>
      </c>
      <c r="D161" s="20" t="s">
        <v>789</v>
      </c>
      <c r="E161" s="21">
        <v>44727</v>
      </c>
      <c r="F161" s="19" t="s">
        <v>96</v>
      </c>
      <c r="G161" s="19" t="s">
        <v>767</v>
      </c>
      <c r="H161" s="22" t="s">
        <v>773</v>
      </c>
      <c r="I161" s="19">
        <v>21.75</v>
      </c>
      <c r="J161" s="19">
        <f t="shared" si="24"/>
        <v>4.25</v>
      </c>
      <c r="K161" s="19">
        <v>200</v>
      </c>
      <c r="L161" s="36">
        <f t="shared" si="25"/>
        <v>167.307692307692</v>
      </c>
      <c r="M161" s="84">
        <f t="shared" si="26"/>
        <v>32.6923076923077</v>
      </c>
      <c r="N161" s="19">
        <v>0</v>
      </c>
      <c r="O161" s="19">
        <f t="shared" si="30"/>
        <v>0</v>
      </c>
      <c r="P161" s="19">
        <v>0</v>
      </c>
      <c r="Q161" s="19">
        <f t="shared" si="27"/>
        <v>0</v>
      </c>
      <c r="R161" s="19">
        <v>0</v>
      </c>
      <c r="S161" s="36">
        <f t="shared" si="32"/>
        <v>8.36538461538461</v>
      </c>
      <c r="T161" s="19">
        <v>0</v>
      </c>
      <c r="U161" s="19">
        <v>0</v>
      </c>
      <c r="V161" s="19">
        <v>10</v>
      </c>
      <c r="W161" s="19">
        <v>0</v>
      </c>
      <c r="X161" s="19">
        <v>8</v>
      </c>
      <c r="Y161" s="19">
        <v>0</v>
      </c>
      <c r="Z161" s="19">
        <f>VLOOKUP(B161,'[3]Annual Leave '!$B$7:$Q$98,13,0)</f>
        <v>34.5</v>
      </c>
      <c r="AA161" s="19">
        <f>VLOOKUP(B161,'[3]Annual Leave '!$B$7:$Q$98,15,0)</f>
        <v>39.8088017751479</v>
      </c>
      <c r="AB161" s="36">
        <f t="shared" si="33"/>
        <v>267.981878698225</v>
      </c>
      <c r="AC161" s="19">
        <f>VLOOKUP(B161,[2]Sheet1!$B$2:$N$199,11,0)/4000</f>
        <v>5.095</v>
      </c>
      <c r="AD161" s="19">
        <v>0</v>
      </c>
      <c r="AE161" s="19">
        <f>VLOOKUP(B161,[1]烫组អ៊ុត!$E$7:$L$20,7,0)</f>
        <v>100</v>
      </c>
      <c r="AF161" s="19">
        <f t="shared" si="28"/>
        <v>105.095</v>
      </c>
      <c r="AG161" s="86">
        <f t="shared" si="29"/>
        <v>162.89</v>
      </c>
      <c r="AH161" s="129"/>
      <c r="AI161" s="130"/>
      <c r="AJ161" s="74"/>
    </row>
    <row r="162" s="5" customFormat="1" ht="21" customHeight="1" spans="1:36">
      <c r="A162" s="19">
        <v>154</v>
      </c>
      <c r="B162" s="75" t="s">
        <v>791</v>
      </c>
      <c r="C162" s="20" t="s">
        <v>792</v>
      </c>
      <c r="D162" s="20" t="s">
        <v>793</v>
      </c>
      <c r="E162" s="21">
        <v>44727</v>
      </c>
      <c r="F162" s="19" t="s">
        <v>96</v>
      </c>
      <c r="G162" s="19" t="s">
        <v>767</v>
      </c>
      <c r="H162" s="22" t="s">
        <v>773</v>
      </c>
      <c r="I162" s="19">
        <v>22</v>
      </c>
      <c r="J162" s="19">
        <f t="shared" si="24"/>
        <v>4</v>
      </c>
      <c r="K162" s="19">
        <v>200</v>
      </c>
      <c r="L162" s="36">
        <f t="shared" si="25"/>
        <v>169.230769230769</v>
      </c>
      <c r="M162" s="84">
        <f t="shared" si="26"/>
        <v>30.7692307692308</v>
      </c>
      <c r="N162" s="19">
        <v>0</v>
      </c>
      <c r="O162" s="19">
        <f t="shared" si="30"/>
        <v>0</v>
      </c>
      <c r="P162" s="19">
        <v>0</v>
      </c>
      <c r="Q162" s="19">
        <f t="shared" si="27"/>
        <v>0</v>
      </c>
      <c r="R162" s="19">
        <v>0</v>
      </c>
      <c r="S162" s="36">
        <f t="shared" si="32"/>
        <v>8.46153846153846</v>
      </c>
      <c r="T162" s="19">
        <v>0</v>
      </c>
      <c r="U162" s="19">
        <v>0</v>
      </c>
      <c r="V162" s="19">
        <v>10</v>
      </c>
      <c r="W162" s="19">
        <v>0</v>
      </c>
      <c r="X162" s="19">
        <v>8</v>
      </c>
      <c r="Y162" s="19">
        <v>0</v>
      </c>
      <c r="Z162" s="19">
        <f>VLOOKUP(B162,'[3]Annual Leave '!$B$7:$Q$98,13,0)</f>
        <v>34.65</v>
      </c>
      <c r="AA162" s="19">
        <f>VLOOKUP(B162,'[3]Annual Leave '!$B$7:$Q$98,15,0)</f>
        <v>39.9828494822485</v>
      </c>
      <c r="AB162" s="36">
        <f t="shared" si="33"/>
        <v>270.325157174556</v>
      </c>
      <c r="AC162" s="19">
        <f>VLOOKUP(B162,[2]Sheet1!$B$2:$N$199,11,0)/4000</f>
        <v>5.203</v>
      </c>
      <c r="AD162" s="19">
        <v>0</v>
      </c>
      <c r="AE162" s="19">
        <f>VLOOKUP(B162,[1]烫组អ៊ុត!$E$7:$L$20,7,0)</f>
        <v>100</v>
      </c>
      <c r="AF162" s="19">
        <f t="shared" si="28"/>
        <v>105.203</v>
      </c>
      <c r="AG162" s="86">
        <f t="shared" si="29"/>
        <v>165.12</v>
      </c>
      <c r="AH162" s="129"/>
      <c r="AI162" s="130"/>
      <c r="AJ162" s="74"/>
    </row>
    <row r="163" s="5" customFormat="1" ht="21" customHeight="1" spans="1:36">
      <c r="A163" s="19">
        <v>155</v>
      </c>
      <c r="B163" s="75" t="s">
        <v>795</v>
      </c>
      <c r="C163" s="20" t="s">
        <v>796</v>
      </c>
      <c r="D163" s="20" t="s">
        <v>797</v>
      </c>
      <c r="E163" s="21">
        <v>44727</v>
      </c>
      <c r="F163" s="19" t="s">
        <v>96</v>
      </c>
      <c r="G163" s="19" t="s">
        <v>767</v>
      </c>
      <c r="H163" s="22" t="s">
        <v>773</v>
      </c>
      <c r="I163" s="19">
        <v>21.25</v>
      </c>
      <c r="J163" s="19">
        <f t="shared" si="24"/>
        <v>4.75</v>
      </c>
      <c r="K163" s="19">
        <v>200</v>
      </c>
      <c r="L163" s="36">
        <f t="shared" si="25"/>
        <v>163.461538461538</v>
      </c>
      <c r="M163" s="84">
        <f t="shared" si="26"/>
        <v>36.5384615384615</v>
      </c>
      <c r="N163" s="19">
        <v>0</v>
      </c>
      <c r="O163" s="19">
        <f t="shared" si="30"/>
        <v>0</v>
      </c>
      <c r="P163" s="19">
        <v>0</v>
      </c>
      <c r="Q163" s="19">
        <f t="shared" si="27"/>
        <v>0</v>
      </c>
      <c r="R163" s="19">
        <v>0</v>
      </c>
      <c r="S163" s="36">
        <f t="shared" si="32"/>
        <v>8.17307692307692</v>
      </c>
      <c r="T163" s="19">
        <v>0</v>
      </c>
      <c r="U163" s="19">
        <v>0</v>
      </c>
      <c r="V163" s="19">
        <v>10</v>
      </c>
      <c r="W163" s="19">
        <v>0</v>
      </c>
      <c r="X163" s="19">
        <v>8</v>
      </c>
      <c r="Y163" s="19">
        <v>0</v>
      </c>
      <c r="Z163" s="19">
        <f>VLOOKUP(B163,'[3]Annual Leave '!$B$7:$Q$98,13,0)</f>
        <v>34.89</v>
      </c>
      <c r="AA163" s="19">
        <f>VLOOKUP(B163,'[3]Annual Leave '!$B$7:$Q$98,15,0)</f>
        <v>40.2614644970414</v>
      </c>
      <c r="AB163" s="36">
        <f t="shared" si="33"/>
        <v>264.786079881657</v>
      </c>
      <c r="AC163" s="19">
        <f>VLOOKUP(B163,[2]Sheet1!$B$2:$N$199,11,0)/4000</f>
        <v>5.2565</v>
      </c>
      <c r="AD163" s="19">
        <v>0</v>
      </c>
      <c r="AE163" s="19">
        <f>VLOOKUP(B163,[1]烫组អ៊ុត!$E$7:$L$20,7,0)</f>
        <v>100</v>
      </c>
      <c r="AF163" s="19">
        <f t="shared" si="28"/>
        <v>105.2565</v>
      </c>
      <c r="AG163" s="86">
        <f t="shared" si="29"/>
        <v>159.53</v>
      </c>
      <c r="AH163" s="129"/>
      <c r="AI163" s="130"/>
      <c r="AJ163" s="74"/>
    </row>
    <row r="164" s="5" customFormat="1" ht="21" customHeight="1" spans="1:36">
      <c r="A164" s="19">
        <v>156</v>
      </c>
      <c r="B164" s="75" t="s">
        <v>798</v>
      </c>
      <c r="C164" s="81" t="s">
        <v>799</v>
      </c>
      <c r="D164" s="20" t="s">
        <v>800</v>
      </c>
      <c r="E164" s="21">
        <v>44727</v>
      </c>
      <c r="F164" s="19" t="s">
        <v>108</v>
      </c>
      <c r="G164" s="19" t="s">
        <v>767</v>
      </c>
      <c r="H164" s="19" t="s">
        <v>801</v>
      </c>
      <c r="I164" s="19">
        <v>20.75</v>
      </c>
      <c r="J164" s="19">
        <f t="shared" si="24"/>
        <v>5.25</v>
      </c>
      <c r="K164" s="19">
        <v>200</v>
      </c>
      <c r="L164" s="36">
        <f t="shared" si="25"/>
        <v>159.615384615385</v>
      </c>
      <c r="M164" s="84">
        <f t="shared" si="26"/>
        <v>40.3846153846154</v>
      </c>
      <c r="N164" s="19">
        <v>0</v>
      </c>
      <c r="O164" s="19">
        <f t="shared" si="30"/>
        <v>0</v>
      </c>
      <c r="P164" s="19">
        <v>0</v>
      </c>
      <c r="Q164" s="19">
        <f t="shared" si="27"/>
        <v>0</v>
      </c>
      <c r="R164" s="19">
        <v>0</v>
      </c>
      <c r="S164" s="36">
        <f t="shared" si="32"/>
        <v>7.98076923076923</v>
      </c>
      <c r="T164" s="19">
        <v>0</v>
      </c>
      <c r="U164" s="19">
        <v>0</v>
      </c>
      <c r="V164" s="19">
        <v>10</v>
      </c>
      <c r="W164" s="19">
        <v>0</v>
      </c>
      <c r="X164" s="19">
        <v>8</v>
      </c>
      <c r="Y164" s="19">
        <v>0</v>
      </c>
      <c r="Z164" s="19">
        <f>VLOOKUP(B164,'[3]Annual Leave '!$B$7:$Q$98,13,0)</f>
        <v>34.12</v>
      </c>
      <c r="AA164" s="19">
        <f>VLOOKUP(B164,'[3]Annual Leave '!$B$7:$Q$98,15,0)</f>
        <v>39.3705621301775</v>
      </c>
      <c r="AB164" s="36">
        <f t="shared" si="33"/>
        <v>259.086715976331</v>
      </c>
      <c r="AC164" s="19">
        <f>VLOOKUP(B164,[2]Sheet1!$B$2:$N$199,11,0)/4000</f>
        <v>4.93875</v>
      </c>
      <c r="AD164" s="19">
        <v>0</v>
      </c>
      <c r="AE164" s="19">
        <f>VLOOKUP(B164,[1]烫组អ៊ុត!$E$7:$L$20,7,0)</f>
        <v>100</v>
      </c>
      <c r="AF164" s="19">
        <f t="shared" si="28"/>
        <v>104.93875</v>
      </c>
      <c r="AG164" s="86">
        <f t="shared" si="29"/>
        <v>154.15</v>
      </c>
      <c r="AH164" s="129"/>
      <c r="AI164" s="130"/>
      <c r="AJ164" s="74"/>
    </row>
    <row r="165" s="5" customFormat="1" ht="21" customHeight="1" spans="1:36">
      <c r="A165" s="19">
        <v>157</v>
      </c>
      <c r="B165" s="75" t="s">
        <v>803</v>
      </c>
      <c r="C165" s="81" t="s">
        <v>804</v>
      </c>
      <c r="D165" s="20" t="s">
        <v>805</v>
      </c>
      <c r="E165" s="21">
        <v>44727</v>
      </c>
      <c r="F165" s="19" t="s">
        <v>108</v>
      </c>
      <c r="G165" s="19" t="s">
        <v>767</v>
      </c>
      <c r="H165" s="19" t="s">
        <v>801</v>
      </c>
      <c r="I165" s="19">
        <v>22</v>
      </c>
      <c r="J165" s="19">
        <f t="shared" si="24"/>
        <v>4</v>
      </c>
      <c r="K165" s="19">
        <v>200</v>
      </c>
      <c r="L165" s="36">
        <f t="shared" si="25"/>
        <v>169.230769230769</v>
      </c>
      <c r="M165" s="84">
        <f t="shared" si="26"/>
        <v>30.7692307692308</v>
      </c>
      <c r="N165" s="19">
        <v>5</v>
      </c>
      <c r="O165" s="19">
        <f t="shared" si="30"/>
        <v>7.21153846153846</v>
      </c>
      <c r="P165" s="19">
        <v>0</v>
      </c>
      <c r="Q165" s="19">
        <f t="shared" si="27"/>
        <v>0</v>
      </c>
      <c r="R165" s="19">
        <v>0</v>
      </c>
      <c r="S165" s="36">
        <f t="shared" si="32"/>
        <v>8.46153846153846</v>
      </c>
      <c r="T165" s="19">
        <v>0</v>
      </c>
      <c r="U165" s="19">
        <v>0</v>
      </c>
      <c r="V165" s="19">
        <v>10</v>
      </c>
      <c r="W165" s="19">
        <v>2</v>
      </c>
      <c r="X165" s="19">
        <v>8</v>
      </c>
      <c r="Y165" s="19">
        <v>0</v>
      </c>
      <c r="Z165" s="19">
        <f>VLOOKUP(B165,'[3]Annual Leave '!$B$7:$Q$98,13,0)</f>
        <v>34.88</v>
      </c>
      <c r="AA165" s="19">
        <f>VLOOKUP(B165,'[3]Annual Leave '!$B$7:$Q$98,15,0)</f>
        <v>40.2505085059171</v>
      </c>
      <c r="AB165" s="36">
        <f t="shared" si="33"/>
        <v>280.034354659763</v>
      </c>
      <c r="AC165" s="19">
        <f>VLOOKUP(B165,[2]Sheet1!$B$2:$N$199,11,0)/4000</f>
        <v>5.096</v>
      </c>
      <c r="AD165" s="19">
        <v>0</v>
      </c>
      <c r="AE165" s="19">
        <f>VLOOKUP(B165,[1]烫组អ៊ុត!$E$7:$L$20,7,0)</f>
        <v>100</v>
      </c>
      <c r="AF165" s="19">
        <f t="shared" si="28"/>
        <v>105.096</v>
      </c>
      <c r="AG165" s="86">
        <f t="shared" si="29"/>
        <v>174.94</v>
      </c>
      <c r="AH165" s="129"/>
      <c r="AI165" s="130"/>
      <c r="AJ165" s="74"/>
    </row>
    <row r="166" s="5" customFormat="1" ht="21" customHeight="1" spans="1:36">
      <c r="A166" s="19">
        <v>158</v>
      </c>
      <c r="B166" s="75" t="s">
        <v>807</v>
      </c>
      <c r="C166" s="20" t="s">
        <v>808</v>
      </c>
      <c r="D166" s="20" t="s">
        <v>809</v>
      </c>
      <c r="E166" s="21">
        <v>44727</v>
      </c>
      <c r="F166" s="19" t="s">
        <v>108</v>
      </c>
      <c r="G166" s="19" t="s">
        <v>767</v>
      </c>
      <c r="H166" s="19" t="s">
        <v>801</v>
      </c>
      <c r="I166" s="19">
        <v>20.5</v>
      </c>
      <c r="J166" s="19">
        <f t="shared" si="24"/>
        <v>5.5</v>
      </c>
      <c r="K166" s="19">
        <v>200</v>
      </c>
      <c r="L166" s="36">
        <f t="shared" si="25"/>
        <v>157.692307692308</v>
      </c>
      <c r="M166" s="84">
        <f t="shared" si="26"/>
        <v>42.3076923076923</v>
      </c>
      <c r="N166" s="19">
        <v>5</v>
      </c>
      <c r="O166" s="19">
        <f t="shared" si="30"/>
        <v>7.21153846153846</v>
      </c>
      <c r="P166" s="19">
        <v>0</v>
      </c>
      <c r="Q166" s="19">
        <f t="shared" si="27"/>
        <v>0</v>
      </c>
      <c r="R166" s="19">
        <v>0</v>
      </c>
      <c r="S166" s="36">
        <f t="shared" si="32"/>
        <v>7.88461538461539</v>
      </c>
      <c r="T166" s="19">
        <v>0</v>
      </c>
      <c r="U166" s="19">
        <v>0</v>
      </c>
      <c r="V166" s="19">
        <v>10</v>
      </c>
      <c r="W166" s="19">
        <v>2</v>
      </c>
      <c r="X166" s="19">
        <v>8</v>
      </c>
      <c r="Y166" s="19">
        <v>0</v>
      </c>
      <c r="Z166" s="19">
        <f>VLOOKUP(B166,'[3]Annual Leave '!$B$7:$Q$98,13,0)</f>
        <v>34.93</v>
      </c>
      <c r="AA166" s="19">
        <f>VLOOKUP(B166,'[3]Annual Leave '!$B$7:$Q$98,15,0)</f>
        <v>40.3018213757396</v>
      </c>
      <c r="AB166" s="36">
        <f t="shared" si="33"/>
        <v>268.020282914201</v>
      </c>
      <c r="AC166" s="19">
        <f>VLOOKUP(B166,[2]Sheet1!$B$2:$N$199,11,0)/4000</f>
        <v>5.271</v>
      </c>
      <c r="AD166" s="19">
        <v>0</v>
      </c>
      <c r="AE166" s="19">
        <f>VLOOKUP(B166,[1]烫组អ៊ុត!$E$7:$L$20,7,0)</f>
        <v>50</v>
      </c>
      <c r="AF166" s="19">
        <f t="shared" si="28"/>
        <v>55.271</v>
      </c>
      <c r="AG166" s="86">
        <f t="shared" si="29"/>
        <v>212.75</v>
      </c>
      <c r="AH166" s="129"/>
      <c r="AI166" s="130"/>
      <c r="AJ166" s="74"/>
    </row>
    <row r="167" s="5" customFormat="1" ht="21" customHeight="1" spans="1:36">
      <c r="A167" s="19">
        <v>159</v>
      </c>
      <c r="B167" s="75" t="s">
        <v>811</v>
      </c>
      <c r="C167" s="20" t="s">
        <v>812</v>
      </c>
      <c r="D167" s="20" t="s">
        <v>813</v>
      </c>
      <c r="E167" s="21">
        <v>44907</v>
      </c>
      <c r="F167" s="19" t="s">
        <v>108</v>
      </c>
      <c r="G167" s="19" t="s">
        <v>767</v>
      </c>
      <c r="H167" s="19" t="s">
        <v>801</v>
      </c>
      <c r="I167" s="19">
        <v>20.25</v>
      </c>
      <c r="J167" s="19">
        <f t="shared" si="24"/>
        <v>5.75</v>
      </c>
      <c r="K167" s="19">
        <v>200</v>
      </c>
      <c r="L167" s="36">
        <f t="shared" si="25"/>
        <v>155.769230769231</v>
      </c>
      <c r="M167" s="84">
        <f t="shared" si="26"/>
        <v>44.2307692307692</v>
      </c>
      <c r="N167" s="19">
        <v>0</v>
      </c>
      <c r="O167" s="19">
        <f t="shared" si="30"/>
        <v>0</v>
      </c>
      <c r="P167" s="19">
        <v>0</v>
      </c>
      <c r="Q167" s="19">
        <f t="shared" si="27"/>
        <v>0</v>
      </c>
      <c r="R167" s="19">
        <v>0</v>
      </c>
      <c r="S167" s="36">
        <f t="shared" si="32"/>
        <v>7.78846153846154</v>
      </c>
      <c r="T167" s="19">
        <v>0</v>
      </c>
      <c r="U167" s="19">
        <v>0</v>
      </c>
      <c r="V167" s="19">
        <v>10</v>
      </c>
      <c r="W167" s="19">
        <v>0</v>
      </c>
      <c r="X167" s="19">
        <v>8</v>
      </c>
      <c r="Y167" s="19">
        <v>0</v>
      </c>
      <c r="Z167" s="19">
        <v>0</v>
      </c>
      <c r="AA167" s="19">
        <v>0</v>
      </c>
      <c r="AB167" s="36">
        <f t="shared" si="33"/>
        <v>181.557692307692</v>
      </c>
      <c r="AC167" s="19">
        <v>0</v>
      </c>
      <c r="AD167" s="19">
        <v>0</v>
      </c>
      <c r="AE167" s="19">
        <f>VLOOKUP(B167,[1]烫组អ៊ុត!$E$7:$L$20,7,0)</f>
        <v>50</v>
      </c>
      <c r="AF167" s="19">
        <f t="shared" si="28"/>
        <v>50</v>
      </c>
      <c r="AG167" s="86">
        <f t="shared" si="29"/>
        <v>131.56</v>
      </c>
      <c r="AH167" s="129"/>
      <c r="AI167" s="130"/>
      <c r="AJ167" s="74"/>
    </row>
    <row r="168" s="5" customFormat="1" ht="21" customHeight="1" spans="1:36">
      <c r="A168" s="19">
        <v>160</v>
      </c>
      <c r="B168" s="75" t="s">
        <v>814</v>
      </c>
      <c r="C168" s="20" t="s">
        <v>815</v>
      </c>
      <c r="D168" s="20" t="s">
        <v>816</v>
      </c>
      <c r="E168" s="21">
        <v>44910</v>
      </c>
      <c r="F168" s="19" t="s">
        <v>108</v>
      </c>
      <c r="G168" s="19" t="s">
        <v>767</v>
      </c>
      <c r="H168" s="19" t="s">
        <v>801</v>
      </c>
      <c r="I168" s="19">
        <v>19.25</v>
      </c>
      <c r="J168" s="19">
        <f t="shared" si="24"/>
        <v>6.75</v>
      </c>
      <c r="K168" s="19">
        <v>200</v>
      </c>
      <c r="L168" s="36">
        <f t="shared" si="25"/>
        <v>148.076923076923</v>
      </c>
      <c r="M168" s="84">
        <f t="shared" si="26"/>
        <v>51.9230769230769</v>
      </c>
      <c r="N168" s="19">
        <v>0</v>
      </c>
      <c r="O168" s="19">
        <f t="shared" si="30"/>
        <v>0</v>
      </c>
      <c r="P168" s="19">
        <v>0</v>
      </c>
      <c r="Q168" s="19">
        <f t="shared" si="27"/>
        <v>0</v>
      </c>
      <c r="R168" s="19">
        <v>0</v>
      </c>
      <c r="S168" s="36">
        <f t="shared" si="32"/>
        <v>7.40384615384615</v>
      </c>
      <c r="T168" s="19">
        <v>0</v>
      </c>
      <c r="U168" s="19">
        <v>0</v>
      </c>
      <c r="V168" s="19">
        <v>10</v>
      </c>
      <c r="W168" s="19">
        <v>0</v>
      </c>
      <c r="X168" s="19">
        <v>8</v>
      </c>
      <c r="Y168" s="19">
        <v>0</v>
      </c>
      <c r="Z168" s="19">
        <v>0</v>
      </c>
      <c r="AA168" s="19">
        <v>0</v>
      </c>
      <c r="AB168" s="36">
        <f t="shared" si="33"/>
        <v>173.480769230769</v>
      </c>
      <c r="AC168" s="19">
        <v>0</v>
      </c>
      <c r="AD168" s="19">
        <v>0</v>
      </c>
      <c r="AE168" s="19">
        <f>VLOOKUP(B168,[1]烫组អ៊ុត!$E$7:$L$20,7,0)</f>
        <v>50</v>
      </c>
      <c r="AF168" s="19">
        <f t="shared" si="28"/>
        <v>50</v>
      </c>
      <c r="AG168" s="86">
        <f t="shared" si="29"/>
        <v>123.48</v>
      </c>
      <c r="AH168" s="19"/>
      <c r="AI168" s="60"/>
      <c r="AJ168" s="74"/>
    </row>
    <row r="169" s="5" customFormat="1" ht="21" customHeight="1" spans="1:36">
      <c r="A169" s="19">
        <v>161</v>
      </c>
      <c r="B169" s="75" t="s">
        <v>818</v>
      </c>
      <c r="C169" s="20" t="s">
        <v>819</v>
      </c>
      <c r="D169" s="20" t="s">
        <v>820</v>
      </c>
      <c r="E169" s="21">
        <v>44910</v>
      </c>
      <c r="F169" s="19" t="s">
        <v>108</v>
      </c>
      <c r="G169" s="19" t="s">
        <v>767</v>
      </c>
      <c r="H169" s="19" t="s">
        <v>801</v>
      </c>
      <c r="I169" s="19">
        <v>19.5</v>
      </c>
      <c r="J169" s="19">
        <f t="shared" si="24"/>
        <v>6.5</v>
      </c>
      <c r="K169" s="19">
        <v>200</v>
      </c>
      <c r="L169" s="36">
        <f t="shared" si="25"/>
        <v>150</v>
      </c>
      <c r="M169" s="84">
        <f t="shared" si="26"/>
        <v>50</v>
      </c>
      <c r="N169" s="19">
        <v>4</v>
      </c>
      <c r="O169" s="19">
        <f t="shared" si="30"/>
        <v>5.76923076923077</v>
      </c>
      <c r="P169" s="19">
        <v>0</v>
      </c>
      <c r="Q169" s="19">
        <f t="shared" si="27"/>
        <v>0</v>
      </c>
      <c r="R169" s="19">
        <v>0</v>
      </c>
      <c r="S169" s="36">
        <f t="shared" si="32"/>
        <v>7.5</v>
      </c>
      <c r="T169" s="19">
        <v>0</v>
      </c>
      <c r="U169" s="19">
        <v>0</v>
      </c>
      <c r="V169" s="19">
        <v>10</v>
      </c>
      <c r="W169" s="19">
        <v>1</v>
      </c>
      <c r="X169" s="19">
        <v>8</v>
      </c>
      <c r="Y169" s="19">
        <v>0</v>
      </c>
      <c r="Z169" s="19">
        <v>0</v>
      </c>
      <c r="AA169" s="19">
        <v>0</v>
      </c>
      <c r="AB169" s="36">
        <f t="shared" si="33"/>
        <v>182.269230769231</v>
      </c>
      <c r="AC169" s="19">
        <v>0</v>
      </c>
      <c r="AD169" s="19">
        <v>0</v>
      </c>
      <c r="AE169" s="19">
        <f>VLOOKUP(B169,[1]烫组អ៊ុត!$E$7:$L$20,7,0)</f>
        <v>50</v>
      </c>
      <c r="AF169" s="19">
        <f t="shared" si="28"/>
        <v>50</v>
      </c>
      <c r="AG169" s="86">
        <f t="shared" si="29"/>
        <v>132.27</v>
      </c>
      <c r="AH169" s="19"/>
      <c r="AI169" s="60"/>
      <c r="AJ169" s="74"/>
    </row>
    <row r="170" s="5" customFormat="1" ht="21" customHeight="1" spans="1:36">
      <c r="A170" s="19">
        <v>162</v>
      </c>
      <c r="B170" s="128" t="s">
        <v>823</v>
      </c>
      <c r="C170" s="20" t="s">
        <v>824</v>
      </c>
      <c r="D170" s="20" t="s">
        <v>825</v>
      </c>
      <c r="E170" s="21">
        <v>44760</v>
      </c>
      <c r="F170" s="19" t="s">
        <v>96</v>
      </c>
      <c r="G170" s="19" t="s">
        <v>826</v>
      </c>
      <c r="H170" s="19" t="s">
        <v>773</v>
      </c>
      <c r="I170" s="19">
        <v>25</v>
      </c>
      <c r="J170" s="19">
        <f t="shared" si="24"/>
        <v>1</v>
      </c>
      <c r="K170" s="19">
        <v>200</v>
      </c>
      <c r="L170" s="36">
        <f t="shared" si="25"/>
        <v>192.307692307692</v>
      </c>
      <c r="M170" s="36">
        <f t="shared" si="26"/>
        <v>7.69230769230769</v>
      </c>
      <c r="N170" s="19">
        <v>6</v>
      </c>
      <c r="O170" s="19">
        <f t="shared" si="30"/>
        <v>8.65384615384615</v>
      </c>
      <c r="P170" s="19">
        <v>0</v>
      </c>
      <c r="Q170" s="19">
        <f t="shared" si="27"/>
        <v>0</v>
      </c>
      <c r="R170" s="19">
        <v>0</v>
      </c>
      <c r="S170" s="36">
        <f t="shared" si="32"/>
        <v>9.61538461538462</v>
      </c>
      <c r="T170" s="19">
        <v>38.46</v>
      </c>
      <c r="U170" s="19">
        <v>0</v>
      </c>
      <c r="V170" s="19">
        <v>10</v>
      </c>
      <c r="W170" s="19">
        <v>1.5</v>
      </c>
      <c r="X170" s="19">
        <v>8</v>
      </c>
      <c r="Y170" s="19">
        <v>0</v>
      </c>
      <c r="Z170" s="19">
        <v>0</v>
      </c>
      <c r="AA170" s="19">
        <v>0</v>
      </c>
      <c r="AB170" s="36">
        <f t="shared" si="33"/>
        <v>268.536923076923</v>
      </c>
      <c r="AC170" s="19">
        <f>VLOOKUP(B170,[2]Sheet1!$B$2:$N$199,11,0)/4000</f>
        <v>5.29075</v>
      </c>
      <c r="AD170" s="19">
        <v>0</v>
      </c>
      <c r="AE170" s="19">
        <f>VLOOKUP(B170,[1]QC!$E$7:$L$8,7,0)</f>
        <v>100</v>
      </c>
      <c r="AF170" s="19">
        <f t="shared" si="28"/>
        <v>105.29075</v>
      </c>
      <c r="AG170" s="86">
        <f t="shared" si="29"/>
        <v>163.25</v>
      </c>
      <c r="AH170" s="19"/>
      <c r="AI170" s="60"/>
      <c r="AJ170" s="74"/>
    </row>
    <row r="171" s="77" customFormat="1" ht="19" customHeight="1" spans="1:36">
      <c r="A171" s="19">
        <v>163</v>
      </c>
      <c r="B171" s="128" t="s">
        <v>828</v>
      </c>
      <c r="C171" s="20" t="s">
        <v>829</v>
      </c>
      <c r="D171" s="20" t="s">
        <v>830</v>
      </c>
      <c r="E171" s="21">
        <v>44846</v>
      </c>
      <c r="F171" s="19" t="s">
        <v>96</v>
      </c>
      <c r="G171" s="19" t="s">
        <v>826</v>
      </c>
      <c r="H171" s="19" t="s">
        <v>773</v>
      </c>
      <c r="I171" s="19">
        <v>26</v>
      </c>
      <c r="J171" s="19">
        <f t="shared" si="24"/>
        <v>0</v>
      </c>
      <c r="K171" s="19">
        <v>200</v>
      </c>
      <c r="L171" s="36">
        <f t="shared" si="25"/>
        <v>200</v>
      </c>
      <c r="M171" s="36">
        <f t="shared" si="26"/>
        <v>0</v>
      </c>
      <c r="N171" s="19">
        <v>6</v>
      </c>
      <c r="O171" s="19">
        <f t="shared" si="30"/>
        <v>8.65384615384615</v>
      </c>
      <c r="P171" s="19">
        <v>0</v>
      </c>
      <c r="Q171" s="19">
        <f t="shared" si="27"/>
        <v>0</v>
      </c>
      <c r="R171" s="19">
        <v>0</v>
      </c>
      <c r="S171" s="84">
        <f t="shared" si="32"/>
        <v>10</v>
      </c>
      <c r="T171" s="19">
        <v>0</v>
      </c>
      <c r="U171" s="19">
        <v>0</v>
      </c>
      <c r="V171" s="19">
        <v>10</v>
      </c>
      <c r="W171" s="19">
        <v>1.5</v>
      </c>
      <c r="X171" s="19">
        <v>8</v>
      </c>
      <c r="Y171" s="19">
        <v>0</v>
      </c>
      <c r="Z171" s="19">
        <v>0</v>
      </c>
      <c r="AA171" s="19">
        <v>0</v>
      </c>
      <c r="AB171" s="36">
        <f t="shared" si="33"/>
        <v>238.153846153846</v>
      </c>
      <c r="AC171" s="19">
        <f>VLOOKUP(B171,[2]Sheet1!$B$2:$N$199,11,0)/4000</f>
        <v>4.77125</v>
      </c>
      <c r="AD171" s="19">
        <v>0</v>
      </c>
      <c r="AE171" s="19">
        <f>VLOOKUP(B171,[1]QC!$E$7:$L$8,7,0)</f>
        <v>100</v>
      </c>
      <c r="AF171" s="19">
        <f t="shared" si="28"/>
        <v>104.77125</v>
      </c>
      <c r="AG171" s="86">
        <f t="shared" si="29"/>
        <v>133.38</v>
      </c>
      <c r="AH171" s="129"/>
      <c r="AI171" s="130"/>
      <c r="AJ171" s="74"/>
    </row>
    <row r="172" s="5" customFormat="1" ht="19" customHeight="1" spans="1:36">
      <c r="A172" s="19">
        <v>164</v>
      </c>
      <c r="B172" s="19" t="s">
        <v>833</v>
      </c>
      <c r="C172" s="20" t="s">
        <v>834</v>
      </c>
      <c r="D172" s="20" t="s">
        <v>835</v>
      </c>
      <c r="E172" s="21">
        <v>44736</v>
      </c>
      <c r="F172" s="19" t="s">
        <v>96</v>
      </c>
      <c r="G172" s="19" t="s">
        <v>97</v>
      </c>
      <c r="H172" s="19" t="s">
        <v>125</v>
      </c>
      <c r="I172" s="19">
        <v>24</v>
      </c>
      <c r="J172" s="85">
        <f t="shared" si="24"/>
        <v>2</v>
      </c>
      <c r="K172" s="19">
        <v>200</v>
      </c>
      <c r="L172" s="36">
        <f t="shared" si="25"/>
        <v>184.615384615385</v>
      </c>
      <c r="M172" s="36">
        <f t="shared" si="26"/>
        <v>15.3846153846154</v>
      </c>
      <c r="N172" s="19">
        <v>9</v>
      </c>
      <c r="O172" s="19">
        <f t="shared" si="30"/>
        <v>12.9807692307692</v>
      </c>
      <c r="P172" s="19">
        <v>0</v>
      </c>
      <c r="Q172" s="19">
        <f t="shared" si="27"/>
        <v>0</v>
      </c>
      <c r="R172" s="19">
        <v>0</v>
      </c>
      <c r="S172" s="36">
        <f t="shared" si="32"/>
        <v>9.23076923076923</v>
      </c>
      <c r="T172" s="19">
        <v>7.38</v>
      </c>
      <c r="U172" s="19">
        <v>150</v>
      </c>
      <c r="V172" s="54">
        <v>10</v>
      </c>
      <c r="W172" s="36">
        <v>2.5</v>
      </c>
      <c r="X172" s="36">
        <v>8</v>
      </c>
      <c r="Y172" s="19">
        <v>0</v>
      </c>
      <c r="Z172" s="85">
        <f>VLOOKUP(B172,'[3]Annual Leave '!$B$7:$Q$98,13,0)</f>
        <v>61.44</v>
      </c>
      <c r="AA172" s="85">
        <f>VLOOKUP(B172,'[3]Annual Leave '!$B$7:$Q$98,15,0)</f>
        <v>70.8869378698225</v>
      </c>
      <c r="AB172" s="86">
        <f>SUM(L172++O172+Q172+S172+T172+U172+V172+X172+Y172+Z172+AA172+W172)</f>
        <v>517.033860946746</v>
      </c>
      <c r="AC172" s="19">
        <f>VLOOKUP(B172,[2]Sheet1!$B$2:$L$199,11,0)/4000</f>
        <v>6</v>
      </c>
      <c r="AD172" s="19">
        <v>0</v>
      </c>
      <c r="AE172" s="85">
        <f>VLOOKUP(B172,[1]包装!$E$7:$L$25,7,0)</f>
        <v>100</v>
      </c>
      <c r="AF172" s="19">
        <f t="shared" si="28"/>
        <v>106</v>
      </c>
      <c r="AG172" s="86">
        <f t="shared" si="29"/>
        <v>411.03</v>
      </c>
      <c r="AH172" s="129"/>
      <c r="AI172" s="130"/>
      <c r="AJ172" s="74"/>
    </row>
    <row r="173" s="5" customFormat="1" ht="19" customHeight="1" spans="1:36">
      <c r="A173" s="19">
        <v>165</v>
      </c>
      <c r="B173" s="19" t="s">
        <v>838</v>
      </c>
      <c r="C173" s="20" t="s">
        <v>839</v>
      </c>
      <c r="D173" s="20" t="s">
        <v>840</v>
      </c>
      <c r="E173" s="21">
        <v>44709</v>
      </c>
      <c r="F173" s="19" t="s">
        <v>96</v>
      </c>
      <c r="G173" s="19" t="s">
        <v>205</v>
      </c>
      <c r="H173" s="19" t="s">
        <v>206</v>
      </c>
      <c r="I173" s="19">
        <v>19.5</v>
      </c>
      <c r="J173" s="85">
        <f t="shared" si="24"/>
        <v>6.5</v>
      </c>
      <c r="K173" s="19">
        <v>200</v>
      </c>
      <c r="L173" s="36">
        <f t="shared" si="25"/>
        <v>150</v>
      </c>
      <c r="M173" s="36">
        <f t="shared" si="26"/>
        <v>50</v>
      </c>
      <c r="N173" s="19">
        <v>0</v>
      </c>
      <c r="O173" s="19">
        <f t="shared" si="30"/>
        <v>0</v>
      </c>
      <c r="P173" s="19">
        <v>0</v>
      </c>
      <c r="Q173" s="19">
        <f t="shared" si="27"/>
        <v>0</v>
      </c>
      <c r="R173" s="19">
        <v>0</v>
      </c>
      <c r="S173" s="36">
        <f t="shared" si="32"/>
        <v>7.5</v>
      </c>
      <c r="T173" s="19">
        <v>0</v>
      </c>
      <c r="U173" s="19">
        <v>0</v>
      </c>
      <c r="V173" s="54">
        <v>10</v>
      </c>
      <c r="W173" s="36">
        <v>0</v>
      </c>
      <c r="X173" s="36">
        <v>8</v>
      </c>
      <c r="Y173" s="19">
        <v>0</v>
      </c>
      <c r="Z173" s="85">
        <v>0</v>
      </c>
      <c r="AA173" s="85">
        <v>0</v>
      </c>
      <c r="AB173" s="86">
        <f t="shared" ref="AB173:AB189" si="34">SUM(L173+O173+Q173+R173+S173+T173+U173+V173+X173+Y173+Z173+AA173+W173)</f>
        <v>175.5</v>
      </c>
      <c r="AC173" s="19">
        <f>VLOOKUP(B173,[2]Sheet1!$B$2:$L$199,11,0)/4000</f>
        <v>6</v>
      </c>
      <c r="AD173" s="19">
        <v>0</v>
      </c>
      <c r="AE173" s="85">
        <f>VLOOKUP(B173,[1]包装!$E$7:$L$25,7,0)</f>
        <v>50</v>
      </c>
      <c r="AF173" s="19">
        <f t="shared" si="28"/>
        <v>56</v>
      </c>
      <c r="AG173" s="86">
        <f t="shared" si="29"/>
        <v>119.5</v>
      </c>
      <c r="AH173" s="129"/>
      <c r="AI173" s="130"/>
      <c r="AJ173" s="74"/>
    </row>
    <row r="174" s="5" customFormat="1" ht="19" customHeight="1" spans="1:36">
      <c r="A174" s="19">
        <v>166</v>
      </c>
      <c r="B174" s="19" t="s">
        <v>842</v>
      </c>
      <c r="C174" s="20" t="s">
        <v>843</v>
      </c>
      <c r="D174" s="20" t="s">
        <v>844</v>
      </c>
      <c r="E174" s="21">
        <v>44726</v>
      </c>
      <c r="F174" s="19" t="s">
        <v>96</v>
      </c>
      <c r="G174" s="19" t="s">
        <v>826</v>
      </c>
      <c r="H174" s="19" t="s">
        <v>773</v>
      </c>
      <c r="I174" s="19">
        <v>22.5</v>
      </c>
      <c r="J174" s="85">
        <f t="shared" si="24"/>
        <v>3.5</v>
      </c>
      <c r="K174" s="19">
        <v>200</v>
      </c>
      <c r="L174" s="36">
        <f t="shared" si="25"/>
        <v>173.076923076923</v>
      </c>
      <c r="M174" s="36">
        <f t="shared" si="26"/>
        <v>26.9230769230769</v>
      </c>
      <c r="N174" s="19">
        <v>0</v>
      </c>
      <c r="O174" s="19">
        <f t="shared" si="30"/>
        <v>0</v>
      </c>
      <c r="P174" s="19">
        <v>0</v>
      </c>
      <c r="Q174" s="19">
        <f t="shared" si="27"/>
        <v>0</v>
      </c>
      <c r="R174" s="19">
        <v>0</v>
      </c>
      <c r="S174" s="36">
        <f t="shared" si="32"/>
        <v>8.65384615384616</v>
      </c>
      <c r="T174" s="19">
        <v>0</v>
      </c>
      <c r="U174" s="19">
        <v>0</v>
      </c>
      <c r="V174" s="54">
        <v>10</v>
      </c>
      <c r="W174" s="36">
        <v>0</v>
      </c>
      <c r="X174" s="36">
        <v>8</v>
      </c>
      <c r="Y174" s="19">
        <v>0</v>
      </c>
      <c r="Z174" s="85">
        <f>VLOOKUP(B174,'[3]Annual Leave '!$B$7:$Q$98,13,0)</f>
        <v>34.1</v>
      </c>
      <c r="AA174" s="85">
        <f>VLOOKUP(B174,'[3]Annual Leave '!$B$7:$Q$98,15,0)</f>
        <v>39.3494822485207</v>
      </c>
      <c r="AB174" s="86">
        <f t="shared" si="34"/>
        <v>273.18025147929</v>
      </c>
      <c r="AC174" s="19">
        <f>VLOOKUP(B174,[2]Sheet1!$B$2:$L$199,11,0)/4000</f>
        <v>4.81325</v>
      </c>
      <c r="AD174" s="19">
        <v>0</v>
      </c>
      <c r="AE174" s="85">
        <f>VLOOKUP(B174,[1]包装!$E$7:$L$25,7,0)</f>
        <v>100</v>
      </c>
      <c r="AF174" s="19">
        <f t="shared" si="28"/>
        <v>104.81325</v>
      </c>
      <c r="AG174" s="86">
        <f t="shared" si="29"/>
        <v>168.37</v>
      </c>
      <c r="AH174" s="129"/>
      <c r="AI174" s="130"/>
      <c r="AJ174" s="74"/>
    </row>
    <row r="175" s="5" customFormat="1" ht="19" customHeight="1" spans="1:36">
      <c r="A175" s="19">
        <v>167</v>
      </c>
      <c r="B175" s="19" t="s">
        <v>846</v>
      </c>
      <c r="C175" s="20" t="s">
        <v>847</v>
      </c>
      <c r="D175" s="20" t="s">
        <v>848</v>
      </c>
      <c r="E175" s="21">
        <v>44729</v>
      </c>
      <c r="F175" s="19" t="s">
        <v>96</v>
      </c>
      <c r="G175" s="19" t="s">
        <v>849</v>
      </c>
      <c r="H175" s="19" t="s">
        <v>850</v>
      </c>
      <c r="I175" s="19">
        <v>19</v>
      </c>
      <c r="J175" s="85">
        <f t="shared" si="24"/>
        <v>7</v>
      </c>
      <c r="K175" s="19">
        <v>200</v>
      </c>
      <c r="L175" s="36">
        <f t="shared" si="25"/>
        <v>146.153846153846</v>
      </c>
      <c r="M175" s="36">
        <f t="shared" si="26"/>
        <v>53.8461538461538</v>
      </c>
      <c r="N175" s="19">
        <v>4</v>
      </c>
      <c r="O175" s="19">
        <f t="shared" si="30"/>
        <v>5.76923076923077</v>
      </c>
      <c r="P175" s="19">
        <v>0</v>
      </c>
      <c r="Q175" s="19">
        <f t="shared" si="27"/>
        <v>0</v>
      </c>
      <c r="R175" s="19">
        <v>0</v>
      </c>
      <c r="S175" s="36">
        <f t="shared" si="32"/>
        <v>7.30769230769231</v>
      </c>
      <c r="T175" s="19">
        <v>0</v>
      </c>
      <c r="U175" s="19">
        <v>0</v>
      </c>
      <c r="V175" s="54">
        <v>10</v>
      </c>
      <c r="W175" s="36">
        <v>1</v>
      </c>
      <c r="X175" s="36">
        <v>8</v>
      </c>
      <c r="Y175" s="19">
        <v>0</v>
      </c>
      <c r="Z175" s="85">
        <f>VLOOKUP(B175,'[3]Annual Leave '!$B$7:$Q$98,13,0)</f>
        <v>33.35</v>
      </c>
      <c r="AA175" s="85">
        <f>VLOOKUP(B175,'[3]Annual Leave '!$B$7:$Q$98,15,0)</f>
        <v>38.4840976331361</v>
      </c>
      <c r="AB175" s="86">
        <f t="shared" si="34"/>
        <v>250.064866863905</v>
      </c>
      <c r="AC175" s="19">
        <f>VLOOKUP(B175,[2]Sheet1!$B$2:$L$199,11,0)/4000</f>
        <v>4.77125</v>
      </c>
      <c r="AD175" s="19">
        <v>0</v>
      </c>
      <c r="AE175" s="85">
        <f>VLOOKUP(B175,[1]包装!$E$7:$L$25,7,0)</f>
        <v>50</v>
      </c>
      <c r="AF175" s="19">
        <f t="shared" si="28"/>
        <v>54.77125</v>
      </c>
      <c r="AG175" s="86">
        <f t="shared" si="29"/>
        <v>195.29</v>
      </c>
      <c r="AH175" s="129"/>
      <c r="AI175" s="130"/>
      <c r="AJ175" s="74"/>
    </row>
    <row r="176" s="5" customFormat="1" ht="19" customHeight="1" spans="1:36">
      <c r="A176" s="19">
        <v>168</v>
      </c>
      <c r="B176" s="19" t="s">
        <v>852</v>
      </c>
      <c r="C176" s="20" t="s">
        <v>853</v>
      </c>
      <c r="D176" s="20" t="s">
        <v>854</v>
      </c>
      <c r="E176" s="21">
        <v>44729</v>
      </c>
      <c r="F176" s="19" t="s">
        <v>96</v>
      </c>
      <c r="G176" s="19" t="s">
        <v>849</v>
      </c>
      <c r="H176" s="19" t="s">
        <v>850</v>
      </c>
      <c r="I176" s="19">
        <v>20</v>
      </c>
      <c r="J176" s="85">
        <f t="shared" si="24"/>
        <v>6</v>
      </c>
      <c r="K176" s="19">
        <v>200</v>
      </c>
      <c r="L176" s="36">
        <f t="shared" si="25"/>
        <v>153.846153846154</v>
      </c>
      <c r="M176" s="36">
        <f t="shared" si="26"/>
        <v>46.1538461538462</v>
      </c>
      <c r="N176" s="19">
        <v>4</v>
      </c>
      <c r="O176" s="19">
        <f t="shared" si="30"/>
        <v>5.76923076923077</v>
      </c>
      <c r="P176" s="19">
        <v>0</v>
      </c>
      <c r="Q176" s="19">
        <f t="shared" si="27"/>
        <v>0</v>
      </c>
      <c r="R176" s="19">
        <v>0</v>
      </c>
      <c r="S176" s="36">
        <f t="shared" si="32"/>
        <v>7.69230769230769</v>
      </c>
      <c r="T176" s="19">
        <v>0</v>
      </c>
      <c r="U176" s="19">
        <v>0</v>
      </c>
      <c r="V176" s="54">
        <v>10</v>
      </c>
      <c r="W176" s="36">
        <v>1</v>
      </c>
      <c r="X176" s="36">
        <v>8</v>
      </c>
      <c r="Y176" s="19">
        <v>0</v>
      </c>
      <c r="Z176" s="85">
        <f>VLOOKUP(B176,'[3]Annual Leave '!$B$7:$Q$98,13,0)</f>
        <v>31.59</v>
      </c>
      <c r="AA176" s="85">
        <f>VLOOKUP(B176,'[3]Annual Leave '!$B$7:$Q$98,15,0)</f>
        <v>36.4471153846154</v>
      </c>
      <c r="AB176" s="86">
        <f t="shared" si="34"/>
        <v>254.344807692308</v>
      </c>
      <c r="AC176" s="19">
        <f>VLOOKUP(B176,[2]Sheet1!$B$2:$L$199,11,0)/4000</f>
        <v>4.287</v>
      </c>
      <c r="AD176" s="19">
        <v>0</v>
      </c>
      <c r="AE176" s="85">
        <f>VLOOKUP(B176,[1]包装!$E$7:$L$25,7,0)</f>
        <v>50</v>
      </c>
      <c r="AF176" s="19">
        <f t="shared" si="28"/>
        <v>54.287</v>
      </c>
      <c r="AG176" s="86">
        <f t="shared" si="29"/>
        <v>200.06</v>
      </c>
      <c r="AH176" s="129"/>
      <c r="AI176" s="130"/>
      <c r="AJ176" s="74"/>
    </row>
    <row r="177" s="5" customFormat="1" ht="19" customHeight="1" spans="1:36">
      <c r="A177" s="19">
        <v>169</v>
      </c>
      <c r="B177" s="19" t="s">
        <v>856</v>
      </c>
      <c r="C177" s="20" t="s">
        <v>857</v>
      </c>
      <c r="D177" s="20" t="s">
        <v>858</v>
      </c>
      <c r="E177" s="21">
        <v>44729</v>
      </c>
      <c r="F177" s="19" t="s">
        <v>96</v>
      </c>
      <c r="G177" s="19" t="s">
        <v>849</v>
      </c>
      <c r="H177" s="19" t="s">
        <v>850</v>
      </c>
      <c r="I177" s="19">
        <v>20.5</v>
      </c>
      <c r="J177" s="85">
        <f t="shared" si="24"/>
        <v>5.5</v>
      </c>
      <c r="K177" s="19">
        <v>200</v>
      </c>
      <c r="L177" s="36">
        <f t="shared" si="25"/>
        <v>157.692307692308</v>
      </c>
      <c r="M177" s="36">
        <f t="shared" si="26"/>
        <v>42.3076923076923</v>
      </c>
      <c r="N177" s="19">
        <v>6</v>
      </c>
      <c r="O177" s="19">
        <f t="shared" si="30"/>
        <v>8.65384615384615</v>
      </c>
      <c r="P177" s="19">
        <v>0</v>
      </c>
      <c r="Q177" s="19">
        <f t="shared" si="27"/>
        <v>0</v>
      </c>
      <c r="R177" s="19">
        <v>0</v>
      </c>
      <c r="S177" s="36">
        <f t="shared" si="32"/>
        <v>7.88461538461539</v>
      </c>
      <c r="T177" s="19">
        <v>0</v>
      </c>
      <c r="U177" s="19">
        <v>0</v>
      </c>
      <c r="V177" s="54">
        <v>10</v>
      </c>
      <c r="W177" s="36">
        <v>1.5</v>
      </c>
      <c r="X177" s="36">
        <v>8</v>
      </c>
      <c r="Y177" s="19">
        <v>0</v>
      </c>
      <c r="Z177" s="85">
        <f>VLOOKUP(B177,'[3]Annual Leave '!$B$7:$Q$98,13,0)</f>
        <v>33.82</v>
      </c>
      <c r="AA177" s="85">
        <f>VLOOKUP(B177,'[3]Annual Leave '!$B$7:$Q$98,15,0)</f>
        <v>39.0188609467456</v>
      </c>
      <c r="AB177" s="86">
        <f t="shared" si="34"/>
        <v>266.569630177515</v>
      </c>
      <c r="AC177" s="19">
        <f>VLOOKUP(B177,[2]Sheet1!$B$2:$L$199,11,0)/4000</f>
        <v>5.1105</v>
      </c>
      <c r="AD177" s="19">
        <v>0</v>
      </c>
      <c r="AE177" s="85">
        <f>VLOOKUP(B177,[1]包装!$E$7:$L$25,7,0)</f>
        <v>50</v>
      </c>
      <c r="AF177" s="19">
        <f t="shared" si="28"/>
        <v>55.1105</v>
      </c>
      <c r="AG177" s="86">
        <f t="shared" si="29"/>
        <v>211.46</v>
      </c>
      <c r="AH177" s="129"/>
      <c r="AI177" s="130"/>
      <c r="AJ177" s="74"/>
    </row>
    <row r="178" s="5" customFormat="1" ht="19" customHeight="1" spans="1:36">
      <c r="A178" s="19">
        <v>170</v>
      </c>
      <c r="B178" s="19" t="s">
        <v>860</v>
      </c>
      <c r="C178" s="20" t="s">
        <v>861</v>
      </c>
      <c r="D178" s="20" t="s">
        <v>862</v>
      </c>
      <c r="E178" s="21">
        <v>44729</v>
      </c>
      <c r="F178" s="19" t="s">
        <v>96</v>
      </c>
      <c r="G178" s="19" t="s">
        <v>849</v>
      </c>
      <c r="H178" s="19" t="s">
        <v>850</v>
      </c>
      <c r="I178" s="19">
        <v>21.25</v>
      </c>
      <c r="J178" s="85">
        <f t="shared" si="24"/>
        <v>4.75</v>
      </c>
      <c r="K178" s="19">
        <v>200</v>
      </c>
      <c r="L178" s="36">
        <f t="shared" si="25"/>
        <v>163.461538461538</v>
      </c>
      <c r="M178" s="36">
        <f t="shared" si="26"/>
        <v>36.5384615384615</v>
      </c>
      <c r="N178" s="19">
        <v>11.5</v>
      </c>
      <c r="O178" s="19">
        <f t="shared" si="30"/>
        <v>16.5865384615385</v>
      </c>
      <c r="P178" s="19">
        <v>0</v>
      </c>
      <c r="Q178" s="19">
        <f t="shared" si="27"/>
        <v>0</v>
      </c>
      <c r="R178" s="19">
        <v>0</v>
      </c>
      <c r="S178" s="36">
        <f t="shared" si="32"/>
        <v>8.17307692307692</v>
      </c>
      <c r="T178" s="19">
        <v>0</v>
      </c>
      <c r="U178" s="19">
        <v>0</v>
      </c>
      <c r="V178" s="54">
        <v>10</v>
      </c>
      <c r="W178" s="36">
        <v>3</v>
      </c>
      <c r="X178" s="36">
        <v>8</v>
      </c>
      <c r="Y178" s="19">
        <v>0</v>
      </c>
      <c r="Z178" s="85">
        <f>VLOOKUP(B178,'[3]Annual Leave '!$B$7:$Q$98,13,0)</f>
        <v>33.86</v>
      </c>
      <c r="AA178" s="85">
        <f>VLOOKUP(B178,'[3]Annual Leave '!$B$7:$Q$98,15,0)</f>
        <v>39.0637943786983</v>
      </c>
      <c r="AB178" s="86">
        <f t="shared" si="34"/>
        <v>282.144948224852</v>
      </c>
      <c r="AC178" s="19">
        <f>VLOOKUP(B178,[2]Sheet1!$B$2:$L$199,11,0)/4000</f>
        <v>4.67775</v>
      </c>
      <c r="AD178" s="19">
        <v>0</v>
      </c>
      <c r="AE178" s="85">
        <f>VLOOKUP(B178,[1]包装!$E$7:$L$25,7,0)</f>
        <v>50</v>
      </c>
      <c r="AF178" s="19">
        <f t="shared" si="28"/>
        <v>54.67775</v>
      </c>
      <c r="AG178" s="86">
        <f t="shared" si="29"/>
        <v>227.47</v>
      </c>
      <c r="AH178" s="129"/>
      <c r="AI178" s="130"/>
      <c r="AJ178" s="74"/>
    </row>
    <row r="179" s="5" customFormat="1" ht="19" customHeight="1" spans="1:36">
      <c r="A179" s="19">
        <v>171</v>
      </c>
      <c r="B179" s="19" t="s">
        <v>864</v>
      </c>
      <c r="C179" s="20" t="s">
        <v>865</v>
      </c>
      <c r="D179" s="20" t="s">
        <v>866</v>
      </c>
      <c r="E179" s="21">
        <v>44729</v>
      </c>
      <c r="F179" s="19" t="s">
        <v>108</v>
      </c>
      <c r="G179" s="19" t="s">
        <v>849</v>
      </c>
      <c r="H179" s="19" t="s">
        <v>850</v>
      </c>
      <c r="I179" s="19">
        <v>19</v>
      </c>
      <c r="J179" s="85">
        <f t="shared" si="24"/>
        <v>7</v>
      </c>
      <c r="K179" s="19">
        <v>200</v>
      </c>
      <c r="L179" s="36">
        <f t="shared" si="25"/>
        <v>146.153846153846</v>
      </c>
      <c r="M179" s="36">
        <f t="shared" si="26"/>
        <v>53.8461538461538</v>
      </c>
      <c r="N179" s="19">
        <v>5</v>
      </c>
      <c r="O179" s="19">
        <f t="shared" si="30"/>
        <v>7.21153846153846</v>
      </c>
      <c r="P179" s="19">
        <v>0</v>
      </c>
      <c r="Q179" s="19">
        <f t="shared" si="27"/>
        <v>0</v>
      </c>
      <c r="R179" s="19">
        <v>0</v>
      </c>
      <c r="S179" s="36">
        <f t="shared" si="32"/>
        <v>7.30769230769231</v>
      </c>
      <c r="T179" s="19">
        <v>0</v>
      </c>
      <c r="U179" s="19">
        <v>0</v>
      </c>
      <c r="V179" s="54">
        <v>10</v>
      </c>
      <c r="W179" s="36">
        <v>1.25</v>
      </c>
      <c r="X179" s="36">
        <v>8</v>
      </c>
      <c r="Y179" s="19">
        <v>0</v>
      </c>
      <c r="Z179" s="85">
        <f>VLOOKUP(B179,'[3]Annual Leave '!$B$7:$Q$98,13,0)</f>
        <v>33.36</v>
      </c>
      <c r="AA179" s="85">
        <f>VLOOKUP(B179,'[3]Annual Leave '!$B$7:$Q$98,15,0)</f>
        <v>38.4940828402367</v>
      </c>
      <c r="AB179" s="86">
        <f t="shared" si="34"/>
        <v>251.777159763314</v>
      </c>
      <c r="AC179" s="19">
        <f>VLOOKUP(B179,[2]Sheet1!$B$2:$L$199,11,0)/4000</f>
        <v>4.8555</v>
      </c>
      <c r="AD179" s="19">
        <v>0</v>
      </c>
      <c r="AE179" s="85">
        <f>VLOOKUP(B179,[1]包装!$E$7:$L$25,7,0)</f>
        <v>50</v>
      </c>
      <c r="AF179" s="19">
        <f t="shared" si="28"/>
        <v>54.8555</v>
      </c>
      <c r="AG179" s="86">
        <f t="shared" si="29"/>
        <v>196.92</v>
      </c>
      <c r="AH179" s="129"/>
      <c r="AI179" s="130"/>
      <c r="AJ179" s="74"/>
    </row>
    <row r="180" s="5" customFormat="1" ht="19" customHeight="1" spans="1:36">
      <c r="A180" s="19">
        <v>172</v>
      </c>
      <c r="B180" s="19" t="s">
        <v>868</v>
      </c>
      <c r="C180" s="20" t="s">
        <v>869</v>
      </c>
      <c r="D180" s="20" t="s">
        <v>870</v>
      </c>
      <c r="E180" s="21">
        <v>44732</v>
      </c>
      <c r="F180" s="19" t="s">
        <v>96</v>
      </c>
      <c r="G180" s="19" t="s">
        <v>849</v>
      </c>
      <c r="H180" s="19" t="s">
        <v>850</v>
      </c>
      <c r="I180" s="19">
        <v>23.5</v>
      </c>
      <c r="J180" s="85">
        <f t="shared" si="24"/>
        <v>2.5</v>
      </c>
      <c r="K180" s="19">
        <v>200</v>
      </c>
      <c r="L180" s="36">
        <f t="shared" si="25"/>
        <v>180.769230769231</v>
      </c>
      <c r="M180" s="36">
        <f t="shared" si="26"/>
        <v>19.2307692307692</v>
      </c>
      <c r="N180" s="19">
        <v>17</v>
      </c>
      <c r="O180" s="19">
        <f t="shared" si="30"/>
        <v>24.5192307692308</v>
      </c>
      <c r="P180" s="19">
        <v>0</v>
      </c>
      <c r="Q180" s="19">
        <f t="shared" si="27"/>
        <v>0</v>
      </c>
      <c r="R180" s="19">
        <v>0</v>
      </c>
      <c r="S180" s="36">
        <f t="shared" si="32"/>
        <v>9.03846153846154</v>
      </c>
      <c r="T180" s="19">
        <v>0</v>
      </c>
      <c r="U180" s="19">
        <v>0</v>
      </c>
      <c r="V180" s="54">
        <v>10</v>
      </c>
      <c r="W180" s="36">
        <v>4.25</v>
      </c>
      <c r="X180" s="36">
        <v>8</v>
      </c>
      <c r="Y180" s="19">
        <v>0</v>
      </c>
      <c r="Z180" s="85">
        <f>VLOOKUP(B180,'[3]Annual Leave '!$B$7:$Q$98,13,0)</f>
        <v>36.24</v>
      </c>
      <c r="AA180" s="85">
        <f>VLOOKUP(B180,'[3]Annual Leave '!$B$7:$Q$98,15,0)</f>
        <v>41.8197115384615</v>
      </c>
      <c r="AB180" s="86">
        <f t="shared" si="34"/>
        <v>314.636634615385</v>
      </c>
      <c r="AC180" s="19">
        <f>VLOOKUP(B180,[2]Sheet1!$B$2:$L$199,11,0)/4000</f>
        <v>5.08475</v>
      </c>
      <c r="AD180" s="19">
        <v>0</v>
      </c>
      <c r="AE180" s="85">
        <f>VLOOKUP(B180,[1]包装!$E$7:$L$25,7,0)</f>
        <v>100</v>
      </c>
      <c r="AF180" s="19">
        <f t="shared" si="28"/>
        <v>105.08475</v>
      </c>
      <c r="AG180" s="86">
        <f t="shared" si="29"/>
        <v>209.55</v>
      </c>
      <c r="AH180" s="129"/>
      <c r="AI180" s="130"/>
      <c r="AJ180" s="74"/>
    </row>
    <row r="181" s="126" customFormat="1" ht="19" customHeight="1" spans="1:36">
      <c r="A181" s="19">
        <v>173</v>
      </c>
      <c r="B181" s="19" t="s">
        <v>872</v>
      </c>
      <c r="C181" s="20" t="s">
        <v>873</v>
      </c>
      <c r="D181" s="20" t="s">
        <v>874</v>
      </c>
      <c r="E181" s="21">
        <v>44732</v>
      </c>
      <c r="F181" s="19" t="s">
        <v>96</v>
      </c>
      <c r="G181" s="19" t="s">
        <v>849</v>
      </c>
      <c r="H181" s="19" t="s">
        <v>850</v>
      </c>
      <c r="I181" s="19">
        <v>21</v>
      </c>
      <c r="J181" s="85">
        <f t="shared" si="24"/>
        <v>5</v>
      </c>
      <c r="K181" s="19">
        <v>200</v>
      </c>
      <c r="L181" s="36">
        <f t="shared" si="25"/>
        <v>161.538461538462</v>
      </c>
      <c r="M181" s="36">
        <f t="shared" si="26"/>
        <v>38.4615384615385</v>
      </c>
      <c r="N181" s="19">
        <v>4</v>
      </c>
      <c r="O181" s="19">
        <f t="shared" si="30"/>
        <v>5.76923076923077</v>
      </c>
      <c r="P181" s="19">
        <v>0</v>
      </c>
      <c r="Q181" s="19">
        <f t="shared" si="27"/>
        <v>0</v>
      </c>
      <c r="R181" s="19">
        <v>0</v>
      </c>
      <c r="S181" s="36">
        <f t="shared" si="32"/>
        <v>8.07692307692308</v>
      </c>
      <c r="T181" s="19">
        <v>0</v>
      </c>
      <c r="U181" s="19">
        <v>0</v>
      </c>
      <c r="V181" s="54">
        <v>10</v>
      </c>
      <c r="W181" s="36">
        <v>1</v>
      </c>
      <c r="X181" s="36">
        <v>8</v>
      </c>
      <c r="Y181" s="19">
        <v>0</v>
      </c>
      <c r="Z181" s="85">
        <f>VLOOKUP(B181,'[3]Annual Leave '!$B$7:$Q$98,13,0)</f>
        <v>32.78</v>
      </c>
      <c r="AA181" s="85">
        <f>VLOOKUP(B181,'[3]Annual Leave '!$B$7:$Q$98,15,0)</f>
        <v>37.8272928994083</v>
      </c>
      <c r="AB181" s="86">
        <f t="shared" si="34"/>
        <v>264.991908284024</v>
      </c>
      <c r="AC181" s="19">
        <f>VLOOKUP(B181,[2]Sheet1!$B$2:$L$199,11,0)/4000</f>
        <v>4.60975</v>
      </c>
      <c r="AD181" s="19">
        <v>0</v>
      </c>
      <c r="AE181" s="85">
        <f>VLOOKUP(B181,[1]包装!$E$7:$L$25,7,0)</f>
        <v>50</v>
      </c>
      <c r="AF181" s="19">
        <f t="shared" si="28"/>
        <v>54.60975</v>
      </c>
      <c r="AG181" s="86">
        <f t="shared" si="29"/>
        <v>210.38</v>
      </c>
      <c r="AH181" s="129"/>
      <c r="AI181" s="130"/>
      <c r="AJ181" s="74"/>
    </row>
    <row r="182" s="5" customFormat="1" ht="19" customHeight="1" spans="1:36">
      <c r="A182" s="19">
        <v>174</v>
      </c>
      <c r="B182" s="19" t="s">
        <v>876</v>
      </c>
      <c r="C182" s="20" t="s">
        <v>877</v>
      </c>
      <c r="D182" s="20" t="s">
        <v>878</v>
      </c>
      <c r="E182" s="21">
        <v>44732</v>
      </c>
      <c r="F182" s="19" t="s">
        <v>96</v>
      </c>
      <c r="G182" s="19" t="s">
        <v>849</v>
      </c>
      <c r="H182" s="19" t="s">
        <v>850</v>
      </c>
      <c r="I182" s="19">
        <v>14</v>
      </c>
      <c r="J182" s="85">
        <f t="shared" si="24"/>
        <v>12</v>
      </c>
      <c r="K182" s="19">
        <v>200</v>
      </c>
      <c r="L182" s="36">
        <f t="shared" si="25"/>
        <v>107.692307692308</v>
      </c>
      <c r="M182" s="36">
        <f t="shared" si="26"/>
        <v>92.3076923076923</v>
      </c>
      <c r="N182" s="19">
        <v>0</v>
      </c>
      <c r="O182" s="19">
        <f t="shared" si="30"/>
        <v>0</v>
      </c>
      <c r="P182" s="19">
        <v>0</v>
      </c>
      <c r="Q182" s="19">
        <f t="shared" si="27"/>
        <v>0</v>
      </c>
      <c r="R182" s="19">
        <v>0</v>
      </c>
      <c r="S182" s="36">
        <f t="shared" si="32"/>
        <v>5.38461538461539</v>
      </c>
      <c r="T182" s="19">
        <v>0</v>
      </c>
      <c r="U182" s="19">
        <v>0</v>
      </c>
      <c r="V182" s="54">
        <v>10</v>
      </c>
      <c r="W182" s="36">
        <v>0</v>
      </c>
      <c r="X182" s="36">
        <v>8</v>
      </c>
      <c r="Y182" s="19">
        <v>0</v>
      </c>
      <c r="Z182" s="85">
        <f>VLOOKUP(B182,'[3]Annual Leave '!$B$7:$Q$98,13,0)</f>
        <v>33.71</v>
      </c>
      <c r="AA182" s="85">
        <f>VLOOKUP(B182,'[3]Annual Leave '!$B$7:$Q$98,15,0)</f>
        <v>38.9007026627219</v>
      </c>
      <c r="AB182" s="86">
        <f t="shared" si="34"/>
        <v>203.687625739645</v>
      </c>
      <c r="AC182" s="19">
        <f>VLOOKUP(B182,[2]Sheet1!$B$2:$L$199,11,0)/4000</f>
        <v>4.839</v>
      </c>
      <c r="AD182" s="19">
        <v>0</v>
      </c>
      <c r="AE182" s="85">
        <f>VLOOKUP(B182,[1]包装!$E$7:$L$25,7,0)</f>
        <v>50</v>
      </c>
      <c r="AF182" s="19">
        <f t="shared" si="28"/>
        <v>54.839</v>
      </c>
      <c r="AG182" s="86">
        <f t="shared" si="29"/>
        <v>148.85</v>
      </c>
      <c r="AH182" s="129"/>
      <c r="AI182" s="130"/>
      <c r="AJ182" s="74"/>
    </row>
    <row r="183" s="5" customFormat="1" ht="21" customHeight="1" spans="1:36">
      <c r="A183" s="19">
        <v>175</v>
      </c>
      <c r="B183" s="19" t="s">
        <v>880</v>
      </c>
      <c r="C183" s="20" t="s">
        <v>881</v>
      </c>
      <c r="D183" s="20" t="s">
        <v>882</v>
      </c>
      <c r="E183" s="21">
        <v>44732</v>
      </c>
      <c r="F183" s="19" t="s">
        <v>108</v>
      </c>
      <c r="G183" s="19" t="s">
        <v>849</v>
      </c>
      <c r="H183" s="19" t="s">
        <v>883</v>
      </c>
      <c r="I183" s="19">
        <v>21.5</v>
      </c>
      <c r="J183" s="85">
        <f t="shared" si="24"/>
        <v>4.5</v>
      </c>
      <c r="K183" s="19">
        <v>200</v>
      </c>
      <c r="L183" s="36">
        <f t="shared" si="25"/>
        <v>165.384615384615</v>
      </c>
      <c r="M183" s="36">
        <f t="shared" si="26"/>
        <v>34.6153846153846</v>
      </c>
      <c r="N183" s="19">
        <v>7</v>
      </c>
      <c r="O183" s="19">
        <f t="shared" si="30"/>
        <v>10.0961538461538</v>
      </c>
      <c r="P183" s="19">
        <v>0</v>
      </c>
      <c r="Q183" s="19">
        <f t="shared" si="27"/>
        <v>0</v>
      </c>
      <c r="R183" s="19">
        <v>0</v>
      </c>
      <c r="S183" s="36">
        <f t="shared" si="32"/>
        <v>8.26923076923077</v>
      </c>
      <c r="T183" s="19">
        <v>0</v>
      </c>
      <c r="U183" s="19">
        <v>0</v>
      </c>
      <c r="V183" s="54">
        <v>10</v>
      </c>
      <c r="W183" s="36">
        <v>2</v>
      </c>
      <c r="X183" s="36">
        <v>8</v>
      </c>
      <c r="Y183" s="19">
        <v>0</v>
      </c>
      <c r="Z183" s="85">
        <f>VLOOKUP(B183,'[3]Annual Leave '!$B$7:$Q$98,13,0)</f>
        <v>35.17</v>
      </c>
      <c r="AA183" s="85">
        <f>VLOOKUP(B183,'[3]Annual Leave '!$B$7:$Q$98,15,0)</f>
        <v>40.5832100591716</v>
      </c>
      <c r="AB183" s="86">
        <f t="shared" si="34"/>
        <v>279.503210059172</v>
      </c>
      <c r="AC183" s="19">
        <f>VLOOKUP(B183,[2]Sheet1!$B$2:$L$199,11,0)/4000</f>
        <v>5.28025</v>
      </c>
      <c r="AD183" s="19">
        <v>0</v>
      </c>
      <c r="AE183" s="85">
        <f>VLOOKUP(B183,[1]包装!$E$7:$L$25,7,0)</f>
        <v>50</v>
      </c>
      <c r="AF183" s="19">
        <f t="shared" si="28"/>
        <v>55.28025</v>
      </c>
      <c r="AG183" s="86">
        <f t="shared" si="29"/>
        <v>224.22</v>
      </c>
      <c r="AH183" s="19"/>
      <c r="AI183" s="60"/>
      <c r="AJ183" s="74"/>
    </row>
    <row r="184" s="77" customFormat="1" ht="21" customHeight="1" spans="1:36">
      <c r="A184" s="19">
        <v>176</v>
      </c>
      <c r="B184" s="19" t="s">
        <v>884</v>
      </c>
      <c r="C184" s="20" t="s">
        <v>885</v>
      </c>
      <c r="D184" s="20" t="s">
        <v>886</v>
      </c>
      <c r="E184" s="21">
        <v>44732</v>
      </c>
      <c r="F184" s="19" t="s">
        <v>108</v>
      </c>
      <c r="G184" s="19" t="s">
        <v>849</v>
      </c>
      <c r="H184" s="19" t="s">
        <v>883</v>
      </c>
      <c r="I184" s="19">
        <v>20.5</v>
      </c>
      <c r="J184" s="85">
        <f t="shared" si="24"/>
        <v>5.5</v>
      </c>
      <c r="K184" s="19">
        <v>200</v>
      </c>
      <c r="L184" s="36">
        <f t="shared" si="25"/>
        <v>157.692307692308</v>
      </c>
      <c r="M184" s="36">
        <f t="shared" si="26"/>
        <v>42.3076923076923</v>
      </c>
      <c r="N184" s="19">
        <v>0</v>
      </c>
      <c r="O184" s="19">
        <f t="shared" si="30"/>
        <v>0</v>
      </c>
      <c r="P184" s="19">
        <v>0</v>
      </c>
      <c r="Q184" s="19">
        <f t="shared" si="27"/>
        <v>0</v>
      </c>
      <c r="R184" s="19">
        <v>0</v>
      </c>
      <c r="S184" s="36">
        <f t="shared" si="32"/>
        <v>7.88461538461539</v>
      </c>
      <c r="T184" s="19">
        <v>0</v>
      </c>
      <c r="U184" s="19">
        <v>0</v>
      </c>
      <c r="V184" s="54">
        <v>10</v>
      </c>
      <c r="W184" s="36">
        <v>0</v>
      </c>
      <c r="X184" s="36">
        <v>8</v>
      </c>
      <c r="Y184" s="19">
        <v>0</v>
      </c>
      <c r="Z184" s="85">
        <f>VLOOKUP(B184,'[3]Annual Leave '!$B$7:$Q$98,13,0)</f>
        <v>32.67</v>
      </c>
      <c r="AA184" s="85">
        <f>VLOOKUP(B184,'[3]Annual Leave '!$B$7:$Q$98,15,0)</f>
        <v>37.6969304733728</v>
      </c>
      <c r="AB184" s="86">
        <f t="shared" si="34"/>
        <v>253.943853550296</v>
      </c>
      <c r="AC184" s="19">
        <f>VLOOKUP(B184,[2]Sheet1!$B$2:$L$199,11,0)/4000</f>
        <v>4.652</v>
      </c>
      <c r="AD184" s="19">
        <v>0</v>
      </c>
      <c r="AE184" s="85">
        <f>VLOOKUP(B184,[1]包装!$E$7:$L$25,7,0)</f>
        <v>50</v>
      </c>
      <c r="AF184" s="19">
        <f t="shared" si="28"/>
        <v>54.652</v>
      </c>
      <c r="AG184" s="86">
        <f t="shared" si="29"/>
        <v>199.29</v>
      </c>
      <c r="AH184" s="19"/>
      <c r="AI184" s="60"/>
      <c r="AJ184" s="74"/>
    </row>
    <row r="185" s="77" customFormat="1" ht="21" customHeight="1" spans="1:36">
      <c r="A185" s="19">
        <v>177</v>
      </c>
      <c r="B185" s="19" t="s">
        <v>888</v>
      </c>
      <c r="C185" s="20" t="s">
        <v>889</v>
      </c>
      <c r="D185" s="20" t="s">
        <v>890</v>
      </c>
      <c r="E185" s="21">
        <v>44748</v>
      </c>
      <c r="F185" s="19" t="s">
        <v>108</v>
      </c>
      <c r="G185" s="19" t="s">
        <v>849</v>
      </c>
      <c r="H185" s="19" t="s">
        <v>850</v>
      </c>
      <c r="I185" s="19">
        <v>22.25</v>
      </c>
      <c r="J185" s="85">
        <f t="shared" si="24"/>
        <v>3.75</v>
      </c>
      <c r="K185" s="19">
        <v>200</v>
      </c>
      <c r="L185" s="36">
        <f t="shared" si="25"/>
        <v>171.153846153846</v>
      </c>
      <c r="M185" s="36">
        <f t="shared" si="26"/>
        <v>28.8461538461538</v>
      </c>
      <c r="N185" s="19">
        <v>17</v>
      </c>
      <c r="O185" s="19">
        <f t="shared" si="30"/>
        <v>24.5192307692308</v>
      </c>
      <c r="P185" s="19">
        <v>0</v>
      </c>
      <c r="Q185" s="19">
        <f t="shared" si="27"/>
        <v>0</v>
      </c>
      <c r="R185" s="19">
        <v>0</v>
      </c>
      <c r="S185" s="36">
        <f t="shared" si="32"/>
        <v>8.55769230769231</v>
      </c>
      <c r="T185" s="19">
        <v>0</v>
      </c>
      <c r="U185" s="19">
        <v>0</v>
      </c>
      <c r="V185" s="54">
        <v>10</v>
      </c>
      <c r="W185" s="36">
        <v>4.25</v>
      </c>
      <c r="X185" s="36">
        <v>8</v>
      </c>
      <c r="Y185" s="19">
        <v>0</v>
      </c>
      <c r="Z185" s="85">
        <f>VLOOKUP(B185,'[3]Annual Leave '!$B$7:$Q$98,13,0)</f>
        <v>36.05</v>
      </c>
      <c r="AA185" s="85">
        <f>VLOOKUP(B185,'[3]Annual Leave '!$B$7:$Q$98,15,0)</f>
        <v>13.8649223372781</v>
      </c>
      <c r="AB185" s="86">
        <f t="shared" si="34"/>
        <v>276.395691568047</v>
      </c>
      <c r="AC185" s="19">
        <f>VLOOKUP(B185,[2]Sheet1!$B$2:$L$199,11,0)/4000</f>
        <v>5.28025</v>
      </c>
      <c r="AD185" s="19">
        <v>0</v>
      </c>
      <c r="AE185" s="85">
        <f>VLOOKUP(B185,[1]包装!$E$7:$L$25,7,0)</f>
        <v>50</v>
      </c>
      <c r="AF185" s="19">
        <f t="shared" si="28"/>
        <v>55.28025</v>
      </c>
      <c r="AG185" s="86">
        <f t="shared" si="29"/>
        <v>221.12</v>
      </c>
      <c r="AH185" s="19"/>
      <c r="AI185" s="60"/>
      <c r="AJ185" s="74"/>
    </row>
    <row r="186" s="5" customFormat="1" ht="21" customHeight="1" spans="1:36">
      <c r="A186" s="19">
        <v>178</v>
      </c>
      <c r="B186" s="19" t="s">
        <v>893</v>
      </c>
      <c r="C186" s="20" t="s">
        <v>894</v>
      </c>
      <c r="D186" s="20" t="s">
        <v>895</v>
      </c>
      <c r="E186" s="21">
        <v>44755</v>
      </c>
      <c r="F186" s="19" t="s">
        <v>108</v>
      </c>
      <c r="G186" s="19" t="s">
        <v>97</v>
      </c>
      <c r="H186" s="19" t="s">
        <v>896</v>
      </c>
      <c r="I186" s="19">
        <v>21</v>
      </c>
      <c r="J186" s="85">
        <f t="shared" si="24"/>
        <v>5</v>
      </c>
      <c r="K186" s="19">
        <v>200</v>
      </c>
      <c r="L186" s="36">
        <f t="shared" si="25"/>
        <v>161.538461538462</v>
      </c>
      <c r="M186" s="36">
        <f t="shared" si="26"/>
        <v>38.4615384615385</v>
      </c>
      <c r="N186" s="19">
        <v>0</v>
      </c>
      <c r="O186" s="19">
        <f t="shared" si="30"/>
        <v>0</v>
      </c>
      <c r="P186" s="19">
        <v>0</v>
      </c>
      <c r="Q186" s="19">
        <f t="shared" si="27"/>
        <v>0</v>
      </c>
      <c r="R186" s="19">
        <v>0</v>
      </c>
      <c r="S186" s="36">
        <f t="shared" si="32"/>
        <v>8.07692307692308</v>
      </c>
      <c r="T186" s="19">
        <v>0</v>
      </c>
      <c r="U186" s="19">
        <v>0</v>
      </c>
      <c r="V186" s="54">
        <v>10</v>
      </c>
      <c r="W186" s="36">
        <v>0</v>
      </c>
      <c r="X186" s="36">
        <v>8</v>
      </c>
      <c r="Y186" s="19">
        <v>0</v>
      </c>
      <c r="Z186" s="85">
        <v>0</v>
      </c>
      <c r="AA186" s="85">
        <v>0</v>
      </c>
      <c r="AB186" s="86">
        <f t="shared" si="34"/>
        <v>187.615384615385</v>
      </c>
      <c r="AC186" s="19">
        <f>VLOOKUP(B186,[2]Sheet1!$B$2:$L$199,11,0)/4000</f>
        <v>4.7455</v>
      </c>
      <c r="AD186" s="19">
        <v>0</v>
      </c>
      <c r="AE186" s="85">
        <f>VLOOKUP(B186,[1]包装!$E$7:$L$25,7,0)</f>
        <v>50</v>
      </c>
      <c r="AF186" s="19">
        <f t="shared" si="28"/>
        <v>54.7455</v>
      </c>
      <c r="AG186" s="86">
        <f t="shared" si="29"/>
        <v>132.87</v>
      </c>
      <c r="AH186" s="19"/>
      <c r="AI186" s="60"/>
      <c r="AJ186" s="74"/>
    </row>
    <row r="187" s="5" customFormat="1" ht="21" customHeight="1" spans="1:36">
      <c r="A187" s="19">
        <v>179</v>
      </c>
      <c r="B187" s="19" t="s">
        <v>899</v>
      </c>
      <c r="C187" s="20" t="s">
        <v>900</v>
      </c>
      <c r="D187" s="20" t="s">
        <v>901</v>
      </c>
      <c r="E187" s="21">
        <v>44887</v>
      </c>
      <c r="F187" s="19" t="s">
        <v>96</v>
      </c>
      <c r="G187" s="19" t="s">
        <v>205</v>
      </c>
      <c r="H187" s="19" t="s">
        <v>206</v>
      </c>
      <c r="I187" s="19">
        <v>20.75</v>
      </c>
      <c r="J187" s="85">
        <f t="shared" si="24"/>
        <v>5.25</v>
      </c>
      <c r="K187" s="19">
        <v>200</v>
      </c>
      <c r="L187" s="36">
        <f t="shared" si="25"/>
        <v>159.615384615385</v>
      </c>
      <c r="M187" s="36">
        <f t="shared" si="26"/>
        <v>40.3846153846154</v>
      </c>
      <c r="N187" s="19">
        <v>9.5</v>
      </c>
      <c r="O187" s="19">
        <f t="shared" si="30"/>
        <v>13.7019230769231</v>
      </c>
      <c r="P187" s="19">
        <v>0</v>
      </c>
      <c r="Q187" s="19">
        <f t="shared" si="27"/>
        <v>0</v>
      </c>
      <c r="R187" s="19">
        <v>0</v>
      </c>
      <c r="S187" s="36">
        <f t="shared" si="32"/>
        <v>7.98076923076923</v>
      </c>
      <c r="T187" s="19">
        <v>0</v>
      </c>
      <c r="U187" s="19">
        <v>0</v>
      </c>
      <c r="V187" s="54">
        <v>10</v>
      </c>
      <c r="W187" s="36">
        <v>2.5</v>
      </c>
      <c r="X187" s="36">
        <v>8</v>
      </c>
      <c r="Y187" s="19">
        <v>0</v>
      </c>
      <c r="Z187" s="85">
        <v>0</v>
      </c>
      <c r="AA187" s="85">
        <v>0</v>
      </c>
      <c r="AB187" s="86">
        <f t="shared" si="34"/>
        <v>201.798076923077</v>
      </c>
      <c r="AC187" s="19">
        <f>VLOOKUP(B187,[2]Sheet1!$B$2:$L$199,11,0)/4000</f>
        <v>4.7955</v>
      </c>
      <c r="AD187" s="19">
        <v>0</v>
      </c>
      <c r="AE187" s="85">
        <f>VLOOKUP(B187,[1]包装!$E$7:$L$25,7,0)</f>
        <v>50</v>
      </c>
      <c r="AF187" s="19">
        <f t="shared" si="28"/>
        <v>54.7955</v>
      </c>
      <c r="AG187" s="86">
        <f t="shared" si="29"/>
        <v>147</v>
      </c>
      <c r="AH187" s="19"/>
      <c r="AI187" s="60"/>
      <c r="AJ187" s="74"/>
    </row>
    <row r="188" s="5" customFormat="1" ht="21" customHeight="1" spans="1:36">
      <c r="A188" s="19">
        <v>180</v>
      </c>
      <c r="B188" s="19" t="s">
        <v>903</v>
      </c>
      <c r="C188" s="20" t="s">
        <v>904</v>
      </c>
      <c r="D188" s="20" t="s">
        <v>905</v>
      </c>
      <c r="E188" s="21">
        <v>44888</v>
      </c>
      <c r="F188" s="19" t="s">
        <v>96</v>
      </c>
      <c r="G188" s="19" t="s">
        <v>205</v>
      </c>
      <c r="H188" s="19" t="s">
        <v>206</v>
      </c>
      <c r="I188" s="19">
        <v>20</v>
      </c>
      <c r="J188" s="85">
        <f t="shared" si="24"/>
        <v>6</v>
      </c>
      <c r="K188" s="19">
        <v>200</v>
      </c>
      <c r="L188" s="36">
        <f t="shared" si="25"/>
        <v>153.846153846154</v>
      </c>
      <c r="M188" s="36">
        <f t="shared" si="26"/>
        <v>46.1538461538462</v>
      </c>
      <c r="N188" s="19">
        <v>6</v>
      </c>
      <c r="O188" s="19">
        <f t="shared" si="30"/>
        <v>8.65384615384615</v>
      </c>
      <c r="P188" s="19">
        <v>0</v>
      </c>
      <c r="Q188" s="19">
        <f t="shared" si="27"/>
        <v>0</v>
      </c>
      <c r="R188" s="19">
        <v>0</v>
      </c>
      <c r="S188" s="36">
        <f t="shared" si="32"/>
        <v>7.69230769230769</v>
      </c>
      <c r="T188" s="19">
        <v>0</v>
      </c>
      <c r="U188" s="19">
        <v>0</v>
      </c>
      <c r="V188" s="54">
        <v>10</v>
      </c>
      <c r="W188" s="36">
        <v>1.5</v>
      </c>
      <c r="X188" s="36">
        <v>8</v>
      </c>
      <c r="Y188" s="19">
        <v>0</v>
      </c>
      <c r="Z188" s="85">
        <v>0</v>
      </c>
      <c r="AA188" s="85">
        <v>0</v>
      </c>
      <c r="AB188" s="86">
        <f t="shared" si="34"/>
        <v>189.692307692308</v>
      </c>
      <c r="AC188" s="19">
        <f>VLOOKUP(B188,[2]Sheet1!$B$2:$L$199,11,0)/4000</f>
        <v>4.7955</v>
      </c>
      <c r="AD188" s="19">
        <v>0</v>
      </c>
      <c r="AE188" s="85">
        <f>VLOOKUP(B188,[1]包装!$E$7:$L$25,7,0)</f>
        <v>50</v>
      </c>
      <c r="AF188" s="19">
        <f t="shared" si="28"/>
        <v>54.7955</v>
      </c>
      <c r="AG188" s="86">
        <f t="shared" si="29"/>
        <v>134.9</v>
      </c>
      <c r="AH188" s="19"/>
      <c r="AI188" s="60"/>
      <c r="AJ188" s="74"/>
    </row>
    <row r="189" s="5" customFormat="1" ht="21" customHeight="1" spans="1:36">
      <c r="A189" s="19">
        <v>181</v>
      </c>
      <c r="B189" s="19" t="s">
        <v>907</v>
      </c>
      <c r="C189" s="20" t="s">
        <v>908</v>
      </c>
      <c r="D189" s="20" t="s">
        <v>909</v>
      </c>
      <c r="E189" s="21">
        <v>44889</v>
      </c>
      <c r="F189" s="19" t="s">
        <v>96</v>
      </c>
      <c r="G189" s="19" t="s">
        <v>205</v>
      </c>
      <c r="H189" s="19" t="s">
        <v>206</v>
      </c>
      <c r="I189" s="19">
        <v>19.5</v>
      </c>
      <c r="J189" s="85">
        <f t="shared" si="24"/>
        <v>6.5</v>
      </c>
      <c r="K189" s="19">
        <v>200</v>
      </c>
      <c r="L189" s="36">
        <f t="shared" si="25"/>
        <v>150</v>
      </c>
      <c r="M189" s="36">
        <f t="shared" si="26"/>
        <v>50</v>
      </c>
      <c r="N189" s="19">
        <v>12</v>
      </c>
      <c r="O189" s="19">
        <f t="shared" si="30"/>
        <v>17.3076923076923</v>
      </c>
      <c r="P189" s="19">
        <v>0</v>
      </c>
      <c r="Q189" s="19">
        <f t="shared" si="27"/>
        <v>0</v>
      </c>
      <c r="R189" s="19">
        <v>0</v>
      </c>
      <c r="S189" s="36">
        <f t="shared" si="32"/>
        <v>7.5</v>
      </c>
      <c r="T189" s="19">
        <v>0</v>
      </c>
      <c r="U189" s="19">
        <v>0</v>
      </c>
      <c r="V189" s="54">
        <v>10</v>
      </c>
      <c r="W189" s="36">
        <v>3</v>
      </c>
      <c r="X189" s="36">
        <v>8</v>
      </c>
      <c r="Y189" s="19">
        <v>0</v>
      </c>
      <c r="Z189" s="85">
        <v>0</v>
      </c>
      <c r="AA189" s="85">
        <v>0</v>
      </c>
      <c r="AB189" s="86">
        <f t="shared" si="34"/>
        <v>195.807692307692</v>
      </c>
      <c r="AC189" s="19">
        <f>VLOOKUP(B189,[2]Sheet1!$B$2:$L$199,11,0)/4000</f>
        <v>4.63575</v>
      </c>
      <c r="AD189" s="19">
        <v>0</v>
      </c>
      <c r="AE189" s="85">
        <f>VLOOKUP(B189,[1]包装!$E$7:$L$25,7,0)</f>
        <v>50</v>
      </c>
      <c r="AF189" s="19">
        <f t="shared" si="28"/>
        <v>54.63575</v>
      </c>
      <c r="AG189" s="86">
        <f t="shared" si="29"/>
        <v>141.17</v>
      </c>
      <c r="AH189" s="19"/>
      <c r="AI189" s="60"/>
      <c r="AJ189" s="74"/>
    </row>
    <row r="190" s="5" customFormat="1" ht="21" customHeight="1" spans="1:36">
      <c r="A190" s="19">
        <v>182</v>
      </c>
      <c r="B190" s="20" t="s">
        <v>912</v>
      </c>
      <c r="C190" s="20" t="s">
        <v>913</v>
      </c>
      <c r="D190" s="20" t="s">
        <v>914</v>
      </c>
      <c r="E190" s="21">
        <v>44732</v>
      </c>
      <c r="F190" s="20" t="s">
        <v>96</v>
      </c>
      <c r="G190" s="19" t="s">
        <v>915</v>
      </c>
      <c r="H190" s="22" t="s">
        <v>916</v>
      </c>
      <c r="I190" s="19">
        <v>24.75</v>
      </c>
      <c r="J190" s="19">
        <f t="shared" si="24"/>
        <v>1.25</v>
      </c>
      <c r="K190" s="19">
        <v>200</v>
      </c>
      <c r="L190" s="36">
        <f t="shared" si="25"/>
        <v>190.384615384615</v>
      </c>
      <c r="M190" s="36">
        <f t="shared" si="26"/>
        <v>9.61538461538461</v>
      </c>
      <c r="N190" s="19">
        <v>8</v>
      </c>
      <c r="O190" s="19">
        <f t="shared" si="30"/>
        <v>11.5384615384615</v>
      </c>
      <c r="P190" s="19">
        <v>0</v>
      </c>
      <c r="Q190" s="19">
        <f t="shared" si="27"/>
        <v>0</v>
      </c>
      <c r="R190" s="19">
        <v>0</v>
      </c>
      <c r="S190" s="19">
        <f t="shared" si="32"/>
        <v>9.51923076923077</v>
      </c>
      <c r="T190" s="19">
        <v>0</v>
      </c>
      <c r="U190" s="19">
        <v>0</v>
      </c>
      <c r="V190" s="19">
        <v>10</v>
      </c>
      <c r="W190" s="19">
        <v>2</v>
      </c>
      <c r="X190" s="19">
        <v>8</v>
      </c>
      <c r="Y190" s="19">
        <v>0</v>
      </c>
      <c r="Z190" s="19">
        <f>VLOOKUP(B190,'[3]Annual Leave '!$B$7:$Q$98,13,0)</f>
        <v>35.36</v>
      </c>
      <c r="AA190" s="19">
        <f>VLOOKUP(B190,'[3]Annual Leave '!$B$7:$Q$98,15,0)</f>
        <v>40.7984467455622</v>
      </c>
      <c r="AB190" s="36">
        <f t="shared" ref="AB190:AB197" si="35">L190+O190+Q190+R190+S190+T190+U190+V190+X190+Z190+AA190+W190</f>
        <v>307.60075443787</v>
      </c>
      <c r="AC190" s="19">
        <f>VLOOKUP(B190,[2]Sheet1!$B$2:$N$199,11,0)/4000</f>
        <v>4.88125</v>
      </c>
      <c r="AD190" s="19">
        <v>0</v>
      </c>
      <c r="AE190" s="19">
        <f>VLOOKUP(B190,[1]Cut!$E$7:$L$14,7,0)</f>
        <v>100</v>
      </c>
      <c r="AF190" s="19">
        <f t="shared" si="28"/>
        <v>104.88125</v>
      </c>
      <c r="AG190" s="86">
        <f t="shared" si="29"/>
        <v>202.72</v>
      </c>
      <c r="AH190" s="19"/>
      <c r="AI190" s="60"/>
      <c r="AJ190" s="74"/>
    </row>
    <row r="191" s="5" customFormat="1" ht="21" customHeight="1" spans="1:36">
      <c r="A191" s="19">
        <v>183</v>
      </c>
      <c r="B191" s="20" t="s">
        <v>919</v>
      </c>
      <c r="C191" s="20" t="s">
        <v>920</v>
      </c>
      <c r="D191" s="20" t="s">
        <v>921</v>
      </c>
      <c r="E191" s="21">
        <v>44746</v>
      </c>
      <c r="F191" s="20" t="s">
        <v>108</v>
      </c>
      <c r="G191" s="19" t="s">
        <v>915</v>
      </c>
      <c r="H191" s="22" t="s">
        <v>916</v>
      </c>
      <c r="I191" s="19">
        <v>25.25</v>
      </c>
      <c r="J191" s="19">
        <f t="shared" si="24"/>
        <v>0.75</v>
      </c>
      <c r="K191" s="19">
        <v>200</v>
      </c>
      <c r="L191" s="36">
        <f t="shared" si="25"/>
        <v>194.230769230769</v>
      </c>
      <c r="M191" s="36">
        <f t="shared" si="26"/>
        <v>5.76923076923077</v>
      </c>
      <c r="N191" s="19">
        <v>6</v>
      </c>
      <c r="O191" s="19">
        <f t="shared" si="30"/>
        <v>8.65384615384615</v>
      </c>
      <c r="P191" s="19">
        <v>0</v>
      </c>
      <c r="Q191" s="19">
        <f t="shared" si="27"/>
        <v>0</v>
      </c>
      <c r="R191" s="19">
        <v>0</v>
      </c>
      <c r="S191" s="19">
        <f t="shared" si="32"/>
        <v>9.71153846153846</v>
      </c>
      <c r="T191" s="36">
        <v>39.4</v>
      </c>
      <c r="U191" s="19">
        <v>30</v>
      </c>
      <c r="V191" s="19">
        <v>10</v>
      </c>
      <c r="W191" s="19">
        <v>1.5</v>
      </c>
      <c r="X191" s="19">
        <v>8</v>
      </c>
      <c r="Y191" s="19">
        <v>0</v>
      </c>
      <c r="Z191" s="19">
        <f>VLOOKUP(B191,'[3]Annual Leave '!$B$7:$Q$98,13,0)</f>
        <v>46.33</v>
      </c>
      <c r="AA191" s="19">
        <f>VLOOKUP(B191,'[3]Annual Leave '!$B$7:$Q$98,15,0)</f>
        <v>53.4594674556213</v>
      </c>
      <c r="AB191" s="36">
        <f t="shared" si="35"/>
        <v>401.285621301775</v>
      </c>
      <c r="AC191" s="19">
        <f>VLOOKUP(B191,[2]Sheet1!$B$2:$N$199,11,0)/4000</f>
        <v>6</v>
      </c>
      <c r="AD191" s="19">
        <v>0</v>
      </c>
      <c r="AE191" s="19">
        <f>VLOOKUP(B191,[1]Cut!$E$7:$L$14,7,0)</f>
        <v>100</v>
      </c>
      <c r="AF191" s="19">
        <f t="shared" si="28"/>
        <v>106</v>
      </c>
      <c r="AG191" s="86">
        <f t="shared" si="29"/>
        <v>295.29</v>
      </c>
      <c r="AH191" s="19"/>
      <c r="AI191" s="60"/>
      <c r="AJ191" s="74"/>
    </row>
    <row r="192" s="5" customFormat="1" ht="21" customHeight="1" spans="1:36">
      <c r="A192" s="19">
        <v>184</v>
      </c>
      <c r="B192" s="20" t="s">
        <v>924</v>
      </c>
      <c r="C192" s="20" t="s">
        <v>925</v>
      </c>
      <c r="D192" s="20" t="s">
        <v>926</v>
      </c>
      <c r="E192" s="21">
        <v>44746</v>
      </c>
      <c r="F192" s="20" t="s">
        <v>108</v>
      </c>
      <c r="G192" s="19" t="s">
        <v>915</v>
      </c>
      <c r="H192" s="22" t="s">
        <v>916</v>
      </c>
      <c r="I192" s="19">
        <v>22.625</v>
      </c>
      <c r="J192" s="19">
        <f t="shared" si="24"/>
        <v>3.375</v>
      </c>
      <c r="K192" s="19">
        <v>200</v>
      </c>
      <c r="L192" s="36">
        <f t="shared" si="25"/>
        <v>174.038461538462</v>
      </c>
      <c r="M192" s="36">
        <f t="shared" si="26"/>
        <v>25.9615384615385</v>
      </c>
      <c r="N192" s="19">
        <v>4</v>
      </c>
      <c r="O192" s="19">
        <f t="shared" si="30"/>
        <v>5.76923076923077</v>
      </c>
      <c r="P192" s="19">
        <v>0</v>
      </c>
      <c r="Q192" s="19">
        <f t="shared" si="27"/>
        <v>0</v>
      </c>
      <c r="R192" s="19">
        <v>0</v>
      </c>
      <c r="S192" s="19">
        <f t="shared" si="32"/>
        <v>8.70192307692308</v>
      </c>
      <c r="T192" s="19">
        <v>0</v>
      </c>
      <c r="U192" s="19">
        <v>0</v>
      </c>
      <c r="V192" s="19">
        <v>10</v>
      </c>
      <c r="W192" s="19">
        <v>1</v>
      </c>
      <c r="X192" s="19">
        <v>8</v>
      </c>
      <c r="Y192" s="19">
        <v>0</v>
      </c>
      <c r="Z192" s="19">
        <f>VLOOKUP(B192,'[3]Annual Leave '!$B$7:$Q$98,13,0)</f>
        <v>33.31</v>
      </c>
      <c r="AA192" s="19">
        <f>VLOOKUP(B192,'[3]Annual Leave '!$B$7:$Q$98,15,0)</f>
        <v>38.4289016272189</v>
      </c>
      <c r="AB192" s="36">
        <f t="shared" si="35"/>
        <v>279.248517011834</v>
      </c>
      <c r="AC192" s="19">
        <f>VLOOKUP(B192,[2]Sheet1!$B$2:$N$199,11,0)/4000</f>
        <v>4.73225</v>
      </c>
      <c r="AD192" s="19">
        <v>0</v>
      </c>
      <c r="AE192" s="19">
        <f>VLOOKUP(B192,[1]Cut!$E$7:$L$14,7,0)</f>
        <v>100</v>
      </c>
      <c r="AF192" s="19">
        <f t="shared" si="28"/>
        <v>104.73225</v>
      </c>
      <c r="AG192" s="86">
        <f t="shared" si="29"/>
        <v>174.52</v>
      </c>
      <c r="AH192" s="19"/>
      <c r="AI192" s="60"/>
      <c r="AJ192" s="74"/>
    </row>
    <row r="193" s="5" customFormat="1" ht="17" customHeight="1" spans="1:37">
      <c r="A193" s="19">
        <v>185</v>
      </c>
      <c r="B193" s="20" t="s">
        <v>929</v>
      </c>
      <c r="C193" s="20" t="s">
        <v>930</v>
      </c>
      <c r="D193" s="20" t="s">
        <v>931</v>
      </c>
      <c r="E193" s="21">
        <v>44746</v>
      </c>
      <c r="F193" s="20" t="s">
        <v>108</v>
      </c>
      <c r="G193" s="19" t="s">
        <v>915</v>
      </c>
      <c r="H193" s="22" t="s">
        <v>916</v>
      </c>
      <c r="I193" s="19">
        <v>24.75</v>
      </c>
      <c r="J193" s="19">
        <f t="shared" si="24"/>
        <v>1.25</v>
      </c>
      <c r="K193" s="19">
        <v>200</v>
      </c>
      <c r="L193" s="36">
        <f t="shared" si="25"/>
        <v>190.384615384615</v>
      </c>
      <c r="M193" s="36">
        <f t="shared" si="26"/>
        <v>9.61538461538461</v>
      </c>
      <c r="N193" s="19">
        <v>19</v>
      </c>
      <c r="O193" s="19">
        <f t="shared" si="30"/>
        <v>27.4038461538462</v>
      </c>
      <c r="P193" s="19">
        <v>0</v>
      </c>
      <c r="Q193" s="19">
        <f t="shared" si="27"/>
        <v>0</v>
      </c>
      <c r="R193" s="19">
        <v>0</v>
      </c>
      <c r="S193" s="19">
        <f t="shared" si="32"/>
        <v>9.51923076923077</v>
      </c>
      <c r="T193" s="19">
        <v>0</v>
      </c>
      <c r="U193" s="19">
        <v>0</v>
      </c>
      <c r="V193" s="19">
        <v>10</v>
      </c>
      <c r="W193" s="19">
        <v>5</v>
      </c>
      <c r="X193" s="19">
        <v>8</v>
      </c>
      <c r="Y193" s="19">
        <v>0</v>
      </c>
      <c r="Z193" s="19">
        <f>VLOOKUP(B193,'[3]Annual Leave '!$B$7:$Q$98,13,0)</f>
        <v>37.02</v>
      </c>
      <c r="AA193" s="19">
        <f>VLOOKUP(B193,'[3]Annual Leave '!$B$7:$Q$98,15,0)</f>
        <v>42.7200443786982</v>
      </c>
      <c r="AB193" s="36">
        <f t="shared" si="35"/>
        <v>330.047736686391</v>
      </c>
      <c r="AC193" s="19">
        <f>VLOOKUP(B193,[2]Sheet1!$B$2:$N$199,11,0)/4000</f>
        <v>5.1105</v>
      </c>
      <c r="AD193" s="19">
        <v>0</v>
      </c>
      <c r="AE193" s="19">
        <f>VLOOKUP(B193,[1]Cut!$E$7:$L$14,7,0)</f>
        <v>100</v>
      </c>
      <c r="AF193" s="19">
        <f t="shared" si="28"/>
        <v>105.1105</v>
      </c>
      <c r="AG193" s="86">
        <f t="shared" si="29"/>
        <v>224.94</v>
      </c>
      <c r="AH193" s="19"/>
      <c r="AI193" s="60"/>
      <c r="AJ193" s="74"/>
      <c r="AK193" s="72"/>
    </row>
    <row r="194" s="5" customFormat="1" ht="21" customHeight="1" spans="1:37">
      <c r="A194" s="19">
        <v>186</v>
      </c>
      <c r="B194" s="20" t="s">
        <v>933</v>
      </c>
      <c r="C194" s="20" t="s">
        <v>934</v>
      </c>
      <c r="D194" s="20" t="s">
        <v>935</v>
      </c>
      <c r="E194" s="21">
        <v>44746</v>
      </c>
      <c r="F194" s="20" t="s">
        <v>108</v>
      </c>
      <c r="G194" s="19" t="s">
        <v>915</v>
      </c>
      <c r="H194" s="22" t="s">
        <v>916</v>
      </c>
      <c r="I194" s="19">
        <v>25.25</v>
      </c>
      <c r="J194" s="19">
        <f t="shared" si="24"/>
        <v>0.75</v>
      </c>
      <c r="K194" s="19">
        <v>200</v>
      </c>
      <c r="L194" s="36">
        <f t="shared" si="25"/>
        <v>194.230769230769</v>
      </c>
      <c r="M194" s="36">
        <f t="shared" si="26"/>
        <v>5.76923076923077</v>
      </c>
      <c r="N194" s="19">
        <v>18</v>
      </c>
      <c r="O194" s="19">
        <f t="shared" si="30"/>
        <v>25.9615384615385</v>
      </c>
      <c r="P194" s="19">
        <v>0</v>
      </c>
      <c r="Q194" s="19">
        <f t="shared" si="27"/>
        <v>0</v>
      </c>
      <c r="R194" s="19">
        <v>0</v>
      </c>
      <c r="S194" s="19">
        <f t="shared" si="32"/>
        <v>9.71153846153846</v>
      </c>
      <c r="T194" s="19">
        <v>0</v>
      </c>
      <c r="U194" s="19">
        <v>0</v>
      </c>
      <c r="V194" s="19">
        <v>10</v>
      </c>
      <c r="W194" s="19">
        <v>4.5</v>
      </c>
      <c r="X194" s="19">
        <v>8</v>
      </c>
      <c r="Y194" s="19">
        <v>0</v>
      </c>
      <c r="Z194" s="19">
        <f>VLOOKUP(B194,'[3]Annual Leave '!$B$7:$Q$98,13,0)</f>
        <v>36.87</v>
      </c>
      <c r="AA194" s="19">
        <f>VLOOKUP(B194,'[3]Annual Leave '!$B$7:$Q$98,15,0)</f>
        <v>42.5411427514793</v>
      </c>
      <c r="AB194" s="36">
        <f t="shared" si="35"/>
        <v>331.814988905325</v>
      </c>
      <c r="AC194" s="19">
        <f>VLOOKUP(B194,[2]Sheet1!$B$2:$N$199,11,0)/4000</f>
        <v>5.20725</v>
      </c>
      <c r="AD194" s="19">
        <v>0</v>
      </c>
      <c r="AE194" s="19">
        <f>VLOOKUP(B194,[1]Cut!$E$7:$L$14,7,0)</f>
        <v>100</v>
      </c>
      <c r="AF194" s="19">
        <f t="shared" si="28"/>
        <v>105.20725</v>
      </c>
      <c r="AG194" s="86">
        <f t="shared" si="29"/>
        <v>226.61</v>
      </c>
      <c r="AH194" s="19"/>
      <c r="AI194" s="60"/>
      <c r="AJ194" s="74"/>
      <c r="AK194" s="72"/>
    </row>
    <row r="195" s="5" customFormat="1" ht="21" customHeight="1" spans="1:37">
      <c r="A195" s="19">
        <v>187</v>
      </c>
      <c r="B195" s="20" t="s">
        <v>938</v>
      </c>
      <c r="C195" s="20" t="s">
        <v>939</v>
      </c>
      <c r="D195" s="20" t="s">
        <v>940</v>
      </c>
      <c r="E195" s="21">
        <v>44748</v>
      </c>
      <c r="F195" s="20" t="s">
        <v>108</v>
      </c>
      <c r="G195" s="19" t="s">
        <v>915</v>
      </c>
      <c r="H195" s="22" t="s">
        <v>916</v>
      </c>
      <c r="I195" s="19">
        <v>23.25</v>
      </c>
      <c r="J195" s="19">
        <f t="shared" si="24"/>
        <v>2.75</v>
      </c>
      <c r="K195" s="19">
        <v>200</v>
      </c>
      <c r="L195" s="36">
        <f t="shared" si="25"/>
        <v>178.846153846154</v>
      </c>
      <c r="M195" s="36">
        <f t="shared" si="26"/>
        <v>21.1538461538462</v>
      </c>
      <c r="N195" s="19">
        <v>9</v>
      </c>
      <c r="O195" s="19">
        <f t="shared" si="30"/>
        <v>12.9807692307692</v>
      </c>
      <c r="P195" s="19">
        <v>0</v>
      </c>
      <c r="Q195" s="19">
        <f t="shared" si="27"/>
        <v>0</v>
      </c>
      <c r="R195" s="19">
        <v>0</v>
      </c>
      <c r="S195" s="19">
        <f t="shared" si="32"/>
        <v>8.94230769230769</v>
      </c>
      <c r="T195" s="19">
        <v>14.59</v>
      </c>
      <c r="U195" s="19">
        <v>30</v>
      </c>
      <c r="V195" s="19">
        <v>10</v>
      </c>
      <c r="W195" s="19">
        <v>2.25</v>
      </c>
      <c r="X195" s="19">
        <v>8</v>
      </c>
      <c r="Y195" s="19">
        <v>0</v>
      </c>
      <c r="Z195" s="19">
        <f>VLOOKUP(B195,'[3]Annual Leave '!$B$7:$Q$98,13,0)</f>
        <v>41.52</v>
      </c>
      <c r="AA195" s="19">
        <f>VLOOKUP(B195,'[3]Annual Leave '!$B$7:$Q$98,15,0)</f>
        <v>47.9062278106509</v>
      </c>
      <c r="AB195" s="36">
        <f t="shared" si="35"/>
        <v>355.035458579882</v>
      </c>
      <c r="AC195" s="19">
        <f>VLOOKUP(B195,[2]Sheet1!$B$2:$N$199,11,0)/4000</f>
        <v>5.71975</v>
      </c>
      <c r="AD195" s="19">
        <v>0</v>
      </c>
      <c r="AE195" s="19">
        <f>VLOOKUP(B195,[1]Cut!$E$7:$L$14,7,0)</f>
        <v>100</v>
      </c>
      <c r="AF195" s="19">
        <f t="shared" si="28"/>
        <v>105.71975</v>
      </c>
      <c r="AG195" s="86">
        <f t="shared" si="29"/>
        <v>249.32</v>
      </c>
      <c r="AH195" s="19"/>
      <c r="AI195" s="60"/>
      <c r="AJ195" s="74"/>
      <c r="AK195" s="72"/>
    </row>
    <row r="196" s="5" customFormat="1" ht="21" customHeight="1" spans="1:37">
      <c r="A196" s="19">
        <v>188</v>
      </c>
      <c r="B196" s="20" t="s">
        <v>943</v>
      </c>
      <c r="C196" s="20" t="s">
        <v>944</v>
      </c>
      <c r="D196" s="20" t="s">
        <v>945</v>
      </c>
      <c r="E196" s="21">
        <v>44894</v>
      </c>
      <c r="F196" s="20" t="s">
        <v>108</v>
      </c>
      <c r="G196" s="19" t="s">
        <v>915</v>
      </c>
      <c r="H196" s="22" t="s">
        <v>916</v>
      </c>
      <c r="I196" s="19">
        <v>23.75</v>
      </c>
      <c r="J196" s="19">
        <f t="shared" si="24"/>
        <v>2.25</v>
      </c>
      <c r="K196" s="19">
        <v>200</v>
      </c>
      <c r="L196" s="36">
        <f t="shared" si="25"/>
        <v>182.692307692308</v>
      </c>
      <c r="M196" s="36">
        <f t="shared" si="26"/>
        <v>17.3076923076923</v>
      </c>
      <c r="N196" s="19">
        <v>6</v>
      </c>
      <c r="O196" s="19">
        <f t="shared" si="30"/>
        <v>8.65384615384615</v>
      </c>
      <c r="P196" s="19">
        <v>0</v>
      </c>
      <c r="Q196" s="19">
        <f t="shared" si="27"/>
        <v>0</v>
      </c>
      <c r="R196" s="19">
        <v>0</v>
      </c>
      <c r="S196" s="19">
        <v>10</v>
      </c>
      <c r="T196" s="19">
        <v>0</v>
      </c>
      <c r="U196" s="19">
        <v>0</v>
      </c>
      <c r="V196" s="19">
        <v>10</v>
      </c>
      <c r="W196" s="19">
        <v>1.5</v>
      </c>
      <c r="X196" s="19">
        <v>8</v>
      </c>
      <c r="Y196" s="19">
        <v>0</v>
      </c>
      <c r="Z196" s="19">
        <v>0</v>
      </c>
      <c r="AA196" s="19">
        <v>0</v>
      </c>
      <c r="AB196" s="36">
        <f t="shared" si="35"/>
        <v>220.846153846154</v>
      </c>
      <c r="AC196" s="19">
        <f>VLOOKUP(B196,[2]Sheet1!$B$2:$N$199,11,0)/4000</f>
        <v>4.661</v>
      </c>
      <c r="AD196" s="19">
        <v>0</v>
      </c>
      <c r="AE196" s="19">
        <f>VLOOKUP(B196,[1]Cut!$E$7:$L$14,7,0)</f>
        <v>100</v>
      </c>
      <c r="AF196" s="19">
        <f t="shared" si="28"/>
        <v>104.661</v>
      </c>
      <c r="AG196" s="86">
        <f t="shared" si="29"/>
        <v>116.19</v>
      </c>
      <c r="AH196" s="19"/>
      <c r="AI196" s="60"/>
      <c r="AJ196" s="74"/>
      <c r="AK196" s="72"/>
    </row>
    <row r="197" s="5" customFormat="1" ht="21" customHeight="1" spans="1:37">
      <c r="A197" s="19">
        <v>189</v>
      </c>
      <c r="B197" s="20" t="s">
        <v>946</v>
      </c>
      <c r="C197" s="20" t="s">
        <v>947</v>
      </c>
      <c r="D197" s="20" t="s">
        <v>948</v>
      </c>
      <c r="E197" s="21">
        <v>44957</v>
      </c>
      <c r="F197" s="20" t="s">
        <v>108</v>
      </c>
      <c r="G197" s="19" t="s">
        <v>915</v>
      </c>
      <c r="H197" s="22" t="s">
        <v>916</v>
      </c>
      <c r="I197" s="19">
        <v>1</v>
      </c>
      <c r="J197" s="19">
        <f t="shared" si="24"/>
        <v>25</v>
      </c>
      <c r="K197" s="19">
        <v>198</v>
      </c>
      <c r="L197" s="36">
        <f t="shared" si="25"/>
        <v>7.61538461538461</v>
      </c>
      <c r="M197" s="36">
        <f t="shared" si="26"/>
        <v>190.384615384615</v>
      </c>
      <c r="N197" s="19">
        <v>0</v>
      </c>
      <c r="O197" s="19">
        <f t="shared" si="30"/>
        <v>0</v>
      </c>
      <c r="P197" s="19">
        <v>0</v>
      </c>
      <c r="Q197" s="19">
        <f t="shared" si="27"/>
        <v>0</v>
      </c>
      <c r="R197" s="19">
        <v>0</v>
      </c>
      <c r="S197" s="19">
        <v>5</v>
      </c>
      <c r="T197" s="19">
        <v>0</v>
      </c>
      <c r="U197" s="19">
        <v>0</v>
      </c>
      <c r="V197" s="19">
        <v>5</v>
      </c>
      <c r="W197" s="19">
        <v>0</v>
      </c>
      <c r="X197" s="19">
        <v>4</v>
      </c>
      <c r="Y197" s="19">
        <v>0</v>
      </c>
      <c r="Z197" s="19">
        <v>0</v>
      </c>
      <c r="AA197" s="19">
        <v>0</v>
      </c>
      <c r="AB197" s="36">
        <f t="shared" si="35"/>
        <v>21.6153846153846</v>
      </c>
      <c r="AC197" s="19">
        <v>0</v>
      </c>
      <c r="AD197" s="19">
        <v>0</v>
      </c>
      <c r="AE197" s="19">
        <v>0</v>
      </c>
      <c r="AF197" s="19">
        <f t="shared" si="28"/>
        <v>0</v>
      </c>
      <c r="AG197" s="86">
        <f t="shared" si="29"/>
        <v>21.62</v>
      </c>
      <c r="AH197" s="19"/>
      <c r="AI197" s="60"/>
      <c r="AJ197" s="74"/>
      <c r="AK197" s="72"/>
    </row>
    <row r="198" s="5" customFormat="1" ht="21" customHeight="1" spans="1:37">
      <c r="A198" s="19">
        <v>190</v>
      </c>
      <c r="B198" s="20" t="s">
        <v>950</v>
      </c>
      <c r="C198" s="20" t="s">
        <v>951</v>
      </c>
      <c r="D198" s="20" t="s">
        <v>952</v>
      </c>
      <c r="E198" s="21">
        <v>44738</v>
      </c>
      <c r="F198" s="19" t="s">
        <v>108</v>
      </c>
      <c r="G198" s="19" t="s">
        <v>953</v>
      </c>
      <c r="H198" s="22" t="s">
        <v>954</v>
      </c>
      <c r="I198" s="19">
        <v>26</v>
      </c>
      <c r="J198" s="19">
        <f t="shared" si="24"/>
        <v>0</v>
      </c>
      <c r="K198" s="19">
        <v>200</v>
      </c>
      <c r="L198" s="36">
        <f t="shared" si="25"/>
        <v>200</v>
      </c>
      <c r="M198" s="36">
        <f t="shared" si="26"/>
        <v>0</v>
      </c>
      <c r="N198" s="19">
        <v>10</v>
      </c>
      <c r="O198" s="19">
        <f t="shared" si="30"/>
        <v>14.4230769230769</v>
      </c>
      <c r="P198" s="19">
        <v>0</v>
      </c>
      <c r="Q198" s="19">
        <f t="shared" si="27"/>
        <v>0</v>
      </c>
      <c r="R198" s="19">
        <v>0</v>
      </c>
      <c r="S198" s="19">
        <f t="shared" ref="S198:S212" si="36">10/26*I198</f>
        <v>10</v>
      </c>
      <c r="T198" s="19">
        <v>0</v>
      </c>
      <c r="U198" s="19">
        <v>0</v>
      </c>
      <c r="V198" s="19">
        <v>10</v>
      </c>
      <c r="W198" s="19">
        <v>2.5</v>
      </c>
      <c r="X198" s="19">
        <v>8</v>
      </c>
      <c r="Y198" s="19">
        <v>0</v>
      </c>
      <c r="Z198" s="19">
        <f>VLOOKUP(B198,'[3]Annual Leave '!$B$7:$Q$98,13,0)</f>
        <v>36.3</v>
      </c>
      <c r="AA198" s="19">
        <f>VLOOKUP(B198,'[3]Annual Leave '!$B$7:$Q$98,15,0)</f>
        <v>41.8846153846154</v>
      </c>
      <c r="AB198" s="36">
        <f t="shared" ref="AB198:AB212" si="37">L198+O198+Q198+R198+S198+T198+U198+V198+X198+Y198+Z198+AA198+W198</f>
        <v>323.107692307692</v>
      </c>
      <c r="AC198" s="19">
        <f>VLOOKUP(B198,[2]Sheet1!$B$2:$N$199,11,0)/4000</f>
        <v>5.1105</v>
      </c>
      <c r="AD198" s="19">
        <v>0</v>
      </c>
      <c r="AE198" s="19">
        <f>VLOOKUP(B198,[1]打扣组!$E$7:$L$10,7,0)</f>
        <v>100</v>
      </c>
      <c r="AF198" s="19">
        <f t="shared" si="28"/>
        <v>105.1105</v>
      </c>
      <c r="AG198" s="86">
        <f t="shared" si="29"/>
        <v>218</v>
      </c>
      <c r="AH198" s="19"/>
      <c r="AI198" s="60"/>
      <c r="AJ198" s="74"/>
      <c r="AK198" s="72"/>
    </row>
    <row r="199" s="5" customFormat="1" ht="21" customHeight="1" spans="1:37">
      <c r="A199" s="19">
        <v>191</v>
      </c>
      <c r="B199" s="20" t="s">
        <v>956</v>
      </c>
      <c r="C199" s="20" t="s">
        <v>957</v>
      </c>
      <c r="D199" s="20" t="s">
        <v>958</v>
      </c>
      <c r="E199" s="21">
        <v>44887</v>
      </c>
      <c r="F199" s="19" t="s">
        <v>96</v>
      </c>
      <c r="G199" s="19" t="s">
        <v>953</v>
      </c>
      <c r="H199" s="22" t="s">
        <v>959</v>
      </c>
      <c r="I199" s="19">
        <v>24.5</v>
      </c>
      <c r="J199" s="19">
        <f t="shared" si="24"/>
        <v>1.5</v>
      </c>
      <c r="K199" s="19">
        <v>200</v>
      </c>
      <c r="L199" s="36">
        <f t="shared" si="25"/>
        <v>188.461538461538</v>
      </c>
      <c r="M199" s="36">
        <f t="shared" si="26"/>
        <v>11.5384615384615</v>
      </c>
      <c r="N199" s="19">
        <v>4</v>
      </c>
      <c r="O199" s="19">
        <f t="shared" si="30"/>
        <v>5.76923076923077</v>
      </c>
      <c r="P199" s="19">
        <v>0</v>
      </c>
      <c r="Q199" s="19">
        <f t="shared" si="27"/>
        <v>0</v>
      </c>
      <c r="R199" s="19">
        <v>0</v>
      </c>
      <c r="S199" s="19">
        <f t="shared" si="36"/>
        <v>9.42307692307692</v>
      </c>
      <c r="T199" s="19">
        <v>0</v>
      </c>
      <c r="U199" s="19">
        <v>0</v>
      </c>
      <c r="V199" s="19">
        <v>10</v>
      </c>
      <c r="W199" s="19">
        <v>1</v>
      </c>
      <c r="X199" s="19">
        <v>8</v>
      </c>
      <c r="Y199" s="19">
        <v>0</v>
      </c>
      <c r="Z199" s="19">
        <v>0</v>
      </c>
      <c r="AA199" s="19">
        <v>0</v>
      </c>
      <c r="AB199" s="36">
        <f t="shared" si="37"/>
        <v>222.653846153846</v>
      </c>
      <c r="AC199" s="19">
        <f>VLOOKUP(B199,[2]Sheet1!$B$2:$N$199,11,0)/4000</f>
        <v>5.0645</v>
      </c>
      <c r="AD199" s="19">
        <v>0</v>
      </c>
      <c r="AE199" s="19">
        <f>VLOOKUP(B199,[1]打扣组!$E$7:$L$10,7,0)</f>
        <v>100</v>
      </c>
      <c r="AF199" s="19">
        <f t="shared" si="28"/>
        <v>105.0645</v>
      </c>
      <c r="AG199" s="86">
        <f t="shared" si="29"/>
        <v>117.59</v>
      </c>
      <c r="AH199" s="19"/>
      <c r="AI199" s="60"/>
      <c r="AJ199" s="74"/>
      <c r="AK199" s="72"/>
    </row>
    <row r="200" s="5" customFormat="1" ht="21" customHeight="1" spans="1:37">
      <c r="A200" s="19">
        <v>192</v>
      </c>
      <c r="B200" s="20" t="s">
        <v>961</v>
      </c>
      <c r="C200" s="20" t="s">
        <v>962</v>
      </c>
      <c r="D200" s="20" t="s">
        <v>963</v>
      </c>
      <c r="E200" s="21">
        <v>44888</v>
      </c>
      <c r="F200" s="19" t="s">
        <v>96</v>
      </c>
      <c r="G200" s="19" t="s">
        <v>953</v>
      </c>
      <c r="H200" s="22" t="s">
        <v>954</v>
      </c>
      <c r="I200" s="19">
        <v>24.5</v>
      </c>
      <c r="J200" s="19">
        <f t="shared" si="24"/>
        <v>1.5</v>
      </c>
      <c r="K200" s="19">
        <v>200</v>
      </c>
      <c r="L200" s="36">
        <f t="shared" si="25"/>
        <v>188.461538461538</v>
      </c>
      <c r="M200" s="36">
        <f t="shared" si="26"/>
        <v>11.5384615384615</v>
      </c>
      <c r="N200" s="19">
        <v>6</v>
      </c>
      <c r="O200" s="19">
        <f t="shared" si="30"/>
        <v>8.65384615384615</v>
      </c>
      <c r="P200" s="19">
        <v>0</v>
      </c>
      <c r="Q200" s="19">
        <f t="shared" si="27"/>
        <v>0</v>
      </c>
      <c r="R200" s="19">
        <v>0</v>
      </c>
      <c r="S200" s="19">
        <f t="shared" si="36"/>
        <v>9.42307692307692</v>
      </c>
      <c r="T200" s="19">
        <v>0</v>
      </c>
      <c r="U200" s="19">
        <v>0</v>
      </c>
      <c r="V200" s="19">
        <v>10</v>
      </c>
      <c r="W200" s="19">
        <v>1.5</v>
      </c>
      <c r="X200" s="19">
        <v>8</v>
      </c>
      <c r="Y200" s="19">
        <v>0</v>
      </c>
      <c r="Z200" s="19">
        <v>0</v>
      </c>
      <c r="AA200" s="19">
        <v>0</v>
      </c>
      <c r="AB200" s="36">
        <f t="shared" si="37"/>
        <v>226.038461538462</v>
      </c>
      <c r="AC200" s="19">
        <f>VLOOKUP(B200,[2]Sheet1!$B$2:$N$199,11,0)/4000</f>
        <v>5.0645</v>
      </c>
      <c r="AD200" s="19">
        <v>0</v>
      </c>
      <c r="AE200" s="19">
        <f>VLOOKUP(B200,[1]打扣组!$E$7:$L$10,7,0)</f>
        <v>100</v>
      </c>
      <c r="AF200" s="19">
        <f t="shared" si="28"/>
        <v>105.0645</v>
      </c>
      <c r="AG200" s="86">
        <f t="shared" si="29"/>
        <v>120.97</v>
      </c>
      <c r="AH200" s="19"/>
      <c r="AI200" s="60"/>
      <c r="AJ200" s="74"/>
      <c r="AK200" s="72"/>
    </row>
    <row r="201" s="5" customFormat="1" ht="21" customHeight="1" spans="1:37">
      <c r="A201" s="19">
        <v>193</v>
      </c>
      <c r="B201" s="20" t="s">
        <v>965</v>
      </c>
      <c r="C201" s="20" t="s">
        <v>966</v>
      </c>
      <c r="D201" s="20" t="s">
        <v>967</v>
      </c>
      <c r="E201" s="21">
        <v>44888</v>
      </c>
      <c r="F201" s="19" t="s">
        <v>96</v>
      </c>
      <c r="G201" s="19" t="s">
        <v>953</v>
      </c>
      <c r="H201" s="22" t="s">
        <v>954</v>
      </c>
      <c r="I201" s="19">
        <v>24.5</v>
      </c>
      <c r="J201" s="19">
        <f t="shared" ref="J201:J212" si="38">26-I201</f>
        <v>1.5</v>
      </c>
      <c r="K201" s="19">
        <v>200</v>
      </c>
      <c r="L201" s="36">
        <f t="shared" ref="L201:L212" si="39">K201/26*I201</f>
        <v>188.461538461538</v>
      </c>
      <c r="M201" s="36">
        <f t="shared" ref="M201:M212" si="40">K201/26*J201</f>
        <v>11.5384615384615</v>
      </c>
      <c r="N201" s="19">
        <v>16</v>
      </c>
      <c r="O201" s="19">
        <f t="shared" si="30"/>
        <v>23.0769230769231</v>
      </c>
      <c r="P201" s="19">
        <v>0</v>
      </c>
      <c r="Q201" s="19">
        <f t="shared" ref="Q201:Q212" si="41">K201/26*2*P201</f>
        <v>0</v>
      </c>
      <c r="R201" s="19">
        <v>0</v>
      </c>
      <c r="S201" s="19">
        <f t="shared" si="36"/>
        <v>9.42307692307692</v>
      </c>
      <c r="T201" s="19">
        <v>0</v>
      </c>
      <c r="U201" s="19">
        <v>0</v>
      </c>
      <c r="V201" s="19">
        <v>10</v>
      </c>
      <c r="W201" s="19">
        <v>4</v>
      </c>
      <c r="X201" s="19">
        <v>8</v>
      </c>
      <c r="Y201" s="19">
        <v>0</v>
      </c>
      <c r="Z201" s="19">
        <v>0</v>
      </c>
      <c r="AA201" s="19">
        <v>0</v>
      </c>
      <c r="AB201" s="36">
        <f t="shared" si="37"/>
        <v>242.961538461538</v>
      </c>
      <c r="AC201" s="19">
        <f>VLOOKUP(B201,[2]Sheet1!$B$2:$N$199,11,0)/4000</f>
        <v>5.0645</v>
      </c>
      <c r="AD201" s="19">
        <v>0</v>
      </c>
      <c r="AE201" s="19">
        <f>VLOOKUP(B201,[1]打扣组!$E$7:$L$10,7,0)</f>
        <v>100</v>
      </c>
      <c r="AF201" s="19">
        <f t="shared" ref="AF201:AF212" si="42">SUM(AC201:AE201)</f>
        <v>105.0645</v>
      </c>
      <c r="AG201" s="86">
        <f t="shared" si="29"/>
        <v>137.9</v>
      </c>
      <c r="AH201" s="19"/>
      <c r="AI201" s="60"/>
      <c r="AJ201" s="74"/>
      <c r="AK201" s="72"/>
    </row>
    <row r="202" s="5" customFormat="1" ht="21" customHeight="1" spans="1:37">
      <c r="A202" s="19">
        <v>194</v>
      </c>
      <c r="B202" s="128" t="s">
        <v>970</v>
      </c>
      <c r="C202" s="19" t="s">
        <v>971</v>
      </c>
      <c r="D202" s="20" t="s">
        <v>972</v>
      </c>
      <c r="E202" s="21">
        <v>44750</v>
      </c>
      <c r="F202" s="19" t="s">
        <v>96</v>
      </c>
      <c r="G202" s="19" t="s">
        <v>973</v>
      </c>
      <c r="H202" s="22" t="s">
        <v>223</v>
      </c>
      <c r="I202" s="19">
        <v>26</v>
      </c>
      <c r="J202" s="19">
        <f t="shared" si="38"/>
        <v>0</v>
      </c>
      <c r="K202" s="19">
        <v>200</v>
      </c>
      <c r="L202" s="36">
        <f t="shared" si="39"/>
        <v>200</v>
      </c>
      <c r="M202" s="36">
        <f t="shared" si="40"/>
        <v>0</v>
      </c>
      <c r="N202" s="19">
        <v>9</v>
      </c>
      <c r="O202" s="19">
        <f t="shared" si="30"/>
        <v>12.9807692307692</v>
      </c>
      <c r="P202" s="19">
        <v>0</v>
      </c>
      <c r="Q202" s="19">
        <f t="shared" si="41"/>
        <v>0</v>
      </c>
      <c r="R202" s="19">
        <v>0</v>
      </c>
      <c r="S202" s="19">
        <f t="shared" si="36"/>
        <v>10</v>
      </c>
      <c r="T202" s="19">
        <v>20</v>
      </c>
      <c r="U202" s="19">
        <v>30</v>
      </c>
      <c r="V202" s="19">
        <v>10</v>
      </c>
      <c r="W202" s="19">
        <v>3.5</v>
      </c>
      <c r="X202" s="19">
        <v>8</v>
      </c>
      <c r="Y202" s="19">
        <v>0</v>
      </c>
      <c r="Z202" s="19">
        <f>VLOOKUP(B202,'[3]Annual Leave '!$B$7:$Q$98,13,0)</f>
        <v>44.31</v>
      </c>
      <c r="AA202" s="19">
        <f>VLOOKUP(B202,'[3]Annual Leave '!$B$7:$Q$98,15,0)</f>
        <v>39.7680596646943</v>
      </c>
      <c r="AB202" s="36">
        <f t="shared" si="37"/>
        <v>378.558828895464</v>
      </c>
      <c r="AC202" s="19">
        <f>VLOOKUP(B202,[2]Sheet1!$B$2:$N$199,11,0)/4000</f>
        <v>6</v>
      </c>
      <c r="AD202" s="19">
        <v>0</v>
      </c>
      <c r="AE202" s="19">
        <f>VLOOKUP(B202,[1]QA!$E$7:$L$18,7,0)</f>
        <v>100</v>
      </c>
      <c r="AF202" s="19">
        <f t="shared" si="42"/>
        <v>106</v>
      </c>
      <c r="AG202" s="86">
        <f t="shared" si="29"/>
        <v>272.56</v>
      </c>
      <c r="AH202" s="19"/>
      <c r="AI202" s="60"/>
      <c r="AJ202" s="74"/>
      <c r="AK202" s="77"/>
    </row>
    <row r="203" s="77" customFormat="1" ht="21" customHeight="1" spans="1:37">
      <c r="A203" s="19">
        <v>195</v>
      </c>
      <c r="B203" s="128" t="s">
        <v>976</v>
      </c>
      <c r="C203" s="19" t="s">
        <v>977</v>
      </c>
      <c r="D203" s="20" t="s">
        <v>978</v>
      </c>
      <c r="E203" s="21">
        <v>44711</v>
      </c>
      <c r="F203" s="19" t="s">
        <v>96</v>
      </c>
      <c r="G203" s="19" t="s">
        <v>973</v>
      </c>
      <c r="H203" s="22" t="s">
        <v>773</v>
      </c>
      <c r="I203" s="19">
        <v>24</v>
      </c>
      <c r="J203" s="19">
        <f t="shared" si="38"/>
        <v>2</v>
      </c>
      <c r="K203" s="19">
        <v>200</v>
      </c>
      <c r="L203" s="36">
        <f t="shared" si="39"/>
        <v>184.615384615385</v>
      </c>
      <c r="M203" s="36">
        <f t="shared" si="40"/>
        <v>15.3846153846154</v>
      </c>
      <c r="N203" s="19">
        <v>7</v>
      </c>
      <c r="O203" s="19">
        <f t="shared" si="30"/>
        <v>10.0961538461538</v>
      </c>
      <c r="P203" s="19">
        <v>0</v>
      </c>
      <c r="Q203" s="19">
        <f t="shared" si="41"/>
        <v>0</v>
      </c>
      <c r="R203" s="19">
        <v>0</v>
      </c>
      <c r="S203" s="19">
        <f t="shared" si="36"/>
        <v>9.23076923076923</v>
      </c>
      <c r="T203" s="19">
        <v>0</v>
      </c>
      <c r="U203" s="19">
        <v>0</v>
      </c>
      <c r="V203" s="19">
        <v>10</v>
      </c>
      <c r="W203" s="19">
        <v>1.5</v>
      </c>
      <c r="X203" s="19">
        <v>8</v>
      </c>
      <c r="Y203" s="19">
        <v>0</v>
      </c>
      <c r="Z203" s="19">
        <v>0</v>
      </c>
      <c r="AA203" s="19">
        <v>0</v>
      </c>
      <c r="AB203" s="36">
        <f t="shared" si="37"/>
        <v>223.442307692308</v>
      </c>
      <c r="AC203" s="19">
        <f>VLOOKUP(B203,[2]Sheet1!$B$2:$N$199,11,0)/4000</f>
        <v>6</v>
      </c>
      <c r="AD203" s="19">
        <v>0</v>
      </c>
      <c r="AE203" s="19">
        <f>VLOOKUP(B203,[1]QA!$E$7:$L$18,7,0)</f>
        <v>100</v>
      </c>
      <c r="AF203" s="19">
        <f t="shared" si="42"/>
        <v>106</v>
      </c>
      <c r="AG203" s="86">
        <f t="shared" ref="AG203:AG212" si="43">ROUND(AB203-AF203,2)</f>
        <v>117.44</v>
      </c>
      <c r="AH203" s="19"/>
      <c r="AI203" s="60"/>
      <c r="AJ203" s="74"/>
      <c r="AK203" s="72"/>
    </row>
    <row r="204" s="77" customFormat="1" ht="21" customHeight="1" spans="1:37">
      <c r="A204" s="19">
        <v>196</v>
      </c>
      <c r="B204" s="128" t="s">
        <v>981</v>
      </c>
      <c r="C204" s="19" t="s">
        <v>982</v>
      </c>
      <c r="D204" s="20" t="s">
        <v>983</v>
      </c>
      <c r="E204" s="21">
        <v>44713</v>
      </c>
      <c r="F204" s="19" t="s">
        <v>96</v>
      </c>
      <c r="G204" s="19" t="s">
        <v>973</v>
      </c>
      <c r="H204" s="22" t="s">
        <v>773</v>
      </c>
      <c r="I204" s="19">
        <v>20.5</v>
      </c>
      <c r="J204" s="19">
        <f t="shared" si="38"/>
        <v>5.5</v>
      </c>
      <c r="K204" s="19">
        <v>200</v>
      </c>
      <c r="L204" s="36">
        <f t="shared" si="39"/>
        <v>157.692307692308</v>
      </c>
      <c r="M204" s="36">
        <f t="shared" si="40"/>
        <v>42.3076923076923</v>
      </c>
      <c r="N204" s="19">
        <v>4</v>
      </c>
      <c r="O204" s="19">
        <f t="shared" si="30"/>
        <v>5.76923076923077</v>
      </c>
      <c r="P204" s="19">
        <v>0</v>
      </c>
      <c r="Q204" s="19">
        <f t="shared" si="41"/>
        <v>0</v>
      </c>
      <c r="R204" s="19">
        <v>0</v>
      </c>
      <c r="S204" s="19">
        <f t="shared" si="36"/>
        <v>7.88461538461539</v>
      </c>
      <c r="T204" s="19">
        <v>0</v>
      </c>
      <c r="U204" s="19">
        <v>0</v>
      </c>
      <c r="V204" s="19">
        <v>10</v>
      </c>
      <c r="W204" s="19">
        <v>1</v>
      </c>
      <c r="X204" s="19">
        <v>8</v>
      </c>
      <c r="Y204" s="19">
        <v>0</v>
      </c>
      <c r="Z204" s="19">
        <v>0</v>
      </c>
      <c r="AA204" s="19">
        <v>0</v>
      </c>
      <c r="AB204" s="36">
        <f t="shared" si="37"/>
        <v>190.346153846154</v>
      </c>
      <c r="AC204" s="19">
        <f>VLOOKUP(B204,[2]Sheet1!$B$2:$N$199,11,0)/4000</f>
        <v>6</v>
      </c>
      <c r="AD204" s="19">
        <v>0</v>
      </c>
      <c r="AE204" s="19">
        <f>VLOOKUP(B204,[1]QA!$E$7:$L$18,7,0)</f>
        <v>50</v>
      </c>
      <c r="AF204" s="19">
        <f t="shared" si="42"/>
        <v>56</v>
      </c>
      <c r="AG204" s="86">
        <f t="shared" si="43"/>
        <v>134.35</v>
      </c>
      <c r="AH204" s="19"/>
      <c r="AI204" s="60"/>
      <c r="AJ204" s="74"/>
      <c r="AK204" s="72"/>
    </row>
    <row r="205" s="77" customFormat="1" ht="21" customHeight="1" spans="1:37">
      <c r="A205" s="19">
        <v>197</v>
      </c>
      <c r="B205" s="128" t="s">
        <v>986</v>
      </c>
      <c r="C205" s="19" t="s">
        <v>987</v>
      </c>
      <c r="D205" s="20" t="s">
        <v>988</v>
      </c>
      <c r="E205" s="21">
        <v>44734</v>
      </c>
      <c r="F205" s="19" t="s">
        <v>96</v>
      </c>
      <c r="G205" s="19" t="s">
        <v>973</v>
      </c>
      <c r="H205" s="22" t="s">
        <v>773</v>
      </c>
      <c r="I205" s="19">
        <v>26</v>
      </c>
      <c r="J205" s="19">
        <f t="shared" si="38"/>
        <v>0</v>
      </c>
      <c r="K205" s="19">
        <v>200</v>
      </c>
      <c r="L205" s="36">
        <f t="shared" si="39"/>
        <v>200</v>
      </c>
      <c r="M205" s="36">
        <f t="shared" si="40"/>
        <v>0</v>
      </c>
      <c r="N205" s="19">
        <v>6</v>
      </c>
      <c r="O205" s="19">
        <f t="shared" si="30"/>
        <v>8.65384615384615</v>
      </c>
      <c r="P205" s="19">
        <v>0</v>
      </c>
      <c r="Q205" s="19">
        <f t="shared" si="41"/>
        <v>0</v>
      </c>
      <c r="R205" s="19">
        <v>0</v>
      </c>
      <c r="S205" s="19">
        <f t="shared" si="36"/>
        <v>10</v>
      </c>
      <c r="T205" s="19">
        <v>0</v>
      </c>
      <c r="U205" s="19">
        <v>0</v>
      </c>
      <c r="V205" s="19">
        <v>10</v>
      </c>
      <c r="W205" s="19">
        <v>1.5</v>
      </c>
      <c r="X205" s="19">
        <v>8</v>
      </c>
      <c r="Y205" s="19">
        <v>0</v>
      </c>
      <c r="Z205" s="19">
        <f>VLOOKUP(B205,'[3]Annual Leave '!$B$7:$Q$98,13,0)</f>
        <v>35.99</v>
      </c>
      <c r="AA205" s="19">
        <f>VLOOKUP(B205,'[3]Annual Leave '!$B$7:$Q$98,15,0)</f>
        <v>41.5215421597633</v>
      </c>
      <c r="AB205" s="36">
        <f t="shared" si="37"/>
        <v>315.665388313609</v>
      </c>
      <c r="AC205" s="19">
        <f>VLOOKUP(B205,[2]Sheet1!$B$2:$N$199,11,0)/4000</f>
        <v>4.7975</v>
      </c>
      <c r="AD205" s="19">
        <v>0</v>
      </c>
      <c r="AE205" s="19">
        <f>VLOOKUP(B205,[1]QA!$E$7:$L$18,7,0)</f>
        <v>100</v>
      </c>
      <c r="AF205" s="19">
        <f t="shared" si="42"/>
        <v>104.7975</v>
      </c>
      <c r="AG205" s="86">
        <f t="shared" si="43"/>
        <v>210.87</v>
      </c>
      <c r="AH205" s="19"/>
      <c r="AI205" s="60"/>
      <c r="AJ205" s="74"/>
      <c r="AK205" s="72"/>
    </row>
    <row r="206" s="77" customFormat="1" ht="21" customHeight="1" spans="1:37">
      <c r="A206" s="19">
        <v>198</v>
      </c>
      <c r="B206" s="128" t="s">
        <v>991</v>
      </c>
      <c r="C206" s="19" t="s">
        <v>992</v>
      </c>
      <c r="D206" s="20" t="s">
        <v>993</v>
      </c>
      <c r="E206" s="21">
        <v>44740</v>
      </c>
      <c r="F206" s="19" t="s">
        <v>96</v>
      </c>
      <c r="G206" s="19" t="s">
        <v>973</v>
      </c>
      <c r="H206" s="22" t="s">
        <v>773</v>
      </c>
      <c r="I206" s="19">
        <v>24.5</v>
      </c>
      <c r="J206" s="19">
        <f t="shared" si="38"/>
        <v>1.5</v>
      </c>
      <c r="K206" s="19">
        <v>200</v>
      </c>
      <c r="L206" s="36">
        <f t="shared" si="39"/>
        <v>188.461538461538</v>
      </c>
      <c r="M206" s="36">
        <f t="shared" si="40"/>
        <v>11.5384615384615</v>
      </c>
      <c r="N206" s="19">
        <v>10.5</v>
      </c>
      <c r="O206" s="19">
        <f t="shared" si="30"/>
        <v>15.1442307692308</v>
      </c>
      <c r="P206" s="19">
        <v>0</v>
      </c>
      <c r="Q206" s="19">
        <f t="shared" si="41"/>
        <v>0</v>
      </c>
      <c r="R206" s="19">
        <v>0</v>
      </c>
      <c r="S206" s="19">
        <f t="shared" si="36"/>
        <v>9.42307692307692</v>
      </c>
      <c r="T206" s="19">
        <v>0</v>
      </c>
      <c r="U206" s="19">
        <v>0</v>
      </c>
      <c r="V206" s="19">
        <v>10</v>
      </c>
      <c r="W206" s="19">
        <v>4</v>
      </c>
      <c r="X206" s="19">
        <v>8</v>
      </c>
      <c r="Y206" s="19">
        <v>0</v>
      </c>
      <c r="Z206" s="19">
        <f>VLOOKUP(B206,'[3]Annual Leave '!$B$7:$Q$98,13,0)</f>
        <v>36.19</v>
      </c>
      <c r="AA206" s="19">
        <f>VLOOKUP(B206,'[3]Annual Leave '!$B$7:$Q$98,15,0)</f>
        <v>23.196807199211</v>
      </c>
      <c r="AB206" s="36">
        <f t="shared" si="37"/>
        <v>294.415653353057</v>
      </c>
      <c r="AC206" s="19">
        <f>VLOOKUP(B206,[2]Sheet1!$B$2:$N$199,11,0)/4000</f>
        <v>4.87825</v>
      </c>
      <c r="AD206" s="19">
        <v>0</v>
      </c>
      <c r="AE206" s="19">
        <f>VLOOKUP(B206,[1]QA!$E$7:$L$18,7,0)</f>
        <v>100</v>
      </c>
      <c r="AF206" s="19">
        <f t="shared" si="42"/>
        <v>104.87825</v>
      </c>
      <c r="AG206" s="86">
        <f t="shared" si="43"/>
        <v>189.54</v>
      </c>
      <c r="AH206" s="19"/>
      <c r="AI206" s="60"/>
      <c r="AJ206" s="74"/>
      <c r="AK206" s="72"/>
    </row>
    <row r="207" s="5" customFormat="1" ht="21" customHeight="1" spans="1:37">
      <c r="A207" s="19">
        <v>199</v>
      </c>
      <c r="B207" s="128" t="s">
        <v>995</v>
      </c>
      <c r="C207" s="19" t="s">
        <v>996</v>
      </c>
      <c r="D207" s="20" t="s">
        <v>997</v>
      </c>
      <c r="E207" s="21">
        <v>44748</v>
      </c>
      <c r="F207" s="19" t="s">
        <v>96</v>
      </c>
      <c r="G207" s="19" t="s">
        <v>973</v>
      </c>
      <c r="H207" s="22" t="s">
        <v>773</v>
      </c>
      <c r="I207" s="19">
        <v>20.75</v>
      </c>
      <c r="J207" s="19">
        <f t="shared" si="38"/>
        <v>5.25</v>
      </c>
      <c r="K207" s="19">
        <v>200</v>
      </c>
      <c r="L207" s="36">
        <f t="shared" si="39"/>
        <v>159.615384615385</v>
      </c>
      <c r="M207" s="36">
        <f t="shared" si="40"/>
        <v>40.3846153846154</v>
      </c>
      <c r="N207" s="19">
        <v>0</v>
      </c>
      <c r="O207" s="19">
        <f t="shared" si="30"/>
        <v>0</v>
      </c>
      <c r="P207" s="19">
        <v>0</v>
      </c>
      <c r="Q207" s="19">
        <f t="shared" si="41"/>
        <v>0</v>
      </c>
      <c r="R207" s="19">
        <v>0</v>
      </c>
      <c r="S207" s="19">
        <f t="shared" si="36"/>
        <v>7.98076923076923</v>
      </c>
      <c r="T207" s="19">
        <v>0</v>
      </c>
      <c r="U207" s="19">
        <v>0</v>
      </c>
      <c r="V207" s="19">
        <v>10</v>
      </c>
      <c r="W207" s="19">
        <v>0</v>
      </c>
      <c r="X207" s="19">
        <v>8</v>
      </c>
      <c r="Y207" s="19">
        <v>0</v>
      </c>
      <c r="Z207" s="19">
        <f>VLOOKUP(B207,'[3]Annual Leave '!$B$7:$Q$98,13,0)</f>
        <v>32.14</v>
      </c>
      <c r="AA207" s="19">
        <f>VLOOKUP(B207,'[3]Annual Leave '!$B$7:$Q$98,15,0)</f>
        <v>37.0814534023669</v>
      </c>
      <c r="AB207" s="36">
        <f t="shared" si="37"/>
        <v>254.817607248521</v>
      </c>
      <c r="AC207" s="19">
        <f>VLOOKUP(B207,[2]Sheet1!$B$2:$N$199,11,0)/4000</f>
        <v>4.50025</v>
      </c>
      <c r="AD207" s="19">
        <v>0</v>
      </c>
      <c r="AE207" s="19">
        <f>VLOOKUP(B207,[1]QA!$E$7:$L$18,7,0)</f>
        <v>100</v>
      </c>
      <c r="AF207" s="19">
        <f t="shared" si="42"/>
        <v>104.50025</v>
      </c>
      <c r="AG207" s="86">
        <f t="shared" si="43"/>
        <v>150.32</v>
      </c>
      <c r="AH207" s="19"/>
      <c r="AI207" s="60"/>
      <c r="AJ207" s="74"/>
      <c r="AK207" s="61"/>
    </row>
    <row r="208" s="5" customFormat="1" ht="21" customHeight="1" spans="1:37">
      <c r="A208" s="19">
        <v>200</v>
      </c>
      <c r="B208" s="128" t="s">
        <v>1000</v>
      </c>
      <c r="C208" s="19" t="s">
        <v>1001</v>
      </c>
      <c r="D208" s="20" t="s">
        <v>1002</v>
      </c>
      <c r="E208" s="21">
        <v>44760</v>
      </c>
      <c r="F208" s="19" t="s">
        <v>96</v>
      </c>
      <c r="G208" s="19" t="s">
        <v>973</v>
      </c>
      <c r="H208" s="22" t="s">
        <v>773</v>
      </c>
      <c r="I208" s="19">
        <v>26</v>
      </c>
      <c r="J208" s="19">
        <f t="shared" si="38"/>
        <v>0</v>
      </c>
      <c r="K208" s="19">
        <v>200</v>
      </c>
      <c r="L208" s="36">
        <f t="shared" si="39"/>
        <v>200</v>
      </c>
      <c r="M208" s="36">
        <f t="shared" si="40"/>
        <v>0</v>
      </c>
      <c r="N208" s="19">
        <v>14</v>
      </c>
      <c r="O208" s="19">
        <f t="shared" si="30"/>
        <v>20.1923076923077</v>
      </c>
      <c r="P208" s="19">
        <v>0</v>
      </c>
      <c r="Q208" s="19">
        <f t="shared" si="41"/>
        <v>0</v>
      </c>
      <c r="R208" s="19">
        <v>0</v>
      </c>
      <c r="S208" s="19">
        <f t="shared" si="36"/>
        <v>10</v>
      </c>
      <c r="T208" s="19">
        <v>0</v>
      </c>
      <c r="U208" s="19">
        <v>0</v>
      </c>
      <c r="V208" s="19">
        <v>10</v>
      </c>
      <c r="W208" s="19">
        <v>3.5</v>
      </c>
      <c r="X208" s="19">
        <v>8</v>
      </c>
      <c r="Y208" s="19">
        <v>0</v>
      </c>
      <c r="Z208" s="19">
        <v>0</v>
      </c>
      <c r="AA208" s="19">
        <v>0</v>
      </c>
      <c r="AB208" s="36">
        <f t="shared" si="37"/>
        <v>251.692307692308</v>
      </c>
      <c r="AC208" s="19">
        <f>VLOOKUP(B208,[2]Sheet1!$B$2:$N$199,11,0)/4000</f>
        <v>4.90575</v>
      </c>
      <c r="AD208" s="19">
        <v>0</v>
      </c>
      <c r="AE208" s="19">
        <f>VLOOKUP(B208,[1]QA!$E$7:$L$18,7,0)</f>
        <v>100</v>
      </c>
      <c r="AF208" s="19">
        <f t="shared" si="42"/>
        <v>104.90575</v>
      </c>
      <c r="AG208" s="86">
        <f t="shared" si="43"/>
        <v>146.79</v>
      </c>
      <c r="AH208" s="19"/>
      <c r="AI208" s="60"/>
      <c r="AJ208" s="74"/>
      <c r="AK208" s="61"/>
    </row>
    <row r="209" s="5" customFormat="1" ht="21" customHeight="1" spans="1:37">
      <c r="A209" s="19">
        <v>201</v>
      </c>
      <c r="B209" s="128" t="s">
        <v>1003</v>
      </c>
      <c r="C209" s="19" t="s">
        <v>1004</v>
      </c>
      <c r="D209" s="20" t="s">
        <v>1005</v>
      </c>
      <c r="E209" s="21">
        <v>44803</v>
      </c>
      <c r="F209" s="19" t="s">
        <v>96</v>
      </c>
      <c r="G209" s="19" t="s">
        <v>973</v>
      </c>
      <c r="H209" s="22" t="s">
        <v>773</v>
      </c>
      <c r="I209" s="19">
        <v>25</v>
      </c>
      <c r="J209" s="19">
        <f t="shared" si="38"/>
        <v>1</v>
      </c>
      <c r="K209" s="19">
        <v>200</v>
      </c>
      <c r="L209" s="36">
        <f t="shared" si="39"/>
        <v>192.307692307692</v>
      </c>
      <c r="M209" s="36">
        <f t="shared" si="40"/>
        <v>7.69230769230769</v>
      </c>
      <c r="N209" s="19">
        <v>8</v>
      </c>
      <c r="O209" s="19">
        <f t="shared" si="30"/>
        <v>11.5384615384615</v>
      </c>
      <c r="P209" s="19">
        <v>0</v>
      </c>
      <c r="Q209" s="19">
        <f t="shared" si="41"/>
        <v>0</v>
      </c>
      <c r="R209" s="19">
        <v>0</v>
      </c>
      <c r="S209" s="19">
        <f t="shared" si="36"/>
        <v>9.61538461538462</v>
      </c>
      <c r="T209" s="19">
        <v>0</v>
      </c>
      <c r="U209" s="19">
        <v>0</v>
      </c>
      <c r="V209" s="19">
        <v>10</v>
      </c>
      <c r="W209" s="19">
        <v>3</v>
      </c>
      <c r="X209" s="19">
        <v>8</v>
      </c>
      <c r="Y209" s="19">
        <v>0</v>
      </c>
      <c r="Z209" s="19">
        <v>0</v>
      </c>
      <c r="AA209" s="19">
        <v>0</v>
      </c>
      <c r="AB209" s="36">
        <f t="shared" si="37"/>
        <v>234.461538461538</v>
      </c>
      <c r="AC209" s="19">
        <f>VLOOKUP(B209,[2]Sheet1!$B$2:$N$199,11,0)/4000</f>
        <v>6</v>
      </c>
      <c r="AD209" s="19">
        <v>0</v>
      </c>
      <c r="AE209" s="19">
        <f>VLOOKUP(B209,[1]QA!$E$7:$L$18,7,0)</f>
        <v>100</v>
      </c>
      <c r="AF209" s="19">
        <f t="shared" si="42"/>
        <v>106</v>
      </c>
      <c r="AG209" s="86">
        <f t="shared" si="43"/>
        <v>128.46</v>
      </c>
      <c r="AH209" s="19"/>
      <c r="AI209" s="60"/>
      <c r="AJ209" s="74"/>
      <c r="AK209" s="61"/>
    </row>
    <row r="210" s="5" customFormat="1" ht="21" customHeight="1" spans="1:37">
      <c r="A210" s="19">
        <v>202</v>
      </c>
      <c r="B210" s="128" t="s">
        <v>1008</v>
      </c>
      <c r="C210" s="19" t="s">
        <v>1009</v>
      </c>
      <c r="D210" s="20" t="s">
        <v>1010</v>
      </c>
      <c r="E210" s="21">
        <v>44887</v>
      </c>
      <c r="F210" s="19" t="s">
        <v>96</v>
      </c>
      <c r="G210" s="19" t="s">
        <v>973</v>
      </c>
      <c r="H210" s="22" t="s">
        <v>773</v>
      </c>
      <c r="I210" s="19">
        <v>24.5</v>
      </c>
      <c r="J210" s="19">
        <f t="shared" si="38"/>
        <v>1.5</v>
      </c>
      <c r="K210" s="19">
        <v>200</v>
      </c>
      <c r="L210" s="36">
        <f t="shared" si="39"/>
        <v>188.461538461538</v>
      </c>
      <c r="M210" s="36">
        <f t="shared" si="40"/>
        <v>11.5384615384615</v>
      </c>
      <c r="N210" s="19">
        <v>8</v>
      </c>
      <c r="O210" s="84">
        <f t="shared" ref="O210:O212" si="44">K210/26/8*1.5*N210</f>
        <v>11.5384615384615</v>
      </c>
      <c r="P210" s="19">
        <v>0</v>
      </c>
      <c r="Q210" s="19">
        <f t="shared" si="41"/>
        <v>0</v>
      </c>
      <c r="R210" s="19">
        <v>0</v>
      </c>
      <c r="S210" s="19">
        <f t="shared" si="36"/>
        <v>9.42307692307692</v>
      </c>
      <c r="T210" s="19">
        <v>0</v>
      </c>
      <c r="U210" s="19">
        <v>0</v>
      </c>
      <c r="V210" s="19">
        <v>10</v>
      </c>
      <c r="W210" s="19">
        <v>2</v>
      </c>
      <c r="X210" s="19">
        <v>8</v>
      </c>
      <c r="Y210" s="19">
        <v>0</v>
      </c>
      <c r="Z210" s="19">
        <v>0</v>
      </c>
      <c r="AA210" s="19">
        <v>0</v>
      </c>
      <c r="AB210" s="36">
        <f t="shared" si="37"/>
        <v>229.423076923077</v>
      </c>
      <c r="AC210" s="19">
        <f>VLOOKUP(B210,[2]Sheet1!$B$2:$N$199,11,0)/4000</f>
        <v>4.96875</v>
      </c>
      <c r="AD210" s="19">
        <v>0</v>
      </c>
      <c r="AE210" s="19">
        <f>VLOOKUP(B210,[1]QA!$E$7:$L$18,7,0)</f>
        <v>100</v>
      </c>
      <c r="AF210" s="19">
        <f t="shared" si="42"/>
        <v>104.96875</v>
      </c>
      <c r="AG210" s="86">
        <f t="shared" si="43"/>
        <v>124.45</v>
      </c>
      <c r="AH210" s="19"/>
      <c r="AI210" s="60"/>
      <c r="AJ210" s="74"/>
      <c r="AK210" s="61"/>
    </row>
    <row r="211" s="77" customFormat="1" ht="21" customHeight="1" spans="1:37">
      <c r="A211" s="19">
        <v>203</v>
      </c>
      <c r="B211" s="128" t="s">
        <v>1011</v>
      </c>
      <c r="C211" s="19" t="s">
        <v>1012</v>
      </c>
      <c r="D211" s="20" t="s">
        <v>1013</v>
      </c>
      <c r="E211" s="21">
        <v>44887</v>
      </c>
      <c r="F211" s="19" t="s">
        <v>96</v>
      </c>
      <c r="G211" s="19" t="s">
        <v>973</v>
      </c>
      <c r="H211" s="22" t="s">
        <v>773</v>
      </c>
      <c r="I211" s="19">
        <v>19.5</v>
      </c>
      <c r="J211" s="19">
        <f t="shared" si="38"/>
        <v>6.5</v>
      </c>
      <c r="K211" s="19">
        <v>200</v>
      </c>
      <c r="L211" s="36">
        <f t="shared" si="39"/>
        <v>150</v>
      </c>
      <c r="M211" s="36">
        <f t="shared" si="40"/>
        <v>50</v>
      </c>
      <c r="N211" s="19">
        <v>4</v>
      </c>
      <c r="O211" s="19">
        <f t="shared" si="44"/>
        <v>5.76923076923077</v>
      </c>
      <c r="P211" s="19">
        <v>0</v>
      </c>
      <c r="Q211" s="19">
        <f t="shared" si="41"/>
        <v>0</v>
      </c>
      <c r="R211" s="19">
        <v>0</v>
      </c>
      <c r="S211" s="19">
        <f t="shared" si="36"/>
        <v>7.5</v>
      </c>
      <c r="T211" s="19">
        <v>0</v>
      </c>
      <c r="U211" s="19">
        <v>0</v>
      </c>
      <c r="V211" s="19">
        <v>10</v>
      </c>
      <c r="W211" s="19">
        <v>1</v>
      </c>
      <c r="X211" s="19">
        <v>8</v>
      </c>
      <c r="Y211" s="19">
        <v>0</v>
      </c>
      <c r="Z211" s="19">
        <v>0</v>
      </c>
      <c r="AA211" s="19">
        <v>0</v>
      </c>
      <c r="AB211" s="36">
        <f t="shared" si="37"/>
        <v>182.269230769231</v>
      </c>
      <c r="AC211" s="19">
        <f>VLOOKUP(B211,[2]Sheet1!$B$2:$N$199,11,0)/4000</f>
        <v>4.64825</v>
      </c>
      <c r="AD211" s="19">
        <v>0</v>
      </c>
      <c r="AE211" s="19">
        <f>VLOOKUP(B211,[1]QA!$E$7:$L$18,7,0)</f>
        <v>50</v>
      </c>
      <c r="AF211" s="19">
        <f t="shared" si="42"/>
        <v>54.64825</v>
      </c>
      <c r="AG211" s="86">
        <f t="shared" si="43"/>
        <v>127.62</v>
      </c>
      <c r="AH211" s="19"/>
      <c r="AI211" s="60"/>
      <c r="AJ211" s="74"/>
      <c r="AK211" s="72"/>
    </row>
    <row r="212" s="77" customFormat="1" ht="21" customHeight="1" spans="1:37">
      <c r="A212" s="19">
        <v>204</v>
      </c>
      <c r="B212" s="128" t="s">
        <v>1014</v>
      </c>
      <c r="C212" s="19" t="s">
        <v>1015</v>
      </c>
      <c r="D212" s="20" t="s">
        <v>1016</v>
      </c>
      <c r="E212" s="21">
        <v>44887</v>
      </c>
      <c r="F212" s="19" t="s">
        <v>96</v>
      </c>
      <c r="G212" s="19" t="s">
        <v>973</v>
      </c>
      <c r="H212" s="22" t="s">
        <v>773</v>
      </c>
      <c r="I212" s="19">
        <v>21.25</v>
      </c>
      <c r="J212" s="19">
        <f t="shared" si="38"/>
        <v>4.75</v>
      </c>
      <c r="K212" s="19">
        <v>200</v>
      </c>
      <c r="L212" s="36">
        <f t="shared" si="39"/>
        <v>163.461538461538</v>
      </c>
      <c r="M212" s="36">
        <f t="shared" si="40"/>
        <v>36.5384615384615</v>
      </c>
      <c r="N212" s="19">
        <v>4</v>
      </c>
      <c r="O212" s="19">
        <f t="shared" si="44"/>
        <v>5.76923076923077</v>
      </c>
      <c r="P212" s="19">
        <v>0</v>
      </c>
      <c r="Q212" s="19">
        <f t="shared" si="41"/>
        <v>0</v>
      </c>
      <c r="R212" s="19">
        <v>0</v>
      </c>
      <c r="S212" s="19">
        <f t="shared" si="36"/>
        <v>8.17307692307692</v>
      </c>
      <c r="T212" s="19">
        <v>0</v>
      </c>
      <c r="U212" s="19">
        <v>0</v>
      </c>
      <c r="V212" s="19">
        <v>10</v>
      </c>
      <c r="W212" s="19">
        <v>1</v>
      </c>
      <c r="X212" s="19">
        <v>8</v>
      </c>
      <c r="Y212" s="19">
        <v>0</v>
      </c>
      <c r="Z212" s="19">
        <v>0</v>
      </c>
      <c r="AA212" s="19">
        <v>0</v>
      </c>
      <c r="AB212" s="36">
        <f t="shared" si="37"/>
        <v>196.403846153846</v>
      </c>
      <c r="AC212" s="19">
        <f>VLOOKUP(B212,[2]Sheet1!$B$2:$N$199,11,0)/4000</f>
        <v>4.5685</v>
      </c>
      <c r="AD212" s="19">
        <v>0</v>
      </c>
      <c r="AE212" s="19">
        <f>VLOOKUP(B212,[1]QA!$E$7:$L$18,7,0)</f>
        <v>50</v>
      </c>
      <c r="AF212" s="19">
        <f t="shared" si="42"/>
        <v>54.5685</v>
      </c>
      <c r="AG212" s="86">
        <f t="shared" si="43"/>
        <v>141.84</v>
      </c>
      <c r="AH212" s="19"/>
      <c r="AI212" s="60"/>
      <c r="AJ212" s="74"/>
      <c r="AK212" s="72"/>
    </row>
    <row r="213" ht="27" customHeight="1" spans="1:36">
      <c r="A213" s="142" t="s">
        <v>216</v>
      </c>
      <c r="B213" s="143"/>
      <c r="C213" s="143"/>
      <c r="D213" s="143"/>
      <c r="E213" s="143"/>
      <c r="F213" s="143"/>
      <c r="G213" s="143"/>
      <c r="H213" s="144"/>
      <c r="I213" s="145">
        <f>SUM(I9:I212)</f>
        <v>4404.375</v>
      </c>
      <c r="J213" s="145"/>
      <c r="K213" s="145">
        <f t="shared" ref="K213:V213" si="45">SUM(K9:K212)</f>
        <v>40780</v>
      </c>
      <c r="L213" s="145">
        <f t="shared" si="45"/>
        <v>33876.5</v>
      </c>
      <c r="M213" s="145">
        <f t="shared" si="45"/>
        <v>5608.88461538461</v>
      </c>
      <c r="N213" s="145">
        <f t="shared" si="45"/>
        <v>1547</v>
      </c>
      <c r="O213" s="145">
        <f t="shared" si="45"/>
        <v>2216.01923076923</v>
      </c>
      <c r="P213" s="145">
        <f t="shared" si="45"/>
        <v>0</v>
      </c>
      <c r="Q213" s="145">
        <f t="shared" si="45"/>
        <v>0</v>
      </c>
      <c r="R213" s="145">
        <f t="shared" si="45"/>
        <v>0</v>
      </c>
      <c r="S213" s="145">
        <f t="shared" si="45"/>
        <v>1728.31730769231</v>
      </c>
      <c r="T213" s="145">
        <f t="shared" si="45"/>
        <v>818.03</v>
      </c>
      <c r="U213" s="145">
        <f t="shared" si="45"/>
        <v>1788.81</v>
      </c>
      <c r="V213" s="145">
        <f t="shared" si="45"/>
        <v>1990</v>
      </c>
      <c r="W213" s="145"/>
      <c r="X213" s="145">
        <f t="shared" ref="X213:AG213" si="46">SUM(X9:X212)</f>
        <v>1584</v>
      </c>
      <c r="Y213" s="145">
        <f t="shared" si="46"/>
        <v>0</v>
      </c>
      <c r="Z213" s="145">
        <f t="shared" si="46"/>
        <v>3284.78</v>
      </c>
      <c r="AA213" s="145">
        <f t="shared" si="46"/>
        <v>2700.65037783531</v>
      </c>
      <c r="AB213" s="145">
        <f t="shared" si="46"/>
        <v>50377.1069162968</v>
      </c>
      <c r="AC213" s="145">
        <f t="shared" si="46"/>
        <v>933.0065</v>
      </c>
      <c r="AD213" s="145">
        <f t="shared" si="46"/>
        <v>30.338</v>
      </c>
      <c r="AE213" s="145">
        <f t="shared" si="46"/>
        <v>16000</v>
      </c>
      <c r="AF213" s="145">
        <f t="shared" si="46"/>
        <v>16963.3445</v>
      </c>
      <c r="AG213" s="145">
        <f t="shared" si="46"/>
        <v>33413.78</v>
      </c>
      <c r="AJ213" s="74"/>
    </row>
  </sheetData>
  <autoFilter ref="A8:AP213">
    <extLst/>
  </autoFilter>
  <mergeCells count="32">
    <mergeCell ref="A1:AJ1"/>
    <mergeCell ref="A2:AJ2"/>
    <mergeCell ref="A3:AJ3"/>
    <mergeCell ref="A4:AJ4"/>
    <mergeCell ref="A5:C5"/>
    <mergeCell ref="F5:L5"/>
    <mergeCell ref="AE5:AJ5"/>
    <mergeCell ref="N7:Q7"/>
    <mergeCell ref="A213:H21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75" right="0.75" top="1" bottom="1" header="0.5" footer="0.5"/>
  <pageSetup paperSize="9" orientation="portrait"/>
  <headerFooter/>
  <ignoredErrors>
    <ignoredError sqref="M53:M83" emptyCellReference="1"/>
    <ignoredError sqref="AC24 AC20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</sheetPr>
  <dimension ref="A1:BC21"/>
  <sheetViews>
    <sheetView zoomScale="130" zoomScaleNormal="130" workbookViewId="0">
      <selection activeCell="P11" sqref="P11"/>
    </sheetView>
  </sheetViews>
  <sheetFormatPr defaultColWidth="9" defaultRowHeight="13.5"/>
  <cols>
    <col min="1" max="1" width="2.68333333333333" style="6" customWidth="1"/>
    <col min="2" max="2" width="6.725" style="6" customWidth="1"/>
    <col min="3" max="3" width="5.475" style="6" customWidth="1"/>
    <col min="4" max="4" width="5.66666666666667" style="6" customWidth="1"/>
    <col min="5" max="5" width="5.19166666666667" style="6" customWidth="1"/>
    <col min="6" max="6" width="2.98333333333333" style="6" customWidth="1"/>
    <col min="7" max="7" width="4.61666666666667" style="6" customWidth="1"/>
    <col min="8" max="8" width="3.83333333333333" style="6" customWidth="1"/>
    <col min="9" max="9" width="3.075" style="6" customWidth="1"/>
    <col min="10" max="10" width="2.78333333333333" style="6" customWidth="1"/>
    <col min="11" max="11" width="4.325" style="6" customWidth="1"/>
    <col min="12" max="12" width="6.25" customWidth="1"/>
    <col min="13" max="13" width="5.38333333333333" customWidth="1"/>
    <col min="14" max="14" width="4.99166666666667" customWidth="1"/>
    <col min="15" max="15" width="4.41666666666667" customWidth="1"/>
    <col min="16" max="16" width="3.65" customWidth="1"/>
    <col min="17" max="17" width="2.875" customWidth="1"/>
    <col min="18" max="18" width="2.49166666666667" customWidth="1"/>
    <col min="19" max="19" width="2.98333333333333" customWidth="1"/>
    <col min="20" max="21" width="2.79166666666667" customWidth="1"/>
    <col min="22" max="22" width="2.78333333333333" customWidth="1"/>
    <col min="23" max="23" width="2.68333333333333" customWidth="1"/>
    <col min="24" max="24" width="4.04166666666667" customWidth="1"/>
    <col min="25" max="25" width="2.79166666666667" customWidth="1"/>
    <col min="26" max="26" width="3.16666666666667" customWidth="1"/>
    <col min="27" max="27" width="3.65" customWidth="1"/>
    <col min="28" max="28" width="6.14166666666667" customWidth="1"/>
    <col min="29" max="30" width="2.69166666666667" customWidth="1"/>
    <col min="31" max="31" width="2.975" customWidth="1"/>
    <col min="32" max="32" width="2.68333333333333" customWidth="1"/>
    <col min="33" max="33" width="6.725" customWidth="1"/>
    <col min="34" max="34" width="4.425" customWidth="1"/>
    <col min="35" max="35" width="6.35" customWidth="1"/>
    <col min="36" max="47" width="6.25" customWidth="1"/>
    <col min="48" max="48" width="16.875" style="6" customWidth="1"/>
    <col min="49" max="49" width="12.625" customWidth="1"/>
    <col min="50" max="50" width="12" customWidth="1"/>
    <col min="51" max="51" width="12.75" customWidth="1"/>
    <col min="52" max="52" width="10.5" customWidth="1"/>
    <col min="53" max="53" width="15.75" customWidth="1"/>
    <col min="55" max="55" width="16.5" customWidth="1"/>
  </cols>
  <sheetData>
    <row r="1" ht="27.95" customHeight="1" spans="1:4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ht="18.95" customHeight="1" spans="1:4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ht="15.95" customHeight="1" spans="1:47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ht="15.95" customHeight="1" spans="1:4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="1" customFormat="1" ht="14.1" customHeight="1" spans="1:48">
      <c r="A5" s="10" t="s">
        <v>1057</v>
      </c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56" t="s">
        <v>5</v>
      </c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70"/>
    </row>
    <row r="6" s="2" customFormat="1" ht="37" customHeight="1" spans="1:47">
      <c r="A6" s="13" t="s">
        <v>6</v>
      </c>
      <c r="B6" s="14" t="s">
        <v>9</v>
      </c>
      <c r="C6" s="14" t="s">
        <v>8</v>
      </c>
      <c r="D6" s="14" t="s">
        <v>8</v>
      </c>
      <c r="E6" s="14" t="s">
        <v>7</v>
      </c>
      <c r="F6" s="14" t="s">
        <v>10</v>
      </c>
      <c r="G6" s="14" t="s">
        <v>11</v>
      </c>
      <c r="H6" s="14" t="s">
        <v>1058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1050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1051</v>
      </c>
      <c r="AD6" s="29" t="s">
        <v>32</v>
      </c>
      <c r="AE6" s="29" t="s">
        <v>1052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</row>
    <row r="7" s="3" customFormat="1" ht="12" customHeight="1" spans="1:55">
      <c r="A7" s="15" t="s">
        <v>39</v>
      </c>
      <c r="B7" s="15" t="s">
        <v>43</v>
      </c>
      <c r="C7" s="16" t="s">
        <v>41</v>
      </c>
      <c r="D7" s="16" t="s">
        <v>42</v>
      </c>
      <c r="E7" s="16" t="s">
        <v>40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1053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8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71" t="s">
        <v>71</v>
      </c>
      <c r="AW7" s="71" t="s">
        <v>72</v>
      </c>
      <c r="AX7" s="71" t="s">
        <v>73</v>
      </c>
      <c r="AY7" s="71" t="s">
        <v>74</v>
      </c>
      <c r="AZ7" s="71" t="s">
        <v>75</v>
      </c>
      <c r="BA7" s="71" t="s">
        <v>76</v>
      </c>
      <c r="BB7" s="71" t="s">
        <v>77</v>
      </c>
      <c r="BC7" s="71" t="s">
        <v>78</v>
      </c>
    </row>
    <row r="8" s="4" customFormat="1" ht="21.95" customHeight="1" spans="1:55">
      <c r="A8" s="17"/>
      <c r="B8" s="17"/>
      <c r="C8" s="18"/>
      <c r="D8" s="18"/>
      <c r="E8" s="18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/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59"/>
      <c r="AL8" s="34">
        <v>100</v>
      </c>
      <c r="AM8" s="34">
        <v>50</v>
      </c>
      <c r="AN8" s="34">
        <v>20</v>
      </c>
      <c r="AO8" s="34">
        <v>10</v>
      </c>
      <c r="AP8" s="34">
        <v>20000</v>
      </c>
      <c r="AQ8" s="34">
        <v>10000</v>
      </c>
      <c r="AR8" s="34">
        <v>5000</v>
      </c>
      <c r="AS8" s="34">
        <v>1000</v>
      </c>
      <c r="AT8" s="34">
        <v>500</v>
      </c>
      <c r="AU8" s="34">
        <v>100</v>
      </c>
      <c r="AV8" s="72" t="s">
        <v>85</v>
      </c>
      <c r="AW8" s="72" t="s">
        <v>86</v>
      </c>
      <c r="AX8" s="72" t="s">
        <v>87</v>
      </c>
      <c r="AY8" s="72" t="s">
        <v>88</v>
      </c>
      <c r="AZ8" s="72" t="s">
        <v>89</v>
      </c>
      <c r="BA8" s="72" t="s">
        <v>90</v>
      </c>
      <c r="BB8" s="72" t="s">
        <v>91</v>
      </c>
      <c r="BC8" s="74" t="s">
        <v>92</v>
      </c>
    </row>
    <row r="9" s="5" customFormat="1" ht="27" customHeight="1" spans="1:55">
      <c r="A9" s="19">
        <v>1</v>
      </c>
      <c r="B9" s="82">
        <v>44659</v>
      </c>
      <c r="C9" s="20" t="s">
        <v>1059</v>
      </c>
      <c r="D9" s="20" t="s">
        <v>1060</v>
      </c>
      <c r="E9" s="20" t="s">
        <v>1061</v>
      </c>
      <c r="F9" s="19" t="s">
        <v>108</v>
      </c>
      <c r="G9" s="19" t="s">
        <v>1062</v>
      </c>
      <c r="H9" s="22" t="s">
        <v>1063</v>
      </c>
      <c r="I9" s="19">
        <v>26</v>
      </c>
      <c r="J9" s="19">
        <f>26-I9</f>
        <v>0</v>
      </c>
      <c r="K9" s="19">
        <v>1000</v>
      </c>
      <c r="L9" s="36">
        <f>K9/26*I9</f>
        <v>1000</v>
      </c>
      <c r="M9" s="36">
        <f>K9/26*J9</f>
        <v>0</v>
      </c>
      <c r="N9" s="19">
        <v>0</v>
      </c>
      <c r="O9" s="19">
        <f>K9/26/8*1.5*N9</f>
        <v>0</v>
      </c>
      <c r="P9" s="85">
        <v>0</v>
      </c>
      <c r="Q9" s="85">
        <f>K9/26*2*P9</f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36">
        <f>SUM(L9+O9+Q9+R9+S9+T9+U9+V9+X9+Y9+Z9+AA9+W9)</f>
        <v>1000</v>
      </c>
      <c r="AC9" s="19">
        <v>0</v>
      </c>
      <c r="AD9" s="19">
        <v>0</v>
      </c>
      <c r="AE9" s="19">
        <v>0</v>
      </c>
      <c r="AF9" s="19">
        <f>SUM(AC9:AE9)</f>
        <v>0</v>
      </c>
      <c r="AG9" s="36">
        <f>AB9-AF9</f>
        <v>1000</v>
      </c>
      <c r="AH9" s="19">
        <f>INT(AG9/10)*10</f>
        <v>1000</v>
      </c>
      <c r="AI9" s="60">
        <f>INT((ROUND((AG9-AH9)*0.4,2))*10000)</f>
        <v>0</v>
      </c>
      <c r="AJ9" s="125"/>
      <c r="AK9" s="62"/>
      <c r="AL9" s="61">
        <f>INT(AG9/100)</f>
        <v>10</v>
      </c>
      <c r="AM9" s="61">
        <f>INT((AG9-AL9*100)/50)</f>
        <v>0</v>
      </c>
      <c r="AN9" s="61">
        <f>INT((AG9-AL9*100-AM9*50)/20)</f>
        <v>0</v>
      </c>
      <c r="AO9" s="68">
        <f>INT((AG9-AL9*100-AM9*50-AN9*20)/10)</f>
        <v>0</v>
      </c>
      <c r="AP9" s="61">
        <f>INT(AI9/20000)</f>
        <v>0</v>
      </c>
      <c r="AQ9" s="61">
        <f>INT((AI9-AP9*20000)/10000)</f>
        <v>0</v>
      </c>
      <c r="AR9" s="61">
        <f>INT((AI9-AP9*20000-AQ9*10000)/5000)</f>
        <v>0</v>
      </c>
      <c r="AS9" s="61">
        <f>INT((AI9-AP9*20000-AQ9*10000-AR9*5000)/1000)</f>
        <v>0</v>
      </c>
      <c r="AT9" s="61">
        <f>INT((AI9-AP9*20000-AQ9*10000-AR9*5000-AS9*1000)/500)</f>
        <v>0</v>
      </c>
      <c r="AU9" s="61">
        <f>INT((AI9-AP9*20000-AQ9*10000-AR9*5000-AS9*1000-AT9*500)/100)</f>
        <v>0</v>
      </c>
      <c r="AV9" s="72" t="s">
        <v>1064</v>
      </c>
      <c r="AW9" s="73">
        <v>25168</v>
      </c>
      <c r="AX9" s="74" t="s">
        <v>99</v>
      </c>
      <c r="AY9" s="74">
        <v>1</v>
      </c>
      <c r="AZ9" s="74" t="s">
        <v>102</v>
      </c>
      <c r="BA9" s="74" t="s">
        <v>102</v>
      </c>
      <c r="BB9" s="74" t="s">
        <v>1065</v>
      </c>
      <c r="BC9" s="72" t="s">
        <v>1066</v>
      </c>
    </row>
    <row r="10" s="5" customFormat="1" ht="27" customHeight="1" spans="1:55">
      <c r="A10" s="19">
        <v>2</v>
      </c>
      <c r="B10" s="82">
        <v>44820</v>
      </c>
      <c r="C10" s="20" t="s">
        <v>1067</v>
      </c>
      <c r="D10" s="20" t="s">
        <v>1068</v>
      </c>
      <c r="E10" s="20" t="s">
        <v>1069</v>
      </c>
      <c r="F10" s="19" t="s">
        <v>108</v>
      </c>
      <c r="G10" s="19" t="s">
        <v>1070</v>
      </c>
      <c r="H10" s="22" t="s">
        <v>1071</v>
      </c>
      <c r="I10" s="19">
        <v>26</v>
      </c>
      <c r="J10" s="19">
        <f>26-I10</f>
        <v>0</v>
      </c>
      <c r="K10" s="19">
        <v>2200</v>
      </c>
      <c r="L10" s="36">
        <f>K10/26*I10</f>
        <v>2200</v>
      </c>
      <c r="M10" s="36">
        <f>K10/26*J10</f>
        <v>0</v>
      </c>
      <c r="N10" s="19">
        <v>0</v>
      </c>
      <c r="O10" s="19">
        <f>K10/26/8*1.5*N10</f>
        <v>0</v>
      </c>
      <c r="P10" s="85">
        <v>0</v>
      </c>
      <c r="Q10" s="85">
        <f>K10/26*2*P10</f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36">
        <f>SUM(L10+O10+Q10+R10+S10+T10+U10+V10+X10+Y10+Z10+AA10+W10)</f>
        <v>2200</v>
      </c>
      <c r="AC10" s="19">
        <v>0</v>
      </c>
      <c r="AD10" s="19">
        <v>0</v>
      </c>
      <c r="AE10" s="19">
        <v>0</v>
      </c>
      <c r="AF10" s="19">
        <f>SUM(AC10:AE10)</f>
        <v>0</v>
      </c>
      <c r="AG10" s="36">
        <f>AB10-AF10</f>
        <v>2200</v>
      </c>
      <c r="AH10" s="19">
        <f>INT(AG10/10)*10</f>
        <v>2200</v>
      </c>
      <c r="AI10" s="60">
        <f>INT((ROUND((AG10-AH10)*0.4,2))*10000)</f>
        <v>0</v>
      </c>
      <c r="AJ10" s="125"/>
      <c r="AK10" s="62"/>
      <c r="AL10" s="61">
        <f>INT(AG10/100)</f>
        <v>22</v>
      </c>
      <c r="AM10" s="61">
        <f>INT((AG10-AL10*100)/50)</f>
        <v>0</v>
      </c>
      <c r="AN10" s="61">
        <f>INT((AG10-AL10*100-AM10*50)/20)</f>
        <v>0</v>
      </c>
      <c r="AO10" s="68">
        <f>INT((AG10-AL10*100-AM10*50-AN10*20)/10)</f>
        <v>0</v>
      </c>
      <c r="AP10" s="61">
        <f>INT(AI10/20000)</f>
        <v>0</v>
      </c>
      <c r="AQ10" s="61">
        <f>INT((AI10-AP10*20000)/10000)</f>
        <v>0</v>
      </c>
      <c r="AR10" s="61">
        <f>INT((AI10-AP10*20000-AQ10*10000)/5000)</f>
        <v>0</v>
      </c>
      <c r="AS10" s="61">
        <f>INT((AI10-AP10*20000-AQ10*10000-AR10*5000)/1000)</f>
        <v>0</v>
      </c>
      <c r="AT10" s="61">
        <f>INT((AI10-AP10*20000-AQ10*10000-AR10*5000-AS10*1000)/500)</f>
        <v>0</v>
      </c>
      <c r="AU10" s="61">
        <f>INT((AI10-AP10*20000-AQ10*10000-AR10*5000-AS10*1000-AT10*500)/100)</f>
        <v>0</v>
      </c>
      <c r="AV10" s="72" t="s">
        <v>1072</v>
      </c>
      <c r="AW10" s="73">
        <v>26950</v>
      </c>
      <c r="AX10" s="74" t="s">
        <v>99</v>
      </c>
      <c r="AY10" s="74">
        <v>2</v>
      </c>
      <c r="AZ10" s="74" t="s">
        <v>102</v>
      </c>
      <c r="BA10" s="74" t="s">
        <v>102</v>
      </c>
      <c r="BB10" s="74" t="s">
        <v>1065</v>
      </c>
      <c r="BC10" s="72"/>
    </row>
    <row r="11" s="5" customFormat="1" ht="27" customHeight="1" spans="1:55">
      <c r="A11" s="19">
        <v>3</v>
      </c>
      <c r="B11" s="82">
        <v>44902</v>
      </c>
      <c r="C11" s="20"/>
      <c r="D11" s="20" t="s">
        <v>1073</v>
      </c>
      <c r="E11" s="20" t="s">
        <v>1074</v>
      </c>
      <c r="F11" s="19" t="s">
        <v>108</v>
      </c>
      <c r="G11" s="19" t="s">
        <v>1070</v>
      </c>
      <c r="H11" s="22" t="s">
        <v>973</v>
      </c>
      <c r="I11" s="19">
        <v>26</v>
      </c>
      <c r="J11" s="19">
        <f>26-I11</f>
        <v>0</v>
      </c>
      <c r="K11" s="19">
        <v>1800</v>
      </c>
      <c r="L11" s="36">
        <f>K11/26*I11</f>
        <v>1800</v>
      </c>
      <c r="M11" s="36">
        <f>K11/26*J11</f>
        <v>0</v>
      </c>
      <c r="N11" s="19">
        <v>0</v>
      </c>
      <c r="O11" s="19">
        <f>K11/26/8*1.5*N11</f>
        <v>0</v>
      </c>
      <c r="P11" s="85">
        <v>0</v>
      </c>
      <c r="Q11" s="85">
        <f>K11/26*2*P11</f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36">
        <f>SUM(L11+O11+Q11+R11+S11+T11+U11+V11+X11+Y11+Z11+AA11+W11)</f>
        <v>1800</v>
      </c>
      <c r="AC11" s="19">
        <v>0</v>
      </c>
      <c r="AD11" s="19">
        <v>0</v>
      </c>
      <c r="AE11" s="19">
        <v>0</v>
      </c>
      <c r="AF11" s="19">
        <f>SUM(AC11:AE11)</f>
        <v>0</v>
      </c>
      <c r="AG11" s="36">
        <f>AB11-AF11</f>
        <v>1800</v>
      </c>
      <c r="AH11" s="19">
        <f>INT(AG11/10)*10</f>
        <v>1800</v>
      </c>
      <c r="AI11" s="60">
        <f>INT((ROUND((AG11-AH11)*0.4,2))*10000)</f>
        <v>0</v>
      </c>
      <c r="AJ11" s="125"/>
      <c r="AK11" s="62"/>
      <c r="AL11" s="61">
        <f>INT(AG11/100)</f>
        <v>18</v>
      </c>
      <c r="AM11" s="61">
        <f>INT((AG11-AL11*100)/50)</f>
        <v>0</v>
      </c>
      <c r="AN11" s="61">
        <f>INT((AG11-AL11*100-AM11*50)/20)</f>
        <v>0</v>
      </c>
      <c r="AO11" s="68">
        <f>INT((AG11-AL11*100-AM11*50-AN11*20)/10)</f>
        <v>0</v>
      </c>
      <c r="AP11" s="61">
        <f>INT(AI11/20000)</f>
        <v>0</v>
      </c>
      <c r="AQ11" s="61">
        <f>INT((AI11-AP11*20000)/10000)</f>
        <v>0</v>
      </c>
      <c r="AR11" s="61">
        <f>INT((AI11-AP11*20000-AQ11*10000)/5000)</f>
        <v>0</v>
      </c>
      <c r="AS11" s="61">
        <f>INT((AI11-AP11*20000-AQ11*10000-AR11*5000)/1000)</f>
        <v>0</v>
      </c>
      <c r="AT11" s="61">
        <f>INT((AI11-AP11*20000-AQ11*10000-AR11*5000-AS11*1000)/500)</f>
        <v>0</v>
      </c>
      <c r="AU11" s="61">
        <f>INT((AI11-AP11*20000-AQ11*10000-AR11*5000-AS11*1000-AT11*500)/100)</f>
        <v>0</v>
      </c>
      <c r="AV11" s="72" t="s">
        <v>1075</v>
      </c>
      <c r="AW11" s="73">
        <v>26283</v>
      </c>
      <c r="AX11" s="74" t="s">
        <v>99</v>
      </c>
      <c r="AY11" s="74">
        <v>3</v>
      </c>
      <c r="AZ11" s="74" t="s">
        <v>102</v>
      </c>
      <c r="BA11" s="74" t="s">
        <v>102</v>
      </c>
      <c r="BB11" s="74" t="s">
        <v>1076</v>
      </c>
      <c r="BC11" s="72"/>
    </row>
    <row r="12" s="5" customFormat="1" ht="27" customHeight="1" spans="1:55">
      <c r="A12" s="19">
        <v>4</v>
      </c>
      <c r="B12" s="82">
        <v>44908</v>
      </c>
      <c r="C12" s="20" t="s">
        <v>1077</v>
      </c>
      <c r="D12" s="20"/>
      <c r="E12" s="20" t="s">
        <v>1078</v>
      </c>
      <c r="F12" s="19" t="s">
        <v>108</v>
      </c>
      <c r="G12" s="19" t="s">
        <v>1079</v>
      </c>
      <c r="H12" s="22" t="s">
        <v>1080</v>
      </c>
      <c r="I12" s="19">
        <v>26</v>
      </c>
      <c r="J12" s="19">
        <f>26-I12</f>
        <v>0</v>
      </c>
      <c r="K12" s="19">
        <v>1800</v>
      </c>
      <c r="L12" s="36">
        <f>K12/26*I12</f>
        <v>1800</v>
      </c>
      <c r="M12" s="36">
        <f>K12/26*J12</f>
        <v>0</v>
      </c>
      <c r="N12" s="19">
        <v>0</v>
      </c>
      <c r="O12" s="19">
        <f>K12/26/8*1.5*N12</f>
        <v>0</v>
      </c>
      <c r="P12" s="85">
        <v>0</v>
      </c>
      <c r="Q12" s="85">
        <f>K12/26*2*P12</f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36">
        <f>SUM(L12+O12+Q12+R12+S12+T12+U12+V12+X12+Y12+Z12+AA12+W12)</f>
        <v>1800</v>
      </c>
      <c r="AC12" s="19">
        <v>0</v>
      </c>
      <c r="AD12" s="19">
        <v>0</v>
      </c>
      <c r="AE12" s="19">
        <v>0</v>
      </c>
      <c r="AF12" s="19">
        <f>SUM(AC12:AE12)</f>
        <v>0</v>
      </c>
      <c r="AG12" s="36">
        <f>AB12-AF12</f>
        <v>1800</v>
      </c>
      <c r="AH12" s="19">
        <f>INT(AG12/10)*10</f>
        <v>1800</v>
      </c>
      <c r="AI12" s="60">
        <f>INT((ROUND((AG12-AH12)*0.4,2))*10000)</f>
        <v>0</v>
      </c>
      <c r="AJ12" s="125"/>
      <c r="AK12" s="62"/>
      <c r="AL12" s="61">
        <f>INT(AG12/100)</f>
        <v>18</v>
      </c>
      <c r="AM12" s="61">
        <f>INT((AG12-AL12*100)/50)</f>
        <v>0</v>
      </c>
      <c r="AN12" s="61">
        <f>INT((AG12-AL12*100-AM12*50)/20)</f>
        <v>0</v>
      </c>
      <c r="AO12" s="68">
        <f>INT((AG12-AL12*100-AM12*50-AN12*20)/10)</f>
        <v>0</v>
      </c>
      <c r="AP12" s="61">
        <f>INT(AI12/20000)</f>
        <v>0</v>
      </c>
      <c r="AQ12" s="61">
        <f>INT((AI12-AP12*20000)/10000)</f>
        <v>0</v>
      </c>
      <c r="AR12" s="61">
        <f>INT((AI12-AP12*20000-AQ12*10000)/5000)</f>
        <v>0</v>
      </c>
      <c r="AS12" s="61">
        <f>INT((AI12-AP12*20000-AQ12*10000-AR12*5000)/1000)</f>
        <v>0</v>
      </c>
      <c r="AT12" s="61">
        <f>INT((AI12-AP12*20000-AQ12*10000-AR12*5000-AS12*1000)/500)</f>
        <v>0</v>
      </c>
      <c r="AU12" s="61">
        <f>INT((AI12-AP12*20000-AQ12*10000-AR12*5000-AS12*1000-AT12*500)/100)</f>
        <v>0</v>
      </c>
      <c r="AV12" s="72"/>
      <c r="AW12" s="73"/>
      <c r="AX12" s="74"/>
      <c r="AY12" s="74"/>
      <c r="AZ12" s="74"/>
      <c r="BA12" s="74"/>
      <c r="BB12" s="74"/>
      <c r="BC12" s="72"/>
    </row>
    <row r="13" s="5" customFormat="1" ht="27" customHeight="1" spans="1:55">
      <c r="A13" s="19">
        <v>5</v>
      </c>
      <c r="B13" s="82">
        <v>44951</v>
      </c>
      <c r="C13" s="20"/>
      <c r="D13" s="20" t="s">
        <v>1081</v>
      </c>
      <c r="E13" s="20" t="s">
        <v>1082</v>
      </c>
      <c r="F13" s="19" t="s">
        <v>96</v>
      </c>
      <c r="G13" s="19" t="s">
        <v>1083</v>
      </c>
      <c r="H13" s="20" t="s">
        <v>1084</v>
      </c>
      <c r="I13" s="19">
        <v>5</v>
      </c>
      <c r="J13" s="19">
        <v>0</v>
      </c>
      <c r="K13" s="19">
        <v>1600</v>
      </c>
      <c r="L13" s="36">
        <f>K13/26*I13</f>
        <v>307.692307692308</v>
      </c>
      <c r="M13" s="36">
        <f>K13/26*J13</f>
        <v>0</v>
      </c>
      <c r="N13" s="19">
        <v>0</v>
      </c>
      <c r="O13" s="19">
        <f>K13/26/8*1.5*N13</f>
        <v>0</v>
      </c>
      <c r="P13" s="85">
        <v>0</v>
      </c>
      <c r="Q13" s="85">
        <f>K13/26*2*P13</f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36">
        <f>SUM(L13+O13+Q13+R13+S13+T13+U13+V13+X13+Y13+Z13+AA13+W13)</f>
        <v>307.692307692308</v>
      </c>
      <c r="AC13" s="19">
        <v>0</v>
      </c>
      <c r="AD13" s="19">
        <v>0</v>
      </c>
      <c r="AE13" s="19">
        <v>0</v>
      </c>
      <c r="AF13" s="19">
        <f>SUM(AC13:AE13)</f>
        <v>0</v>
      </c>
      <c r="AG13" s="36">
        <f>AB13-AF13</f>
        <v>307.692307692308</v>
      </c>
      <c r="AH13" s="19">
        <f>INT(AG13/10)*10</f>
        <v>300</v>
      </c>
      <c r="AI13" s="60">
        <f>INT((ROUND((AG13-AH13)*0.4,2))*10000)</f>
        <v>30800</v>
      </c>
      <c r="AJ13" s="125"/>
      <c r="AK13" s="62"/>
      <c r="AL13" s="61">
        <f>INT(AG13/100)</f>
        <v>3</v>
      </c>
      <c r="AM13" s="61">
        <f>INT((AG13-AL13*100)/50)</f>
        <v>0</v>
      </c>
      <c r="AN13" s="61">
        <f>INT((AG13-AL13*100-AM13*50)/20)</f>
        <v>0</v>
      </c>
      <c r="AO13" s="68">
        <f>INT((AG13-AL13*100-AM13*50-AN13*20)/10)</f>
        <v>0</v>
      </c>
      <c r="AP13" s="61">
        <f>INT(AI13/20000)</f>
        <v>1</v>
      </c>
      <c r="AQ13" s="61">
        <f>INT((AI13-AP13*20000)/10000)</f>
        <v>1</v>
      </c>
      <c r="AR13" s="61">
        <f>INT((AI13-AP13*20000-AQ13*10000)/5000)</f>
        <v>0</v>
      </c>
      <c r="AS13" s="61">
        <f>INT((AI13-AP13*20000-AQ13*10000-AR13*5000)/1000)</f>
        <v>0</v>
      </c>
      <c r="AT13" s="61">
        <f>INT((AI13-AP13*20000-AQ13*10000-AR13*5000-AS13*1000)/500)</f>
        <v>1</v>
      </c>
      <c r="AU13" s="61">
        <f>INT((AI13-AP13*20000-AQ13*10000-AR13*5000-AS13*1000-AT13*500)/100)</f>
        <v>3</v>
      </c>
      <c r="AV13" s="72"/>
      <c r="AW13" s="73"/>
      <c r="AX13" s="74"/>
      <c r="AY13" s="74"/>
      <c r="AZ13" s="74"/>
      <c r="BA13" s="74"/>
      <c r="BB13" s="74"/>
      <c r="BC13" s="72"/>
    </row>
    <row r="14" ht="19" customHeight="1" spans="1:47">
      <c r="A14" s="23" t="s">
        <v>216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37"/>
      <c r="M14" s="38"/>
      <c r="N14" s="38"/>
      <c r="O14" s="38"/>
      <c r="P14" s="38"/>
      <c r="Q14" s="38"/>
      <c r="R14" s="38"/>
      <c r="S14" s="38"/>
      <c r="T14" s="38"/>
      <c r="U14" s="38"/>
      <c r="V14" s="37"/>
      <c r="W14" s="37"/>
      <c r="X14" s="37"/>
      <c r="Y14" s="38"/>
      <c r="Z14" s="37"/>
      <c r="AA14" s="37"/>
      <c r="AB14" s="124">
        <f>SUM(AB1:AB13)</f>
        <v>7107.69230769231</v>
      </c>
      <c r="AC14" s="38"/>
      <c r="AD14" s="38"/>
      <c r="AE14" s="38"/>
      <c r="AF14" s="63"/>
      <c r="AG14" s="55">
        <f>SUM(AG1:AG13)</f>
        <v>7107.69230769231</v>
      </c>
      <c r="AH14" s="78">
        <f>SUM(AH9:AH13)</f>
        <v>7100</v>
      </c>
      <c r="AI14" s="79">
        <f>SUM(AI9:AI13)</f>
        <v>30800</v>
      </c>
      <c r="AJ14" s="65"/>
      <c r="AK14" s="66"/>
      <c r="AL14" s="69">
        <f>SUM(AL9:AL13)</f>
        <v>71</v>
      </c>
      <c r="AM14" s="69">
        <f t="shared" ref="AM14:AU14" si="0">SUM(AM9:AM13)</f>
        <v>0</v>
      </c>
      <c r="AN14" s="69">
        <f t="shared" si="0"/>
        <v>0</v>
      </c>
      <c r="AO14" s="69">
        <f t="shared" si="0"/>
        <v>0</v>
      </c>
      <c r="AP14" s="69">
        <f t="shared" si="0"/>
        <v>1</v>
      </c>
      <c r="AQ14" s="69">
        <f t="shared" si="0"/>
        <v>1</v>
      </c>
      <c r="AR14" s="69">
        <f t="shared" si="0"/>
        <v>0</v>
      </c>
      <c r="AS14" s="69">
        <f t="shared" si="0"/>
        <v>0</v>
      </c>
      <c r="AT14" s="69">
        <f t="shared" si="0"/>
        <v>1</v>
      </c>
      <c r="AU14" s="69">
        <f t="shared" si="0"/>
        <v>3</v>
      </c>
    </row>
    <row r="18" spans="4:20">
      <c r="D18" s="111">
        <v>100</v>
      </c>
      <c r="E18" s="112">
        <v>50</v>
      </c>
      <c r="F18" s="113">
        <v>20</v>
      </c>
      <c r="G18" s="114"/>
      <c r="H18" s="113">
        <v>10</v>
      </c>
      <c r="I18" s="114"/>
      <c r="J18" s="40" t="s">
        <v>1085</v>
      </c>
      <c r="K18" s="41"/>
      <c r="L18" s="121" t="s">
        <v>1086</v>
      </c>
      <c r="M18" s="121" t="s">
        <v>1087</v>
      </c>
      <c r="N18" s="121" t="s">
        <v>1088</v>
      </c>
      <c r="O18" s="121" t="s">
        <v>1089</v>
      </c>
      <c r="P18" s="121" t="s">
        <v>1090</v>
      </c>
      <c r="Q18" s="123"/>
      <c r="R18" s="123"/>
      <c r="S18" s="123"/>
      <c r="T18" s="123"/>
    </row>
    <row r="19" spans="4:20">
      <c r="D19" s="115"/>
      <c r="E19" s="116"/>
      <c r="F19" s="117"/>
      <c r="G19" s="118"/>
      <c r="H19" s="117"/>
      <c r="I19" s="118"/>
      <c r="J19" s="42"/>
      <c r="K19" s="43"/>
      <c r="L19" s="122"/>
      <c r="M19" s="122"/>
      <c r="N19" s="122"/>
      <c r="O19" s="122"/>
      <c r="P19" s="122"/>
      <c r="Q19" s="123"/>
      <c r="R19" s="123"/>
      <c r="S19" s="123"/>
      <c r="T19" s="123"/>
    </row>
    <row r="20" spans="4:20">
      <c r="D20" s="119">
        <f t="shared" ref="D20:F20" si="1">AL14</f>
        <v>71</v>
      </c>
      <c r="E20" s="119">
        <f t="shared" si="1"/>
        <v>0</v>
      </c>
      <c r="F20" s="44">
        <f t="shared" si="1"/>
        <v>0</v>
      </c>
      <c r="G20" s="45"/>
      <c r="H20" s="44">
        <f>AO14</f>
        <v>0</v>
      </c>
      <c r="I20" s="45"/>
      <c r="J20" s="44">
        <f>AP14</f>
        <v>1</v>
      </c>
      <c r="K20" s="45"/>
      <c r="L20" s="119">
        <f t="shared" ref="L20:P20" si="2">AQ14</f>
        <v>1</v>
      </c>
      <c r="M20" s="119">
        <f t="shared" si="2"/>
        <v>0</v>
      </c>
      <c r="N20" s="119">
        <f t="shared" si="2"/>
        <v>0</v>
      </c>
      <c r="O20" s="119">
        <f t="shared" si="2"/>
        <v>1</v>
      </c>
      <c r="P20" s="119">
        <f t="shared" si="2"/>
        <v>3</v>
      </c>
      <c r="Q20" s="123"/>
      <c r="R20" s="123"/>
      <c r="S20" s="123"/>
      <c r="T20" s="123"/>
    </row>
    <row r="21" spans="4:20">
      <c r="D21" s="120"/>
      <c r="E21" s="120"/>
      <c r="F21" s="46"/>
      <c r="G21" s="47"/>
      <c r="H21" s="46"/>
      <c r="I21" s="47"/>
      <c r="J21" s="46"/>
      <c r="K21" s="47"/>
      <c r="L21" s="120"/>
      <c r="M21" s="120"/>
      <c r="N21" s="120"/>
      <c r="O21" s="120"/>
      <c r="P21" s="120"/>
      <c r="Q21" s="123"/>
      <c r="R21" s="123"/>
      <c r="S21" s="123"/>
      <c r="T21" s="123"/>
    </row>
  </sheetData>
  <autoFilter ref="A8:XFD14">
    <extLst/>
  </autoFilter>
  <mergeCells count="52">
    <mergeCell ref="A1:AJ1"/>
    <mergeCell ref="A2:AJ2"/>
    <mergeCell ref="A3:AJ3"/>
    <mergeCell ref="A4:AJ4"/>
    <mergeCell ref="A5:C5"/>
    <mergeCell ref="F5:L5"/>
    <mergeCell ref="AE5:AJ5"/>
    <mergeCell ref="N7:Q7"/>
    <mergeCell ref="A14:K14"/>
    <mergeCell ref="A7:A8"/>
    <mergeCell ref="B7:B8"/>
    <mergeCell ref="C7:C8"/>
    <mergeCell ref="D7:D8"/>
    <mergeCell ref="D18:D19"/>
    <mergeCell ref="D20:D21"/>
    <mergeCell ref="E7:E8"/>
    <mergeCell ref="E18:E19"/>
    <mergeCell ref="E20:E21"/>
    <mergeCell ref="F7:F8"/>
    <mergeCell ref="G7:G8"/>
    <mergeCell ref="H7:H8"/>
    <mergeCell ref="I7:I8"/>
    <mergeCell ref="J7:J8"/>
    <mergeCell ref="K7:K8"/>
    <mergeCell ref="L7:L8"/>
    <mergeCell ref="L18:L19"/>
    <mergeCell ref="L20:L21"/>
    <mergeCell ref="M7:M8"/>
    <mergeCell ref="M18:M19"/>
    <mergeCell ref="M20:M21"/>
    <mergeCell ref="N18:N19"/>
    <mergeCell ref="N20:N21"/>
    <mergeCell ref="O18:O19"/>
    <mergeCell ref="O20:O21"/>
    <mergeCell ref="P18:P19"/>
    <mergeCell ref="P20:P21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F18:G19"/>
    <mergeCell ref="H18:I19"/>
    <mergeCell ref="J18:K19"/>
    <mergeCell ref="F20:G21"/>
    <mergeCell ref="H20:I21"/>
    <mergeCell ref="J20:K21"/>
  </mergeCells>
  <pageMargins left="0.118055555555556" right="0.118055555555556" top="0.236111111111111" bottom="0.236111111111111" header="0.156944444444444" footer="0.0784722222222222"/>
  <pageSetup paperSize="9" orientation="landscape"/>
  <headerFooter/>
  <ignoredErrors>
    <ignoredError sqref="M13 AB14 AG14" emptyCellReference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BF27"/>
  <sheetViews>
    <sheetView zoomScale="130" zoomScaleNormal="130" topLeftCell="A6" workbookViewId="0">
      <selection activeCell="P11" sqref="P11"/>
    </sheetView>
  </sheetViews>
  <sheetFormatPr defaultColWidth="9" defaultRowHeight="13.5"/>
  <cols>
    <col min="1" max="1" width="2.68333333333333" style="6" customWidth="1"/>
    <col min="2" max="2" width="6.05833333333333" style="6" customWidth="1"/>
    <col min="3" max="3" width="5.95" style="6" customWidth="1"/>
    <col min="4" max="4" width="6.25" style="6" customWidth="1"/>
    <col min="5" max="5" width="6.625" style="6" customWidth="1"/>
    <col min="6" max="6" width="2.98333333333333" style="6" customWidth="1"/>
    <col min="7" max="7" width="3.06666666666667" style="6" customWidth="1"/>
    <col min="8" max="8" width="2.88333333333333" style="6" customWidth="1"/>
    <col min="9" max="9" width="3.55" style="6" customWidth="1"/>
    <col min="10" max="10" width="4.225" style="6" customWidth="1"/>
    <col min="11" max="11" width="3.55" style="6" customWidth="1"/>
    <col min="12" max="12" width="5.48333333333333" customWidth="1"/>
    <col min="13" max="13" width="4.8" customWidth="1"/>
    <col min="14" max="14" width="3.075" customWidth="1"/>
    <col min="15" max="15" width="4.03333333333333" customWidth="1"/>
    <col min="16" max="16" width="3.075" customWidth="1"/>
    <col min="17" max="17" width="2.875" customWidth="1"/>
    <col min="18" max="18" width="2.88333333333333" customWidth="1"/>
    <col min="19" max="19" width="3.94166666666667" customWidth="1"/>
    <col min="20" max="21" width="3.55" customWidth="1"/>
    <col min="22" max="22" width="3.35833333333333" customWidth="1"/>
    <col min="23" max="23" width="2.775" customWidth="1"/>
    <col min="24" max="25" width="3.075" customWidth="1"/>
    <col min="26" max="26" width="4.225" customWidth="1"/>
    <col min="27" max="27" width="3.84166666666667" customWidth="1"/>
    <col min="28" max="28" width="6.625" customWidth="1"/>
    <col min="29" max="31" width="6.725" hidden="1" customWidth="1"/>
    <col min="32" max="32" width="3.55" customWidth="1"/>
    <col min="33" max="33" width="3.35833333333333" customWidth="1"/>
    <col min="34" max="34" width="2.975" customWidth="1"/>
    <col min="35" max="35" width="3.06666666666667" customWidth="1"/>
    <col min="36" max="36" width="6.725" customWidth="1"/>
    <col min="37" max="37" width="4.425" hidden="1" customWidth="1"/>
    <col min="38" max="38" width="6.35" hidden="1" customWidth="1"/>
    <col min="39" max="39" width="8.65" customWidth="1"/>
    <col min="40" max="50" width="6.25" customWidth="1"/>
    <col min="51" max="51" width="16.875" style="6" customWidth="1"/>
    <col min="52" max="52" width="12.625" customWidth="1"/>
    <col min="53" max="53" width="12" customWidth="1"/>
    <col min="54" max="54" width="12.75" customWidth="1"/>
    <col min="55" max="55" width="10.5" customWidth="1"/>
    <col min="56" max="56" width="15.75" customWidth="1"/>
    <col min="58" max="58" width="16.5" customWidth="1"/>
  </cols>
  <sheetData>
    <row r="1" ht="27.95" customHeight="1" spans="1:5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ht="18.95" customHeight="1" spans="1:5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ht="15.95" customHeight="1" spans="1:5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ht="15.95" customHeight="1" spans="1:50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="1" customFormat="1" ht="14.1" customHeight="1" spans="1:51">
      <c r="A5" s="10" t="s">
        <v>1091</v>
      </c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56" t="s">
        <v>1092</v>
      </c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0"/>
    </row>
    <row r="6" s="2" customFormat="1" ht="40" customHeight="1" spans="1:50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 t="s">
        <v>1058</v>
      </c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/>
      <c r="AD6" s="29"/>
      <c r="AE6" s="29"/>
      <c r="AF6" s="29" t="s">
        <v>31</v>
      </c>
      <c r="AG6" s="29" t="s">
        <v>32</v>
      </c>
      <c r="AH6" s="29" t="s">
        <v>33</v>
      </c>
      <c r="AI6" s="29" t="s">
        <v>34</v>
      </c>
      <c r="AJ6" s="29" t="s">
        <v>35</v>
      </c>
      <c r="AK6" s="29" t="s">
        <v>36</v>
      </c>
      <c r="AL6" s="14" t="s">
        <v>37</v>
      </c>
      <c r="AM6" s="29" t="s">
        <v>38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</row>
    <row r="7" s="3" customFormat="1" ht="12" customHeight="1" spans="1:58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/>
      <c r="AD7" s="53"/>
      <c r="AE7" s="53"/>
      <c r="AF7" s="53" t="s">
        <v>62</v>
      </c>
      <c r="AG7" s="30" t="s">
        <v>63</v>
      </c>
      <c r="AH7" s="53" t="s">
        <v>201</v>
      </c>
      <c r="AI7" s="53" t="s">
        <v>65</v>
      </c>
      <c r="AJ7" s="53" t="s">
        <v>66</v>
      </c>
      <c r="AK7" s="53" t="s">
        <v>67</v>
      </c>
      <c r="AL7" s="53" t="s">
        <v>68</v>
      </c>
      <c r="AM7" s="53" t="s">
        <v>69</v>
      </c>
      <c r="AN7" s="58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71" t="s">
        <v>71</v>
      </c>
      <c r="AZ7" s="71" t="s">
        <v>72</v>
      </c>
      <c r="BA7" s="71" t="s">
        <v>73</v>
      </c>
      <c r="BB7" s="71" t="s">
        <v>74</v>
      </c>
      <c r="BC7" s="71" t="s">
        <v>75</v>
      </c>
      <c r="BD7" s="71" t="s">
        <v>76</v>
      </c>
      <c r="BE7" s="71" t="s">
        <v>77</v>
      </c>
      <c r="BF7" s="71" t="s">
        <v>78</v>
      </c>
    </row>
    <row r="8" s="4" customFormat="1" ht="21.95" customHeight="1" spans="1:58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50" t="s">
        <v>57</v>
      </c>
      <c r="X8" s="50" t="s">
        <v>57</v>
      </c>
      <c r="Y8" s="31" t="s">
        <v>83</v>
      </c>
      <c r="Z8" s="31" t="s">
        <v>84</v>
      </c>
      <c r="AA8" s="52"/>
      <c r="AB8" s="52"/>
      <c r="AC8" s="52"/>
      <c r="AD8" s="52"/>
      <c r="AE8" s="52"/>
      <c r="AF8" s="52"/>
      <c r="AG8" s="34"/>
      <c r="AH8" s="52"/>
      <c r="AI8" s="52"/>
      <c r="AJ8" s="52"/>
      <c r="AK8" s="52"/>
      <c r="AL8" s="52"/>
      <c r="AM8" s="34"/>
      <c r="AN8" s="59"/>
      <c r="AO8" s="34">
        <v>100</v>
      </c>
      <c r="AP8" s="34">
        <v>50</v>
      </c>
      <c r="AQ8" s="34">
        <v>20</v>
      </c>
      <c r="AR8" s="34">
        <v>10</v>
      </c>
      <c r="AS8" s="34">
        <v>20000</v>
      </c>
      <c r="AT8" s="34">
        <v>10000</v>
      </c>
      <c r="AU8" s="34">
        <v>5000</v>
      </c>
      <c r="AV8" s="34">
        <v>1000</v>
      </c>
      <c r="AW8" s="34">
        <v>500</v>
      </c>
      <c r="AX8" s="34">
        <v>100</v>
      </c>
      <c r="AY8" s="72" t="s">
        <v>85</v>
      </c>
      <c r="AZ8" s="72" t="s">
        <v>86</v>
      </c>
      <c r="BA8" s="72" t="s">
        <v>87</v>
      </c>
      <c r="BB8" s="72" t="s">
        <v>88</v>
      </c>
      <c r="BC8" s="72" t="s">
        <v>89</v>
      </c>
      <c r="BD8" s="72" t="s">
        <v>90</v>
      </c>
      <c r="BE8" s="72" t="s">
        <v>91</v>
      </c>
      <c r="BF8" s="74" t="s">
        <v>92</v>
      </c>
    </row>
    <row r="9" s="5" customFormat="1" ht="24" customHeight="1" spans="1:58">
      <c r="A9" s="19">
        <v>1</v>
      </c>
      <c r="B9" s="75" t="s">
        <v>1093</v>
      </c>
      <c r="C9" s="80" t="s">
        <v>1094</v>
      </c>
      <c r="D9" s="20" t="s">
        <v>1095</v>
      </c>
      <c r="E9" s="21">
        <v>44837</v>
      </c>
      <c r="F9" s="19" t="s">
        <v>108</v>
      </c>
      <c r="G9" s="75" t="s">
        <v>562</v>
      </c>
      <c r="H9" s="19" t="s">
        <v>229</v>
      </c>
      <c r="I9" s="19">
        <v>8.5</v>
      </c>
      <c r="J9" s="19">
        <f t="shared" ref="J9:J19" si="0">26-I9</f>
        <v>17.5</v>
      </c>
      <c r="K9" s="19">
        <v>200</v>
      </c>
      <c r="L9" s="36">
        <f t="shared" ref="L9:L19" si="1">K9/26*I9</f>
        <v>65.3846153846154</v>
      </c>
      <c r="M9" s="36">
        <f t="shared" ref="M9:M13" si="2">194/26*J9</f>
        <v>130.576923076923</v>
      </c>
      <c r="N9" s="19">
        <v>0</v>
      </c>
      <c r="O9" s="36">
        <f t="shared" ref="O9:O19" si="3">K9/26/8*1.5*N9</f>
        <v>0</v>
      </c>
      <c r="P9" s="84">
        <v>0</v>
      </c>
      <c r="Q9" s="84">
        <f>P9/26/8*2*N9</f>
        <v>0</v>
      </c>
      <c r="R9" s="84">
        <v>0</v>
      </c>
      <c r="S9" s="84">
        <f t="shared" ref="S9:S19" si="4">10/26*I9</f>
        <v>3.26923076923077</v>
      </c>
      <c r="T9" s="84">
        <v>0</v>
      </c>
      <c r="U9" s="84">
        <v>0</v>
      </c>
      <c r="V9" s="84">
        <v>10</v>
      </c>
      <c r="W9" s="84">
        <v>1</v>
      </c>
      <c r="X9" s="84">
        <v>8</v>
      </c>
      <c r="Y9" s="84">
        <v>0</v>
      </c>
      <c r="Z9" s="36">
        <v>0</v>
      </c>
      <c r="AA9" s="19">
        <v>0</v>
      </c>
      <c r="AB9" s="36">
        <f t="shared" ref="AB9:AB19" si="5">L9+O9+Q9+R9+S9+T9+U9+V9+X9+Y9+Z9+AA9+W9</f>
        <v>87.6538461538462</v>
      </c>
      <c r="AC9" s="36">
        <f t="shared" ref="AC9:AC19" si="6">+AB9*4000</f>
        <v>350615.384615385</v>
      </c>
      <c r="AD9" s="54">
        <f t="shared" ref="AD9:AD19" si="7">+IF(AC9&lt;=400000,400000,IF(AC9&lt;=1200000,AC9,IF(AC9&gt;1200000,1200000)))</f>
        <v>400000</v>
      </c>
      <c r="AE9" s="36">
        <f t="shared" ref="AE9:AE19" si="8">+AD9*2%</f>
        <v>8000</v>
      </c>
      <c r="AF9" s="19">
        <f>AE9/4000+2.65</f>
        <v>4.65</v>
      </c>
      <c r="AG9" s="19">
        <v>0</v>
      </c>
      <c r="AH9" s="19">
        <v>0</v>
      </c>
      <c r="AI9" s="19">
        <f t="shared" ref="AI9:AI19" si="9">SUM(AF9:AH9)</f>
        <v>4.65</v>
      </c>
      <c r="AJ9" s="36">
        <f t="shared" ref="AJ9:AJ19" si="10">AB9-AI9</f>
        <v>83.0038461538462</v>
      </c>
      <c r="AK9" s="19">
        <f t="shared" ref="AK9:AK19" si="11">INT(AJ9/10)*10</f>
        <v>80</v>
      </c>
      <c r="AL9" s="60">
        <f t="shared" ref="AL9:AL19" si="12">INT((ROUND((AJ9-AK9)*0.4,2))*10000)</f>
        <v>12000</v>
      </c>
      <c r="AM9" s="61"/>
      <c r="AN9" s="62"/>
      <c r="AO9" s="61">
        <f t="shared" ref="AO9:AO19" si="13">INT(AJ9/100)</f>
        <v>0</v>
      </c>
      <c r="AP9" s="61">
        <f t="shared" ref="AP9:AP19" si="14">INT((AJ9-AO9*100)/50)</f>
        <v>1</v>
      </c>
      <c r="AQ9" s="61">
        <f t="shared" ref="AQ9:AQ19" si="15">INT((AJ9-AO9*100-AP9*50)/20)</f>
        <v>1</v>
      </c>
      <c r="AR9" s="68">
        <f t="shared" ref="AR9:AR19" si="16">INT((AJ9-AO9*100-AP9*50-AQ9*20)/10)</f>
        <v>1</v>
      </c>
      <c r="AS9" s="61">
        <f t="shared" ref="AS9:AS19" si="17">INT(AL9/20000)</f>
        <v>0</v>
      </c>
      <c r="AT9" s="61">
        <f t="shared" ref="AT9:AT19" si="18">INT((AL9-AS9*20000)/10000)</f>
        <v>1</v>
      </c>
      <c r="AU9" s="61">
        <f t="shared" ref="AU9:AU19" si="19">INT((AL9-AS9*20000-AT9*10000)/5000)</f>
        <v>0</v>
      </c>
      <c r="AV9" s="61">
        <f t="shared" ref="AV9:AV19" si="20">INT((AL9-AS9*20000-AT9*10000-AU9*5000)/1000)</f>
        <v>2</v>
      </c>
      <c r="AW9" s="61">
        <f t="shared" ref="AW9:AW19" si="21">INT((AL9-AS9*20000-AT9*10000-AU9*5000-AV9*1000)/500)</f>
        <v>0</v>
      </c>
      <c r="AX9" s="61">
        <f t="shared" ref="AX9:AX19" si="22">INT((AL9-AS9*20000-AT9*10000-AU9*5000-AV9*1000-AW9*500)/100)</f>
        <v>0</v>
      </c>
      <c r="AY9" s="90">
        <v>101366058</v>
      </c>
      <c r="AZ9" s="73">
        <v>37079</v>
      </c>
      <c r="BA9" s="74" t="s">
        <v>99</v>
      </c>
      <c r="BB9" s="72">
        <v>0</v>
      </c>
      <c r="BC9" s="74" t="s">
        <v>102</v>
      </c>
      <c r="BD9" s="74" t="s">
        <v>102</v>
      </c>
      <c r="BE9" s="74" t="s">
        <v>103</v>
      </c>
      <c r="BF9" s="72"/>
    </row>
    <row r="10" s="5" customFormat="1" ht="24" customHeight="1" spans="1:58">
      <c r="A10" s="19">
        <v>2</v>
      </c>
      <c r="B10" s="75" t="s">
        <v>1096</v>
      </c>
      <c r="C10" s="20" t="s">
        <v>1097</v>
      </c>
      <c r="D10" s="20" t="s">
        <v>1098</v>
      </c>
      <c r="E10" s="21">
        <v>44743</v>
      </c>
      <c r="F10" s="19" t="s">
        <v>96</v>
      </c>
      <c r="G10" s="75" t="s">
        <v>668</v>
      </c>
      <c r="H10" s="76" t="s">
        <v>229</v>
      </c>
      <c r="I10" s="19">
        <v>10</v>
      </c>
      <c r="J10" s="19">
        <f t="shared" si="0"/>
        <v>16</v>
      </c>
      <c r="K10" s="19">
        <v>200</v>
      </c>
      <c r="L10" s="36">
        <f t="shared" si="1"/>
        <v>76.9230769230769</v>
      </c>
      <c r="M10" s="36">
        <f t="shared" si="2"/>
        <v>119.384615384615</v>
      </c>
      <c r="N10" s="19">
        <v>0</v>
      </c>
      <c r="O10" s="36">
        <f t="shared" si="3"/>
        <v>0</v>
      </c>
      <c r="P10" s="84">
        <v>0</v>
      </c>
      <c r="Q10" s="84">
        <v>0</v>
      </c>
      <c r="R10" s="84">
        <v>0</v>
      </c>
      <c r="S10" s="84">
        <f t="shared" si="4"/>
        <v>3.84615384615385</v>
      </c>
      <c r="T10" s="84">
        <v>0</v>
      </c>
      <c r="U10" s="84">
        <v>0</v>
      </c>
      <c r="V10" s="84">
        <v>10</v>
      </c>
      <c r="W10" s="84">
        <v>0</v>
      </c>
      <c r="X10" s="84">
        <v>8</v>
      </c>
      <c r="Y10" s="84">
        <v>0</v>
      </c>
      <c r="Z10" s="36">
        <v>0</v>
      </c>
      <c r="AA10" s="85">
        <v>0</v>
      </c>
      <c r="AB10" s="36">
        <f t="shared" si="5"/>
        <v>98.7692307692308</v>
      </c>
      <c r="AC10" s="36">
        <f t="shared" si="6"/>
        <v>395076.923076923</v>
      </c>
      <c r="AD10" s="54">
        <f t="shared" si="7"/>
        <v>400000</v>
      </c>
      <c r="AE10" s="36">
        <f t="shared" si="8"/>
        <v>8000</v>
      </c>
      <c r="AF10" s="19">
        <f>AE10/4000+4.15</f>
        <v>6.15</v>
      </c>
      <c r="AG10" s="19">
        <v>0</v>
      </c>
      <c r="AH10" s="19">
        <v>0</v>
      </c>
      <c r="AI10" s="19">
        <f t="shared" si="9"/>
        <v>6.15</v>
      </c>
      <c r="AJ10" s="36">
        <f t="shared" si="10"/>
        <v>92.6192307692308</v>
      </c>
      <c r="AK10" s="19">
        <f t="shared" si="11"/>
        <v>90</v>
      </c>
      <c r="AL10" s="60">
        <f t="shared" si="12"/>
        <v>10500</v>
      </c>
      <c r="AM10" s="61"/>
      <c r="AN10" s="62"/>
      <c r="AO10" s="61">
        <f t="shared" si="13"/>
        <v>0</v>
      </c>
      <c r="AP10" s="61">
        <f t="shared" si="14"/>
        <v>1</v>
      </c>
      <c r="AQ10" s="61">
        <f t="shared" si="15"/>
        <v>2</v>
      </c>
      <c r="AR10" s="68">
        <f t="shared" si="16"/>
        <v>0</v>
      </c>
      <c r="AS10" s="61">
        <f t="shared" si="17"/>
        <v>0</v>
      </c>
      <c r="AT10" s="61">
        <f t="shared" si="18"/>
        <v>1</v>
      </c>
      <c r="AU10" s="61">
        <f t="shared" si="19"/>
        <v>0</v>
      </c>
      <c r="AV10" s="61">
        <f t="shared" si="20"/>
        <v>0</v>
      </c>
      <c r="AW10" s="61">
        <f t="shared" si="21"/>
        <v>1</v>
      </c>
      <c r="AX10" s="61">
        <f t="shared" si="22"/>
        <v>0</v>
      </c>
      <c r="AY10" s="72" t="s">
        <v>1099</v>
      </c>
      <c r="AZ10" s="73">
        <v>34765</v>
      </c>
      <c r="BA10" s="74" t="s">
        <v>99</v>
      </c>
      <c r="BB10" s="72" t="s">
        <v>234</v>
      </c>
      <c r="BC10" s="74" t="s">
        <v>101</v>
      </c>
      <c r="BD10" s="74" t="s">
        <v>102</v>
      </c>
      <c r="BE10" s="74" t="s">
        <v>103</v>
      </c>
      <c r="BF10" s="92" t="s">
        <v>1100</v>
      </c>
    </row>
    <row r="11" s="5" customFormat="1" ht="24" customHeight="1" spans="1:58">
      <c r="A11" s="19">
        <v>3</v>
      </c>
      <c r="B11" s="75" t="s">
        <v>1101</v>
      </c>
      <c r="C11" s="81" t="s">
        <v>1102</v>
      </c>
      <c r="D11" s="20" t="s">
        <v>1103</v>
      </c>
      <c r="E11" s="21">
        <v>44733</v>
      </c>
      <c r="F11" s="19" t="s">
        <v>96</v>
      </c>
      <c r="G11" s="75" t="s">
        <v>562</v>
      </c>
      <c r="H11" s="19" t="s">
        <v>229</v>
      </c>
      <c r="I11" s="19">
        <v>8.5</v>
      </c>
      <c r="J11" s="19">
        <f t="shared" si="0"/>
        <v>17.5</v>
      </c>
      <c r="K11" s="19">
        <v>200</v>
      </c>
      <c r="L11" s="36">
        <f t="shared" si="1"/>
        <v>65.3846153846154</v>
      </c>
      <c r="M11" s="36">
        <f t="shared" si="2"/>
        <v>130.576923076923</v>
      </c>
      <c r="N11" s="19">
        <v>0</v>
      </c>
      <c r="O11" s="36">
        <f t="shared" si="3"/>
        <v>0</v>
      </c>
      <c r="P11" s="84">
        <v>0</v>
      </c>
      <c r="Q11" s="84">
        <v>0</v>
      </c>
      <c r="R11" s="84">
        <v>0</v>
      </c>
      <c r="S11" s="84">
        <f t="shared" si="4"/>
        <v>3.26923076923077</v>
      </c>
      <c r="T11" s="84">
        <v>0</v>
      </c>
      <c r="U11" s="84">
        <v>0</v>
      </c>
      <c r="V11" s="84">
        <v>10</v>
      </c>
      <c r="W11" s="84">
        <v>0</v>
      </c>
      <c r="X11" s="84">
        <v>8</v>
      </c>
      <c r="Y11" s="84">
        <v>0</v>
      </c>
      <c r="Z11" s="36">
        <v>0</v>
      </c>
      <c r="AA11" s="85">
        <v>0</v>
      </c>
      <c r="AB11" s="36">
        <f t="shared" si="5"/>
        <v>86.6538461538462</v>
      </c>
      <c r="AC11" s="36">
        <f t="shared" si="6"/>
        <v>346615.384615385</v>
      </c>
      <c r="AD11" s="54">
        <f t="shared" si="7"/>
        <v>400000</v>
      </c>
      <c r="AE11" s="36">
        <f t="shared" si="8"/>
        <v>8000</v>
      </c>
      <c r="AF11" s="19">
        <f>AE11/4000+3.65</f>
        <v>5.65</v>
      </c>
      <c r="AG11" s="19">
        <v>0</v>
      </c>
      <c r="AH11" s="19">
        <v>0</v>
      </c>
      <c r="AI11" s="19">
        <f t="shared" si="9"/>
        <v>5.65</v>
      </c>
      <c r="AJ11" s="36">
        <f t="shared" si="10"/>
        <v>81.0038461538462</v>
      </c>
      <c r="AK11" s="19">
        <f t="shared" si="11"/>
        <v>80</v>
      </c>
      <c r="AL11" s="60">
        <f t="shared" si="12"/>
        <v>4000</v>
      </c>
      <c r="AM11" s="61"/>
      <c r="AN11" s="62"/>
      <c r="AO11" s="61">
        <f t="shared" si="13"/>
        <v>0</v>
      </c>
      <c r="AP11" s="61">
        <f t="shared" si="14"/>
        <v>1</v>
      </c>
      <c r="AQ11" s="61">
        <f t="shared" si="15"/>
        <v>1</v>
      </c>
      <c r="AR11" s="68">
        <f t="shared" si="16"/>
        <v>1</v>
      </c>
      <c r="AS11" s="61">
        <f t="shared" si="17"/>
        <v>0</v>
      </c>
      <c r="AT11" s="61">
        <f t="shared" si="18"/>
        <v>0</v>
      </c>
      <c r="AU11" s="61">
        <f t="shared" si="19"/>
        <v>0</v>
      </c>
      <c r="AV11" s="61">
        <f t="shared" si="20"/>
        <v>4</v>
      </c>
      <c r="AW11" s="61">
        <f t="shared" si="21"/>
        <v>0</v>
      </c>
      <c r="AX11" s="61">
        <f t="shared" si="22"/>
        <v>0</v>
      </c>
      <c r="AY11" s="72">
        <v>100813599</v>
      </c>
      <c r="AZ11" s="73">
        <v>34402</v>
      </c>
      <c r="BA11" s="74" t="s">
        <v>99</v>
      </c>
      <c r="BB11" s="72">
        <v>2</v>
      </c>
      <c r="BC11" s="74" t="s">
        <v>101</v>
      </c>
      <c r="BD11" s="74" t="s">
        <v>102</v>
      </c>
      <c r="BE11" s="74" t="s">
        <v>103</v>
      </c>
      <c r="BF11" s="92" t="s">
        <v>1104</v>
      </c>
    </row>
    <row r="12" s="5" customFormat="1" ht="24" customHeight="1" spans="1:58">
      <c r="A12" s="19">
        <v>4</v>
      </c>
      <c r="B12" s="75" t="s">
        <v>1105</v>
      </c>
      <c r="C12" s="20" t="s">
        <v>1106</v>
      </c>
      <c r="D12" s="20" t="s">
        <v>1107</v>
      </c>
      <c r="E12" s="21">
        <v>44732</v>
      </c>
      <c r="F12" s="19" t="s">
        <v>108</v>
      </c>
      <c r="G12" s="75" t="s">
        <v>448</v>
      </c>
      <c r="H12" s="76" t="s">
        <v>229</v>
      </c>
      <c r="I12" s="19">
        <v>10</v>
      </c>
      <c r="J12" s="19">
        <f t="shared" si="0"/>
        <v>16</v>
      </c>
      <c r="K12" s="19">
        <v>200</v>
      </c>
      <c r="L12" s="36">
        <f t="shared" si="1"/>
        <v>76.9230769230769</v>
      </c>
      <c r="M12" s="36">
        <f t="shared" si="2"/>
        <v>119.384615384615</v>
      </c>
      <c r="N12" s="19">
        <v>0</v>
      </c>
      <c r="O12" s="36">
        <f t="shared" si="3"/>
        <v>0</v>
      </c>
      <c r="P12" s="84">
        <v>0</v>
      </c>
      <c r="Q12" s="84">
        <f>P12/26/8*2*N12</f>
        <v>0</v>
      </c>
      <c r="R12" s="84">
        <v>0</v>
      </c>
      <c r="S12" s="84">
        <f t="shared" si="4"/>
        <v>3.84615384615385</v>
      </c>
      <c r="T12" s="84">
        <v>0</v>
      </c>
      <c r="U12" s="84">
        <v>0</v>
      </c>
      <c r="V12" s="84">
        <v>10</v>
      </c>
      <c r="W12" s="84">
        <v>0</v>
      </c>
      <c r="X12" s="84">
        <v>8</v>
      </c>
      <c r="Y12" s="84">
        <v>0</v>
      </c>
      <c r="Z12" s="36">
        <v>0</v>
      </c>
      <c r="AA12" s="19">
        <v>0</v>
      </c>
      <c r="AB12" s="36">
        <f t="shared" si="5"/>
        <v>98.7692307692308</v>
      </c>
      <c r="AC12" s="36">
        <f t="shared" si="6"/>
        <v>395076.923076923</v>
      </c>
      <c r="AD12" s="54">
        <f t="shared" si="7"/>
        <v>400000</v>
      </c>
      <c r="AE12" s="36">
        <f t="shared" si="8"/>
        <v>8000</v>
      </c>
      <c r="AF12" s="19">
        <f>AE12/4000+3.89</f>
        <v>5.89</v>
      </c>
      <c r="AG12" s="19">
        <v>0</v>
      </c>
      <c r="AH12" s="19">
        <f>VLOOKUP(B12,[1]សរុប!$E$7:$L$205,7,0)</f>
        <v>50</v>
      </c>
      <c r="AI12" s="19">
        <f t="shared" si="9"/>
        <v>55.89</v>
      </c>
      <c r="AJ12" s="36">
        <f t="shared" si="10"/>
        <v>42.8792307692308</v>
      </c>
      <c r="AK12" s="19">
        <f t="shared" si="11"/>
        <v>40</v>
      </c>
      <c r="AL12" s="60">
        <f t="shared" si="12"/>
        <v>11500</v>
      </c>
      <c r="AM12" s="61"/>
      <c r="AN12" s="62"/>
      <c r="AO12" s="61">
        <f t="shared" si="13"/>
        <v>0</v>
      </c>
      <c r="AP12" s="61">
        <f t="shared" si="14"/>
        <v>0</v>
      </c>
      <c r="AQ12" s="61">
        <f t="shared" si="15"/>
        <v>2</v>
      </c>
      <c r="AR12" s="68">
        <f t="shared" si="16"/>
        <v>0</v>
      </c>
      <c r="AS12" s="61">
        <f t="shared" si="17"/>
        <v>0</v>
      </c>
      <c r="AT12" s="61">
        <f t="shared" si="18"/>
        <v>1</v>
      </c>
      <c r="AU12" s="61">
        <f t="shared" si="19"/>
        <v>0</v>
      </c>
      <c r="AV12" s="61">
        <f t="shared" si="20"/>
        <v>1</v>
      </c>
      <c r="AW12" s="61">
        <f t="shared" si="21"/>
        <v>1</v>
      </c>
      <c r="AX12" s="61">
        <f t="shared" si="22"/>
        <v>0</v>
      </c>
      <c r="AY12" s="72">
        <v>101410617</v>
      </c>
      <c r="AZ12" s="73">
        <v>30409</v>
      </c>
      <c r="BA12" s="74" t="s">
        <v>99</v>
      </c>
      <c r="BB12" s="72">
        <v>3</v>
      </c>
      <c r="BC12" s="74" t="s">
        <v>101</v>
      </c>
      <c r="BD12" s="74" t="s">
        <v>102</v>
      </c>
      <c r="BE12" s="74" t="s">
        <v>103</v>
      </c>
      <c r="BF12" s="92" t="s">
        <v>1108</v>
      </c>
    </row>
    <row r="13" s="5" customFormat="1" ht="24" customHeight="1" spans="1:58">
      <c r="A13" s="19">
        <v>5</v>
      </c>
      <c r="B13" s="75" t="s">
        <v>1109</v>
      </c>
      <c r="C13" s="20" t="s">
        <v>1110</v>
      </c>
      <c r="D13" s="20" t="s">
        <v>1111</v>
      </c>
      <c r="E13" s="21">
        <v>44887</v>
      </c>
      <c r="F13" s="19" t="s">
        <v>96</v>
      </c>
      <c r="G13" s="19" t="s">
        <v>222</v>
      </c>
      <c r="H13" s="19" t="s">
        <v>229</v>
      </c>
      <c r="I13" s="19">
        <v>12</v>
      </c>
      <c r="J13" s="19">
        <f t="shared" si="0"/>
        <v>14</v>
      </c>
      <c r="K13" s="19">
        <v>200</v>
      </c>
      <c r="L13" s="36">
        <f t="shared" si="1"/>
        <v>92.3076923076923</v>
      </c>
      <c r="M13" s="36">
        <f t="shared" si="2"/>
        <v>104.461538461538</v>
      </c>
      <c r="N13" s="19">
        <v>0</v>
      </c>
      <c r="O13" s="36">
        <f t="shared" si="3"/>
        <v>0</v>
      </c>
      <c r="P13" s="84">
        <v>0</v>
      </c>
      <c r="Q13" s="84">
        <v>0</v>
      </c>
      <c r="R13" s="84">
        <v>0</v>
      </c>
      <c r="S13" s="84">
        <f t="shared" si="4"/>
        <v>4.61538461538462</v>
      </c>
      <c r="T13" s="84">
        <v>0</v>
      </c>
      <c r="U13" s="84">
        <v>0</v>
      </c>
      <c r="V13" s="84">
        <v>10</v>
      </c>
      <c r="W13" s="84">
        <v>0</v>
      </c>
      <c r="X13" s="84">
        <v>8</v>
      </c>
      <c r="Y13" s="84">
        <v>0</v>
      </c>
      <c r="Z13" s="36">
        <v>0</v>
      </c>
      <c r="AA13" s="19">
        <v>3.84</v>
      </c>
      <c r="AB13" s="36">
        <f t="shared" si="5"/>
        <v>118.763076923077</v>
      </c>
      <c r="AC13" s="36">
        <f t="shared" si="6"/>
        <v>475052.307692308</v>
      </c>
      <c r="AD13" s="54">
        <f t="shared" si="7"/>
        <v>475052.307692308</v>
      </c>
      <c r="AE13" s="36">
        <f t="shared" si="8"/>
        <v>9501.04615384615</v>
      </c>
      <c r="AF13" s="19">
        <f>AE13/4000+4.58</f>
        <v>6.95526153846154</v>
      </c>
      <c r="AG13" s="19">
        <v>0</v>
      </c>
      <c r="AH13" s="19">
        <v>0</v>
      </c>
      <c r="AI13" s="19">
        <f t="shared" si="9"/>
        <v>6.95526153846154</v>
      </c>
      <c r="AJ13" s="36">
        <f t="shared" si="10"/>
        <v>111.807815384615</v>
      </c>
      <c r="AK13" s="19">
        <f t="shared" si="11"/>
        <v>110</v>
      </c>
      <c r="AL13" s="60">
        <f t="shared" si="12"/>
        <v>7200</v>
      </c>
      <c r="AM13" s="61"/>
      <c r="AN13" s="62"/>
      <c r="AO13" s="61">
        <f t="shared" si="13"/>
        <v>1</v>
      </c>
      <c r="AP13" s="61">
        <f t="shared" si="14"/>
        <v>0</v>
      </c>
      <c r="AQ13" s="61">
        <f t="shared" si="15"/>
        <v>0</v>
      </c>
      <c r="AR13" s="68">
        <f t="shared" si="16"/>
        <v>1</v>
      </c>
      <c r="AS13" s="61">
        <f t="shared" si="17"/>
        <v>0</v>
      </c>
      <c r="AT13" s="61">
        <f t="shared" si="18"/>
        <v>0</v>
      </c>
      <c r="AU13" s="61">
        <f t="shared" si="19"/>
        <v>1</v>
      </c>
      <c r="AV13" s="61">
        <f t="shared" si="20"/>
        <v>2</v>
      </c>
      <c r="AW13" s="61">
        <f t="shared" si="21"/>
        <v>0</v>
      </c>
      <c r="AX13" s="61">
        <f t="shared" si="22"/>
        <v>2</v>
      </c>
      <c r="AY13" s="72">
        <v>101001222</v>
      </c>
      <c r="AZ13" s="73">
        <v>35190</v>
      </c>
      <c r="BA13" s="74" t="s">
        <v>99</v>
      </c>
      <c r="BB13" s="72">
        <v>2</v>
      </c>
      <c r="BC13" s="74" t="s">
        <v>101</v>
      </c>
      <c r="BD13" s="74" t="s">
        <v>102</v>
      </c>
      <c r="BE13" s="74" t="s">
        <v>103</v>
      </c>
      <c r="BF13" s="72"/>
    </row>
    <row r="14" s="5" customFormat="1" ht="24" customHeight="1" spans="1:58">
      <c r="A14" s="19">
        <v>6</v>
      </c>
      <c r="B14" s="82" t="s">
        <v>1112</v>
      </c>
      <c r="C14" s="20" t="s">
        <v>1113</v>
      </c>
      <c r="D14" s="20" t="s">
        <v>1114</v>
      </c>
      <c r="E14" s="83">
        <v>44915</v>
      </c>
      <c r="F14" s="19" t="s">
        <v>96</v>
      </c>
      <c r="G14" s="19" t="s">
        <v>973</v>
      </c>
      <c r="H14" s="76" t="s">
        <v>773</v>
      </c>
      <c r="I14" s="19">
        <v>11.75</v>
      </c>
      <c r="J14" s="19">
        <f t="shared" si="0"/>
        <v>14.25</v>
      </c>
      <c r="K14" s="19">
        <v>200</v>
      </c>
      <c r="L14" s="36">
        <f t="shared" si="1"/>
        <v>90.3846153846154</v>
      </c>
      <c r="M14" s="36">
        <f>K14/26*J14</f>
        <v>109.615384615385</v>
      </c>
      <c r="N14" s="19">
        <v>0</v>
      </c>
      <c r="O14" s="19">
        <f t="shared" si="3"/>
        <v>0</v>
      </c>
      <c r="P14" s="85">
        <v>0</v>
      </c>
      <c r="Q14" s="85">
        <f>K14/26*2*P14</f>
        <v>0</v>
      </c>
      <c r="R14" s="19">
        <v>0</v>
      </c>
      <c r="S14" s="84">
        <f t="shared" si="4"/>
        <v>4.51923076923077</v>
      </c>
      <c r="T14" s="19">
        <v>0</v>
      </c>
      <c r="U14" s="19">
        <v>0</v>
      </c>
      <c r="V14" s="84">
        <v>10</v>
      </c>
      <c r="W14" s="19">
        <v>0</v>
      </c>
      <c r="X14" s="84">
        <v>8</v>
      </c>
      <c r="Y14" s="84">
        <v>0</v>
      </c>
      <c r="Z14" s="36">
        <v>0</v>
      </c>
      <c r="AA14" s="19">
        <v>11.53</v>
      </c>
      <c r="AB14" s="36">
        <f t="shared" si="5"/>
        <v>124.433846153846</v>
      </c>
      <c r="AC14" s="36">
        <f t="shared" si="6"/>
        <v>497735.384615385</v>
      </c>
      <c r="AD14" s="54">
        <f t="shared" si="7"/>
        <v>497735.384615385</v>
      </c>
      <c r="AE14" s="36">
        <f t="shared" si="8"/>
        <v>9954.70769230769</v>
      </c>
      <c r="AF14" s="19">
        <f>AE14/4000+2</f>
        <v>4.48867692307692</v>
      </c>
      <c r="AG14" s="19">
        <v>0</v>
      </c>
      <c r="AH14" s="19">
        <f>VLOOKUP(B14,[1]សរុប!$E$7:$L$205,7,0)</f>
        <v>50</v>
      </c>
      <c r="AI14" s="19">
        <f t="shared" si="9"/>
        <v>54.4886769230769</v>
      </c>
      <c r="AJ14" s="36">
        <f t="shared" si="10"/>
        <v>69.9451692307691</v>
      </c>
      <c r="AK14" s="19">
        <f t="shared" si="11"/>
        <v>60</v>
      </c>
      <c r="AL14" s="60">
        <f t="shared" si="12"/>
        <v>39800</v>
      </c>
      <c r="AM14" s="61"/>
      <c r="AN14" s="62"/>
      <c r="AO14" s="61">
        <f t="shared" si="13"/>
        <v>0</v>
      </c>
      <c r="AP14" s="61">
        <f t="shared" si="14"/>
        <v>1</v>
      </c>
      <c r="AQ14" s="61">
        <f t="shared" si="15"/>
        <v>0</v>
      </c>
      <c r="AR14" s="68">
        <f t="shared" si="16"/>
        <v>1</v>
      </c>
      <c r="AS14" s="61">
        <f t="shared" si="17"/>
        <v>1</v>
      </c>
      <c r="AT14" s="61">
        <f t="shared" si="18"/>
        <v>1</v>
      </c>
      <c r="AU14" s="61">
        <f t="shared" si="19"/>
        <v>1</v>
      </c>
      <c r="AV14" s="61">
        <f t="shared" si="20"/>
        <v>4</v>
      </c>
      <c r="AW14" s="61">
        <f t="shared" si="21"/>
        <v>1</v>
      </c>
      <c r="AX14" s="61">
        <f t="shared" si="22"/>
        <v>3</v>
      </c>
      <c r="AY14" s="74">
        <v>100917930</v>
      </c>
      <c r="AZ14" s="73">
        <v>35827</v>
      </c>
      <c r="BA14" s="74" t="s">
        <v>99</v>
      </c>
      <c r="BB14" s="74">
        <v>1</v>
      </c>
      <c r="BC14" s="74" t="s">
        <v>102</v>
      </c>
      <c r="BD14" s="74" t="s">
        <v>102</v>
      </c>
      <c r="BE14" s="74" t="s">
        <v>103</v>
      </c>
      <c r="BF14" s="74" t="s">
        <v>1115</v>
      </c>
    </row>
    <row r="15" s="5" customFormat="1" ht="24" customHeight="1" spans="1:58">
      <c r="A15" s="19">
        <v>7</v>
      </c>
      <c r="B15" s="75" t="s">
        <v>1116</v>
      </c>
      <c r="C15" s="20" t="s">
        <v>1117</v>
      </c>
      <c r="D15" s="20" t="s">
        <v>1118</v>
      </c>
      <c r="E15" s="21">
        <v>44907</v>
      </c>
      <c r="F15" s="19" t="s">
        <v>108</v>
      </c>
      <c r="G15" s="19" t="s">
        <v>767</v>
      </c>
      <c r="H15" s="19" t="s">
        <v>801</v>
      </c>
      <c r="I15" s="19">
        <v>10.25</v>
      </c>
      <c r="J15" s="19">
        <f t="shared" si="0"/>
        <v>15.75</v>
      </c>
      <c r="K15" s="19">
        <v>200</v>
      </c>
      <c r="L15" s="36">
        <f t="shared" si="1"/>
        <v>78.8461538461539</v>
      </c>
      <c r="M15" s="36">
        <f>K15/26*J15</f>
        <v>121.153846153846</v>
      </c>
      <c r="N15" s="19">
        <v>0</v>
      </c>
      <c r="O15" s="19">
        <f t="shared" si="3"/>
        <v>0</v>
      </c>
      <c r="P15" s="19">
        <v>0</v>
      </c>
      <c r="Q15" s="19">
        <f>K15/26*2*P15</f>
        <v>0</v>
      </c>
      <c r="R15" s="19">
        <v>0</v>
      </c>
      <c r="S15" s="84">
        <f t="shared" si="4"/>
        <v>3.94230769230769</v>
      </c>
      <c r="T15" s="19">
        <v>0</v>
      </c>
      <c r="U15" s="19">
        <v>0</v>
      </c>
      <c r="V15" s="19">
        <v>10</v>
      </c>
      <c r="W15" s="19">
        <v>0</v>
      </c>
      <c r="X15" s="19">
        <v>8</v>
      </c>
      <c r="Y15" s="19">
        <v>0</v>
      </c>
      <c r="Z15" s="19">
        <v>0</v>
      </c>
      <c r="AA15" s="19">
        <v>0</v>
      </c>
      <c r="AB15" s="36">
        <f t="shared" si="5"/>
        <v>100.788461538462</v>
      </c>
      <c r="AC15" s="36">
        <f t="shared" si="6"/>
        <v>403153.846153846</v>
      </c>
      <c r="AD15" s="54">
        <f t="shared" si="7"/>
        <v>403153.846153846</v>
      </c>
      <c r="AE15" s="36">
        <f t="shared" si="8"/>
        <v>8063.07692307693</v>
      </c>
      <c r="AF15" s="19">
        <f>AE15/4000+3.03</f>
        <v>5.04576923076923</v>
      </c>
      <c r="AG15" s="19">
        <v>0</v>
      </c>
      <c r="AH15" s="19">
        <v>0</v>
      </c>
      <c r="AI15" s="19">
        <f t="shared" si="9"/>
        <v>5.04576923076923</v>
      </c>
      <c r="AJ15" s="36">
        <f t="shared" si="10"/>
        <v>95.7426923076928</v>
      </c>
      <c r="AK15" s="19">
        <f t="shared" si="11"/>
        <v>90</v>
      </c>
      <c r="AL15" s="60">
        <f t="shared" si="12"/>
        <v>23000</v>
      </c>
      <c r="AM15" s="61"/>
      <c r="AN15" s="62"/>
      <c r="AO15" s="61">
        <f t="shared" si="13"/>
        <v>0</v>
      </c>
      <c r="AP15" s="61">
        <f t="shared" si="14"/>
        <v>1</v>
      </c>
      <c r="AQ15" s="61">
        <f t="shared" si="15"/>
        <v>2</v>
      </c>
      <c r="AR15" s="68">
        <f t="shared" si="16"/>
        <v>0</v>
      </c>
      <c r="AS15" s="61">
        <f t="shared" si="17"/>
        <v>1</v>
      </c>
      <c r="AT15" s="61">
        <f t="shared" si="18"/>
        <v>0</v>
      </c>
      <c r="AU15" s="61">
        <f t="shared" si="19"/>
        <v>0</v>
      </c>
      <c r="AV15" s="61">
        <f t="shared" si="20"/>
        <v>3</v>
      </c>
      <c r="AW15" s="61">
        <f t="shared" si="21"/>
        <v>0</v>
      </c>
      <c r="AX15" s="61">
        <f t="shared" si="22"/>
        <v>0</v>
      </c>
      <c r="AY15" s="72">
        <v>100911449</v>
      </c>
      <c r="AZ15" s="73">
        <v>32890</v>
      </c>
      <c r="BA15" s="74" t="s">
        <v>768</v>
      </c>
      <c r="BB15" s="72">
        <v>3</v>
      </c>
      <c r="BC15" s="74" t="s">
        <v>102</v>
      </c>
      <c r="BD15" s="74" t="s">
        <v>102</v>
      </c>
      <c r="BE15" s="74" t="s">
        <v>103</v>
      </c>
      <c r="BF15" s="92"/>
    </row>
    <row r="16" s="93" customFormat="1" ht="24" customHeight="1" spans="1:58">
      <c r="A16" s="94">
        <v>8</v>
      </c>
      <c r="B16" s="95" t="s">
        <v>1119</v>
      </c>
      <c r="C16" s="96" t="s">
        <v>1120</v>
      </c>
      <c r="D16" s="97" t="s">
        <v>1121</v>
      </c>
      <c r="E16" s="98">
        <v>44729</v>
      </c>
      <c r="F16" s="94" t="s">
        <v>96</v>
      </c>
      <c r="G16" s="95" t="s">
        <v>849</v>
      </c>
      <c r="H16" s="94" t="s">
        <v>850</v>
      </c>
      <c r="I16" s="94">
        <v>19</v>
      </c>
      <c r="J16" s="94">
        <f t="shared" si="0"/>
        <v>7</v>
      </c>
      <c r="K16" s="94">
        <v>200</v>
      </c>
      <c r="L16" s="100">
        <f t="shared" si="1"/>
        <v>146.153846153846</v>
      </c>
      <c r="M16" s="100">
        <f>194/26*J16</f>
        <v>52.2307692307692</v>
      </c>
      <c r="N16" s="94">
        <v>4</v>
      </c>
      <c r="O16" s="100">
        <f t="shared" si="3"/>
        <v>5.76923076923077</v>
      </c>
      <c r="P16" s="101">
        <v>0</v>
      </c>
      <c r="Q16" s="101">
        <f>P16/26/8*2*N16</f>
        <v>0</v>
      </c>
      <c r="R16" s="101">
        <v>0</v>
      </c>
      <c r="S16" s="101">
        <f t="shared" si="4"/>
        <v>7.30769230769231</v>
      </c>
      <c r="T16" s="101">
        <v>0</v>
      </c>
      <c r="U16" s="101">
        <v>0</v>
      </c>
      <c r="V16" s="101">
        <v>10</v>
      </c>
      <c r="W16" s="101">
        <v>1</v>
      </c>
      <c r="X16" s="101">
        <v>8</v>
      </c>
      <c r="Y16" s="101">
        <v>0</v>
      </c>
      <c r="Z16" s="100">
        <v>34.31</v>
      </c>
      <c r="AA16" s="94">
        <v>39.58</v>
      </c>
      <c r="AB16" s="100">
        <f t="shared" si="5"/>
        <v>252.120769230769</v>
      </c>
      <c r="AC16" s="100">
        <f t="shared" si="6"/>
        <v>1008483.07692308</v>
      </c>
      <c r="AD16" s="102">
        <f t="shared" si="7"/>
        <v>1008483.07692308</v>
      </c>
      <c r="AE16" s="100">
        <f t="shared" si="8"/>
        <v>20169.6615384615</v>
      </c>
      <c r="AF16" s="94">
        <f>AE16/4000+5.03</f>
        <v>10.0724153846154</v>
      </c>
      <c r="AG16" s="94">
        <v>0</v>
      </c>
      <c r="AH16" s="94">
        <f>VLOOKUP(B16,[1]សរុប!$E$7:$L$205,7,0)</f>
        <v>100</v>
      </c>
      <c r="AI16" s="94">
        <f t="shared" si="9"/>
        <v>110.072415384615</v>
      </c>
      <c r="AJ16" s="100">
        <f t="shared" si="10"/>
        <v>142.048353846154</v>
      </c>
      <c r="AK16" s="94">
        <f t="shared" si="11"/>
        <v>140</v>
      </c>
      <c r="AL16" s="103">
        <f t="shared" si="12"/>
        <v>8200</v>
      </c>
      <c r="AM16" s="104"/>
      <c r="AN16" s="105"/>
      <c r="AO16" s="104">
        <f t="shared" si="13"/>
        <v>1</v>
      </c>
      <c r="AP16" s="104">
        <f t="shared" si="14"/>
        <v>0</v>
      </c>
      <c r="AQ16" s="104">
        <f t="shared" si="15"/>
        <v>2</v>
      </c>
      <c r="AR16" s="106">
        <f t="shared" si="16"/>
        <v>0</v>
      </c>
      <c r="AS16" s="104">
        <f t="shared" si="17"/>
        <v>0</v>
      </c>
      <c r="AT16" s="104">
        <f t="shared" si="18"/>
        <v>0</v>
      </c>
      <c r="AU16" s="104">
        <f t="shared" si="19"/>
        <v>1</v>
      </c>
      <c r="AV16" s="104">
        <f t="shared" si="20"/>
        <v>3</v>
      </c>
      <c r="AW16" s="104">
        <f t="shared" si="21"/>
        <v>0</v>
      </c>
      <c r="AX16" s="104">
        <f t="shared" si="22"/>
        <v>2</v>
      </c>
      <c r="AY16" s="239" t="s">
        <v>1122</v>
      </c>
      <c r="AZ16" s="108">
        <v>29864</v>
      </c>
      <c r="BA16" s="109" t="s">
        <v>99</v>
      </c>
      <c r="BB16" s="110">
        <v>2</v>
      </c>
      <c r="BC16" s="109" t="s">
        <v>102</v>
      </c>
      <c r="BD16" s="109" t="s">
        <v>102</v>
      </c>
      <c r="BE16" s="109" t="s">
        <v>103</v>
      </c>
      <c r="BF16" s="110" t="s">
        <v>1123</v>
      </c>
    </row>
    <row r="17" s="93" customFormat="1" ht="24" customHeight="1" spans="1:58">
      <c r="A17" s="94">
        <v>9</v>
      </c>
      <c r="B17" s="97" t="s">
        <v>1124</v>
      </c>
      <c r="C17" s="97" t="s">
        <v>1125</v>
      </c>
      <c r="D17" s="97" t="s">
        <v>1126</v>
      </c>
      <c r="E17" s="98">
        <v>44725</v>
      </c>
      <c r="F17" s="97" t="s">
        <v>108</v>
      </c>
      <c r="G17" s="94" t="s">
        <v>915</v>
      </c>
      <c r="H17" s="99" t="s">
        <v>916</v>
      </c>
      <c r="I17" s="94">
        <v>22.25</v>
      </c>
      <c r="J17" s="94">
        <f t="shared" si="0"/>
        <v>3.75</v>
      </c>
      <c r="K17" s="94">
        <v>200</v>
      </c>
      <c r="L17" s="100">
        <f t="shared" si="1"/>
        <v>171.153846153846</v>
      </c>
      <c r="M17" s="100">
        <f>194/26*J17</f>
        <v>27.9807692307692</v>
      </c>
      <c r="N17" s="94">
        <v>12</v>
      </c>
      <c r="O17" s="100">
        <f t="shared" si="3"/>
        <v>17.3076923076923</v>
      </c>
      <c r="P17" s="101">
        <v>0</v>
      </c>
      <c r="Q17" s="101">
        <v>0</v>
      </c>
      <c r="R17" s="101">
        <v>0</v>
      </c>
      <c r="S17" s="101">
        <f t="shared" si="4"/>
        <v>8.55769230769231</v>
      </c>
      <c r="T17" s="101">
        <v>21.8</v>
      </c>
      <c r="U17" s="101">
        <v>80</v>
      </c>
      <c r="V17" s="101">
        <v>10</v>
      </c>
      <c r="W17" s="101">
        <v>3</v>
      </c>
      <c r="X17" s="101">
        <v>8</v>
      </c>
      <c r="Y17" s="101">
        <v>0</v>
      </c>
      <c r="Z17" s="100">
        <v>51.36</v>
      </c>
      <c r="AA17" s="94">
        <v>59.26</v>
      </c>
      <c r="AB17" s="100">
        <f t="shared" si="5"/>
        <v>430.439230769231</v>
      </c>
      <c r="AC17" s="100">
        <f t="shared" si="6"/>
        <v>1721756.92307692</v>
      </c>
      <c r="AD17" s="102">
        <f t="shared" si="7"/>
        <v>1200000</v>
      </c>
      <c r="AE17" s="100">
        <f t="shared" si="8"/>
        <v>24000</v>
      </c>
      <c r="AF17" s="94">
        <f>AE17/4000+6</f>
        <v>12</v>
      </c>
      <c r="AG17" s="94">
        <v>0</v>
      </c>
      <c r="AH17" s="94">
        <f>VLOOKUP(B17,[1]សរុប!$E$7:$L$205,7,0)</f>
        <v>100</v>
      </c>
      <c r="AI17" s="94">
        <f t="shared" si="9"/>
        <v>112</v>
      </c>
      <c r="AJ17" s="100">
        <f t="shared" si="10"/>
        <v>318.439230769231</v>
      </c>
      <c r="AK17" s="94">
        <f t="shared" si="11"/>
        <v>310</v>
      </c>
      <c r="AL17" s="103">
        <f t="shared" si="12"/>
        <v>33800</v>
      </c>
      <c r="AM17" s="104"/>
      <c r="AN17" s="105"/>
      <c r="AO17" s="104">
        <f t="shared" si="13"/>
        <v>3</v>
      </c>
      <c r="AP17" s="104">
        <f t="shared" si="14"/>
        <v>0</v>
      </c>
      <c r="AQ17" s="104">
        <f t="shared" si="15"/>
        <v>0</v>
      </c>
      <c r="AR17" s="106">
        <f t="shared" si="16"/>
        <v>1</v>
      </c>
      <c r="AS17" s="104">
        <f t="shared" si="17"/>
        <v>1</v>
      </c>
      <c r="AT17" s="104">
        <f t="shared" si="18"/>
        <v>1</v>
      </c>
      <c r="AU17" s="104">
        <f t="shared" si="19"/>
        <v>0</v>
      </c>
      <c r="AV17" s="104">
        <f t="shared" si="20"/>
        <v>3</v>
      </c>
      <c r="AW17" s="104">
        <f t="shared" si="21"/>
        <v>1</v>
      </c>
      <c r="AX17" s="104">
        <f t="shared" si="22"/>
        <v>3</v>
      </c>
      <c r="AY17" s="110" t="s">
        <v>1127</v>
      </c>
      <c r="AZ17" s="108">
        <v>30984</v>
      </c>
      <c r="BA17" s="109" t="s">
        <v>99</v>
      </c>
      <c r="BB17" s="110" t="s">
        <v>164</v>
      </c>
      <c r="BC17" s="109" t="s">
        <v>101</v>
      </c>
      <c r="BD17" s="109" t="s">
        <v>102</v>
      </c>
      <c r="BE17" s="109" t="s">
        <v>103</v>
      </c>
      <c r="BF17" s="110" t="s">
        <v>1128</v>
      </c>
    </row>
    <row r="18" s="5" customFormat="1" ht="24" customHeight="1" spans="1:58">
      <c r="A18" s="19">
        <v>10</v>
      </c>
      <c r="B18" s="75" t="s">
        <v>1129</v>
      </c>
      <c r="C18" s="81" t="s">
        <v>1130</v>
      </c>
      <c r="D18" s="20" t="s">
        <v>1131</v>
      </c>
      <c r="E18" s="21">
        <v>44746</v>
      </c>
      <c r="F18" s="19" t="s">
        <v>108</v>
      </c>
      <c r="G18" s="75" t="s">
        <v>915</v>
      </c>
      <c r="H18" s="19" t="s">
        <v>916</v>
      </c>
      <c r="I18" s="19">
        <v>3</v>
      </c>
      <c r="J18" s="19">
        <f t="shared" si="0"/>
        <v>23</v>
      </c>
      <c r="K18" s="19">
        <v>200</v>
      </c>
      <c r="L18" s="36">
        <f t="shared" si="1"/>
        <v>23.0769230769231</v>
      </c>
      <c r="M18" s="36">
        <f>194/26*J18</f>
        <v>171.615384615385</v>
      </c>
      <c r="N18" s="19">
        <v>0</v>
      </c>
      <c r="O18" s="36">
        <f t="shared" si="3"/>
        <v>0</v>
      </c>
      <c r="P18" s="84">
        <v>0</v>
      </c>
      <c r="Q18" s="84">
        <v>0</v>
      </c>
      <c r="R18" s="84">
        <v>0</v>
      </c>
      <c r="S18" s="84">
        <f t="shared" si="4"/>
        <v>1.15384615384615</v>
      </c>
      <c r="T18" s="84">
        <v>0</v>
      </c>
      <c r="U18" s="84">
        <v>0</v>
      </c>
      <c r="V18" s="84">
        <v>10</v>
      </c>
      <c r="W18" s="84">
        <v>0</v>
      </c>
      <c r="X18" s="84">
        <v>8</v>
      </c>
      <c r="Y18" s="84">
        <v>0</v>
      </c>
      <c r="Z18" s="36">
        <v>0</v>
      </c>
      <c r="AA18" s="85">
        <v>22.38</v>
      </c>
      <c r="AB18" s="36">
        <f t="shared" si="5"/>
        <v>64.6107692307693</v>
      </c>
      <c r="AC18" s="36">
        <f t="shared" si="6"/>
        <v>258443.076923077</v>
      </c>
      <c r="AD18" s="54">
        <f t="shared" si="7"/>
        <v>400000</v>
      </c>
      <c r="AE18" s="36">
        <f t="shared" si="8"/>
        <v>8000</v>
      </c>
      <c r="AF18" s="19">
        <f>AE18/4000+3.8</f>
        <v>5.8</v>
      </c>
      <c r="AG18" s="19">
        <v>0</v>
      </c>
      <c r="AH18" s="19">
        <v>0</v>
      </c>
      <c r="AI18" s="19">
        <f t="shared" si="9"/>
        <v>5.8</v>
      </c>
      <c r="AJ18" s="36">
        <f t="shared" si="10"/>
        <v>58.8107692307693</v>
      </c>
      <c r="AK18" s="19">
        <f t="shared" si="11"/>
        <v>50</v>
      </c>
      <c r="AL18" s="60">
        <f t="shared" si="12"/>
        <v>35200</v>
      </c>
      <c r="AM18" s="61"/>
      <c r="AN18" s="62"/>
      <c r="AO18" s="61">
        <f t="shared" si="13"/>
        <v>0</v>
      </c>
      <c r="AP18" s="61">
        <f t="shared" si="14"/>
        <v>1</v>
      </c>
      <c r="AQ18" s="61">
        <f t="shared" si="15"/>
        <v>0</v>
      </c>
      <c r="AR18" s="68">
        <f t="shared" si="16"/>
        <v>0</v>
      </c>
      <c r="AS18" s="61">
        <f t="shared" si="17"/>
        <v>1</v>
      </c>
      <c r="AT18" s="61">
        <f t="shared" si="18"/>
        <v>1</v>
      </c>
      <c r="AU18" s="61">
        <f t="shared" si="19"/>
        <v>1</v>
      </c>
      <c r="AV18" s="61">
        <f t="shared" si="20"/>
        <v>0</v>
      </c>
      <c r="AW18" s="61">
        <f t="shared" si="21"/>
        <v>0</v>
      </c>
      <c r="AX18" s="61">
        <f t="shared" si="22"/>
        <v>2</v>
      </c>
      <c r="AY18" s="72" t="s">
        <v>1132</v>
      </c>
      <c r="AZ18" s="73">
        <v>33445</v>
      </c>
      <c r="BA18" s="74" t="s">
        <v>922</v>
      </c>
      <c r="BB18" s="72" t="s">
        <v>164</v>
      </c>
      <c r="BC18" s="91" t="s">
        <v>101</v>
      </c>
      <c r="BD18" s="91" t="s">
        <v>102</v>
      </c>
      <c r="BE18" s="91" t="s">
        <v>103</v>
      </c>
      <c r="BF18" s="72" t="s">
        <v>1133</v>
      </c>
    </row>
    <row r="19" ht="19" customHeight="1" spans="1:50">
      <c r="A19" s="23" t="s">
        <v>216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37"/>
      <c r="M19" s="38"/>
      <c r="N19" s="38"/>
      <c r="O19" s="38"/>
      <c r="P19" s="38"/>
      <c r="Q19" s="38"/>
      <c r="R19" s="38"/>
      <c r="S19" s="38"/>
      <c r="T19" s="38"/>
      <c r="U19" s="38"/>
      <c r="V19" s="37"/>
      <c r="W19" s="37"/>
      <c r="X19" s="37"/>
      <c r="Y19" s="38"/>
      <c r="Z19" s="37"/>
      <c r="AA19" s="37"/>
      <c r="AB19" s="55">
        <f>SUM(AB1:AB18)</f>
        <v>1463.00230769231</v>
      </c>
      <c r="AC19" s="37"/>
      <c r="AD19" s="37"/>
      <c r="AE19" s="37"/>
      <c r="AF19" s="38"/>
      <c r="AG19" s="38"/>
      <c r="AH19" s="38"/>
      <c r="AI19" s="63"/>
      <c r="AJ19" s="55">
        <f>SUM(AJ1:AJ18)</f>
        <v>1096.30018461538</v>
      </c>
      <c r="AK19" s="78" t="e">
        <f>SUM(#REF!)</f>
        <v>#REF!</v>
      </c>
      <c r="AL19" s="79" t="e">
        <f>SUM(#REF!)</f>
        <v>#REF!</v>
      </c>
      <c r="AM19" s="65"/>
      <c r="AN19" s="66"/>
      <c r="AO19" s="69">
        <f>SUM(AO9:AO18)</f>
        <v>5</v>
      </c>
      <c r="AP19" s="69">
        <f t="shared" ref="AP19:AX19" si="23">SUM(AP9:AP18)</f>
        <v>6</v>
      </c>
      <c r="AQ19" s="69">
        <f t="shared" si="23"/>
        <v>10</v>
      </c>
      <c r="AR19" s="69">
        <f t="shared" si="23"/>
        <v>5</v>
      </c>
      <c r="AS19" s="69">
        <f t="shared" si="23"/>
        <v>4</v>
      </c>
      <c r="AT19" s="69">
        <f t="shared" si="23"/>
        <v>6</v>
      </c>
      <c r="AU19" s="69">
        <f t="shared" si="23"/>
        <v>4</v>
      </c>
      <c r="AV19" s="69">
        <f t="shared" si="23"/>
        <v>22</v>
      </c>
      <c r="AW19" s="69">
        <f t="shared" si="23"/>
        <v>4</v>
      </c>
      <c r="AX19" s="69">
        <f t="shared" si="23"/>
        <v>12</v>
      </c>
    </row>
    <row r="23" spans="4:28">
      <c r="D23" s="25">
        <v>100</v>
      </c>
      <c r="E23" s="26">
        <v>50</v>
      </c>
      <c r="F23" s="26">
        <v>20</v>
      </c>
      <c r="G23" s="26"/>
      <c r="H23" s="26">
        <v>10</v>
      </c>
      <c r="I23" s="26"/>
      <c r="J23" s="39" t="s">
        <v>1134</v>
      </c>
      <c r="K23" s="39"/>
      <c r="L23" s="40" t="s">
        <v>1086</v>
      </c>
      <c r="M23" s="41"/>
      <c r="N23" s="40" t="s">
        <v>1087</v>
      </c>
      <c r="O23" s="41"/>
      <c r="P23" s="40" t="s">
        <v>1088</v>
      </c>
      <c r="Q23" s="41"/>
      <c r="R23" s="40" t="s">
        <v>1089</v>
      </c>
      <c r="S23" s="41"/>
      <c r="T23" s="40" t="s">
        <v>1090</v>
      </c>
      <c r="U23" s="41"/>
      <c r="AB23" s="87"/>
    </row>
    <row r="24" spans="4:28">
      <c r="D24" s="25"/>
      <c r="E24" s="26"/>
      <c r="F24" s="26"/>
      <c r="G24" s="26"/>
      <c r="H24" s="26"/>
      <c r="I24" s="26"/>
      <c r="J24" s="39"/>
      <c r="K24" s="39"/>
      <c r="L24" s="42"/>
      <c r="M24" s="43"/>
      <c r="N24" s="42"/>
      <c r="O24" s="43"/>
      <c r="P24" s="42"/>
      <c r="Q24" s="43"/>
      <c r="R24" s="42"/>
      <c r="S24" s="43"/>
      <c r="T24" s="42"/>
      <c r="U24" s="43"/>
      <c r="AB24" s="88"/>
    </row>
    <row r="25" spans="4:28">
      <c r="D25" s="27">
        <f t="shared" ref="D25:F25" si="24">AO19</f>
        <v>5</v>
      </c>
      <c r="E25" s="27">
        <f t="shared" si="24"/>
        <v>6</v>
      </c>
      <c r="F25" s="27">
        <f t="shared" si="24"/>
        <v>10</v>
      </c>
      <c r="G25" s="27"/>
      <c r="H25" s="27">
        <f>AR19</f>
        <v>5</v>
      </c>
      <c r="I25" s="27"/>
      <c r="J25" s="27">
        <f>AS19</f>
        <v>4</v>
      </c>
      <c r="K25" s="27"/>
      <c r="L25" s="44">
        <f>AT19</f>
        <v>6</v>
      </c>
      <c r="M25" s="45"/>
      <c r="N25" s="44">
        <f>AU19</f>
        <v>4</v>
      </c>
      <c r="O25" s="45"/>
      <c r="P25" s="44">
        <f>AV19</f>
        <v>22</v>
      </c>
      <c r="Q25" s="45"/>
      <c r="R25" s="44">
        <f>AW19</f>
        <v>4</v>
      </c>
      <c r="S25" s="45"/>
      <c r="T25" s="44">
        <f>AX19</f>
        <v>12</v>
      </c>
      <c r="U25" s="45"/>
      <c r="AB25" s="88"/>
    </row>
    <row r="26" spans="4:28">
      <c r="D26" s="27"/>
      <c r="E26" s="27"/>
      <c r="F26" s="27"/>
      <c r="G26" s="27"/>
      <c r="H26" s="27"/>
      <c r="I26" s="27"/>
      <c r="J26" s="27"/>
      <c r="K26" s="27"/>
      <c r="L26" s="46"/>
      <c r="M26" s="47"/>
      <c r="N26" s="46"/>
      <c r="O26" s="47"/>
      <c r="P26" s="46"/>
      <c r="Q26" s="47"/>
      <c r="R26" s="46"/>
      <c r="S26" s="47"/>
      <c r="T26" s="46"/>
      <c r="U26" s="47"/>
      <c r="AB26" s="89"/>
    </row>
    <row r="27" spans="28:28">
      <c r="AB27" s="89"/>
    </row>
  </sheetData>
  <autoFilter ref="A8:XFD19">
    <extLst/>
  </autoFilter>
  <mergeCells count="53">
    <mergeCell ref="A1:AM1"/>
    <mergeCell ref="A2:AM2"/>
    <mergeCell ref="A3:AM3"/>
    <mergeCell ref="A4:AM4"/>
    <mergeCell ref="A5:C5"/>
    <mergeCell ref="F5:L5"/>
    <mergeCell ref="AH5:AM5"/>
    <mergeCell ref="N7:Q7"/>
    <mergeCell ref="A19:K19"/>
    <mergeCell ref="A7:A8"/>
    <mergeCell ref="B7:B8"/>
    <mergeCell ref="C7:C8"/>
    <mergeCell ref="D7:D8"/>
    <mergeCell ref="D23:D24"/>
    <mergeCell ref="D25:D26"/>
    <mergeCell ref="E7:E8"/>
    <mergeCell ref="E23:E24"/>
    <mergeCell ref="E25:E26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B24:AB25"/>
    <mergeCell ref="AF7:AF8"/>
    <mergeCell ref="AG7:AG8"/>
    <mergeCell ref="AH7:AH8"/>
    <mergeCell ref="AI7:AI8"/>
    <mergeCell ref="AJ7:AJ8"/>
    <mergeCell ref="AK7:AK8"/>
    <mergeCell ref="AL7:AL8"/>
    <mergeCell ref="AM7:AM8"/>
    <mergeCell ref="F23:G24"/>
    <mergeCell ref="H23:I24"/>
    <mergeCell ref="J23:K24"/>
    <mergeCell ref="L23:M24"/>
    <mergeCell ref="N23:O24"/>
    <mergeCell ref="P23:Q24"/>
    <mergeCell ref="R23:S24"/>
    <mergeCell ref="T23:U24"/>
    <mergeCell ref="F25:G26"/>
    <mergeCell ref="H25:I26"/>
    <mergeCell ref="J25:K26"/>
    <mergeCell ref="L25:M26"/>
    <mergeCell ref="N25:O26"/>
    <mergeCell ref="P25:Q26"/>
    <mergeCell ref="R25:S26"/>
    <mergeCell ref="T25:U26"/>
  </mergeCells>
  <pageMargins left="0.118055555555556" right="0.118055555555556" top="0.236111111111111" bottom="0.236111111111111" header="0.156944444444444" footer="0.0784722222222222"/>
  <pageSetup paperSize="9" orientation="landscape"/>
  <headerFooter/>
  <ignoredErrors>
    <ignoredError sqref="AY16:BF18" numberStoredAsText="1"/>
    <ignoredError sqref="AH12 AH14:AH18 AJ19 AB19" emptyCellReferenc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12"/>
  <sheetViews>
    <sheetView zoomScale="130" zoomScaleNormal="130" workbookViewId="0">
      <selection activeCell="B19" sqref="B19"/>
    </sheetView>
  </sheetViews>
  <sheetFormatPr defaultColWidth="9" defaultRowHeight="13.5"/>
  <cols>
    <col min="1" max="1" width="2.78333333333333" style="6" customWidth="1"/>
    <col min="2" max="2" width="5.28333333333333" style="6" customWidth="1"/>
    <col min="3" max="3" width="7.59166666666667" style="170" customWidth="1"/>
    <col min="4" max="4" width="5.96666666666667" style="170" customWidth="1"/>
    <col min="5" max="5" width="7.01666666666667" style="6" customWidth="1"/>
    <col min="6" max="6" width="2.49166666666667" style="6" customWidth="1"/>
    <col min="7" max="7" width="3.475" style="6" customWidth="1"/>
    <col min="8" max="8" width="4.55833333333333" style="6" customWidth="1"/>
    <col min="9" max="10" width="3.175" style="6" customWidth="1"/>
    <col min="11" max="11" width="4.29166666666667" style="6" customWidth="1"/>
    <col min="12" max="13" width="4.03333333333333" customWidth="1"/>
    <col min="14" max="14" width="3.46666666666667" customWidth="1"/>
    <col min="15" max="15" width="3.5" customWidth="1"/>
    <col min="16" max="18" width="2.775" customWidth="1"/>
    <col min="19" max="19" width="3.5" customWidth="1"/>
    <col min="20" max="21" width="3.45833333333333" customWidth="1"/>
    <col min="22" max="24" width="3.375" customWidth="1"/>
    <col min="25" max="25" width="3.25833333333333" customWidth="1"/>
    <col min="26" max="26" width="4.60833333333333" customWidth="1"/>
    <col min="27" max="27" width="4.51666666666667" customWidth="1"/>
    <col min="28" max="28" width="6.91666666666667" customWidth="1"/>
    <col min="29" max="29" width="3.35833333333333" customWidth="1"/>
    <col min="30" max="30" width="4.125" customWidth="1"/>
    <col min="31" max="31" width="4.25" customWidth="1"/>
    <col min="32" max="32" width="4.375" customWidth="1"/>
    <col min="33" max="33" width="6.625" customWidth="1"/>
    <col min="34" max="34" width="3.8" hidden="1" customWidth="1"/>
    <col min="35" max="35" width="2.775" hidden="1" customWidth="1"/>
    <col min="36" max="36" width="11.1833333333333" customWidth="1"/>
    <col min="37" max="37" width="13.9416666666667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7"/>
      <c r="C1" s="171"/>
      <c r="D1" s="17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8"/>
      <c r="C2" s="172"/>
      <c r="D2" s="17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9"/>
      <c r="C3" s="173"/>
      <c r="D3" s="1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200</v>
      </c>
      <c r="B5" s="12"/>
      <c r="C5" s="175"/>
      <c r="D5" s="175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56" t="s">
        <v>5</v>
      </c>
      <c r="AG5" s="56"/>
      <c r="AH5" s="56"/>
      <c r="AI5" s="56"/>
      <c r="AJ5" s="56"/>
      <c r="AK5" s="56"/>
      <c r="AL5" s="70"/>
    </row>
    <row r="6" s="2" customFormat="1" ht="57.95" customHeight="1" spans="1:37">
      <c r="A6" s="13" t="s">
        <v>6</v>
      </c>
      <c r="B6" s="14" t="s">
        <v>7</v>
      </c>
      <c r="C6" s="29" t="s">
        <v>8</v>
      </c>
      <c r="D6" s="29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22" t="s">
        <v>70</v>
      </c>
    </row>
    <row r="7" s="3" customFormat="1" ht="12" customHeight="1" spans="1:45">
      <c r="A7" s="15" t="s">
        <v>39</v>
      </c>
      <c r="B7" s="16" t="s">
        <v>40</v>
      </c>
      <c r="C7" s="15" t="s">
        <v>41</v>
      </c>
      <c r="D7" s="15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8"/>
      <c r="C8" s="17"/>
      <c r="D8" s="17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77" customFormat="1" ht="26" customHeight="1" spans="1:45">
      <c r="A9" s="19">
        <v>1</v>
      </c>
      <c r="B9" s="19" t="s">
        <v>202</v>
      </c>
      <c r="C9" s="20" t="s">
        <v>203</v>
      </c>
      <c r="D9" s="20" t="s">
        <v>204</v>
      </c>
      <c r="E9" s="21">
        <v>44709</v>
      </c>
      <c r="F9" s="19" t="s">
        <v>96</v>
      </c>
      <c r="G9" s="19" t="s">
        <v>205</v>
      </c>
      <c r="H9" s="22" t="s">
        <v>206</v>
      </c>
      <c r="I9" s="19">
        <v>23.5</v>
      </c>
      <c r="J9" s="19">
        <f>26-I9</f>
        <v>2.5</v>
      </c>
      <c r="K9" s="19">
        <v>200</v>
      </c>
      <c r="L9" s="54">
        <f>K9/26*I9</f>
        <v>180.769230769231</v>
      </c>
      <c r="M9" s="84">
        <f>K9/26*J9</f>
        <v>19.2307692307692</v>
      </c>
      <c r="N9" s="19">
        <v>4</v>
      </c>
      <c r="O9" s="19">
        <f>K9/26/8*1.5*N9</f>
        <v>5.76923076923077</v>
      </c>
      <c r="P9" s="19">
        <v>0</v>
      </c>
      <c r="Q9" s="19">
        <f>K9/26*2*P9</f>
        <v>0</v>
      </c>
      <c r="R9" s="19">
        <v>0</v>
      </c>
      <c r="S9" s="19">
        <f>10/26*I9</f>
        <v>9.03846153846154</v>
      </c>
      <c r="T9" s="19">
        <v>0</v>
      </c>
      <c r="U9" s="19">
        <v>0</v>
      </c>
      <c r="V9" s="19">
        <v>10</v>
      </c>
      <c r="W9" s="19">
        <v>1</v>
      </c>
      <c r="X9" s="19">
        <v>8</v>
      </c>
      <c r="Y9" s="19">
        <v>0</v>
      </c>
      <c r="Z9" s="19">
        <v>0</v>
      </c>
      <c r="AA9" s="19">
        <v>0</v>
      </c>
      <c r="AB9" s="36">
        <f>SUM(L9+O9+Q9+R9+S9+T9+U9+V9+X9+Y9+Z9+AA9+W9)</f>
        <v>214.576923076923</v>
      </c>
      <c r="AC9" s="19">
        <f>VLOOKUP(B9,[2]Sheet1!$B$2:$L$199,11,0)/4000</f>
        <v>6</v>
      </c>
      <c r="AD9" s="19">
        <v>0</v>
      </c>
      <c r="AE9" s="19">
        <f>VLOOKUP(B9,[1]烫标!$E$7:$L$9,7,0)</f>
        <v>100</v>
      </c>
      <c r="AF9" s="19">
        <f>SUM(AC9:AE9)</f>
        <v>106</v>
      </c>
      <c r="AG9" s="36">
        <f>AB9-AF9</f>
        <v>108.576923076923</v>
      </c>
      <c r="AH9" s="19"/>
      <c r="AI9" s="60"/>
      <c r="AJ9" s="19"/>
      <c r="AK9" s="54"/>
      <c r="AL9" s="72">
        <v>101309800</v>
      </c>
      <c r="AM9" s="73">
        <v>37085</v>
      </c>
      <c r="AN9" s="74" t="s">
        <v>141</v>
      </c>
      <c r="AO9" s="74">
        <v>0</v>
      </c>
      <c r="AP9" s="74" t="s">
        <v>101</v>
      </c>
      <c r="AQ9" s="74" t="s">
        <v>102</v>
      </c>
      <c r="AR9" s="74" t="s">
        <v>103</v>
      </c>
      <c r="AS9" s="72" t="s">
        <v>207</v>
      </c>
    </row>
    <row r="10" s="77" customFormat="1" ht="26" customHeight="1" spans="1:45">
      <c r="A10" s="19">
        <v>2</v>
      </c>
      <c r="B10" s="19" t="s">
        <v>208</v>
      </c>
      <c r="C10" s="20" t="s">
        <v>209</v>
      </c>
      <c r="D10" s="20" t="s">
        <v>210</v>
      </c>
      <c r="E10" s="21">
        <v>44711</v>
      </c>
      <c r="F10" s="19" t="s">
        <v>96</v>
      </c>
      <c r="G10" s="19" t="s">
        <v>205</v>
      </c>
      <c r="H10" s="22" t="s">
        <v>206</v>
      </c>
      <c r="I10" s="19">
        <v>24.5</v>
      </c>
      <c r="J10" s="19">
        <f>26-I10</f>
        <v>1.5</v>
      </c>
      <c r="K10" s="19">
        <v>200</v>
      </c>
      <c r="L10" s="54">
        <f>K10/26*I10</f>
        <v>188.461538461538</v>
      </c>
      <c r="M10" s="84">
        <f>K10/26*J10</f>
        <v>11.5384615384615</v>
      </c>
      <c r="N10" s="19">
        <v>4</v>
      </c>
      <c r="O10" s="19">
        <f>K10/26/8*1.5*N10</f>
        <v>5.76923076923077</v>
      </c>
      <c r="P10" s="19">
        <v>0</v>
      </c>
      <c r="Q10" s="19">
        <f>K10/26*2*P10</f>
        <v>0</v>
      </c>
      <c r="R10" s="19">
        <v>0</v>
      </c>
      <c r="S10" s="19">
        <f>10/26*I10</f>
        <v>9.42307692307692</v>
      </c>
      <c r="T10" s="19">
        <v>0</v>
      </c>
      <c r="U10" s="19">
        <v>0</v>
      </c>
      <c r="V10" s="19">
        <v>10</v>
      </c>
      <c r="W10" s="19">
        <v>1</v>
      </c>
      <c r="X10" s="19">
        <v>8</v>
      </c>
      <c r="Y10" s="19">
        <v>0</v>
      </c>
      <c r="Z10" s="19">
        <v>0</v>
      </c>
      <c r="AA10" s="19">
        <v>0</v>
      </c>
      <c r="AB10" s="36">
        <f>SUM(L10+O10+Q10+R10+S10+T10+U10+V10+X10+Y10+Z10+AA10+W10)</f>
        <v>222.653846153846</v>
      </c>
      <c r="AC10" s="19">
        <f>VLOOKUP(B10,[2]Sheet1!$B$2:$L$199,11,0)/4000</f>
        <v>6</v>
      </c>
      <c r="AD10" s="19">
        <v>0</v>
      </c>
      <c r="AE10" s="19">
        <f>VLOOKUP(B10,[1]烫标!$E$7:$L$9,7,0)</f>
        <v>100</v>
      </c>
      <c r="AF10" s="19">
        <f>SUM(AC10:AE10)</f>
        <v>106</v>
      </c>
      <c r="AG10" s="36">
        <f>AB10-AF10</f>
        <v>116.653846153846</v>
      </c>
      <c r="AH10" s="19"/>
      <c r="AI10" s="60"/>
      <c r="AJ10" s="19"/>
      <c r="AK10" s="54"/>
      <c r="AL10" s="72">
        <v>101336352</v>
      </c>
      <c r="AM10" s="73">
        <v>36526</v>
      </c>
      <c r="AN10" s="74" t="s">
        <v>141</v>
      </c>
      <c r="AO10" s="74">
        <v>0</v>
      </c>
      <c r="AP10" s="74" t="s">
        <v>101</v>
      </c>
      <c r="AQ10" s="74" t="s">
        <v>102</v>
      </c>
      <c r="AR10" s="74" t="s">
        <v>103</v>
      </c>
      <c r="AS10" s="72" t="s">
        <v>211</v>
      </c>
    </row>
    <row r="11" s="77" customFormat="1" ht="26" customHeight="1" spans="1:45">
      <c r="A11" s="19">
        <v>3</v>
      </c>
      <c r="B11" s="19" t="s">
        <v>212</v>
      </c>
      <c r="C11" s="20" t="s">
        <v>213</v>
      </c>
      <c r="D11" s="20" t="s">
        <v>214</v>
      </c>
      <c r="E11" s="21">
        <v>44711</v>
      </c>
      <c r="F11" s="19" t="s">
        <v>96</v>
      </c>
      <c r="G11" s="19" t="s">
        <v>205</v>
      </c>
      <c r="H11" s="22" t="s">
        <v>206</v>
      </c>
      <c r="I11" s="19">
        <v>23.5</v>
      </c>
      <c r="J11" s="19">
        <f>26-I11</f>
        <v>2.5</v>
      </c>
      <c r="K11" s="19">
        <v>200</v>
      </c>
      <c r="L11" s="54">
        <f>K11/26*I11</f>
        <v>180.769230769231</v>
      </c>
      <c r="M11" s="84">
        <f>K11/26*J11</f>
        <v>19.2307692307692</v>
      </c>
      <c r="N11" s="19">
        <v>6</v>
      </c>
      <c r="O11" s="19">
        <f>K11/26/8*1.5*N11</f>
        <v>8.65384615384615</v>
      </c>
      <c r="P11" s="19">
        <v>0</v>
      </c>
      <c r="Q11" s="19">
        <f>K11/26*2*P11</f>
        <v>0</v>
      </c>
      <c r="R11" s="19">
        <v>0</v>
      </c>
      <c r="S11" s="19">
        <f>10/26*I11</f>
        <v>9.03846153846154</v>
      </c>
      <c r="T11" s="19">
        <v>0</v>
      </c>
      <c r="U11" s="19">
        <v>0</v>
      </c>
      <c r="V11" s="19">
        <v>10</v>
      </c>
      <c r="W11" s="19">
        <v>1.5</v>
      </c>
      <c r="X11" s="19">
        <v>8</v>
      </c>
      <c r="Y11" s="19">
        <v>0</v>
      </c>
      <c r="Z11" s="19">
        <v>0</v>
      </c>
      <c r="AA11" s="19">
        <v>0</v>
      </c>
      <c r="AB11" s="36">
        <f>SUM(L11+O11+Q11+R11+S11+T11+U11+V11+X11+Y11+Z11+AA11+W11)</f>
        <v>217.961538461539</v>
      </c>
      <c r="AC11" s="19">
        <f>VLOOKUP(B11,[2]Sheet1!$B$2:$L$199,11,0)/4000</f>
        <v>6</v>
      </c>
      <c r="AD11" s="19">
        <v>0</v>
      </c>
      <c r="AE11" s="19">
        <f>VLOOKUP(B11,[1]烫标!$E$7:$L$9,7,0)</f>
        <v>100</v>
      </c>
      <c r="AF11" s="19">
        <f>SUM(AC11:AE11)</f>
        <v>106</v>
      </c>
      <c r="AG11" s="36">
        <f>AB11-AF11</f>
        <v>111.961538461539</v>
      </c>
      <c r="AH11" s="19"/>
      <c r="AI11" s="60"/>
      <c r="AJ11" s="19"/>
      <c r="AK11" s="54"/>
      <c r="AL11" s="72">
        <v>101430238</v>
      </c>
      <c r="AM11" s="73">
        <v>38281</v>
      </c>
      <c r="AN11" s="74" t="s">
        <v>141</v>
      </c>
      <c r="AO11" s="74">
        <v>0</v>
      </c>
      <c r="AP11" s="74" t="s">
        <v>101</v>
      </c>
      <c r="AQ11" s="74" t="s">
        <v>102</v>
      </c>
      <c r="AR11" s="74" t="s">
        <v>103</v>
      </c>
      <c r="AS11" s="72" t="s">
        <v>215</v>
      </c>
    </row>
    <row r="12" ht="29" customHeight="1" spans="1:37">
      <c r="A12" s="217" t="s">
        <v>216</v>
      </c>
      <c r="B12" s="218"/>
      <c r="C12" s="24"/>
      <c r="D12" s="24"/>
      <c r="E12" s="218"/>
      <c r="F12" s="218"/>
      <c r="G12" s="218"/>
      <c r="H12" s="218"/>
      <c r="I12" s="219"/>
      <c r="J12" s="219"/>
      <c r="K12" s="220">
        <f>SUM(K9:K11)</f>
        <v>600</v>
      </c>
      <c r="L12" s="220">
        <f>SUM(L9:L11)</f>
        <v>550</v>
      </c>
      <c r="M12" s="220"/>
      <c r="N12" s="220">
        <f t="shared" ref="N12:V12" si="0">SUM(N9:N11)</f>
        <v>14</v>
      </c>
      <c r="O12" s="220">
        <f t="shared" si="0"/>
        <v>20.1923076923077</v>
      </c>
      <c r="P12" s="220">
        <f t="shared" si="0"/>
        <v>0</v>
      </c>
      <c r="Q12" s="220">
        <f t="shared" si="0"/>
        <v>0</v>
      </c>
      <c r="R12" s="220">
        <f t="shared" si="0"/>
        <v>0</v>
      </c>
      <c r="S12" s="220">
        <f t="shared" si="0"/>
        <v>27.5</v>
      </c>
      <c r="T12" s="220">
        <f t="shared" si="0"/>
        <v>0</v>
      </c>
      <c r="U12" s="220">
        <f t="shared" si="0"/>
        <v>0</v>
      </c>
      <c r="V12" s="220">
        <f t="shared" si="0"/>
        <v>30</v>
      </c>
      <c r="W12" s="220"/>
      <c r="X12" s="220">
        <f t="shared" ref="X12:AI12" si="1">SUM(X9:X11)</f>
        <v>24</v>
      </c>
      <c r="Y12" s="220">
        <f t="shared" si="1"/>
        <v>0</v>
      </c>
      <c r="Z12" s="220">
        <f t="shared" si="1"/>
        <v>0</v>
      </c>
      <c r="AA12" s="220">
        <f t="shared" si="1"/>
        <v>0</v>
      </c>
      <c r="AB12" s="221">
        <f t="shared" si="1"/>
        <v>655.192307692308</v>
      </c>
      <c r="AC12" s="220">
        <f t="shared" si="1"/>
        <v>18</v>
      </c>
      <c r="AD12" s="220">
        <f t="shared" si="1"/>
        <v>0</v>
      </c>
      <c r="AE12" s="220">
        <f t="shared" si="1"/>
        <v>300</v>
      </c>
      <c r="AF12" s="220">
        <f t="shared" si="1"/>
        <v>318</v>
      </c>
      <c r="AG12" s="221">
        <f t="shared" si="1"/>
        <v>337.192307692308</v>
      </c>
      <c r="AH12" s="223">
        <f t="shared" si="1"/>
        <v>0</v>
      </c>
      <c r="AI12" s="224">
        <f t="shared" si="1"/>
        <v>0</v>
      </c>
      <c r="AJ12" s="65"/>
      <c r="AK12" s="66"/>
    </row>
  </sheetData>
  <autoFilter ref="A8:AY12">
    <extLst/>
  </autoFilter>
  <mergeCells count="32">
    <mergeCell ref="A1:AJ1"/>
    <mergeCell ref="A2:AJ2"/>
    <mergeCell ref="A3:AJ3"/>
    <mergeCell ref="A4:AJ4"/>
    <mergeCell ref="A5:C5"/>
    <mergeCell ref="F5:L5"/>
    <mergeCell ref="AF5:AJ5"/>
    <mergeCell ref="N7:Q7"/>
    <mergeCell ref="A12:I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BF28"/>
  <sheetViews>
    <sheetView zoomScale="130" zoomScaleNormal="130" topLeftCell="A8" workbookViewId="0">
      <selection activeCell="P11" sqref="P11"/>
    </sheetView>
  </sheetViews>
  <sheetFormatPr defaultColWidth="9" defaultRowHeight="13.5"/>
  <cols>
    <col min="1" max="1" width="2.68333333333333" style="6" customWidth="1"/>
    <col min="2" max="2" width="6.05833333333333" style="6" customWidth="1"/>
    <col min="3" max="3" width="5.95" style="6" customWidth="1"/>
    <col min="4" max="4" width="6.25" style="6" customWidth="1"/>
    <col min="5" max="5" width="6.625" style="6" customWidth="1"/>
    <col min="6" max="6" width="2.98333333333333" style="6" customWidth="1"/>
    <col min="7" max="7" width="3.06666666666667" style="6" customWidth="1"/>
    <col min="8" max="8" width="2.88333333333333" style="6" customWidth="1"/>
    <col min="9" max="9" width="3.55" style="6" customWidth="1"/>
    <col min="10" max="10" width="4.225" style="6" customWidth="1"/>
    <col min="11" max="11" width="3.55" style="6" customWidth="1"/>
    <col min="12" max="12" width="5.48333333333333" customWidth="1"/>
    <col min="13" max="13" width="4.8" customWidth="1"/>
    <col min="14" max="14" width="3.075" customWidth="1"/>
    <col min="15" max="15" width="4.03333333333333" customWidth="1"/>
    <col min="16" max="16" width="3.075" customWidth="1"/>
    <col min="17" max="17" width="2.875" customWidth="1"/>
    <col min="18" max="18" width="2.88333333333333" customWidth="1"/>
    <col min="19" max="19" width="3.94166666666667" customWidth="1"/>
    <col min="20" max="21" width="3.55" customWidth="1"/>
    <col min="22" max="22" width="3.35833333333333" customWidth="1"/>
    <col min="23" max="23" width="2.775" customWidth="1"/>
    <col min="24" max="25" width="3.075" customWidth="1"/>
    <col min="26" max="26" width="3.85" customWidth="1"/>
    <col min="27" max="27" width="3.84166666666667" customWidth="1"/>
    <col min="28" max="28" width="6.625" customWidth="1"/>
    <col min="29" max="31" width="6.725" hidden="1" customWidth="1"/>
    <col min="32" max="32" width="3.55" customWidth="1"/>
    <col min="33" max="33" width="3.35833333333333" customWidth="1"/>
    <col min="34" max="34" width="2.975" customWidth="1"/>
    <col min="35" max="35" width="3.46666666666667" customWidth="1"/>
    <col min="36" max="36" width="6.725" customWidth="1"/>
    <col min="37" max="37" width="4.425" hidden="1" customWidth="1"/>
    <col min="38" max="38" width="6.35" hidden="1" customWidth="1"/>
    <col min="39" max="39" width="8.65" customWidth="1"/>
    <col min="40" max="50" width="6.25" customWidth="1"/>
    <col min="51" max="51" width="16.875" style="6" customWidth="1"/>
    <col min="52" max="52" width="12.625" customWidth="1"/>
    <col min="53" max="53" width="12" customWidth="1"/>
    <col min="54" max="54" width="12.75" customWidth="1"/>
    <col min="55" max="55" width="10.5" customWidth="1"/>
    <col min="56" max="56" width="15.75" customWidth="1"/>
    <col min="58" max="58" width="16.5" customWidth="1"/>
  </cols>
  <sheetData>
    <row r="1" ht="27.95" customHeight="1" spans="1:5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ht="18.95" customHeight="1" spans="1:5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ht="15.95" customHeight="1" spans="1:5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ht="15.95" customHeight="1" spans="1:50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="1" customFormat="1" ht="14.1" customHeight="1" spans="1:51">
      <c r="A5" s="10" t="s">
        <v>1091</v>
      </c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56" t="s">
        <v>1135</v>
      </c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0"/>
    </row>
    <row r="6" s="2" customFormat="1" ht="40" customHeight="1" spans="1:50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 t="s">
        <v>1058</v>
      </c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/>
      <c r="AD6" s="29"/>
      <c r="AE6" s="29"/>
      <c r="AF6" s="29" t="s">
        <v>31</v>
      </c>
      <c r="AG6" s="29" t="s">
        <v>32</v>
      </c>
      <c r="AH6" s="29" t="s">
        <v>33</v>
      </c>
      <c r="AI6" s="29" t="s">
        <v>34</v>
      </c>
      <c r="AJ6" s="29" t="s">
        <v>35</v>
      </c>
      <c r="AK6" s="29" t="s">
        <v>36</v>
      </c>
      <c r="AL6" s="14" t="s">
        <v>37</v>
      </c>
      <c r="AM6" s="29" t="s">
        <v>38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</row>
    <row r="7" s="3" customFormat="1" ht="12" customHeight="1" spans="1:58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/>
      <c r="AD7" s="53"/>
      <c r="AE7" s="53"/>
      <c r="AF7" s="53" t="s">
        <v>62</v>
      </c>
      <c r="AG7" s="30" t="s">
        <v>63</v>
      </c>
      <c r="AH7" s="53" t="s">
        <v>201</v>
      </c>
      <c r="AI7" s="53" t="s">
        <v>65</v>
      </c>
      <c r="AJ7" s="53" t="s">
        <v>66</v>
      </c>
      <c r="AK7" s="53" t="s">
        <v>67</v>
      </c>
      <c r="AL7" s="53" t="s">
        <v>68</v>
      </c>
      <c r="AM7" s="53" t="s">
        <v>69</v>
      </c>
      <c r="AN7" s="58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71" t="s">
        <v>71</v>
      </c>
      <c r="AZ7" s="71" t="s">
        <v>72</v>
      </c>
      <c r="BA7" s="71" t="s">
        <v>73</v>
      </c>
      <c r="BB7" s="71" t="s">
        <v>74</v>
      </c>
      <c r="BC7" s="71" t="s">
        <v>75</v>
      </c>
      <c r="BD7" s="71" t="s">
        <v>76</v>
      </c>
      <c r="BE7" s="71" t="s">
        <v>77</v>
      </c>
      <c r="BF7" s="71" t="s">
        <v>78</v>
      </c>
    </row>
    <row r="8" s="4" customFormat="1" ht="21.95" customHeight="1" spans="1:58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50" t="s">
        <v>57</v>
      </c>
      <c r="X8" s="50" t="s">
        <v>57</v>
      </c>
      <c r="Y8" s="31" t="s">
        <v>83</v>
      </c>
      <c r="Z8" s="31" t="s">
        <v>84</v>
      </c>
      <c r="AA8" s="52"/>
      <c r="AB8" s="52"/>
      <c r="AC8" s="52"/>
      <c r="AD8" s="52"/>
      <c r="AE8" s="52"/>
      <c r="AF8" s="52"/>
      <c r="AG8" s="34"/>
      <c r="AH8" s="52"/>
      <c r="AI8" s="52"/>
      <c r="AJ8" s="52"/>
      <c r="AK8" s="52"/>
      <c r="AL8" s="52"/>
      <c r="AM8" s="34"/>
      <c r="AN8" s="59"/>
      <c r="AO8" s="34">
        <v>100</v>
      </c>
      <c r="AP8" s="34">
        <v>50</v>
      </c>
      <c r="AQ8" s="34">
        <v>20</v>
      </c>
      <c r="AR8" s="34">
        <v>10</v>
      </c>
      <c r="AS8" s="34">
        <v>20000</v>
      </c>
      <c r="AT8" s="34">
        <v>10000</v>
      </c>
      <c r="AU8" s="34">
        <v>5000</v>
      </c>
      <c r="AV8" s="34">
        <v>1000</v>
      </c>
      <c r="AW8" s="34">
        <v>500</v>
      </c>
      <c r="AX8" s="34">
        <v>100</v>
      </c>
      <c r="AY8" s="72" t="s">
        <v>85</v>
      </c>
      <c r="AZ8" s="72" t="s">
        <v>86</v>
      </c>
      <c r="BA8" s="72" t="s">
        <v>87</v>
      </c>
      <c r="BB8" s="72" t="s">
        <v>88</v>
      </c>
      <c r="BC8" s="72" t="s">
        <v>89</v>
      </c>
      <c r="BD8" s="72" t="s">
        <v>90</v>
      </c>
      <c r="BE8" s="72" t="s">
        <v>91</v>
      </c>
      <c r="BF8" s="74" t="s">
        <v>92</v>
      </c>
    </row>
    <row r="9" s="5" customFormat="1" ht="24" customHeight="1" spans="1:58">
      <c r="A9" s="19">
        <v>1</v>
      </c>
      <c r="B9" s="75" t="s">
        <v>1093</v>
      </c>
      <c r="C9" s="80" t="s">
        <v>1094</v>
      </c>
      <c r="D9" s="20" t="s">
        <v>1095</v>
      </c>
      <c r="E9" s="21">
        <v>44837</v>
      </c>
      <c r="F9" s="19" t="s">
        <v>108</v>
      </c>
      <c r="G9" s="75" t="s">
        <v>562</v>
      </c>
      <c r="H9" s="19" t="s">
        <v>229</v>
      </c>
      <c r="I9" s="19">
        <v>8.5</v>
      </c>
      <c r="J9" s="19">
        <f t="shared" ref="J9:J19" si="0">26-I9</f>
        <v>17.5</v>
      </c>
      <c r="K9" s="19">
        <v>200</v>
      </c>
      <c r="L9" s="36">
        <f t="shared" ref="L9:L19" si="1">K9/26*I9</f>
        <v>65.3846153846154</v>
      </c>
      <c r="M9" s="36">
        <f t="shared" ref="M9:M13" si="2">194/26*J9</f>
        <v>130.576923076923</v>
      </c>
      <c r="N9" s="19">
        <v>0</v>
      </c>
      <c r="O9" s="36">
        <f t="shared" ref="O9:O19" si="3">K9/26/8*1.5*N9</f>
        <v>0</v>
      </c>
      <c r="P9" s="84">
        <v>0</v>
      </c>
      <c r="Q9" s="84">
        <f>P9/26/8*2*N9</f>
        <v>0</v>
      </c>
      <c r="R9" s="84">
        <v>0</v>
      </c>
      <c r="S9" s="84">
        <f t="shared" ref="S9:S19" si="4">10/26*I9</f>
        <v>3.26923076923077</v>
      </c>
      <c r="T9" s="84">
        <v>0</v>
      </c>
      <c r="U9" s="84">
        <v>0</v>
      </c>
      <c r="V9" s="84">
        <v>10</v>
      </c>
      <c r="W9" s="84">
        <v>1</v>
      </c>
      <c r="X9" s="84">
        <v>8</v>
      </c>
      <c r="Y9" s="84">
        <v>0</v>
      </c>
      <c r="Z9" s="36">
        <v>0</v>
      </c>
      <c r="AA9" s="19">
        <v>0</v>
      </c>
      <c r="AB9" s="36">
        <f t="shared" ref="AB9:AB19" si="5">L9+O9+Q9+R9+S9+T9+U9+V9+X9+Y9+Z9+AA9+W9</f>
        <v>87.6538461538462</v>
      </c>
      <c r="AC9" s="36">
        <f t="shared" ref="AC9:AC19" si="6">+AB9*4000</f>
        <v>350615.384615385</v>
      </c>
      <c r="AD9" s="54">
        <f t="shared" ref="AD9:AD19" si="7">+IF(AC9&lt;=400000,400000,IF(AC9&lt;=1200000,AC9,IF(AC9&gt;1200000,1200000)))</f>
        <v>400000</v>
      </c>
      <c r="AE9" s="36">
        <f t="shared" ref="AE9:AE19" si="8">+AD9*2%</f>
        <v>8000</v>
      </c>
      <c r="AF9" s="19">
        <f>AE9/4000+2.65</f>
        <v>4.65</v>
      </c>
      <c r="AG9" s="19">
        <v>0</v>
      </c>
      <c r="AH9" s="19">
        <v>0</v>
      </c>
      <c r="AI9" s="19">
        <f t="shared" ref="AI9:AI19" si="9">SUM(AF9:AH9)</f>
        <v>4.65</v>
      </c>
      <c r="AJ9" s="36">
        <f t="shared" ref="AJ9:AJ19" si="10">AB9-AI9</f>
        <v>83.0038461538462</v>
      </c>
      <c r="AK9" s="19">
        <f t="shared" ref="AK9:AK19" si="11">INT(AJ9/10)*10</f>
        <v>80</v>
      </c>
      <c r="AL9" s="60">
        <f t="shared" ref="AL9:AL19" si="12">INT((ROUND((AJ9-AK9)*0.4,2))*10000)</f>
        <v>12000</v>
      </c>
      <c r="AM9" s="61"/>
      <c r="AN9" s="62"/>
      <c r="AO9" s="61">
        <f t="shared" ref="AO9:AO19" si="13">INT(AJ9/100)</f>
        <v>0</v>
      </c>
      <c r="AP9" s="61">
        <f t="shared" ref="AP9:AP19" si="14">INT((AJ9-AO9*100)/50)</f>
        <v>1</v>
      </c>
      <c r="AQ9" s="61">
        <f t="shared" ref="AQ9:AQ19" si="15">INT((AJ9-AO9*100-AP9*50)/20)</f>
        <v>1</v>
      </c>
      <c r="AR9" s="68">
        <f t="shared" ref="AR9:AR19" si="16">INT((AJ9-AO9*100-AP9*50-AQ9*20)/10)</f>
        <v>1</v>
      </c>
      <c r="AS9" s="61">
        <f t="shared" ref="AS9:AS19" si="17">INT(AL9/20000)</f>
        <v>0</v>
      </c>
      <c r="AT9" s="61">
        <f t="shared" ref="AT9:AT19" si="18">INT((AL9-AS9*20000)/10000)</f>
        <v>1</v>
      </c>
      <c r="AU9" s="61">
        <f t="shared" ref="AU9:AU19" si="19">INT((AL9-AS9*20000-AT9*10000)/5000)</f>
        <v>0</v>
      </c>
      <c r="AV9" s="61">
        <f t="shared" ref="AV9:AV19" si="20">INT((AL9-AS9*20000-AT9*10000-AU9*5000)/1000)</f>
        <v>2</v>
      </c>
      <c r="AW9" s="61">
        <f t="shared" ref="AW9:AW19" si="21">INT((AL9-AS9*20000-AT9*10000-AU9*5000-AV9*1000)/500)</f>
        <v>0</v>
      </c>
      <c r="AX9" s="61">
        <f t="shared" ref="AX9:AX19" si="22">INT((AL9-AS9*20000-AT9*10000-AU9*5000-AV9*1000-AW9*500)/100)</f>
        <v>0</v>
      </c>
      <c r="AY9" s="90">
        <v>101366058</v>
      </c>
      <c r="AZ9" s="73">
        <v>37079</v>
      </c>
      <c r="BA9" s="74" t="s">
        <v>99</v>
      </c>
      <c r="BB9" s="72">
        <v>0</v>
      </c>
      <c r="BC9" s="74" t="s">
        <v>102</v>
      </c>
      <c r="BD9" s="74" t="s">
        <v>102</v>
      </c>
      <c r="BE9" s="74" t="s">
        <v>103</v>
      </c>
      <c r="BF9" s="72"/>
    </row>
    <row r="10" s="5" customFormat="1" ht="24" customHeight="1" spans="1:58">
      <c r="A10" s="19">
        <v>2</v>
      </c>
      <c r="B10" s="75" t="s">
        <v>1096</v>
      </c>
      <c r="C10" s="20" t="s">
        <v>1097</v>
      </c>
      <c r="D10" s="20" t="s">
        <v>1098</v>
      </c>
      <c r="E10" s="21">
        <v>44743</v>
      </c>
      <c r="F10" s="19" t="s">
        <v>96</v>
      </c>
      <c r="G10" s="75" t="s">
        <v>668</v>
      </c>
      <c r="H10" s="76" t="s">
        <v>229</v>
      </c>
      <c r="I10" s="19">
        <v>10</v>
      </c>
      <c r="J10" s="19">
        <f t="shared" si="0"/>
        <v>16</v>
      </c>
      <c r="K10" s="19">
        <v>200</v>
      </c>
      <c r="L10" s="36">
        <f t="shared" si="1"/>
        <v>76.9230769230769</v>
      </c>
      <c r="M10" s="36">
        <f t="shared" si="2"/>
        <v>119.384615384615</v>
      </c>
      <c r="N10" s="19">
        <v>0</v>
      </c>
      <c r="O10" s="36">
        <f t="shared" si="3"/>
        <v>0</v>
      </c>
      <c r="P10" s="84">
        <v>0</v>
      </c>
      <c r="Q10" s="84">
        <v>0</v>
      </c>
      <c r="R10" s="84">
        <v>0</v>
      </c>
      <c r="S10" s="84">
        <f t="shared" si="4"/>
        <v>3.84615384615385</v>
      </c>
      <c r="T10" s="84">
        <v>0</v>
      </c>
      <c r="U10" s="84">
        <v>0</v>
      </c>
      <c r="V10" s="84">
        <v>10</v>
      </c>
      <c r="W10" s="84">
        <v>0</v>
      </c>
      <c r="X10" s="84">
        <v>8</v>
      </c>
      <c r="Y10" s="84">
        <v>0</v>
      </c>
      <c r="Z10" s="36">
        <v>0</v>
      </c>
      <c r="AA10" s="85">
        <v>0</v>
      </c>
      <c r="AB10" s="36">
        <f t="shared" si="5"/>
        <v>98.7692307692308</v>
      </c>
      <c r="AC10" s="36">
        <f t="shared" si="6"/>
        <v>395076.923076923</v>
      </c>
      <c r="AD10" s="54">
        <f t="shared" si="7"/>
        <v>400000</v>
      </c>
      <c r="AE10" s="36">
        <f t="shared" si="8"/>
        <v>8000</v>
      </c>
      <c r="AF10" s="19">
        <f>AE10/4000+4.15</f>
        <v>6.15</v>
      </c>
      <c r="AG10" s="19">
        <v>0</v>
      </c>
      <c r="AH10" s="19">
        <v>0</v>
      </c>
      <c r="AI10" s="19">
        <f t="shared" si="9"/>
        <v>6.15</v>
      </c>
      <c r="AJ10" s="36">
        <f t="shared" si="10"/>
        <v>92.6192307692308</v>
      </c>
      <c r="AK10" s="19">
        <f t="shared" si="11"/>
        <v>90</v>
      </c>
      <c r="AL10" s="60">
        <f t="shared" si="12"/>
        <v>10500</v>
      </c>
      <c r="AM10" s="61"/>
      <c r="AN10" s="62"/>
      <c r="AO10" s="61">
        <f t="shared" si="13"/>
        <v>0</v>
      </c>
      <c r="AP10" s="61">
        <f t="shared" si="14"/>
        <v>1</v>
      </c>
      <c r="AQ10" s="61">
        <f t="shared" si="15"/>
        <v>2</v>
      </c>
      <c r="AR10" s="68">
        <f t="shared" si="16"/>
        <v>0</v>
      </c>
      <c r="AS10" s="61">
        <f t="shared" si="17"/>
        <v>0</v>
      </c>
      <c r="AT10" s="61">
        <f t="shared" si="18"/>
        <v>1</v>
      </c>
      <c r="AU10" s="61">
        <f t="shared" si="19"/>
        <v>0</v>
      </c>
      <c r="AV10" s="61">
        <f t="shared" si="20"/>
        <v>0</v>
      </c>
      <c r="AW10" s="61">
        <f t="shared" si="21"/>
        <v>1</v>
      </c>
      <c r="AX10" s="61">
        <f t="shared" si="22"/>
        <v>0</v>
      </c>
      <c r="AY10" s="72" t="s">
        <v>1099</v>
      </c>
      <c r="AZ10" s="73">
        <v>34765</v>
      </c>
      <c r="BA10" s="74" t="s">
        <v>99</v>
      </c>
      <c r="BB10" s="72" t="s">
        <v>234</v>
      </c>
      <c r="BC10" s="74" t="s">
        <v>101</v>
      </c>
      <c r="BD10" s="74" t="s">
        <v>102</v>
      </c>
      <c r="BE10" s="74" t="s">
        <v>103</v>
      </c>
      <c r="BF10" s="92" t="s">
        <v>1100</v>
      </c>
    </row>
    <row r="11" s="5" customFormat="1" ht="24" customHeight="1" spans="1:58">
      <c r="A11" s="19">
        <v>3</v>
      </c>
      <c r="B11" s="75" t="s">
        <v>1101</v>
      </c>
      <c r="C11" s="81" t="s">
        <v>1102</v>
      </c>
      <c r="D11" s="20" t="s">
        <v>1103</v>
      </c>
      <c r="E11" s="21">
        <v>44733</v>
      </c>
      <c r="F11" s="19" t="s">
        <v>96</v>
      </c>
      <c r="G11" s="75" t="s">
        <v>562</v>
      </c>
      <c r="H11" s="19" t="s">
        <v>229</v>
      </c>
      <c r="I11" s="19">
        <v>8.5</v>
      </c>
      <c r="J11" s="19">
        <f t="shared" si="0"/>
        <v>17.5</v>
      </c>
      <c r="K11" s="19">
        <v>200</v>
      </c>
      <c r="L11" s="36">
        <f t="shared" si="1"/>
        <v>65.3846153846154</v>
      </c>
      <c r="M11" s="36">
        <f t="shared" si="2"/>
        <v>130.576923076923</v>
      </c>
      <c r="N11" s="19">
        <v>0</v>
      </c>
      <c r="O11" s="36">
        <f t="shared" si="3"/>
        <v>0</v>
      </c>
      <c r="P11" s="84">
        <v>0</v>
      </c>
      <c r="Q11" s="84">
        <v>0</v>
      </c>
      <c r="R11" s="84">
        <v>0</v>
      </c>
      <c r="S11" s="84">
        <f t="shared" si="4"/>
        <v>3.26923076923077</v>
      </c>
      <c r="T11" s="84">
        <v>0</v>
      </c>
      <c r="U11" s="84">
        <v>0</v>
      </c>
      <c r="V11" s="84">
        <v>10</v>
      </c>
      <c r="W11" s="84">
        <v>0</v>
      </c>
      <c r="X11" s="84">
        <v>8</v>
      </c>
      <c r="Y11" s="84">
        <v>0</v>
      </c>
      <c r="Z11" s="36">
        <v>0</v>
      </c>
      <c r="AA11" s="85">
        <v>0</v>
      </c>
      <c r="AB11" s="36">
        <f t="shared" si="5"/>
        <v>86.6538461538462</v>
      </c>
      <c r="AC11" s="36">
        <f t="shared" si="6"/>
        <v>346615.384615385</v>
      </c>
      <c r="AD11" s="54">
        <f t="shared" si="7"/>
        <v>400000</v>
      </c>
      <c r="AE11" s="36">
        <f t="shared" si="8"/>
        <v>8000</v>
      </c>
      <c r="AF11" s="19">
        <f>AE11/4000+3.65</f>
        <v>5.65</v>
      </c>
      <c r="AG11" s="19">
        <v>0</v>
      </c>
      <c r="AH11" s="19">
        <v>0</v>
      </c>
      <c r="AI11" s="19">
        <f t="shared" si="9"/>
        <v>5.65</v>
      </c>
      <c r="AJ11" s="36">
        <f t="shared" si="10"/>
        <v>81.0038461538462</v>
      </c>
      <c r="AK11" s="19">
        <f t="shared" si="11"/>
        <v>80</v>
      </c>
      <c r="AL11" s="60">
        <f t="shared" si="12"/>
        <v>4000</v>
      </c>
      <c r="AM11" s="61"/>
      <c r="AN11" s="62"/>
      <c r="AO11" s="61">
        <f t="shared" si="13"/>
        <v>0</v>
      </c>
      <c r="AP11" s="61">
        <f t="shared" si="14"/>
        <v>1</v>
      </c>
      <c r="AQ11" s="61">
        <f t="shared" si="15"/>
        <v>1</v>
      </c>
      <c r="AR11" s="68">
        <f t="shared" si="16"/>
        <v>1</v>
      </c>
      <c r="AS11" s="61">
        <f t="shared" si="17"/>
        <v>0</v>
      </c>
      <c r="AT11" s="61">
        <f t="shared" si="18"/>
        <v>0</v>
      </c>
      <c r="AU11" s="61">
        <f t="shared" si="19"/>
        <v>0</v>
      </c>
      <c r="AV11" s="61">
        <f t="shared" si="20"/>
        <v>4</v>
      </c>
      <c r="AW11" s="61">
        <f t="shared" si="21"/>
        <v>0</v>
      </c>
      <c r="AX11" s="61">
        <f t="shared" si="22"/>
        <v>0</v>
      </c>
      <c r="AY11" s="72">
        <v>100813599</v>
      </c>
      <c r="AZ11" s="73">
        <v>34402</v>
      </c>
      <c r="BA11" s="74" t="s">
        <v>99</v>
      </c>
      <c r="BB11" s="72">
        <v>2</v>
      </c>
      <c r="BC11" s="74" t="s">
        <v>101</v>
      </c>
      <c r="BD11" s="74" t="s">
        <v>102</v>
      </c>
      <c r="BE11" s="74" t="s">
        <v>103</v>
      </c>
      <c r="BF11" s="92" t="s">
        <v>1104</v>
      </c>
    </row>
    <row r="12" s="5" customFormat="1" ht="24" customHeight="1" spans="1:58">
      <c r="A12" s="19">
        <v>4</v>
      </c>
      <c r="B12" s="75" t="s">
        <v>1105</v>
      </c>
      <c r="C12" s="20" t="s">
        <v>1106</v>
      </c>
      <c r="D12" s="20" t="s">
        <v>1107</v>
      </c>
      <c r="E12" s="21">
        <v>44732</v>
      </c>
      <c r="F12" s="19" t="s">
        <v>108</v>
      </c>
      <c r="G12" s="75" t="s">
        <v>448</v>
      </c>
      <c r="H12" s="76" t="s">
        <v>229</v>
      </c>
      <c r="I12" s="19">
        <v>10</v>
      </c>
      <c r="J12" s="19">
        <f t="shared" si="0"/>
        <v>16</v>
      </c>
      <c r="K12" s="19">
        <v>200</v>
      </c>
      <c r="L12" s="36">
        <f t="shared" si="1"/>
        <v>76.9230769230769</v>
      </c>
      <c r="M12" s="36">
        <f t="shared" si="2"/>
        <v>119.384615384615</v>
      </c>
      <c r="N12" s="19">
        <v>0</v>
      </c>
      <c r="O12" s="36">
        <f t="shared" si="3"/>
        <v>0</v>
      </c>
      <c r="P12" s="84">
        <v>0</v>
      </c>
      <c r="Q12" s="84">
        <f>P12/26/8*2*N12</f>
        <v>0</v>
      </c>
      <c r="R12" s="84">
        <v>0</v>
      </c>
      <c r="S12" s="84">
        <f t="shared" si="4"/>
        <v>3.84615384615385</v>
      </c>
      <c r="T12" s="84">
        <v>0</v>
      </c>
      <c r="U12" s="84">
        <v>0</v>
      </c>
      <c r="V12" s="84">
        <v>10</v>
      </c>
      <c r="W12" s="84">
        <v>0</v>
      </c>
      <c r="X12" s="84">
        <v>8</v>
      </c>
      <c r="Y12" s="84">
        <v>0</v>
      </c>
      <c r="Z12" s="36">
        <v>0</v>
      </c>
      <c r="AA12" s="19">
        <v>0</v>
      </c>
      <c r="AB12" s="36">
        <f t="shared" si="5"/>
        <v>98.7692307692308</v>
      </c>
      <c r="AC12" s="36">
        <f t="shared" si="6"/>
        <v>395076.923076923</v>
      </c>
      <c r="AD12" s="54">
        <f t="shared" si="7"/>
        <v>400000</v>
      </c>
      <c r="AE12" s="36">
        <f t="shared" si="8"/>
        <v>8000</v>
      </c>
      <c r="AF12" s="19">
        <f>AE12/4000+3.89</f>
        <v>5.89</v>
      </c>
      <c r="AG12" s="19">
        <v>0</v>
      </c>
      <c r="AH12" s="19">
        <f>VLOOKUP(B12,[1]សរុប!$E$7:$L$205,7,0)</f>
        <v>50</v>
      </c>
      <c r="AI12" s="19">
        <f t="shared" si="9"/>
        <v>55.89</v>
      </c>
      <c r="AJ12" s="36">
        <f t="shared" si="10"/>
        <v>42.8792307692308</v>
      </c>
      <c r="AK12" s="19">
        <f t="shared" si="11"/>
        <v>40</v>
      </c>
      <c r="AL12" s="60">
        <f t="shared" si="12"/>
        <v>11500</v>
      </c>
      <c r="AM12" s="61"/>
      <c r="AN12" s="62"/>
      <c r="AO12" s="61">
        <f t="shared" si="13"/>
        <v>0</v>
      </c>
      <c r="AP12" s="61">
        <f t="shared" si="14"/>
        <v>0</v>
      </c>
      <c r="AQ12" s="61">
        <f t="shared" si="15"/>
        <v>2</v>
      </c>
      <c r="AR12" s="68">
        <f t="shared" si="16"/>
        <v>0</v>
      </c>
      <c r="AS12" s="61">
        <f t="shared" si="17"/>
        <v>0</v>
      </c>
      <c r="AT12" s="61">
        <f t="shared" si="18"/>
        <v>1</v>
      </c>
      <c r="AU12" s="61">
        <f t="shared" si="19"/>
        <v>0</v>
      </c>
      <c r="AV12" s="61">
        <f t="shared" si="20"/>
        <v>1</v>
      </c>
      <c r="AW12" s="61">
        <f t="shared" si="21"/>
        <v>1</v>
      </c>
      <c r="AX12" s="61">
        <f t="shared" si="22"/>
        <v>0</v>
      </c>
      <c r="AY12" s="72">
        <v>101410617</v>
      </c>
      <c r="AZ12" s="73">
        <v>30409</v>
      </c>
      <c r="BA12" s="74" t="s">
        <v>99</v>
      </c>
      <c r="BB12" s="72">
        <v>3</v>
      </c>
      <c r="BC12" s="74" t="s">
        <v>101</v>
      </c>
      <c r="BD12" s="74" t="s">
        <v>102</v>
      </c>
      <c r="BE12" s="74" t="s">
        <v>103</v>
      </c>
      <c r="BF12" s="92" t="s">
        <v>1108</v>
      </c>
    </row>
    <row r="13" s="5" customFormat="1" ht="24" customHeight="1" spans="1:58">
      <c r="A13" s="19">
        <v>5</v>
      </c>
      <c r="B13" s="75" t="s">
        <v>1109</v>
      </c>
      <c r="C13" s="20" t="s">
        <v>1110</v>
      </c>
      <c r="D13" s="20" t="s">
        <v>1111</v>
      </c>
      <c r="E13" s="21">
        <v>44887</v>
      </c>
      <c r="F13" s="19" t="s">
        <v>96</v>
      </c>
      <c r="G13" s="19" t="s">
        <v>222</v>
      </c>
      <c r="H13" s="19" t="s">
        <v>229</v>
      </c>
      <c r="I13" s="19">
        <v>12</v>
      </c>
      <c r="J13" s="19">
        <f t="shared" si="0"/>
        <v>14</v>
      </c>
      <c r="K13" s="19">
        <v>200</v>
      </c>
      <c r="L13" s="36">
        <f t="shared" si="1"/>
        <v>92.3076923076923</v>
      </c>
      <c r="M13" s="36">
        <f t="shared" si="2"/>
        <v>104.461538461538</v>
      </c>
      <c r="N13" s="19">
        <v>0</v>
      </c>
      <c r="O13" s="36">
        <f t="shared" si="3"/>
        <v>0</v>
      </c>
      <c r="P13" s="84">
        <v>0</v>
      </c>
      <c r="Q13" s="84">
        <v>0</v>
      </c>
      <c r="R13" s="84">
        <v>0</v>
      </c>
      <c r="S13" s="84">
        <f t="shared" si="4"/>
        <v>4.61538461538462</v>
      </c>
      <c r="T13" s="84">
        <v>0</v>
      </c>
      <c r="U13" s="84">
        <v>0</v>
      </c>
      <c r="V13" s="84">
        <v>10</v>
      </c>
      <c r="W13" s="84">
        <v>0</v>
      </c>
      <c r="X13" s="84">
        <v>8</v>
      </c>
      <c r="Y13" s="84">
        <v>0</v>
      </c>
      <c r="Z13" s="36">
        <v>0</v>
      </c>
      <c r="AA13" s="19">
        <v>3.84</v>
      </c>
      <c r="AB13" s="36">
        <f t="shared" si="5"/>
        <v>118.763076923077</v>
      </c>
      <c r="AC13" s="36">
        <f t="shared" si="6"/>
        <v>475052.307692308</v>
      </c>
      <c r="AD13" s="54">
        <f t="shared" si="7"/>
        <v>475052.307692308</v>
      </c>
      <c r="AE13" s="36">
        <f t="shared" si="8"/>
        <v>9501.04615384615</v>
      </c>
      <c r="AF13" s="19">
        <f>AE13/4000+4.58</f>
        <v>6.95526153846154</v>
      </c>
      <c r="AG13" s="19">
        <v>0</v>
      </c>
      <c r="AH13" s="19">
        <v>0</v>
      </c>
      <c r="AI13" s="19">
        <f t="shared" si="9"/>
        <v>6.95526153846154</v>
      </c>
      <c r="AJ13" s="36">
        <f t="shared" si="10"/>
        <v>111.807815384615</v>
      </c>
      <c r="AK13" s="19">
        <f t="shared" si="11"/>
        <v>110</v>
      </c>
      <c r="AL13" s="60">
        <f t="shared" si="12"/>
        <v>7200</v>
      </c>
      <c r="AM13" s="61"/>
      <c r="AN13" s="62"/>
      <c r="AO13" s="61">
        <f t="shared" si="13"/>
        <v>1</v>
      </c>
      <c r="AP13" s="61">
        <f t="shared" si="14"/>
        <v>0</v>
      </c>
      <c r="AQ13" s="61">
        <f t="shared" si="15"/>
        <v>0</v>
      </c>
      <c r="AR13" s="68">
        <f t="shared" si="16"/>
        <v>1</v>
      </c>
      <c r="AS13" s="61">
        <f t="shared" si="17"/>
        <v>0</v>
      </c>
      <c r="AT13" s="61">
        <f t="shared" si="18"/>
        <v>0</v>
      </c>
      <c r="AU13" s="61">
        <f t="shared" si="19"/>
        <v>1</v>
      </c>
      <c r="AV13" s="61">
        <f t="shared" si="20"/>
        <v>2</v>
      </c>
      <c r="AW13" s="61">
        <f t="shared" si="21"/>
        <v>0</v>
      </c>
      <c r="AX13" s="61">
        <f t="shared" si="22"/>
        <v>2</v>
      </c>
      <c r="AY13" s="72">
        <v>101001222</v>
      </c>
      <c r="AZ13" s="73">
        <v>35190</v>
      </c>
      <c r="BA13" s="74" t="s">
        <v>99</v>
      </c>
      <c r="BB13" s="72">
        <v>2</v>
      </c>
      <c r="BC13" s="74" t="s">
        <v>101</v>
      </c>
      <c r="BD13" s="74" t="s">
        <v>102</v>
      </c>
      <c r="BE13" s="74" t="s">
        <v>103</v>
      </c>
      <c r="BF13" s="72"/>
    </row>
    <row r="14" s="5" customFormat="1" ht="24" customHeight="1" spans="1:58">
      <c r="A14" s="19">
        <v>6</v>
      </c>
      <c r="B14" s="82" t="s">
        <v>1112</v>
      </c>
      <c r="C14" s="20" t="s">
        <v>1113</v>
      </c>
      <c r="D14" s="20" t="s">
        <v>1114</v>
      </c>
      <c r="E14" s="83">
        <v>44915</v>
      </c>
      <c r="F14" s="19" t="s">
        <v>96</v>
      </c>
      <c r="G14" s="19" t="s">
        <v>973</v>
      </c>
      <c r="H14" s="76" t="s">
        <v>773</v>
      </c>
      <c r="I14" s="19">
        <v>11.75</v>
      </c>
      <c r="J14" s="19">
        <f t="shared" si="0"/>
        <v>14.25</v>
      </c>
      <c r="K14" s="19">
        <v>200</v>
      </c>
      <c r="L14" s="36">
        <f t="shared" si="1"/>
        <v>90.3846153846154</v>
      </c>
      <c r="M14" s="36">
        <f t="shared" ref="M14:M19" si="23">K14/26*J14</f>
        <v>109.615384615385</v>
      </c>
      <c r="N14" s="19">
        <v>0</v>
      </c>
      <c r="O14" s="19">
        <f t="shared" si="3"/>
        <v>0</v>
      </c>
      <c r="P14" s="85">
        <v>0</v>
      </c>
      <c r="Q14" s="85">
        <f t="shared" ref="Q14:Q19" si="24">K14/26*2*P14</f>
        <v>0</v>
      </c>
      <c r="R14" s="19">
        <v>0</v>
      </c>
      <c r="S14" s="84">
        <f t="shared" si="4"/>
        <v>4.51923076923077</v>
      </c>
      <c r="T14" s="19">
        <v>0</v>
      </c>
      <c r="U14" s="19">
        <v>0</v>
      </c>
      <c r="V14" s="84">
        <v>10</v>
      </c>
      <c r="W14" s="19">
        <v>0</v>
      </c>
      <c r="X14" s="84">
        <v>8</v>
      </c>
      <c r="Y14" s="84">
        <v>0</v>
      </c>
      <c r="Z14" s="36">
        <v>0</v>
      </c>
      <c r="AA14" s="19">
        <v>11.53</v>
      </c>
      <c r="AB14" s="36">
        <f t="shared" si="5"/>
        <v>124.433846153846</v>
      </c>
      <c r="AC14" s="36">
        <f t="shared" si="6"/>
        <v>497735.384615385</v>
      </c>
      <c r="AD14" s="54">
        <f t="shared" si="7"/>
        <v>497735.384615385</v>
      </c>
      <c r="AE14" s="36">
        <f t="shared" si="8"/>
        <v>9954.70769230769</v>
      </c>
      <c r="AF14" s="19">
        <f>AE14/4000+2</f>
        <v>4.48867692307692</v>
      </c>
      <c r="AG14" s="19">
        <v>0</v>
      </c>
      <c r="AH14" s="19">
        <f>VLOOKUP(B14,[1]សរុប!$E$7:$L$205,7,0)</f>
        <v>50</v>
      </c>
      <c r="AI14" s="19">
        <f t="shared" si="9"/>
        <v>54.4886769230769</v>
      </c>
      <c r="AJ14" s="36">
        <f t="shared" si="10"/>
        <v>69.9451692307691</v>
      </c>
      <c r="AK14" s="19">
        <f t="shared" si="11"/>
        <v>60</v>
      </c>
      <c r="AL14" s="60">
        <f t="shared" si="12"/>
        <v>39800</v>
      </c>
      <c r="AM14" s="61"/>
      <c r="AN14" s="62"/>
      <c r="AO14" s="61">
        <f t="shared" si="13"/>
        <v>0</v>
      </c>
      <c r="AP14" s="61">
        <f t="shared" si="14"/>
        <v>1</v>
      </c>
      <c r="AQ14" s="61">
        <f t="shared" si="15"/>
        <v>0</v>
      </c>
      <c r="AR14" s="68">
        <f t="shared" si="16"/>
        <v>1</v>
      </c>
      <c r="AS14" s="61">
        <f t="shared" si="17"/>
        <v>1</v>
      </c>
      <c r="AT14" s="61">
        <f t="shared" si="18"/>
        <v>1</v>
      </c>
      <c r="AU14" s="61">
        <f t="shared" si="19"/>
        <v>1</v>
      </c>
      <c r="AV14" s="61">
        <f t="shared" si="20"/>
        <v>4</v>
      </c>
      <c r="AW14" s="61">
        <f t="shared" si="21"/>
        <v>1</v>
      </c>
      <c r="AX14" s="61">
        <f t="shared" si="22"/>
        <v>3</v>
      </c>
      <c r="AY14" s="74">
        <v>100917930</v>
      </c>
      <c r="AZ14" s="73">
        <v>35827</v>
      </c>
      <c r="BA14" s="74" t="s">
        <v>99</v>
      </c>
      <c r="BB14" s="74">
        <v>1</v>
      </c>
      <c r="BC14" s="74" t="s">
        <v>102</v>
      </c>
      <c r="BD14" s="74" t="s">
        <v>102</v>
      </c>
      <c r="BE14" s="74" t="s">
        <v>103</v>
      </c>
      <c r="BF14" s="74" t="s">
        <v>1115</v>
      </c>
    </row>
    <row r="15" s="5" customFormat="1" ht="24" customHeight="1" spans="1:58">
      <c r="A15" s="19">
        <v>7</v>
      </c>
      <c r="B15" s="75" t="s">
        <v>1116</v>
      </c>
      <c r="C15" s="20" t="s">
        <v>1117</v>
      </c>
      <c r="D15" s="20" t="s">
        <v>1118</v>
      </c>
      <c r="E15" s="21">
        <v>44907</v>
      </c>
      <c r="F15" s="19" t="s">
        <v>108</v>
      </c>
      <c r="G15" s="19" t="s">
        <v>767</v>
      </c>
      <c r="H15" s="19" t="s">
        <v>801</v>
      </c>
      <c r="I15" s="19">
        <v>10.25</v>
      </c>
      <c r="J15" s="19">
        <f t="shared" si="0"/>
        <v>15.75</v>
      </c>
      <c r="K15" s="19">
        <v>200</v>
      </c>
      <c r="L15" s="36">
        <f t="shared" si="1"/>
        <v>78.8461538461539</v>
      </c>
      <c r="M15" s="36">
        <f t="shared" si="23"/>
        <v>121.153846153846</v>
      </c>
      <c r="N15" s="19">
        <v>0</v>
      </c>
      <c r="O15" s="19">
        <f t="shared" si="3"/>
        <v>0</v>
      </c>
      <c r="P15" s="19">
        <v>0</v>
      </c>
      <c r="Q15" s="19">
        <f t="shared" si="24"/>
        <v>0</v>
      </c>
      <c r="R15" s="19">
        <v>0</v>
      </c>
      <c r="S15" s="84">
        <f t="shared" si="4"/>
        <v>3.94230769230769</v>
      </c>
      <c r="T15" s="19">
        <v>0</v>
      </c>
      <c r="U15" s="19">
        <v>0</v>
      </c>
      <c r="V15" s="19">
        <v>10</v>
      </c>
      <c r="W15" s="19">
        <v>0</v>
      </c>
      <c r="X15" s="19">
        <v>8</v>
      </c>
      <c r="Y15" s="19">
        <v>0</v>
      </c>
      <c r="Z15" s="19">
        <v>0</v>
      </c>
      <c r="AA15" s="19">
        <v>0</v>
      </c>
      <c r="AB15" s="36">
        <f t="shared" si="5"/>
        <v>100.788461538462</v>
      </c>
      <c r="AC15" s="36">
        <f t="shared" si="6"/>
        <v>403153.846153846</v>
      </c>
      <c r="AD15" s="54">
        <f t="shared" si="7"/>
        <v>403153.846153846</v>
      </c>
      <c r="AE15" s="36">
        <f t="shared" si="8"/>
        <v>8063.07692307693</v>
      </c>
      <c r="AF15" s="19">
        <f>AE15/4000+3.03</f>
        <v>5.04576923076923</v>
      </c>
      <c r="AG15" s="19">
        <v>0</v>
      </c>
      <c r="AH15" s="19">
        <v>0</v>
      </c>
      <c r="AI15" s="19">
        <f t="shared" si="9"/>
        <v>5.04576923076923</v>
      </c>
      <c r="AJ15" s="36">
        <f t="shared" si="10"/>
        <v>95.7426923076928</v>
      </c>
      <c r="AK15" s="19">
        <f t="shared" si="11"/>
        <v>90</v>
      </c>
      <c r="AL15" s="60">
        <f t="shared" si="12"/>
        <v>23000</v>
      </c>
      <c r="AM15" s="61"/>
      <c r="AN15" s="62"/>
      <c r="AO15" s="61">
        <f t="shared" si="13"/>
        <v>0</v>
      </c>
      <c r="AP15" s="61">
        <f t="shared" si="14"/>
        <v>1</v>
      </c>
      <c r="AQ15" s="61">
        <f t="shared" si="15"/>
        <v>2</v>
      </c>
      <c r="AR15" s="68">
        <f t="shared" si="16"/>
        <v>0</v>
      </c>
      <c r="AS15" s="61">
        <f t="shared" si="17"/>
        <v>1</v>
      </c>
      <c r="AT15" s="61">
        <f t="shared" si="18"/>
        <v>0</v>
      </c>
      <c r="AU15" s="61">
        <f t="shared" si="19"/>
        <v>0</v>
      </c>
      <c r="AV15" s="61">
        <f t="shared" si="20"/>
        <v>3</v>
      </c>
      <c r="AW15" s="61">
        <f t="shared" si="21"/>
        <v>0</v>
      </c>
      <c r="AX15" s="61">
        <f t="shared" si="22"/>
        <v>0</v>
      </c>
      <c r="AY15" s="72">
        <v>100911449</v>
      </c>
      <c r="AZ15" s="73">
        <v>32890</v>
      </c>
      <c r="BA15" s="74" t="s">
        <v>768</v>
      </c>
      <c r="BB15" s="72">
        <v>3</v>
      </c>
      <c r="BC15" s="74" t="s">
        <v>102</v>
      </c>
      <c r="BD15" s="74" t="s">
        <v>102</v>
      </c>
      <c r="BE15" s="74" t="s">
        <v>103</v>
      </c>
      <c r="BF15" s="92"/>
    </row>
    <row r="16" s="5" customFormat="1" ht="24" customHeight="1" spans="1:58">
      <c r="A16" s="19">
        <v>8</v>
      </c>
      <c r="B16" s="75" t="s">
        <v>1119</v>
      </c>
      <c r="C16" s="80" t="s">
        <v>1120</v>
      </c>
      <c r="D16" s="20" t="s">
        <v>1121</v>
      </c>
      <c r="E16" s="21">
        <v>44729</v>
      </c>
      <c r="F16" s="19" t="s">
        <v>96</v>
      </c>
      <c r="G16" s="75" t="s">
        <v>849</v>
      </c>
      <c r="H16" s="19" t="s">
        <v>850</v>
      </c>
      <c r="I16" s="19">
        <v>19</v>
      </c>
      <c r="J16" s="19">
        <f t="shared" si="0"/>
        <v>7</v>
      </c>
      <c r="K16" s="19">
        <v>200</v>
      </c>
      <c r="L16" s="36">
        <f t="shared" si="1"/>
        <v>146.153846153846</v>
      </c>
      <c r="M16" s="36">
        <f t="shared" ref="M16:M18" si="25">194/26*J16</f>
        <v>52.2307692307692</v>
      </c>
      <c r="N16" s="19">
        <v>4</v>
      </c>
      <c r="O16" s="36">
        <f t="shared" si="3"/>
        <v>5.76923076923077</v>
      </c>
      <c r="P16" s="84">
        <v>0</v>
      </c>
      <c r="Q16" s="84">
        <f>P16/26/8*2*N16</f>
        <v>0</v>
      </c>
      <c r="R16" s="84">
        <v>0</v>
      </c>
      <c r="S16" s="84">
        <f t="shared" si="4"/>
        <v>7.30769230769231</v>
      </c>
      <c r="T16" s="84">
        <v>0</v>
      </c>
      <c r="U16" s="84">
        <v>0</v>
      </c>
      <c r="V16" s="84">
        <v>10</v>
      </c>
      <c r="W16" s="84">
        <v>1</v>
      </c>
      <c r="X16" s="84">
        <v>8</v>
      </c>
      <c r="Y16" s="84">
        <v>0</v>
      </c>
      <c r="Z16" s="86">
        <v>34.31</v>
      </c>
      <c r="AA16" s="85">
        <v>39.58</v>
      </c>
      <c r="AB16" s="36">
        <f t="shared" si="5"/>
        <v>252.120769230769</v>
      </c>
      <c r="AC16" s="36">
        <f t="shared" si="6"/>
        <v>1008483.07692308</v>
      </c>
      <c r="AD16" s="54">
        <f t="shared" si="7"/>
        <v>1008483.07692308</v>
      </c>
      <c r="AE16" s="36">
        <f t="shared" si="8"/>
        <v>20169.6615384615</v>
      </c>
      <c r="AF16" s="19">
        <f>AE16/4000+5.03</f>
        <v>10.0724153846154</v>
      </c>
      <c r="AG16" s="19">
        <v>0</v>
      </c>
      <c r="AH16" s="19">
        <f>VLOOKUP(B16,[1]សរុប!$E$7:$L$205,7,0)</f>
        <v>100</v>
      </c>
      <c r="AI16" s="19">
        <f t="shared" si="9"/>
        <v>110.072415384615</v>
      </c>
      <c r="AJ16" s="36">
        <f t="shared" si="10"/>
        <v>142.048353846154</v>
      </c>
      <c r="AK16" s="19">
        <f t="shared" si="11"/>
        <v>140</v>
      </c>
      <c r="AL16" s="60">
        <f t="shared" si="12"/>
        <v>8200</v>
      </c>
      <c r="AM16" s="61"/>
      <c r="AN16" s="62"/>
      <c r="AO16" s="61">
        <f t="shared" si="13"/>
        <v>1</v>
      </c>
      <c r="AP16" s="61">
        <f t="shared" si="14"/>
        <v>0</v>
      </c>
      <c r="AQ16" s="61">
        <f t="shared" si="15"/>
        <v>2</v>
      </c>
      <c r="AR16" s="68">
        <f t="shared" si="16"/>
        <v>0</v>
      </c>
      <c r="AS16" s="61">
        <f t="shared" si="17"/>
        <v>0</v>
      </c>
      <c r="AT16" s="61">
        <f t="shared" si="18"/>
        <v>0</v>
      </c>
      <c r="AU16" s="61">
        <f t="shared" si="19"/>
        <v>1</v>
      </c>
      <c r="AV16" s="61">
        <f t="shared" si="20"/>
        <v>3</v>
      </c>
      <c r="AW16" s="61">
        <f t="shared" si="21"/>
        <v>0</v>
      </c>
      <c r="AX16" s="61">
        <f t="shared" si="22"/>
        <v>2</v>
      </c>
      <c r="AY16" s="240" t="s">
        <v>1122</v>
      </c>
      <c r="AZ16" s="73">
        <v>29864</v>
      </c>
      <c r="BA16" s="74" t="s">
        <v>99</v>
      </c>
      <c r="BB16" s="72">
        <v>2</v>
      </c>
      <c r="BC16" s="74" t="s">
        <v>102</v>
      </c>
      <c r="BD16" s="74" t="s">
        <v>102</v>
      </c>
      <c r="BE16" s="74" t="s">
        <v>103</v>
      </c>
      <c r="BF16" s="72" t="s">
        <v>1123</v>
      </c>
    </row>
    <row r="17" s="5" customFormat="1" ht="24" customHeight="1" spans="1:58">
      <c r="A17" s="19">
        <v>9</v>
      </c>
      <c r="B17" s="20" t="s">
        <v>1124</v>
      </c>
      <c r="C17" s="20" t="s">
        <v>1125</v>
      </c>
      <c r="D17" s="20" t="s">
        <v>1126</v>
      </c>
      <c r="E17" s="21">
        <v>44725</v>
      </c>
      <c r="F17" s="20" t="s">
        <v>108</v>
      </c>
      <c r="G17" s="19" t="s">
        <v>915</v>
      </c>
      <c r="H17" s="22" t="s">
        <v>916</v>
      </c>
      <c r="I17" s="19">
        <v>22.25</v>
      </c>
      <c r="J17" s="19">
        <f t="shared" si="0"/>
        <v>3.75</v>
      </c>
      <c r="K17" s="19">
        <v>200</v>
      </c>
      <c r="L17" s="36">
        <f t="shared" si="1"/>
        <v>171.153846153846</v>
      </c>
      <c r="M17" s="36">
        <f t="shared" si="25"/>
        <v>27.9807692307692</v>
      </c>
      <c r="N17" s="19">
        <v>12</v>
      </c>
      <c r="O17" s="36">
        <f t="shared" si="3"/>
        <v>17.3076923076923</v>
      </c>
      <c r="P17" s="84">
        <v>0</v>
      </c>
      <c r="Q17" s="84">
        <v>0</v>
      </c>
      <c r="R17" s="84">
        <v>0</v>
      </c>
      <c r="S17" s="84">
        <f t="shared" si="4"/>
        <v>8.55769230769231</v>
      </c>
      <c r="T17" s="84">
        <v>21.8</v>
      </c>
      <c r="U17" s="84">
        <v>80</v>
      </c>
      <c r="V17" s="84">
        <v>10</v>
      </c>
      <c r="W17" s="84">
        <v>3</v>
      </c>
      <c r="X17" s="84">
        <v>8</v>
      </c>
      <c r="Y17" s="84">
        <v>0</v>
      </c>
      <c r="Z17" s="86">
        <v>51.36</v>
      </c>
      <c r="AA17" s="85">
        <v>59.26</v>
      </c>
      <c r="AB17" s="36">
        <f t="shared" si="5"/>
        <v>430.439230769231</v>
      </c>
      <c r="AC17" s="36">
        <f t="shared" si="6"/>
        <v>1721756.92307692</v>
      </c>
      <c r="AD17" s="54">
        <f t="shared" si="7"/>
        <v>1200000</v>
      </c>
      <c r="AE17" s="36">
        <f t="shared" si="8"/>
        <v>24000</v>
      </c>
      <c r="AF17" s="19">
        <f>AE17/4000+6</f>
        <v>12</v>
      </c>
      <c r="AG17" s="19">
        <v>0</v>
      </c>
      <c r="AH17" s="19">
        <f>VLOOKUP(B17,[1]សរុប!$E$7:$L$205,7,0)</f>
        <v>100</v>
      </c>
      <c r="AI17" s="19">
        <f t="shared" si="9"/>
        <v>112</v>
      </c>
      <c r="AJ17" s="36">
        <f t="shared" si="10"/>
        <v>318.439230769231</v>
      </c>
      <c r="AK17" s="19">
        <f t="shared" si="11"/>
        <v>310</v>
      </c>
      <c r="AL17" s="60">
        <f t="shared" si="12"/>
        <v>33800</v>
      </c>
      <c r="AM17" s="61"/>
      <c r="AN17" s="62"/>
      <c r="AO17" s="61">
        <f t="shared" si="13"/>
        <v>3</v>
      </c>
      <c r="AP17" s="61">
        <f t="shared" si="14"/>
        <v>0</v>
      </c>
      <c r="AQ17" s="61">
        <f t="shared" si="15"/>
        <v>0</v>
      </c>
      <c r="AR17" s="68">
        <f t="shared" si="16"/>
        <v>1</v>
      </c>
      <c r="AS17" s="61">
        <f t="shared" si="17"/>
        <v>1</v>
      </c>
      <c r="AT17" s="61">
        <f t="shared" si="18"/>
        <v>1</v>
      </c>
      <c r="AU17" s="61">
        <f t="shared" si="19"/>
        <v>0</v>
      </c>
      <c r="AV17" s="61">
        <f t="shared" si="20"/>
        <v>3</v>
      </c>
      <c r="AW17" s="61">
        <f t="shared" si="21"/>
        <v>1</v>
      </c>
      <c r="AX17" s="61">
        <f t="shared" si="22"/>
        <v>3</v>
      </c>
      <c r="AY17" s="72" t="s">
        <v>1127</v>
      </c>
      <c r="AZ17" s="73">
        <v>30984</v>
      </c>
      <c r="BA17" s="74" t="s">
        <v>99</v>
      </c>
      <c r="BB17" s="72" t="s">
        <v>164</v>
      </c>
      <c r="BC17" s="91" t="s">
        <v>101</v>
      </c>
      <c r="BD17" s="91" t="s">
        <v>102</v>
      </c>
      <c r="BE17" s="91" t="s">
        <v>103</v>
      </c>
      <c r="BF17" s="72" t="s">
        <v>1128</v>
      </c>
    </row>
    <row r="18" s="5" customFormat="1" ht="24" customHeight="1" spans="1:58">
      <c r="A18" s="19">
        <v>10</v>
      </c>
      <c r="B18" s="75" t="s">
        <v>1129</v>
      </c>
      <c r="C18" s="81" t="s">
        <v>1130</v>
      </c>
      <c r="D18" s="20" t="s">
        <v>1131</v>
      </c>
      <c r="E18" s="21">
        <v>44746</v>
      </c>
      <c r="F18" s="19" t="s">
        <v>108</v>
      </c>
      <c r="G18" s="75" t="s">
        <v>915</v>
      </c>
      <c r="H18" s="19" t="s">
        <v>916</v>
      </c>
      <c r="I18" s="19">
        <v>3</v>
      </c>
      <c r="J18" s="19">
        <f t="shared" si="0"/>
        <v>23</v>
      </c>
      <c r="K18" s="19">
        <v>200</v>
      </c>
      <c r="L18" s="36">
        <f t="shared" si="1"/>
        <v>23.0769230769231</v>
      </c>
      <c r="M18" s="36">
        <f t="shared" si="25"/>
        <v>171.615384615385</v>
      </c>
      <c r="N18" s="19">
        <v>0</v>
      </c>
      <c r="O18" s="36">
        <f t="shared" si="3"/>
        <v>0</v>
      </c>
      <c r="P18" s="84">
        <v>0</v>
      </c>
      <c r="Q18" s="84">
        <v>0</v>
      </c>
      <c r="R18" s="84">
        <v>0</v>
      </c>
      <c r="S18" s="84">
        <f t="shared" si="4"/>
        <v>1.15384615384615</v>
      </c>
      <c r="T18" s="84">
        <v>0</v>
      </c>
      <c r="U18" s="84">
        <v>0</v>
      </c>
      <c r="V18" s="84">
        <v>10</v>
      </c>
      <c r="W18" s="84">
        <v>0</v>
      </c>
      <c r="X18" s="84">
        <v>8</v>
      </c>
      <c r="Y18" s="84">
        <v>0</v>
      </c>
      <c r="Z18" s="36">
        <v>0</v>
      </c>
      <c r="AA18" s="85">
        <v>0</v>
      </c>
      <c r="AB18" s="36">
        <f t="shared" si="5"/>
        <v>42.2307692307693</v>
      </c>
      <c r="AC18" s="36">
        <f t="shared" si="6"/>
        <v>168923.076923077</v>
      </c>
      <c r="AD18" s="54">
        <f t="shared" si="7"/>
        <v>400000</v>
      </c>
      <c r="AE18" s="36">
        <f t="shared" si="8"/>
        <v>8000</v>
      </c>
      <c r="AF18" s="19">
        <f>AE18/4000+3.8</f>
        <v>5.8</v>
      </c>
      <c r="AG18" s="19">
        <v>0</v>
      </c>
      <c r="AH18" s="19">
        <v>0</v>
      </c>
      <c r="AI18" s="19">
        <f t="shared" si="9"/>
        <v>5.8</v>
      </c>
      <c r="AJ18" s="36">
        <f t="shared" si="10"/>
        <v>36.4307692307693</v>
      </c>
      <c r="AK18" s="19">
        <f t="shared" si="11"/>
        <v>30</v>
      </c>
      <c r="AL18" s="60">
        <f t="shared" si="12"/>
        <v>25700</v>
      </c>
      <c r="AM18" s="61"/>
      <c r="AN18" s="62"/>
      <c r="AO18" s="61">
        <f t="shared" si="13"/>
        <v>0</v>
      </c>
      <c r="AP18" s="61">
        <f t="shared" si="14"/>
        <v>0</v>
      </c>
      <c r="AQ18" s="61">
        <f t="shared" si="15"/>
        <v>1</v>
      </c>
      <c r="AR18" s="68">
        <f t="shared" si="16"/>
        <v>1</v>
      </c>
      <c r="AS18" s="61">
        <f t="shared" si="17"/>
        <v>1</v>
      </c>
      <c r="AT18" s="61">
        <f t="shared" si="18"/>
        <v>0</v>
      </c>
      <c r="AU18" s="61">
        <f t="shared" si="19"/>
        <v>1</v>
      </c>
      <c r="AV18" s="61">
        <f t="shared" si="20"/>
        <v>0</v>
      </c>
      <c r="AW18" s="61">
        <f t="shared" si="21"/>
        <v>1</v>
      </c>
      <c r="AX18" s="61">
        <f t="shared" si="22"/>
        <v>2</v>
      </c>
      <c r="AY18" s="72" t="s">
        <v>1132</v>
      </c>
      <c r="AZ18" s="73">
        <v>33445</v>
      </c>
      <c r="BA18" s="74" t="s">
        <v>922</v>
      </c>
      <c r="BB18" s="72" t="s">
        <v>164</v>
      </c>
      <c r="BC18" s="91" t="s">
        <v>101</v>
      </c>
      <c r="BD18" s="91" t="s">
        <v>102</v>
      </c>
      <c r="BE18" s="91" t="s">
        <v>103</v>
      </c>
      <c r="BF18" s="72" t="s">
        <v>1133</v>
      </c>
    </row>
    <row r="19" s="5" customFormat="1" ht="24" customHeight="1" spans="1:58">
      <c r="A19" s="19">
        <v>11</v>
      </c>
      <c r="B19" s="75" t="s">
        <v>1136</v>
      </c>
      <c r="C19" s="20" t="s">
        <v>1137</v>
      </c>
      <c r="D19" s="20" t="s">
        <v>1138</v>
      </c>
      <c r="E19" s="21">
        <v>44749</v>
      </c>
      <c r="F19" s="19" t="s">
        <v>96</v>
      </c>
      <c r="G19" s="75" t="s">
        <v>668</v>
      </c>
      <c r="H19" s="76" t="s">
        <v>229</v>
      </c>
      <c r="I19" s="19">
        <v>23</v>
      </c>
      <c r="J19" s="19">
        <f t="shared" si="0"/>
        <v>3</v>
      </c>
      <c r="K19" s="19">
        <v>200</v>
      </c>
      <c r="L19" s="36">
        <f t="shared" si="1"/>
        <v>176.923076923077</v>
      </c>
      <c r="M19" s="36">
        <f t="shared" si="23"/>
        <v>23.0769230769231</v>
      </c>
      <c r="N19" s="19">
        <v>4</v>
      </c>
      <c r="O19" s="19">
        <f t="shared" si="3"/>
        <v>5.76923076923077</v>
      </c>
      <c r="P19" s="19">
        <v>0</v>
      </c>
      <c r="Q19" s="19">
        <f t="shared" si="24"/>
        <v>0</v>
      </c>
      <c r="R19" s="19">
        <v>0</v>
      </c>
      <c r="S19" s="19">
        <f t="shared" si="4"/>
        <v>8.84615384615385</v>
      </c>
      <c r="T19" s="19">
        <v>0</v>
      </c>
      <c r="U19" s="19">
        <v>0</v>
      </c>
      <c r="V19" s="19">
        <v>10</v>
      </c>
      <c r="W19" s="19">
        <v>1</v>
      </c>
      <c r="X19" s="19">
        <v>8</v>
      </c>
      <c r="Y19" s="19">
        <v>0</v>
      </c>
      <c r="Z19" s="19">
        <v>33.33</v>
      </c>
      <c r="AA19" s="19">
        <v>12.82</v>
      </c>
      <c r="AB19" s="36">
        <f t="shared" si="5"/>
        <v>256.688461538462</v>
      </c>
      <c r="AC19" s="36">
        <f t="shared" si="6"/>
        <v>1026753.84615385</v>
      </c>
      <c r="AD19" s="54">
        <f t="shared" si="7"/>
        <v>1026753.84615385</v>
      </c>
      <c r="AE19" s="36">
        <f t="shared" si="8"/>
        <v>20535.0769230769</v>
      </c>
      <c r="AF19" s="19">
        <f>+AE19/4000+4.46</f>
        <v>9.59376923076923</v>
      </c>
      <c r="AG19" s="19">
        <v>0</v>
      </c>
      <c r="AH19" s="19">
        <v>100</v>
      </c>
      <c r="AI19" s="19">
        <f t="shared" si="9"/>
        <v>109.593769230769</v>
      </c>
      <c r="AJ19" s="36">
        <f t="shared" si="10"/>
        <v>147.094692307693</v>
      </c>
      <c r="AK19" s="19">
        <f t="shared" si="11"/>
        <v>140</v>
      </c>
      <c r="AL19" s="60">
        <f t="shared" si="12"/>
        <v>28400</v>
      </c>
      <c r="AM19" s="61"/>
      <c r="AN19" s="62"/>
      <c r="AO19" s="61">
        <f t="shared" si="13"/>
        <v>1</v>
      </c>
      <c r="AP19" s="61">
        <f t="shared" si="14"/>
        <v>0</v>
      </c>
      <c r="AQ19" s="61">
        <f t="shared" si="15"/>
        <v>2</v>
      </c>
      <c r="AR19" s="68">
        <f t="shared" si="16"/>
        <v>0</v>
      </c>
      <c r="AS19" s="61">
        <f t="shared" si="17"/>
        <v>1</v>
      </c>
      <c r="AT19" s="61">
        <f t="shared" si="18"/>
        <v>0</v>
      </c>
      <c r="AU19" s="61">
        <f t="shared" si="19"/>
        <v>1</v>
      </c>
      <c r="AV19" s="61">
        <f t="shared" si="20"/>
        <v>3</v>
      </c>
      <c r="AW19" s="61">
        <f t="shared" si="21"/>
        <v>0</v>
      </c>
      <c r="AX19" s="61">
        <f t="shared" si="22"/>
        <v>4</v>
      </c>
      <c r="AY19" s="72" t="s">
        <v>1132</v>
      </c>
      <c r="AZ19" s="73">
        <v>33445</v>
      </c>
      <c r="BA19" s="74" t="s">
        <v>922</v>
      </c>
      <c r="BB19" s="72" t="s">
        <v>164</v>
      </c>
      <c r="BC19" s="91" t="s">
        <v>101</v>
      </c>
      <c r="BD19" s="91" t="s">
        <v>102</v>
      </c>
      <c r="BE19" s="91" t="s">
        <v>103</v>
      </c>
      <c r="BF19" s="72" t="s">
        <v>1133</v>
      </c>
    </row>
    <row r="20" ht="19" customHeight="1" spans="1:50">
      <c r="A20" s="23" t="s">
        <v>216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37"/>
      <c r="M20" s="38"/>
      <c r="N20" s="38"/>
      <c r="O20" s="38"/>
      <c r="P20" s="38"/>
      <c r="Q20" s="38"/>
      <c r="R20" s="38"/>
      <c r="S20" s="38"/>
      <c r="T20" s="38"/>
      <c r="U20" s="38"/>
      <c r="V20" s="37"/>
      <c r="W20" s="37"/>
      <c r="X20" s="37"/>
      <c r="Y20" s="38"/>
      <c r="Z20" s="37"/>
      <c r="AA20" s="37"/>
      <c r="AB20" s="55">
        <f>SUM(AB1:AB19)</f>
        <v>1697.31076923077</v>
      </c>
      <c r="AC20" s="37"/>
      <c r="AD20" s="37"/>
      <c r="AE20" s="37"/>
      <c r="AF20" s="38"/>
      <c r="AG20" s="38"/>
      <c r="AH20" s="38"/>
      <c r="AI20" s="63"/>
      <c r="AJ20" s="55">
        <f>SUM(AJ1:AJ19)</f>
        <v>1221.01487692308</v>
      </c>
      <c r="AK20" s="78" t="e">
        <f>SUM(#REF!)</f>
        <v>#REF!</v>
      </c>
      <c r="AL20" s="79" t="e">
        <f>SUM(#REF!)</f>
        <v>#REF!</v>
      </c>
      <c r="AM20" s="65"/>
      <c r="AN20" s="66"/>
      <c r="AO20" s="69">
        <f t="shared" ref="AO20:AX20" si="26">SUM(AO9:AO19)</f>
        <v>6</v>
      </c>
      <c r="AP20" s="69">
        <f t="shared" si="26"/>
        <v>5</v>
      </c>
      <c r="AQ20" s="69">
        <f t="shared" si="26"/>
        <v>13</v>
      </c>
      <c r="AR20" s="69">
        <f t="shared" si="26"/>
        <v>6</v>
      </c>
      <c r="AS20" s="69">
        <f t="shared" si="26"/>
        <v>5</v>
      </c>
      <c r="AT20" s="69">
        <f t="shared" si="26"/>
        <v>5</v>
      </c>
      <c r="AU20" s="69">
        <f t="shared" si="26"/>
        <v>5</v>
      </c>
      <c r="AV20" s="69">
        <f t="shared" si="26"/>
        <v>25</v>
      </c>
      <c r="AW20" s="69">
        <f t="shared" si="26"/>
        <v>5</v>
      </c>
      <c r="AX20" s="69">
        <f t="shared" si="26"/>
        <v>16</v>
      </c>
    </row>
    <row r="24" spans="4:28">
      <c r="D24" s="25">
        <v>100</v>
      </c>
      <c r="E24" s="26">
        <v>50</v>
      </c>
      <c r="F24" s="26">
        <v>20</v>
      </c>
      <c r="G24" s="26"/>
      <c r="H24" s="26">
        <v>10</v>
      </c>
      <c r="I24" s="26"/>
      <c r="J24" s="39" t="s">
        <v>1134</v>
      </c>
      <c r="K24" s="39"/>
      <c r="L24" s="40" t="s">
        <v>1086</v>
      </c>
      <c r="M24" s="41"/>
      <c r="N24" s="40" t="s">
        <v>1087</v>
      </c>
      <c r="O24" s="41"/>
      <c r="P24" s="40" t="s">
        <v>1088</v>
      </c>
      <c r="Q24" s="41"/>
      <c r="R24" s="40" t="s">
        <v>1089</v>
      </c>
      <c r="S24" s="41"/>
      <c r="T24" s="40" t="s">
        <v>1090</v>
      </c>
      <c r="U24" s="41"/>
      <c r="AB24" s="87"/>
    </row>
    <row r="25" spans="4:28">
      <c r="D25" s="25"/>
      <c r="E25" s="26"/>
      <c r="F25" s="26"/>
      <c r="G25" s="26"/>
      <c r="H25" s="26"/>
      <c r="I25" s="26"/>
      <c r="J25" s="39"/>
      <c r="K25" s="39"/>
      <c r="L25" s="42"/>
      <c r="M25" s="43"/>
      <c r="N25" s="42"/>
      <c r="O25" s="43"/>
      <c r="P25" s="42"/>
      <c r="Q25" s="43"/>
      <c r="R25" s="42"/>
      <c r="S25" s="43"/>
      <c r="T25" s="42"/>
      <c r="U25" s="43"/>
      <c r="AB25" s="88"/>
    </row>
    <row r="26" spans="4:28">
      <c r="D26" s="27">
        <f t="shared" ref="D26:F26" si="27">AO20</f>
        <v>6</v>
      </c>
      <c r="E26" s="27">
        <f t="shared" si="27"/>
        <v>5</v>
      </c>
      <c r="F26" s="27">
        <f t="shared" si="27"/>
        <v>13</v>
      </c>
      <c r="G26" s="27"/>
      <c r="H26" s="27">
        <f>AR20</f>
        <v>6</v>
      </c>
      <c r="I26" s="27"/>
      <c r="J26" s="27">
        <f>AS20</f>
        <v>5</v>
      </c>
      <c r="K26" s="27"/>
      <c r="L26" s="44">
        <f>AT20</f>
        <v>5</v>
      </c>
      <c r="M26" s="45"/>
      <c r="N26" s="44">
        <f>AU20</f>
        <v>5</v>
      </c>
      <c r="O26" s="45"/>
      <c r="P26" s="44">
        <f>AV20</f>
        <v>25</v>
      </c>
      <c r="Q26" s="45"/>
      <c r="R26" s="44">
        <f>AW20</f>
        <v>5</v>
      </c>
      <c r="S26" s="45"/>
      <c r="T26" s="44">
        <f>AX20</f>
        <v>16</v>
      </c>
      <c r="U26" s="45"/>
      <c r="AB26" s="88"/>
    </row>
    <row r="27" spans="4:28">
      <c r="D27" s="27"/>
      <c r="E27" s="27"/>
      <c r="F27" s="27"/>
      <c r="G27" s="27"/>
      <c r="H27" s="27"/>
      <c r="I27" s="27"/>
      <c r="J27" s="27"/>
      <c r="K27" s="27"/>
      <c r="L27" s="46"/>
      <c r="M27" s="47"/>
      <c r="N27" s="46"/>
      <c r="O27" s="47"/>
      <c r="P27" s="46"/>
      <c r="Q27" s="47"/>
      <c r="R27" s="46"/>
      <c r="S27" s="47"/>
      <c r="T27" s="46"/>
      <c r="U27" s="47"/>
      <c r="AB27" s="89"/>
    </row>
    <row r="28" spans="28:28">
      <c r="AB28" s="89"/>
    </row>
  </sheetData>
  <autoFilter ref="A8:XFD20">
    <extLst/>
  </autoFilter>
  <mergeCells count="53">
    <mergeCell ref="A1:AM1"/>
    <mergeCell ref="A2:AM2"/>
    <mergeCell ref="A3:AM3"/>
    <mergeCell ref="A4:AM4"/>
    <mergeCell ref="A5:C5"/>
    <mergeCell ref="F5:L5"/>
    <mergeCell ref="AH5:AM5"/>
    <mergeCell ref="N7:Q7"/>
    <mergeCell ref="A20:K20"/>
    <mergeCell ref="A7:A8"/>
    <mergeCell ref="B7:B8"/>
    <mergeCell ref="C7:C8"/>
    <mergeCell ref="D7:D8"/>
    <mergeCell ref="D24:D25"/>
    <mergeCell ref="D26:D27"/>
    <mergeCell ref="E7:E8"/>
    <mergeCell ref="E24:E25"/>
    <mergeCell ref="E26:E27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B25:AB26"/>
    <mergeCell ref="AF7:AF8"/>
    <mergeCell ref="AG7:AG8"/>
    <mergeCell ref="AH7:AH8"/>
    <mergeCell ref="AI7:AI8"/>
    <mergeCell ref="AJ7:AJ8"/>
    <mergeCell ref="AK7:AK8"/>
    <mergeCell ref="AL7:AL8"/>
    <mergeCell ref="AM7:AM8"/>
    <mergeCell ref="F24:G25"/>
    <mergeCell ref="H24:I25"/>
    <mergeCell ref="J24:K25"/>
    <mergeCell ref="L24:M25"/>
    <mergeCell ref="N24:O25"/>
    <mergeCell ref="P24:Q25"/>
    <mergeCell ref="R24:S25"/>
    <mergeCell ref="T24:U25"/>
    <mergeCell ref="F26:G27"/>
    <mergeCell ref="H26:I27"/>
    <mergeCell ref="J26:K27"/>
    <mergeCell ref="L26:M27"/>
    <mergeCell ref="N26:O27"/>
    <mergeCell ref="P26:Q27"/>
    <mergeCell ref="R26:S27"/>
    <mergeCell ref="T26:U27"/>
  </mergeCells>
  <pageMargins left="0.118055555555556" right="0.118055555555556" top="0.236111111111111" bottom="0.236111111111111" header="0.156944444444444" footer="0.0784722222222222"/>
  <pageSetup paperSize="9" orientation="landscape"/>
  <headerFooter/>
  <ignoredErrors>
    <ignoredError sqref="AB20 AJ20 AH12 AH14 AH16:AH17" emptyCellReference="1"/>
  </ignoredError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BF19"/>
  <sheetViews>
    <sheetView zoomScale="130" zoomScaleNormal="130" workbookViewId="0">
      <selection activeCell="P11" sqref="P11"/>
    </sheetView>
  </sheetViews>
  <sheetFormatPr defaultColWidth="9" defaultRowHeight="13.5"/>
  <cols>
    <col min="1" max="1" width="2.68333333333333" style="6" customWidth="1"/>
    <col min="2" max="2" width="5.66666666666667" style="6" customWidth="1"/>
    <col min="3" max="3" width="5.95" style="6" customWidth="1"/>
    <col min="4" max="4" width="6.25" style="6" customWidth="1"/>
    <col min="5" max="5" width="6.24166666666667" style="6" customWidth="1"/>
    <col min="6" max="6" width="2.98333333333333" style="6" customWidth="1"/>
    <col min="7" max="7" width="3.06666666666667" style="6" customWidth="1"/>
    <col min="8" max="8" width="2.88333333333333" style="6" customWidth="1"/>
    <col min="9" max="9" width="3.075" style="6" customWidth="1"/>
    <col min="10" max="10" width="4.225" style="6" customWidth="1"/>
    <col min="11" max="11" width="3.55" style="6" customWidth="1"/>
    <col min="12" max="12" width="4.61666666666667" customWidth="1"/>
    <col min="13" max="13" width="5.09166666666667" customWidth="1"/>
    <col min="14" max="14" width="2.79166666666667" customWidth="1"/>
    <col min="15" max="15" width="3.84166666666667" customWidth="1"/>
    <col min="16" max="16" width="3.075" customWidth="1"/>
    <col min="17" max="17" width="2.875" customWidth="1"/>
    <col min="18" max="18" width="2.49166666666667" customWidth="1"/>
    <col min="19" max="19" width="3.94166666666667" customWidth="1"/>
    <col min="20" max="21" width="2.975" customWidth="1"/>
    <col min="22" max="22" width="3.35833333333333" customWidth="1"/>
    <col min="23" max="23" width="2.775" customWidth="1"/>
    <col min="24" max="25" width="3.075" customWidth="1"/>
    <col min="26" max="26" width="3.85" customWidth="1"/>
    <col min="27" max="27" width="3.84166666666667" customWidth="1"/>
    <col min="28" max="28" width="6.625" customWidth="1"/>
    <col min="29" max="31" width="6.725" hidden="1" customWidth="1"/>
    <col min="32" max="32" width="3.55" customWidth="1"/>
    <col min="33" max="33" width="3.35833333333333" customWidth="1"/>
    <col min="34" max="34" width="2.975" customWidth="1"/>
    <col min="35" max="35" width="3.06666666666667" customWidth="1"/>
    <col min="36" max="36" width="6.725" customWidth="1"/>
    <col min="37" max="37" width="3.93333333333333" customWidth="1"/>
    <col min="38" max="38" width="6.35" customWidth="1"/>
    <col min="39" max="39" width="8.65" customWidth="1"/>
    <col min="40" max="50" width="6.25" customWidth="1"/>
    <col min="51" max="51" width="16.875" style="6" customWidth="1"/>
    <col min="52" max="52" width="12.625" customWidth="1"/>
    <col min="53" max="53" width="12" customWidth="1"/>
    <col min="54" max="54" width="12.75" customWidth="1"/>
    <col min="55" max="55" width="10.5" customWidth="1"/>
    <col min="56" max="56" width="15.75" customWidth="1"/>
    <col min="58" max="58" width="16.5" customWidth="1"/>
  </cols>
  <sheetData>
    <row r="1" ht="27.95" customHeight="1" spans="1:5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ht="18.95" customHeight="1" spans="1:5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ht="15.95" customHeight="1" spans="1:5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ht="15.95" customHeight="1" spans="1:50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="1" customFormat="1" ht="14.1" customHeight="1" spans="1:51">
      <c r="A5" s="10" t="s">
        <v>1091</v>
      </c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56" t="s">
        <v>1139</v>
      </c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0"/>
    </row>
    <row r="6" s="2" customFormat="1" ht="37" customHeight="1" spans="1:50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 t="s">
        <v>1058</v>
      </c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1050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/>
      <c r="AD6" s="29"/>
      <c r="AE6" s="29"/>
      <c r="AF6" s="29" t="s">
        <v>31</v>
      </c>
      <c r="AG6" s="29" t="s">
        <v>32</v>
      </c>
      <c r="AH6" s="29" t="s">
        <v>1052</v>
      </c>
      <c r="AI6" s="29" t="s">
        <v>34</v>
      </c>
      <c r="AJ6" s="29" t="s">
        <v>35</v>
      </c>
      <c r="AK6" s="29" t="s">
        <v>36</v>
      </c>
      <c r="AL6" s="14" t="s">
        <v>37</v>
      </c>
      <c r="AM6" s="29" t="s">
        <v>38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</row>
    <row r="7" s="3" customFormat="1" ht="12" customHeight="1" spans="1:58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/>
      <c r="AD7" s="53"/>
      <c r="AE7" s="53"/>
      <c r="AF7" s="53" t="s">
        <v>62</v>
      </c>
      <c r="AG7" s="30" t="s">
        <v>63</v>
      </c>
      <c r="AH7" s="53" t="s">
        <v>201</v>
      </c>
      <c r="AI7" s="53" t="s">
        <v>65</v>
      </c>
      <c r="AJ7" s="53" t="s">
        <v>66</v>
      </c>
      <c r="AK7" s="53" t="s">
        <v>67</v>
      </c>
      <c r="AL7" s="53" t="s">
        <v>68</v>
      </c>
      <c r="AM7" s="53" t="s">
        <v>69</v>
      </c>
      <c r="AN7" s="58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71" t="s">
        <v>71</v>
      </c>
      <c r="AZ7" s="71" t="s">
        <v>72</v>
      </c>
      <c r="BA7" s="71" t="s">
        <v>73</v>
      </c>
      <c r="BB7" s="71" t="s">
        <v>74</v>
      </c>
      <c r="BC7" s="71" t="s">
        <v>75</v>
      </c>
      <c r="BD7" s="71" t="s">
        <v>76</v>
      </c>
      <c r="BE7" s="71" t="s">
        <v>77</v>
      </c>
      <c r="BF7" s="71" t="s">
        <v>78</v>
      </c>
    </row>
    <row r="8" s="4" customFormat="1" ht="21.95" customHeight="1" spans="1:58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50" t="s">
        <v>57</v>
      </c>
      <c r="X8" s="50" t="s">
        <v>57</v>
      </c>
      <c r="Y8" s="31" t="s">
        <v>83</v>
      </c>
      <c r="Z8" s="31" t="s">
        <v>84</v>
      </c>
      <c r="AA8" s="52"/>
      <c r="AB8" s="52"/>
      <c r="AC8" s="52"/>
      <c r="AD8" s="52"/>
      <c r="AE8" s="52"/>
      <c r="AF8" s="52"/>
      <c r="AG8" s="34"/>
      <c r="AH8" s="52"/>
      <c r="AI8" s="52"/>
      <c r="AJ8" s="52"/>
      <c r="AK8" s="52"/>
      <c r="AL8" s="52"/>
      <c r="AM8" s="34"/>
      <c r="AN8" s="59"/>
      <c r="AO8" s="34">
        <v>100</v>
      </c>
      <c r="AP8" s="34">
        <v>50</v>
      </c>
      <c r="AQ8" s="34">
        <v>20</v>
      </c>
      <c r="AR8" s="34">
        <v>10</v>
      </c>
      <c r="AS8" s="34">
        <v>20000</v>
      </c>
      <c r="AT8" s="34">
        <v>10000</v>
      </c>
      <c r="AU8" s="34">
        <v>5000</v>
      </c>
      <c r="AV8" s="34">
        <v>1000</v>
      </c>
      <c r="AW8" s="34">
        <v>500</v>
      </c>
      <c r="AX8" s="34">
        <v>100</v>
      </c>
      <c r="AY8" s="72" t="s">
        <v>85</v>
      </c>
      <c r="AZ8" s="72" t="s">
        <v>86</v>
      </c>
      <c r="BA8" s="72" t="s">
        <v>87</v>
      </c>
      <c r="BB8" s="72" t="s">
        <v>88</v>
      </c>
      <c r="BC8" s="72" t="s">
        <v>89</v>
      </c>
      <c r="BD8" s="72" t="s">
        <v>90</v>
      </c>
      <c r="BE8" s="72" t="s">
        <v>91</v>
      </c>
      <c r="BF8" s="74" t="s">
        <v>92</v>
      </c>
    </row>
    <row r="9" s="5" customFormat="1" ht="27" customHeight="1" spans="1:58">
      <c r="A9" s="19">
        <v>1</v>
      </c>
      <c r="B9" s="75" t="s">
        <v>1136</v>
      </c>
      <c r="C9" s="20" t="s">
        <v>1137</v>
      </c>
      <c r="D9" s="20" t="s">
        <v>1138</v>
      </c>
      <c r="E9" s="21">
        <v>44749</v>
      </c>
      <c r="F9" s="19" t="s">
        <v>96</v>
      </c>
      <c r="G9" s="75" t="s">
        <v>668</v>
      </c>
      <c r="H9" s="76" t="s">
        <v>229</v>
      </c>
      <c r="I9" s="19">
        <v>23</v>
      </c>
      <c r="J9" s="19">
        <f>26-I9</f>
        <v>3</v>
      </c>
      <c r="K9" s="19">
        <v>200</v>
      </c>
      <c r="L9" s="36">
        <f>K9/26*I9</f>
        <v>176.923076923077</v>
      </c>
      <c r="M9" s="36">
        <f>K9/26*J9</f>
        <v>23.0769230769231</v>
      </c>
      <c r="N9" s="19">
        <v>4</v>
      </c>
      <c r="O9" s="19">
        <f>K9/26/8*1.5*N9</f>
        <v>5.76923076923077</v>
      </c>
      <c r="P9" s="19">
        <v>0</v>
      </c>
      <c r="Q9" s="19">
        <f>K9/26*2*P9</f>
        <v>0</v>
      </c>
      <c r="R9" s="19">
        <v>0</v>
      </c>
      <c r="S9" s="19">
        <f>10/26*I9</f>
        <v>8.84615384615385</v>
      </c>
      <c r="T9" s="19">
        <v>0</v>
      </c>
      <c r="U9" s="19">
        <v>0</v>
      </c>
      <c r="V9" s="19">
        <v>10</v>
      </c>
      <c r="W9" s="19">
        <v>1</v>
      </c>
      <c r="X9" s="19">
        <v>8</v>
      </c>
      <c r="Y9" s="19">
        <v>0</v>
      </c>
      <c r="Z9" s="19">
        <v>33.33</v>
      </c>
      <c r="AA9" s="19">
        <v>12.82</v>
      </c>
      <c r="AB9" s="36">
        <f>L9+O9+Q9+R9+S9+T9+U9+V9+X9+Y9+Z9+AA9+W9</f>
        <v>256.688461538462</v>
      </c>
      <c r="AC9" s="36">
        <f>+AB9*4000</f>
        <v>1026753.84615385</v>
      </c>
      <c r="AD9" s="54">
        <f>+IF(AC9&lt;=400000,400000,IF(AC9&lt;=1200000,AC9,IF(AC9&gt;1200000,1200000)))</f>
        <v>1026753.84615385</v>
      </c>
      <c r="AE9" s="36">
        <f>+AD9*2%</f>
        <v>20535.0769230769</v>
      </c>
      <c r="AF9" s="19">
        <f>+AE9/4000+4.46</f>
        <v>9.59376923076923</v>
      </c>
      <c r="AG9" s="19">
        <v>0</v>
      </c>
      <c r="AH9" s="19">
        <v>100</v>
      </c>
      <c r="AI9" s="19">
        <f>SUM(AF9:AH9)</f>
        <v>109.593769230769</v>
      </c>
      <c r="AJ9" s="36">
        <f>AB9-AI9</f>
        <v>147.094692307692</v>
      </c>
      <c r="AK9" s="19">
        <f>INT(AJ9/10)*10</f>
        <v>140</v>
      </c>
      <c r="AL9" s="60">
        <f>INT((ROUND((AJ9-AK9)*0.4,2))*10000)</f>
        <v>28400</v>
      </c>
      <c r="AM9" s="61"/>
      <c r="AN9" s="62"/>
      <c r="AO9" s="61">
        <f>INT(AJ9/100)</f>
        <v>1</v>
      </c>
      <c r="AP9" s="61">
        <f>INT((AJ9-AO9*100)/50)</f>
        <v>0</v>
      </c>
      <c r="AQ9" s="61">
        <f>INT((AJ9-AO9*100-AP9*50)/20)</f>
        <v>2</v>
      </c>
      <c r="AR9" s="68">
        <f>INT((AJ9-AO9*100-AP9*50-AQ9*20)/10)</f>
        <v>0</v>
      </c>
      <c r="AS9" s="61">
        <f>INT(AL9/20000)</f>
        <v>1</v>
      </c>
      <c r="AT9" s="61">
        <f>INT((AL9-AS9*20000)/10000)</f>
        <v>0</v>
      </c>
      <c r="AU9" s="61">
        <f>INT((AL9-AS9*20000-AT9*10000)/5000)</f>
        <v>1</v>
      </c>
      <c r="AV9" s="61">
        <f>INT((AL9-AS9*20000-AT9*10000-AU9*5000)/1000)</f>
        <v>3</v>
      </c>
      <c r="AW9" s="61">
        <f>INT((AL9-AS9*20000-AT9*10000-AU9*5000-AV9*1000)/500)</f>
        <v>0</v>
      </c>
      <c r="AX9" s="61">
        <f>INT((AL9-AS9*20000-AT9*10000-AU9*5000-AV9*1000-AW9*500)/100)</f>
        <v>4</v>
      </c>
      <c r="AY9" s="72">
        <v>101291360</v>
      </c>
      <c r="AZ9" s="73">
        <v>31505</v>
      </c>
      <c r="BA9" s="74" t="s">
        <v>99</v>
      </c>
      <c r="BB9" s="72">
        <v>1</v>
      </c>
      <c r="BC9" s="74" t="s">
        <v>102</v>
      </c>
      <c r="BD9" s="74" t="s">
        <v>102</v>
      </c>
      <c r="BE9" s="74" t="s">
        <v>103</v>
      </c>
      <c r="BF9" s="72" t="s">
        <v>968</v>
      </c>
    </row>
    <row r="10" ht="19" customHeight="1" spans="1:50">
      <c r="A10" s="23" t="s">
        <v>216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7"/>
      <c r="W10" s="37"/>
      <c r="X10" s="37"/>
      <c r="Y10" s="38"/>
      <c r="Z10" s="37"/>
      <c r="AA10" s="37"/>
      <c r="AB10" s="55">
        <f>SUM(AB1:AB9)</f>
        <v>256.688461538462</v>
      </c>
      <c r="AC10" s="37"/>
      <c r="AD10" s="37"/>
      <c r="AE10" s="37"/>
      <c r="AF10" s="38"/>
      <c r="AG10" s="38"/>
      <c r="AH10" s="38"/>
      <c r="AI10" s="63"/>
      <c r="AJ10" s="55">
        <f>SUM(AJ1:AJ9)</f>
        <v>147.094692307692</v>
      </c>
      <c r="AK10" s="78">
        <f>SUM(AK9:AK9)</f>
        <v>140</v>
      </c>
      <c r="AL10" s="79">
        <f>SUM(AL9:AL9)</f>
        <v>28400</v>
      </c>
      <c r="AM10" s="65"/>
      <c r="AN10" s="66"/>
      <c r="AO10" s="69">
        <f>SUM(AO9:AO9)</f>
        <v>1</v>
      </c>
      <c r="AP10" s="69">
        <f t="shared" ref="AP10:AX10" si="0">SUM(AP9:AP9)</f>
        <v>0</v>
      </c>
      <c r="AQ10" s="69">
        <f t="shared" si="0"/>
        <v>2</v>
      </c>
      <c r="AR10" s="69">
        <f t="shared" si="0"/>
        <v>0</v>
      </c>
      <c r="AS10" s="69">
        <f t="shared" si="0"/>
        <v>1</v>
      </c>
      <c r="AT10" s="69">
        <f t="shared" si="0"/>
        <v>0</v>
      </c>
      <c r="AU10" s="69">
        <f t="shared" si="0"/>
        <v>1</v>
      </c>
      <c r="AV10" s="69">
        <f t="shared" si="0"/>
        <v>3</v>
      </c>
      <c r="AW10" s="69">
        <f t="shared" si="0"/>
        <v>0</v>
      </c>
      <c r="AX10" s="69">
        <f t="shared" si="0"/>
        <v>4</v>
      </c>
    </row>
    <row r="14" spans="4:21">
      <c r="D14" s="25">
        <v>100</v>
      </c>
      <c r="E14" s="26">
        <v>50</v>
      </c>
      <c r="F14" s="26">
        <v>20</v>
      </c>
      <c r="G14" s="26"/>
      <c r="H14" s="26">
        <v>10</v>
      </c>
      <c r="I14" s="26"/>
      <c r="J14" s="39" t="s">
        <v>1134</v>
      </c>
      <c r="K14" s="39"/>
      <c r="L14" s="40" t="s">
        <v>1086</v>
      </c>
      <c r="M14" s="41"/>
      <c r="N14" s="40" t="s">
        <v>1087</v>
      </c>
      <c r="O14" s="41"/>
      <c r="P14" s="40" t="s">
        <v>1088</v>
      </c>
      <c r="Q14" s="41"/>
      <c r="R14" s="40" t="s">
        <v>1089</v>
      </c>
      <c r="S14" s="41"/>
      <c r="T14" s="40" t="s">
        <v>1090</v>
      </c>
      <c r="U14" s="41"/>
    </row>
    <row r="15" spans="4:21">
      <c r="D15" s="25"/>
      <c r="E15" s="26"/>
      <c r="F15" s="26"/>
      <c r="G15" s="26"/>
      <c r="H15" s="26"/>
      <c r="I15" s="26"/>
      <c r="J15" s="39"/>
      <c r="K15" s="39"/>
      <c r="L15" s="42"/>
      <c r="M15" s="43"/>
      <c r="N15" s="42"/>
      <c r="O15" s="43"/>
      <c r="P15" s="42"/>
      <c r="Q15" s="43"/>
      <c r="R15" s="42"/>
      <c r="S15" s="43"/>
      <c r="T15" s="42"/>
      <c r="U15" s="43"/>
    </row>
    <row r="16" spans="4:21">
      <c r="D16" s="27">
        <f>AO10</f>
        <v>1</v>
      </c>
      <c r="E16" s="27">
        <f>AP10</f>
        <v>0</v>
      </c>
      <c r="F16" s="27">
        <f>AQ10</f>
        <v>2</v>
      </c>
      <c r="G16" s="27"/>
      <c r="H16" s="27">
        <f>AR10</f>
        <v>0</v>
      </c>
      <c r="I16" s="27"/>
      <c r="J16" s="27">
        <f>AS10</f>
        <v>1</v>
      </c>
      <c r="K16" s="27"/>
      <c r="L16" s="44">
        <f>AT10</f>
        <v>0</v>
      </c>
      <c r="M16" s="45"/>
      <c r="N16" s="44">
        <f>AU10</f>
        <v>1</v>
      </c>
      <c r="O16" s="45"/>
      <c r="P16" s="44">
        <f>AV10</f>
        <v>3</v>
      </c>
      <c r="Q16" s="45"/>
      <c r="R16" s="44">
        <f>AW10</f>
        <v>0</v>
      </c>
      <c r="S16" s="45"/>
      <c r="T16" s="44">
        <f>AX10</f>
        <v>4</v>
      </c>
      <c r="U16" s="45"/>
    </row>
    <row r="17" spans="4:21">
      <c r="D17" s="27"/>
      <c r="E17" s="27"/>
      <c r="F17" s="27"/>
      <c r="G17" s="27"/>
      <c r="H17" s="27"/>
      <c r="I17" s="27"/>
      <c r="J17" s="27"/>
      <c r="K17" s="27"/>
      <c r="L17" s="46"/>
      <c r="M17" s="47"/>
      <c r="N17" s="46"/>
      <c r="O17" s="47"/>
      <c r="P17" s="46"/>
      <c r="Q17" s="47"/>
      <c r="R17" s="46"/>
      <c r="S17" s="47"/>
      <c r="T17" s="46"/>
      <c r="U17" s="47"/>
    </row>
    <row r="19" spans="2:38">
      <c r="B19" s="28" t="s">
        <v>1140</v>
      </c>
      <c r="AL19" s="67" t="s">
        <v>1141</v>
      </c>
    </row>
  </sheetData>
  <autoFilter ref="A8:XFD10">
    <extLst/>
  </autoFilter>
  <mergeCells count="52">
    <mergeCell ref="A1:AM1"/>
    <mergeCell ref="A2:AM2"/>
    <mergeCell ref="A3:AM3"/>
    <mergeCell ref="A4:AM4"/>
    <mergeCell ref="A5:C5"/>
    <mergeCell ref="F5:L5"/>
    <mergeCell ref="AH5:AM5"/>
    <mergeCell ref="N7:Q7"/>
    <mergeCell ref="A10:K10"/>
    <mergeCell ref="A7:A8"/>
    <mergeCell ref="B7:B8"/>
    <mergeCell ref="C7:C8"/>
    <mergeCell ref="D7:D8"/>
    <mergeCell ref="D14:D15"/>
    <mergeCell ref="D16:D17"/>
    <mergeCell ref="E7:E8"/>
    <mergeCell ref="E14:E15"/>
    <mergeCell ref="E16:E17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F7:AF8"/>
    <mergeCell ref="AG7:AG8"/>
    <mergeCell ref="AH7:AH8"/>
    <mergeCell ref="AI7:AI8"/>
    <mergeCell ref="AJ7:AJ8"/>
    <mergeCell ref="AK7:AK8"/>
    <mergeCell ref="AL7:AL8"/>
    <mergeCell ref="AM7:AM8"/>
    <mergeCell ref="F14:G15"/>
    <mergeCell ref="H14:I15"/>
    <mergeCell ref="J14:K15"/>
    <mergeCell ref="L14:M15"/>
    <mergeCell ref="N14:O15"/>
    <mergeCell ref="P14:Q15"/>
    <mergeCell ref="R14:S15"/>
    <mergeCell ref="T14:U15"/>
    <mergeCell ref="F16:G17"/>
    <mergeCell ref="H16:I17"/>
    <mergeCell ref="J16:K17"/>
    <mergeCell ref="L16:M17"/>
    <mergeCell ref="N16:O17"/>
    <mergeCell ref="P16:Q17"/>
    <mergeCell ref="R16:S17"/>
    <mergeCell ref="T16:U17"/>
  </mergeCells>
  <pageMargins left="0.118055555555556" right="0.118055555555556" top="0.236111111111111" bottom="0.236111111111111" header="0.156944444444444" footer="0.0784722222222222"/>
  <pageSetup paperSize="9" orientation="landscape"/>
  <headerFooter/>
  <ignoredErrors>
    <ignoredError sqref="AJ10 AB10" emptyCellReference="1"/>
  </ignoredError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BF19"/>
  <sheetViews>
    <sheetView zoomScale="130" zoomScaleNormal="130" workbookViewId="0">
      <selection activeCell="P11" sqref="P11"/>
    </sheetView>
  </sheetViews>
  <sheetFormatPr defaultColWidth="9" defaultRowHeight="13.5"/>
  <cols>
    <col min="1" max="1" width="2.68333333333333" style="6" customWidth="1"/>
    <col min="2" max="2" width="5.66666666666667" style="6" customWidth="1"/>
    <col min="3" max="3" width="5.95" style="6" customWidth="1"/>
    <col min="4" max="4" width="6.25" style="6" customWidth="1"/>
    <col min="5" max="5" width="6.24166666666667" style="6" customWidth="1"/>
    <col min="6" max="6" width="2.98333333333333" style="6" customWidth="1"/>
    <col min="7" max="7" width="3.06666666666667" style="6" customWidth="1"/>
    <col min="8" max="8" width="2.88333333333333" style="6" customWidth="1"/>
    <col min="9" max="9" width="3.075" style="6" customWidth="1"/>
    <col min="10" max="10" width="4.225" style="6" customWidth="1"/>
    <col min="11" max="11" width="3.55" style="6" customWidth="1"/>
    <col min="12" max="12" width="4.61666666666667" customWidth="1"/>
    <col min="13" max="13" width="5.09166666666667" customWidth="1"/>
    <col min="14" max="14" width="2.79166666666667" customWidth="1"/>
    <col min="15" max="15" width="3.84166666666667" customWidth="1"/>
    <col min="16" max="16" width="3.075" customWidth="1"/>
    <col min="17" max="17" width="2.875" customWidth="1"/>
    <col min="18" max="18" width="2.49166666666667" customWidth="1"/>
    <col min="19" max="19" width="3.94166666666667" customWidth="1"/>
    <col min="20" max="21" width="2.975" customWidth="1"/>
    <col min="22" max="22" width="3.35833333333333" customWidth="1"/>
    <col min="23" max="23" width="2.775" customWidth="1"/>
    <col min="24" max="25" width="3.075" customWidth="1"/>
    <col min="26" max="26" width="3.85" customWidth="1"/>
    <col min="27" max="27" width="3.84166666666667" customWidth="1"/>
    <col min="28" max="28" width="6.625" customWidth="1"/>
    <col min="29" max="31" width="6.725" hidden="1" customWidth="1"/>
    <col min="32" max="32" width="3.55" customWidth="1"/>
    <col min="33" max="33" width="3.35833333333333" customWidth="1"/>
    <col min="34" max="34" width="2.975" customWidth="1"/>
    <col min="35" max="35" width="3.06666666666667" customWidth="1"/>
    <col min="36" max="36" width="6.43333333333333" customWidth="1"/>
    <col min="37" max="37" width="4.03333333333333" customWidth="1"/>
    <col min="38" max="38" width="6.35" customWidth="1"/>
    <col min="39" max="39" width="8.65" customWidth="1"/>
    <col min="40" max="50" width="6.25" customWidth="1"/>
    <col min="51" max="51" width="16.875" style="6" customWidth="1"/>
    <col min="52" max="52" width="12.625" customWidth="1"/>
    <col min="53" max="53" width="12" customWidth="1"/>
    <col min="54" max="54" width="12.75" customWidth="1"/>
    <col min="55" max="55" width="10.5" customWidth="1"/>
    <col min="56" max="56" width="15.75" customWidth="1"/>
    <col min="58" max="58" width="16.5" customWidth="1"/>
  </cols>
  <sheetData>
    <row r="1" ht="27.95" customHeight="1" spans="1:5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ht="18.95" customHeight="1" spans="1:5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ht="15.95" customHeight="1" spans="1:5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ht="15.95" customHeight="1" spans="1:50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="1" customFormat="1" ht="14.1" customHeight="1" spans="1:51">
      <c r="A5" s="10" t="s">
        <v>1091</v>
      </c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56" t="s">
        <v>1139</v>
      </c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0"/>
    </row>
    <row r="6" s="2" customFormat="1" ht="37" customHeight="1" spans="1:50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 t="s">
        <v>1058</v>
      </c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1050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/>
      <c r="AD6" s="29"/>
      <c r="AE6" s="29"/>
      <c r="AF6" s="29" t="s">
        <v>31</v>
      </c>
      <c r="AG6" s="29" t="s">
        <v>32</v>
      </c>
      <c r="AH6" s="29" t="s">
        <v>1052</v>
      </c>
      <c r="AI6" s="29" t="s">
        <v>34</v>
      </c>
      <c r="AJ6" s="29" t="s">
        <v>35</v>
      </c>
      <c r="AK6" s="29" t="s">
        <v>36</v>
      </c>
      <c r="AL6" s="14" t="s">
        <v>37</v>
      </c>
      <c r="AM6" s="29" t="s">
        <v>38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</row>
    <row r="7" s="3" customFormat="1" ht="12" customHeight="1" spans="1:58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/>
      <c r="AD7" s="53"/>
      <c r="AE7" s="53"/>
      <c r="AF7" s="53" t="s">
        <v>62</v>
      </c>
      <c r="AG7" s="30" t="s">
        <v>63</v>
      </c>
      <c r="AH7" s="53" t="s">
        <v>201</v>
      </c>
      <c r="AI7" s="53" t="s">
        <v>65</v>
      </c>
      <c r="AJ7" s="53" t="s">
        <v>66</v>
      </c>
      <c r="AK7" s="53" t="s">
        <v>67</v>
      </c>
      <c r="AL7" s="53" t="s">
        <v>68</v>
      </c>
      <c r="AM7" s="53" t="s">
        <v>69</v>
      </c>
      <c r="AN7" s="58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71" t="s">
        <v>71</v>
      </c>
      <c r="AZ7" s="71" t="s">
        <v>72</v>
      </c>
      <c r="BA7" s="71" t="s">
        <v>73</v>
      </c>
      <c r="BB7" s="71" t="s">
        <v>74</v>
      </c>
      <c r="BC7" s="71" t="s">
        <v>75</v>
      </c>
      <c r="BD7" s="71" t="s">
        <v>76</v>
      </c>
      <c r="BE7" s="71" t="s">
        <v>77</v>
      </c>
      <c r="BF7" s="71" t="s">
        <v>78</v>
      </c>
    </row>
    <row r="8" s="4" customFormat="1" ht="21.95" customHeight="1" spans="1:58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50" t="s">
        <v>57</v>
      </c>
      <c r="X8" s="50" t="s">
        <v>57</v>
      </c>
      <c r="Y8" s="31" t="s">
        <v>83</v>
      </c>
      <c r="Z8" s="31" t="s">
        <v>84</v>
      </c>
      <c r="AA8" s="52"/>
      <c r="AB8" s="52"/>
      <c r="AC8" s="52"/>
      <c r="AD8" s="52"/>
      <c r="AE8" s="52"/>
      <c r="AF8" s="52"/>
      <c r="AG8" s="34"/>
      <c r="AH8" s="52"/>
      <c r="AI8" s="52"/>
      <c r="AJ8" s="52"/>
      <c r="AK8" s="52"/>
      <c r="AL8" s="52"/>
      <c r="AM8" s="34"/>
      <c r="AN8" s="59"/>
      <c r="AO8" s="34">
        <v>100</v>
      </c>
      <c r="AP8" s="34">
        <v>50</v>
      </c>
      <c r="AQ8" s="34">
        <v>20</v>
      </c>
      <c r="AR8" s="34">
        <v>10</v>
      </c>
      <c r="AS8" s="34">
        <v>20000</v>
      </c>
      <c r="AT8" s="34">
        <v>10000</v>
      </c>
      <c r="AU8" s="34">
        <v>5000</v>
      </c>
      <c r="AV8" s="34">
        <v>1000</v>
      </c>
      <c r="AW8" s="34">
        <v>500</v>
      </c>
      <c r="AX8" s="34">
        <v>100</v>
      </c>
      <c r="AY8" s="72" t="s">
        <v>85</v>
      </c>
      <c r="AZ8" s="72" t="s">
        <v>86</v>
      </c>
      <c r="BA8" s="72" t="s">
        <v>87</v>
      </c>
      <c r="BB8" s="72" t="s">
        <v>88</v>
      </c>
      <c r="BC8" s="72" t="s">
        <v>89</v>
      </c>
      <c r="BD8" s="72" t="s">
        <v>90</v>
      </c>
      <c r="BE8" s="72" t="s">
        <v>91</v>
      </c>
      <c r="BF8" s="74" t="s">
        <v>92</v>
      </c>
    </row>
    <row r="9" s="5" customFormat="1" ht="27" customHeight="1" spans="1:58">
      <c r="A9" s="19">
        <v>1</v>
      </c>
      <c r="B9" s="75" t="s">
        <v>1136</v>
      </c>
      <c r="C9" s="20" t="s">
        <v>1137</v>
      </c>
      <c r="D9" s="20" t="s">
        <v>1138</v>
      </c>
      <c r="E9" s="21">
        <v>44749</v>
      </c>
      <c r="F9" s="19" t="s">
        <v>96</v>
      </c>
      <c r="G9" s="75" t="s">
        <v>668</v>
      </c>
      <c r="H9" s="76" t="s">
        <v>229</v>
      </c>
      <c r="I9" s="19">
        <v>23</v>
      </c>
      <c r="J9" s="19">
        <f>26-I9</f>
        <v>3</v>
      </c>
      <c r="K9" s="19">
        <v>200</v>
      </c>
      <c r="L9" s="36">
        <f>K9/26*I9</f>
        <v>176.923076923077</v>
      </c>
      <c r="M9" s="36">
        <f>K9/26*J9</f>
        <v>23.0769230769231</v>
      </c>
      <c r="N9" s="19">
        <v>4</v>
      </c>
      <c r="O9" s="19">
        <f>K9/26/8*1.5*N9</f>
        <v>5.76923076923077</v>
      </c>
      <c r="P9" s="19">
        <v>0</v>
      </c>
      <c r="Q9" s="19">
        <f>K9/26*2*P9</f>
        <v>0</v>
      </c>
      <c r="R9" s="19">
        <v>0</v>
      </c>
      <c r="S9" s="19">
        <f>10/26*I9</f>
        <v>8.84615384615385</v>
      </c>
      <c r="T9" s="19">
        <v>0</v>
      </c>
      <c r="U9" s="19">
        <v>0</v>
      </c>
      <c r="V9" s="19">
        <v>10</v>
      </c>
      <c r="W9" s="19">
        <v>1</v>
      </c>
      <c r="X9" s="19">
        <v>8</v>
      </c>
      <c r="Y9" s="19">
        <v>0</v>
      </c>
      <c r="Z9" s="19">
        <v>33.33</v>
      </c>
      <c r="AA9" s="19">
        <v>12.82</v>
      </c>
      <c r="AB9" s="36">
        <f>L9+O9+Q9+R9+S9+T9+U9+V9+X9+Y9+Z9+AA9+W9</f>
        <v>256.688461538462</v>
      </c>
      <c r="AC9" s="36">
        <f>+AB9*4000</f>
        <v>1026753.84615385</v>
      </c>
      <c r="AD9" s="54">
        <f>+IF(AC9&lt;=400000,400000,IF(AC9&lt;=1200000,AC9,IF(AC9&gt;1200000,1200000)))</f>
        <v>1026753.84615385</v>
      </c>
      <c r="AE9" s="36">
        <f>+AD9*2%</f>
        <v>20535.0769230769</v>
      </c>
      <c r="AF9" s="19">
        <f>+AE9/4000</f>
        <v>5.13376923076923</v>
      </c>
      <c r="AG9" s="19">
        <v>0</v>
      </c>
      <c r="AH9" s="19">
        <v>100</v>
      </c>
      <c r="AI9" s="19">
        <f>SUM(AF9:AH9)</f>
        <v>105.133769230769</v>
      </c>
      <c r="AJ9" s="36">
        <f>AB9-AI9</f>
        <v>151.554692307692</v>
      </c>
      <c r="AK9" s="19">
        <f>INT(AJ9/10)*10</f>
        <v>150</v>
      </c>
      <c r="AL9" s="60">
        <f>INT((ROUND((AJ9-AK9)*0.4,2))*10000)</f>
        <v>6200</v>
      </c>
      <c r="AM9" s="61"/>
      <c r="AN9" s="62"/>
      <c r="AO9" s="61">
        <f>INT(AJ9/100)</f>
        <v>1</v>
      </c>
      <c r="AP9" s="61">
        <f>INT((AJ9-AO9*100)/50)</f>
        <v>1</v>
      </c>
      <c r="AQ9" s="61">
        <f>INT((AJ9-AO9*100-AP9*50)/20)</f>
        <v>0</v>
      </c>
      <c r="AR9" s="68">
        <f>INT((AJ9-AO9*100-AP9*50-AQ9*20)/10)</f>
        <v>0</v>
      </c>
      <c r="AS9" s="61">
        <f>INT(AL9/20000)</f>
        <v>0</v>
      </c>
      <c r="AT9" s="61">
        <f>INT((AL9-AS9*20000)/10000)</f>
        <v>0</v>
      </c>
      <c r="AU9" s="61">
        <f>INT((AL9-AS9*20000-AT9*10000)/5000)</f>
        <v>1</v>
      </c>
      <c r="AV9" s="61">
        <f>INT((AL9-AS9*20000-AT9*10000-AU9*5000)/1000)</f>
        <v>1</v>
      </c>
      <c r="AW9" s="61">
        <f>INT((AL9-AS9*20000-AT9*10000-AU9*5000-AV9*1000)/500)</f>
        <v>0</v>
      </c>
      <c r="AX9" s="61">
        <f>INT((AL9-AS9*20000-AT9*10000-AU9*5000-AV9*1000-AW9*500)/100)</f>
        <v>2</v>
      </c>
      <c r="AY9" s="72">
        <v>101291360</v>
      </c>
      <c r="AZ9" s="73">
        <v>31505</v>
      </c>
      <c r="BA9" s="74" t="s">
        <v>99</v>
      </c>
      <c r="BB9" s="72">
        <v>1</v>
      </c>
      <c r="BC9" s="74" t="s">
        <v>102</v>
      </c>
      <c r="BD9" s="74" t="s">
        <v>102</v>
      </c>
      <c r="BE9" s="74" t="s">
        <v>103</v>
      </c>
      <c r="BF9" s="72" t="s">
        <v>968</v>
      </c>
    </row>
    <row r="10" ht="19" customHeight="1" spans="1:50">
      <c r="A10" s="23" t="s">
        <v>216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7"/>
      <c r="W10" s="37"/>
      <c r="X10" s="37"/>
      <c r="Y10" s="38"/>
      <c r="Z10" s="37"/>
      <c r="AA10" s="37"/>
      <c r="AB10" s="55">
        <f>SUM(AB1:AB9)</f>
        <v>256.688461538462</v>
      </c>
      <c r="AC10" s="37"/>
      <c r="AD10" s="37"/>
      <c r="AE10" s="37"/>
      <c r="AF10" s="38"/>
      <c r="AG10" s="38"/>
      <c r="AH10" s="38"/>
      <c r="AI10" s="63"/>
      <c r="AJ10" s="55">
        <f>SUM(AJ1:AJ9)</f>
        <v>151.554692307692</v>
      </c>
      <c r="AK10" s="78">
        <f>SUM(AK9:AK9)</f>
        <v>150</v>
      </c>
      <c r="AL10" s="79">
        <f>SUM(AL9:AL9)</f>
        <v>6200</v>
      </c>
      <c r="AM10" s="65"/>
      <c r="AN10" s="66"/>
      <c r="AO10" s="69">
        <f t="shared" ref="AO10:AX10" si="0">SUM(AO9:AO9)</f>
        <v>1</v>
      </c>
      <c r="AP10" s="69">
        <f t="shared" si="0"/>
        <v>1</v>
      </c>
      <c r="AQ10" s="69">
        <f t="shared" si="0"/>
        <v>0</v>
      </c>
      <c r="AR10" s="69">
        <f t="shared" si="0"/>
        <v>0</v>
      </c>
      <c r="AS10" s="69">
        <f t="shared" si="0"/>
        <v>0</v>
      </c>
      <c r="AT10" s="69">
        <f t="shared" si="0"/>
        <v>0</v>
      </c>
      <c r="AU10" s="69">
        <f t="shared" si="0"/>
        <v>1</v>
      </c>
      <c r="AV10" s="69">
        <f t="shared" si="0"/>
        <v>1</v>
      </c>
      <c r="AW10" s="69">
        <f t="shared" si="0"/>
        <v>0</v>
      </c>
      <c r="AX10" s="69">
        <f t="shared" si="0"/>
        <v>2</v>
      </c>
    </row>
    <row r="14" spans="4:21">
      <c r="D14" s="25">
        <v>100</v>
      </c>
      <c r="E14" s="26">
        <v>50</v>
      </c>
      <c r="F14" s="26">
        <v>20</v>
      </c>
      <c r="G14" s="26"/>
      <c r="H14" s="26">
        <v>10</v>
      </c>
      <c r="I14" s="26"/>
      <c r="J14" s="39" t="s">
        <v>1134</v>
      </c>
      <c r="K14" s="39"/>
      <c r="L14" s="40" t="s">
        <v>1086</v>
      </c>
      <c r="M14" s="41"/>
      <c r="N14" s="40" t="s">
        <v>1087</v>
      </c>
      <c r="O14" s="41"/>
      <c r="P14" s="40" t="s">
        <v>1088</v>
      </c>
      <c r="Q14" s="41"/>
      <c r="R14" s="40" t="s">
        <v>1089</v>
      </c>
      <c r="S14" s="41"/>
      <c r="T14" s="40" t="s">
        <v>1090</v>
      </c>
      <c r="U14" s="41"/>
    </row>
    <row r="15" spans="4:21">
      <c r="D15" s="25"/>
      <c r="E15" s="26"/>
      <c r="F15" s="26"/>
      <c r="G15" s="26"/>
      <c r="H15" s="26"/>
      <c r="I15" s="26"/>
      <c r="J15" s="39"/>
      <c r="K15" s="39"/>
      <c r="L15" s="42"/>
      <c r="M15" s="43"/>
      <c r="N15" s="42"/>
      <c r="O15" s="43"/>
      <c r="P15" s="42"/>
      <c r="Q15" s="43"/>
      <c r="R15" s="42"/>
      <c r="S15" s="43"/>
      <c r="T15" s="42"/>
      <c r="U15" s="43"/>
    </row>
    <row r="16" spans="4:21">
      <c r="D16" s="27">
        <f t="shared" ref="D16:F16" si="1">AO10</f>
        <v>1</v>
      </c>
      <c r="E16" s="27">
        <f t="shared" si="1"/>
        <v>1</v>
      </c>
      <c r="F16" s="27">
        <f t="shared" si="1"/>
        <v>0</v>
      </c>
      <c r="G16" s="27"/>
      <c r="H16" s="27">
        <f>AR10</f>
        <v>0</v>
      </c>
      <c r="I16" s="27"/>
      <c r="J16" s="27">
        <f>AS10</f>
        <v>0</v>
      </c>
      <c r="K16" s="27"/>
      <c r="L16" s="44">
        <f>AT10</f>
        <v>0</v>
      </c>
      <c r="M16" s="45"/>
      <c r="N16" s="44">
        <f>AU10</f>
        <v>1</v>
      </c>
      <c r="O16" s="45"/>
      <c r="P16" s="44">
        <f>AV10</f>
        <v>1</v>
      </c>
      <c r="Q16" s="45"/>
      <c r="R16" s="44">
        <f>AW10</f>
        <v>0</v>
      </c>
      <c r="S16" s="45"/>
      <c r="T16" s="44">
        <f>AX10</f>
        <v>2</v>
      </c>
      <c r="U16" s="45"/>
    </row>
    <row r="17" spans="4:21">
      <c r="D17" s="27"/>
      <c r="E17" s="27"/>
      <c r="F17" s="27"/>
      <c r="G17" s="27"/>
      <c r="H17" s="27"/>
      <c r="I17" s="27"/>
      <c r="J17" s="27"/>
      <c r="K17" s="27"/>
      <c r="L17" s="46"/>
      <c r="M17" s="47"/>
      <c r="N17" s="46"/>
      <c r="O17" s="47"/>
      <c r="P17" s="46"/>
      <c r="Q17" s="47"/>
      <c r="R17" s="46"/>
      <c r="S17" s="47"/>
      <c r="T17" s="46"/>
      <c r="U17" s="47"/>
    </row>
    <row r="19" spans="2:38">
      <c r="B19" s="28" t="s">
        <v>1140</v>
      </c>
      <c r="M19" s="28"/>
      <c r="N19" s="77"/>
      <c r="AL19" s="67" t="s">
        <v>1141</v>
      </c>
    </row>
  </sheetData>
  <autoFilter ref="A8:XFD10">
    <extLst/>
  </autoFilter>
  <mergeCells count="52">
    <mergeCell ref="A1:AM1"/>
    <mergeCell ref="A2:AM2"/>
    <mergeCell ref="A3:AM3"/>
    <mergeCell ref="A4:AM4"/>
    <mergeCell ref="A5:C5"/>
    <mergeCell ref="F5:L5"/>
    <mergeCell ref="AH5:AM5"/>
    <mergeCell ref="N7:Q7"/>
    <mergeCell ref="A10:K10"/>
    <mergeCell ref="A7:A8"/>
    <mergeCell ref="B7:B8"/>
    <mergeCell ref="C7:C8"/>
    <mergeCell ref="D7:D8"/>
    <mergeCell ref="D14:D15"/>
    <mergeCell ref="D16:D17"/>
    <mergeCell ref="E7:E8"/>
    <mergeCell ref="E14:E15"/>
    <mergeCell ref="E16:E17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F7:AF8"/>
    <mergeCell ref="AG7:AG8"/>
    <mergeCell ref="AH7:AH8"/>
    <mergeCell ref="AI7:AI8"/>
    <mergeCell ref="AJ7:AJ8"/>
    <mergeCell ref="AK7:AK8"/>
    <mergeCell ref="AL7:AL8"/>
    <mergeCell ref="AM7:AM8"/>
    <mergeCell ref="F14:G15"/>
    <mergeCell ref="H14:I15"/>
    <mergeCell ref="J14:K15"/>
    <mergeCell ref="L14:M15"/>
    <mergeCell ref="N14:O15"/>
    <mergeCell ref="P14:Q15"/>
    <mergeCell ref="R14:S15"/>
    <mergeCell ref="T14:U15"/>
    <mergeCell ref="F16:G17"/>
    <mergeCell ref="H16:I17"/>
    <mergeCell ref="J16:K17"/>
    <mergeCell ref="L16:M17"/>
    <mergeCell ref="N16:O17"/>
    <mergeCell ref="P16:Q17"/>
    <mergeCell ref="R16:S17"/>
    <mergeCell ref="T16:U17"/>
  </mergeCells>
  <pageMargins left="0.118055555555556" right="0.118055555555556" top="0.236111111111111" bottom="0.236111111111111" header="0.156944444444444" footer="0.0784722222222222"/>
  <pageSetup paperSize="9" orientation="landscape"/>
  <headerFooter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BF23"/>
  <sheetViews>
    <sheetView zoomScale="130" zoomScaleNormal="130" topLeftCell="A4" workbookViewId="0">
      <selection activeCell="P11" sqref="P11"/>
    </sheetView>
  </sheetViews>
  <sheetFormatPr defaultColWidth="9" defaultRowHeight="13.5"/>
  <cols>
    <col min="1" max="1" width="2.68333333333333" style="6" customWidth="1"/>
    <col min="2" max="2" width="5.66666666666667" style="6" customWidth="1"/>
    <col min="3" max="3" width="5.95" style="6" customWidth="1"/>
    <col min="4" max="4" width="6.25" style="6" customWidth="1"/>
    <col min="5" max="5" width="6.24166666666667" style="6" customWidth="1"/>
    <col min="6" max="6" width="2.98333333333333" style="6" customWidth="1"/>
    <col min="7" max="7" width="3.06666666666667" style="6" customWidth="1"/>
    <col min="8" max="8" width="2.88333333333333" style="6" customWidth="1"/>
    <col min="9" max="9" width="3.075" style="6" customWidth="1"/>
    <col min="10" max="10" width="4.225" style="6" customWidth="1"/>
    <col min="11" max="11" width="3.55" style="6" customWidth="1"/>
    <col min="12" max="12" width="4.61666666666667" customWidth="1"/>
    <col min="13" max="13" width="4.325" customWidth="1"/>
    <col min="14" max="14" width="2.79166666666667" customWidth="1"/>
    <col min="15" max="15" width="3.84166666666667" customWidth="1"/>
    <col min="16" max="16" width="3.075" customWidth="1"/>
    <col min="17" max="17" width="2.875" customWidth="1"/>
    <col min="18" max="18" width="2.49166666666667" customWidth="1"/>
    <col min="19" max="19" width="3.94166666666667" customWidth="1"/>
    <col min="20" max="21" width="2.975" customWidth="1"/>
    <col min="22" max="22" width="3.35833333333333" customWidth="1"/>
    <col min="23" max="23" width="2.775" customWidth="1"/>
    <col min="24" max="25" width="3.075" customWidth="1"/>
    <col min="26" max="26" width="3.85" customWidth="1"/>
    <col min="27" max="27" width="3.84166666666667" customWidth="1"/>
    <col min="28" max="28" width="6.625" customWidth="1"/>
    <col min="29" max="31" width="6.725" hidden="1" customWidth="1"/>
    <col min="32" max="32" width="3.55" customWidth="1"/>
    <col min="33" max="33" width="2.59166666666667" customWidth="1"/>
    <col min="34" max="34" width="2.975" customWidth="1"/>
    <col min="35" max="35" width="2.68333333333333" customWidth="1"/>
    <col min="36" max="36" width="6.725" customWidth="1"/>
    <col min="37" max="37" width="5.66666666666667" customWidth="1"/>
    <col min="38" max="38" width="6.44166666666667" customWidth="1"/>
    <col min="39" max="39" width="8.65" customWidth="1"/>
    <col min="40" max="50" width="6.25" customWidth="1"/>
    <col min="51" max="51" width="16.875" style="6" customWidth="1"/>
    <col min="52" max="52" width="12.625" customWidth="1"/>
    <col min="53" max="53" width="12" customWidth="1"/>
    <col min="54" max="54" width="12.75" customWidth="1"/>
    <col min="55" max="55" width="10.5" customWidth="1"/>
    <col min="56" max="56" width="15.75" customWidth="1"/>
    <col min="58" max="58" width="16.5" customWidth="1"/>
  </cols>
  <sheetData>
    <row r="1" ht="27.95" customHeight="1" spans="1:5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ht="18.95" customHeight="1" spans="1:5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ht="15.95" customHeight="1" spans="1:5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ht="15.95" customHeight="1" spans="1:50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="1" customFormat="1" ht="14.1" customHeight="1" spans="1:51">
      <c r="A5" s="10" t="s">
        <v>1142</v>
      </c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56" t="s">
        <v>5</v>
      </c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0"/>
    </row>
    <row r="6" s="2" customFormat="1" ht="37" customHeight="1" spans="1:50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 t="s">
        <v>1058</v>
      </c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/>
      <c r="AD6" s="29"/>
      <c r="AE6" s="29"/>
      <c r="AF6" s="29" t="s">
        <v>31</v>
      </c>
      <c r="AG6" s="29" t="s">
        <v>32</v>
      </c>
      <c r="AH6" s="29" t="s">
        <v>1052</v>
      </c>
      <c r="AI6" s="29" t="s">
        <v>34</v>
      </c>
      <c r="AJ6" s="29" t="s">
        <v>35</v>
      </c>
      <c r="AK6" s="29" t="s">
        <v>36</v>
      </c>
      <c r="AL6" s="14" t="s">
        <v>37</v>
      </c>
      <c r="AM6" s="29" t="s">
        <v>38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</row>
    <row r="7" s="3" customFormat="1" ht="12" customHeight="1" spans="1:58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/>
      <c r="AD7" s="53"/>
      <c r="AE7" s="53"/>
      <c r="AF7" s="53" t="s">
        <v>62</v>
      </c>
      <c r="AG7" s="30" t="s">
        <v>63</v>
      </c>
      <c r="AH7" s="53" t="s">
        <v>201</v>
      </c>
      <c r="AI7" s="53" t="s">
        <v>65</v>
      </c>
      <c r="AJ7" s="53" t="s">
        <v>66</v>
      </c>
      <c r="AK7" s="53" t="s">
        <v>67</v>
      </c>
      <c r="AL7" s="53" t="s">
        <v>68</v>
      </c>
      <c r="AM7" s="53" t="s">
        <v>69</v>
      </c>
      <c r="AN7" s="58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71" t="s">
        <v>71</v>
      </c>
      <c r="AZ7" s="71" t="s">
        <v>72</v>
      </c>
      <c r="BA7" s="71" t="s">
        <v>73</v>
      </c>
      <c r="BB7" s="71" t="s">
        <v>74</v>
      </c>
      <c r="BC7" s="71" t="s">
        <v>75</v>
      </c>
      <c r="BD7" s="71" t="s">
        <v>76</v>
      </c>
      <c r="BE7" s="71" t="s">
        <v>77</v>
      </c>
      <c r="BF7" s="71" t="s">
        <v>78</v>
      </c>
    </row>
    <row r="8" s="4" customFormat="1" ht="21.95" customHeight="1" spans="1:58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50" t="s">
        <v>57</v>
      </c>
      <c r="X8" s="50" t="s">
        <v>57</v>
      </c>
      <c r="Y8" s="31" t="s">
        <v>83</v>
      </c>
      <c r="Z8" s="31" t="s">
        <v>84</v>
      </c>
      <c r="AA8" s="52"/>
      <c r="AB8" s="52"/>
      <c r="AC8" s="52"/>
      <c r="AD8" s="52"/>
      <c r="AE8" s="52"/>
      <c r="AF8" s="52"/>
      <c r="AG8" s="34"/>
      <c r="AH8" s="52"/>
      <c r="AI8" s="52"/>
      <c r="AJ8" s="52"/>
      <c r="AK8" s="52"/>
      <c r="AL8" s="52"/>
      <c r="AM8" s="34"/>
      <c r="AN8" s="59"/>
      <c r="AO8" s="34">
        <v>100</v>
      </c>
      <c r="AP8" s="34">
        <v>50</v>
      </c>
      <c r="AQ8" s="34">
        <v>20</v>
      </c>
      <c r="AR8" s="34">
        <v>10</v>
      </c>
      <c r="AS8" s="34">
        <v>20000</v>
      </c>
      <c r="AT8" s="34">
        <v>10000</v>
      </c>
      <c r="AU8" s="34">
        <v>5000</v>
      </c>
      <c r="AV8" s="34">
        <v>1000</v>
      </c>
      <c r="AW8" s="34">
        <v>500</v>
      </c>
      <c r="AX8" s="34">
        <v>100</v>
      </c>
      <c r="AY8" s="72" t="s">
        <v>85</v>
      </c>
      <c r="AZ8" s="72" t="s">
        <v>86</v>
      </c>
      <c r="BA8" s="72" t="s">
        <v>87</v>
      </c>
      <c r="BB8" s="72" t="s">
        <v>88</v>
      </c>
      <c r="BC8" s="72" t="s">
        <v>89</v>
      </c>
      <c r="BD8" s="72" t="s">
        <v>90</v>
      </c>
      <c r="BE8" s="72" t="s">
        <v>91</v>
      </c>
      <c r="BF8" s="74" t="s">
        <v>92</v>
      </c>
    </row>
    <row r="9" s="5" customFormat="1" ht="27" customHeight="1" spans="1:58">
      <c r="A9" s="19">
        <v>1</v>
      </c>
      <c r="B9" s="241" t="s">
        <v>1143</v>
      </c>
      <c r="C9" s="20" t="s">
        <v>1144</v>
      </c>
      <c r="D9" s="20" t="s">
        <v>1145</v>
      </c>
      <c r="E9" s="21">
        <v>44562</v>
      </c>
      <c r="F9" s="19" t="s">
        <v>108</v>
      </c>
      <c r="G9" s="19"/>
      <c r="H9" s="22"/>
      <c r="I9" s="19">
        <v>30</v>
      </c>
      <c r="J9" s="19">
        <f>30-I9</f>
        <v>0</v>
      </c>
      <c r="K9" s="19">
        <v>190</v>
      </c>
      <c r="L9" s="36">
        <f>K9/30*I9</f>
        <v>190</v>
      </c>
      <c r="M9" s="36">
        <f>K9/30*J9</f>
        <v>0</v>
      </c>
      <c r="N9" s="19">
        <v>0</v>
      </c>
      <c r="O9" s="19">
        <f>K9/26/8*1.5*N9</f>
        <v>0</v>
      </c>
      <c r="P9" s="19">
        <v>0</v>
      </c>
      <c r="Q9" s="19">
        <f>K9/26*2*P9</f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36">
        <f>L9+O9+Q9+R9+S9+T9+U9+V9+X9+Y9+Z9+AA9+W9</f>
        <v>190</v>
      </c>
      <c r="AC9" s="36">
        <f>+AB9*4000</f>
        <v>760000</v>
      </c>
      <c r="AD9" s="54">
        <f>+IF(AC9&lt;=400000,400000,IF(AC9&lt;=1200000,AC9,IF(AC9&gt;1200000,1200000)))</f>
        <v>760000</v>
      </c>
      <c r="AE9" s="36">
        <f>+AD9*2%</f>
        <v>15200</v>
      </c>
      <c r="AF9" s="19">
        <v>0</v>
      </c>
      <c r="AG9" s="19">
        <v>0</v>
      </c>
      <c r="AH9" s="19">
        <v>0</v>
      </c>
      <c r="AI9" s="19">
        <f>SUM(AF9:AH9)</f>
        <v>0</v>
      </c>
      <c r="AJ9" s="36">
        <f>AB9-AI9</f>
        <v>190</v>
      </c>
      <c r="AK9" s="19">
        <f>INT(AJ9/10)*10</f>
        <v>190</v>
      </c>
      <c r="AL9" s="60">
        <f>INT((ROUND((AJ9-AK9)*0.4,2))*10000)</f>
        <v>0</v>
      </c>
      <c r="AM9" s="61"/>
      <c r="AN9" s="62"/>
      <c r="AO9" s="61">
        <f>INT(AJ9/100)</f>
        <v>1</v>
      </c>
      <c r="AP9" s="61">
        <f>INT((AJ9-AO9*100)/50)</f>
        <v>1</v>
      </c>
      <c r="AQ9" s="61">
        <f>INT((AJ9-AO9*100-AP9*50)/20)</f>
        <v>2</v>
      </c>
      <c r="AR9" s="68">
        <f>INT((AJ9-AO9*100-AP9*50-AQ9*20)/10)</f>
        <v>0</v>
      </c>
      <c r="AS9" s="61">
        <f>INT(AL9/20000)</f>
        <v>0</v>
      </c>
      <c r="AT9" s="61">
        <f>INT((AL9-AS9*20000)/10000)</f>
        <v>0</v>
      </c>
      <c r="AU9" s="61">
        <f>INT((AL9-AS9*20000-AT9*10000)/5000)</f>
        <v>0</v>
      </c>
      <c r="AV9" s="61">
        <f>INT((AL9-AS9*20000-AT9*10000-AU9*5000)/1000)</f>
        <v>0</v>
      </c>
      <c r="AW9" s="61">
        <f>INT((AL9-AS9*20000-AT9*10000-AU9*5000-AV9*1000)/500)</f>
        <v>0</v>
      </c>
      <c r="AX9" s="61">
        <f>INT((AL9-AS9*20000-AT9*10000-AU9*5000-AV9*1000-AW9*500)/100)</f>
        <v>0</v>
      </c>
      <c r="AY9" s="72">
        <v>101291360</v>
      </c>
      <c r="AZ9" s="73">
        <v>31505</v>
      </c>
      <c r="BA9" s="74" t="s">
        <v>99</v>
      </c>
      <c r="BB9" s="72">
        <v>1</v>
      </c>
      <c r="BC9" s="74" t="s">
        <v>102</v>
      </c>
      <c r="BD9" s="74" t="s">
        <v>102</v>
      </c>
      <c r="BE9" s="74" t="s">
        <v>103</v>
      </c>
      <c r="BF9" s="72" t="s">
        <v>968</v>
      </c>
    </row>
    <row r="10" s="5" customFormat="1" ht="27" customHeight="1" spans="1:58">
      <c r="A10" s="19">
        <v>2</v>
      </c>
      <c r="B10" s="241" t="s">
        <v>1146</v>
      </c>
      <c r="C10" s="20" t="s">
        <v>1147</v>
      </c>
      <c r="D10" s="20" t="s">
        <v>1148</v>
      </c>
      <c r="E10" s="21">
        <v>44840</v>
      </c>
      <c r="F10" s="19" t="s">
        <v>96</v>
      </c>
      <c r="G10" s="19"/>
      <c r="H10" s="22"/>
      <c r="I10" s="19">
        <v>28</v>
      </c>
      <c r="J10" s="19">
        <f>30-I10</f>
        <v>2</v>
      </c>
      <c r="K10" s="19">
        <v>190</v>
      </c>
      <c r="L10" s="36">
        <f>K10/30*I10</f>
        <v>177.333333333333</v>
      </c>
      <c r="M10" s="36">
        <f>K10/30*J10</f>
        <v>12.6666666666667</v>
      </c>
      <c r="N10" s="19">
        <v>0</v>
      </c>
      <c r="O10" s="19">
        <f>K10/26/8*1.5*N10</f>
        <v>0</v>
      </c>
      <c r="P10" s="19">
        <v>0</v>
      </c>
      <c r="Q10" s="19">
        <f>K10/26*2*P10</f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36">
        <f>L10+O10+Q10+R10+S10+T10+U10+V10+X10+Y10+Z10+AA10+W10</f>
        <v>177.333333333333</v>
      </c>
      <c r="AC10" s="36">
        <f>+AB10*4000</f>
        <v>709333.333333333</v>
      </c>
      <c r="AD10" s="54">
        <f>+IF(AC10&lt;=400000,400000,IF(AC10&lt;=1200000,AC10,IF(AC10&gt;1200000,1200000)))</f>
        <v>709333.333333333</v>
      </c>
      <c r="AE10" s="36">
        <f>+AD10*2%</f>
        <v>14186.6666666667</v>
      </c>
      <c r="AF10" s="19">
        <v>0</v>
      </c>
      <c r="AG10" s="19">
        <v>0</v>
      </c>
      <c r="AH10" s="19">
        <v>0</v>
      </c>
      <c r="AI10" s="19">
        <f>SUM(AF10:AH10)</f>
        <v>0</v>
      </c>
      <c r="AJ10" s="36">
        <f>AB10-AI10</f>
        <v>177.333333333333</v>
      </c>
      <c r="AK10" s="19">
        <f>INT(AJ10/10)*10</f>
        <v>170</v>
      </c>
      <c r="AL10" s="60">
        <f>INT((ROUND((AJ10-AK10)*0.4,2))*10000)</f>
        <v>29300</v>
      </c>
      <c r="AM10" s="61"/>
      <c r="AN10" s="62"/>
      <c r="AO10" s="61">
        <f>INT(AJ10/100)</f>
        <v>1</v>
      </c>
      <c r="AP10" s="61">
        <f>INT((AJ10-AO10*100)/50)</f>
        <v>1</v>
      </c>
      <c r="AQ10" s="61">
        <f>INT((AJ10-AO10*100-AP10*50)/20)</f>
        <v>1</v>
      </c>
      <c r="AR10" s="68">
        <f>INT((AJ10-AO10*100-AP10*50-AQ10*20)/10)</f>
        <v>0</v>
      </c>
      <c r="AS10" s="61">
        <f>INT(AL10/20000)</f>
        <v>1</v>
      </c>
      <c r="AT10" s="61">
        <f>INT((AL10-AS10*20000)/10000)</f>
        <v>0</v>
      </c>
      <c r="AU10" s="61">
        <f>INT((AL10-AS10*20000-AT10*10000)/5000)</f>
        <v>1</v>
      </c>
      <c r="AV10" s="61">
        <f>INT((AL10-AS10*20000-AT10*10000-AU10*5000)/1000)</f>
        <v>4</v>
      </c>
      <c r="AW10" s="61">
        <f>INT((AL10-AS10*20000-AT10*10000-AU10*5000-AV10*1000)/500)</f>
        <v>0</v>
      </c>
      <c r="AX10" s="61">
        <f>INT((AL10-AS10*20000-AT10*10000-AU10*5000-AV10*1000-AW10*500)/100)</f>
        <v>3</v>
      </c>
      <c r="AY10" s="72">
        <v>101291360</v>
      </c>
      <c r="AZ10" s="73">
        <v>31505</v>
      </c>
      <c r="BA10" s="74" t="s">
        <v>99</v>
      </c>
      <c r="BB10" s="72">
        <v>1</v>
      </c>
      <c r="BC10" s="74" t="s">
        <v>102</v>
      </c>
      <c r="BD10" s="74" t="s">
        <v>102</v>
      </c>
      <c r="BE10" s="74" t="s">
        <v>103</v>
      </c>
      <c r="BF10" s="72" t="s">
        <v>968</v>
      </c>
    </row>
    <row r="11" s="5" customFormat="1" ht="27" customHeight="1" spans="1:58">
      <c r="A11" s="19">
        <v>3</v>
      </c>
      <c r="B11" s="241" t="s">
        <v>1149</v>
      </c>
      <c r="C11" s="20" t="s">
        <v>1150</v>
      </c>
      <c r="D11" s="20" t="s">
        <v>1151</v>
      </c>
      <c r="E11" s="21">
        <v>44930</v>
      </c>
      <c r="F11" s="19" t="s">
        <v>108</v>
      </c>
      <c r="G11" s="19"/>
      <c r="H11" s="22"/>
      <c r="I11" s="19">
        <v>27</v>
      </c>
      <c r="J11" s="19">
        <f>30-I11</f>
        <v>3</v>
      </c>
      <c r="K11" s="19">
        <v>190</v>
      </c>
      <c r="L11" s="36">
        <f>K11/30*I11</f>
        <v>171</v>
      </c>
      <c r="M11" s="36">
        <f>K11/30*J11</f>
        <v>19</v>
      </c>
      <c r="N11" s="19">
        <v>0</v>
      </c>
      <c r="O11" s="19">
        <f>K11/26/8*1.5*N11</f>
        <v>0</v>
      </c>
      <c r="P11" s="19">
        <v>0</v>
      </c>
      <c r="Q11" s="19">
        <f>K11/26*2*P11</f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36">
        <f>L11+O11+Q11+R11+S11+T11+U11+V11+X11+Y11+Z11+AA11+W11</f>
        <v>171</v>
      </c>
      <c r="AC11" s="36">
        <f>+AB11*4000</f>
        <v>684000</v>
      </c>
      <c r="AD11" s="54">
        <f>+IF(AC11&lt;=400000,400000,IF(AC11&lt;=1200000,AC11,IF(AC11&gt;1200000,1200000)))</f>
        <v>684000</v>
      </c>
      <c r="AE11" s="36">
        <f>+AD11*2%</f>
        <v>13680</v>
      </c>
      <c r="AF11" s="19">
        <v>0</v>
      </c>
      <c r="AG11" s="19">
        <v>0</v>
      </c>
      <c r="AH11" s="19">
        <v>0</v>
      </c>
      <c r="AI11" s="19">
        <f>SUM(AF11:AH11)</f>
        <v>0</v>
      </c>
      <c r="AJ11" s="36">
        <f>AB11-AI11</f>
        <v>171</v>
      </c>
      <c r="AK11" s="19">
        <f>INT(AJ11/10)*10</f>
        <v>170</v>
      </c>
      <c r="AL11" s="60">
        <f>INT((ROUND((AJ11-AK11)*0.4,2))*10000)</f>
        <v>4000</v>
      </c>
      <c r="AM11" s="61"/>
      <c r="AN11" s="62"/>
      <c r="AO11" s="61">
        <f>INT(AJ11/100)</f>
        <v>1</v>
      </c>
      <c r="AP11" s="61">
        <f>INT((AJ11-AO11*100)/50)</f>
        <v>1</v>
      </c>
      <c r="AQ11" s="61">
        <f>INT((AJ11-AO11*100-AP11*50)/20)</f>
        <v>1</v>
      </c>
      <c r="AR11" s="68">
        <f>INT((AJ11-AO11*100-AP11*50-AQ11*20)/10)</f>
        <v>0</v>
      </c>
      <c r="AS11" s="61">
        <f>INT(AL11/20000)</f>
        <v>0</v>
      </c>
      <c r="AT11" s="61">
        <f>INT((AL11-AS11*20000)/10000)</f>
        <v>0</v>
      </c>
      <c r="AU11" s="61">
        <f>INT((AL11-AS11*20000-AT11*10000)/5000)</f>
        <v>0</v>
      </c>
      <c r="AV11" s="61">
        <f>INT((AL11-AS11*20000-AT11*10000-AU11*5000)/1000)</f>
        <v>4</v>
      </c>
      <c r="AW11" s="61">
        <f>INT((AL11-AS11*20000-AT11*10000-AU11*5000-AV11*1000)/500)</f>
        <v>0</v>
      </c>
      <c r="AX11" s="61">
        <f>INT((AL11-AS11*20000-AT11*10000-AU11*5000-AV11*1000-AW11*500)/100)</f>
        <v>0</v>
      </c>
      <c r="AY11" s="72">
        <v>101291360</v>
      </c>
      <c r="AZ11" s="73">
        <v>31505</v>
      </c>
      <c r="BA11" s="74" t="s">
        <v>99</v>
      </c>
      <c r="BB11" s="72">
        <v>1</v>
      </c>
      <c r="BC11" s="74" t="s">
        <v>102</v>
      </c>
      <c r="BD11" s="74" t="s">
        <v>102</v>
      </c>
      <c r="BE11" s="74" t="s">
        <v>103</v>
      </c>
      <c r="BF11" s="72" t="s">
        <v>968</v>
      </c>
    </row>
    <row r="12" s="5" customFormat="1" ht="27" customHeight="1" spans="1:58">
      <c r="A12" s="19">
        <v>4</v>
      </c>
      <c r="B12" s="241" t="s">
        <v>1152</v>
      </c>
      <c r="C12" s="20" t="s">
        <v>1153</v>
      </c>
      <c r="D12" s="20" t="s">
        <v>1154</v>
      </c>
      <c r="E12" s="21">
        <v>44933</v>
      </c>
      <c r="F12" s="19" t="s">
        <v>108</v>
      </c>
      <c r="G12" s="19"/>
      <c r="H12" s="22"/>
      <c r="I12" s="19">
        <v>23</v>
      </c>
      <c r="J12" s="19">
        <f>30-I12</f>
        <v>7</v>
      </c>
      <c r="K12" s="19">
        <v>190</v>
      </c>
      <c r="L12" s="36">
        <f>K12/30*I12</f>
        <v>145.666666666667</v>
      </c>
      <c r="M12" s="36">
        <f>K12/30*J12</f>
        <v>44.3333333333333</v>
      </c>
      <c r="N12" s="19">
        <v>0</v>
      </c>
      <c r="O12" s="19">
        <f>K12/26/8*1.5*N12</f>
        <v>0</v>
      </c>
      <c r="P12" s="19">
        <v>0</v>
      </c>
      <c r="Q12" s="19">
        <f>K12/26*2*P12</f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36">
        <f>L12+O12+Q12+R12+S12+T12+U12+V12+X12+Y12+Z12+AA12+W12</f>
        <v>145.666666666667</v>
      </c>
      <c r="AC12" s="36">
        <f>+AB12*4000</f>
        <v>582666.666666667</v>
      </c>
      <c r="AD12" s="54">
        <f>+IF(AC12&lt;=400000,400000,IF(AC12&lt;=1200000,AC12,IF(AC12&gt;1200000,1200000)))</f>
        <v>582666.666666667</v>
      </c>
      <c r="AE12" s="36">
        <f>+AD12*2%</f>
        <v>11653.3333333333</v>
      </c>
      <c r="AF12" s="19">
        <v>0</v>
      </c>
      <c r="AG12" s="19">
        <v>0</v>
      </c>
      <c r="AH12" s="19">
        <v>0</v>
      </c>
      <c r="AI12" s="19">
        <f>SUM(AF12:AH12)</f>
        <v>0</v>
      </c>
      <c r="AJ12" s="36">
        <f>AB12-AI12</f>
        <v>145.666666666667</v>
      </c>
      <c r="AK12" s="19">
        <f>INT(AJ12/10)*10</f>
        <v>140</v>
      </c>
      <c r="AL12" s="60">
        <f>INT((ROUND((AJ12-AK12)*0.4,2))*10000)</f>
        <v>22700</v>
      </c>
      <c r="AM12" s="61"/>
      <c r="AN12" s="62"/>
      <c r="AO12" s="61">
        <f>INT(AJ12/100)</f>
        <v>1</v>
      </c>
      <c r="AP12" s="61">
        <f>INT((AJ12-AO12*100)/50)</f>
        <v>0</v>
      </c>
      <c r="AQ12" s="61">
        <f>INT((AJ12-AO12*100-AP12*50)/20)</f>
        <v>2</v>
      </c>
      <c r="AR12" s="68">
        <f>INT((AJ12-AO12*100-AP12*50-AQ12*20)/10)</f>
        <v>0</v>
      </c>
      <c r="AS12" s="61">
        <f>INT(AL12/20000)</f>
        <v>1</v>
      </c>
      <c r="AT12" s="61">
        <f>INT((AL12-AS12*20000)/10000)</f>
        <v>0</v>
      </c>
      <c r="AU12" s="61">
        <f>INT((AL12-AS12*20000-AT12*10000)/5000)</f>
        <v>0</v>
      </c>
      <c r="AV12" s="61">
        <f>INT((AL12-AS12*20000-AT12*10000-AU12*5000)/1000)</f>
        <v>2</v>
      </c>
      <c r="AW12" s="61">
        <f>INT((AL12-AS12*20000-AT12*10000-AU12*5000-AV12*1000)/500)</f>
        <v>1</v>
      </c>
      <c r="AX12" s="61">
        <f>INT((AL12-AS12*20000-AT12*10000-AU12*5000-AV12*1000-AW12*500)/100)</f>
        <v>2</v>
      </c>
      <c r="AY12" s="72">
        <v>101291360</v>
      </c>
      <c r="AZ12" s="73">
        <v>31505</v>
      </c>
      <c r="BA12" s="74" t="s">
        <v>99</v>
      </c>
      <c r="BB12" s="72">
        <v>1</v>
      </c>
      <c r="BC12" s="74" t="s">
        <v>102</v>
      </c>
      <c r="BD12" s="74" t="s">
        <v>102</v>
      </c>
      <c r="BE12" s="74" t="s">
        <v>103</v>
      </c>
      <c r="BF12" s="72" t="s">
        <v>968</v>
      </c>
    </row>
    <row r="13" ht="19" customHeight="1" spans="1:50">
      <c r="A13" s="23" t="s">
        <v>216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37"/>
      <c r="M13" s="38"/>
      <c r="N13" s="38"/>
      <c r="O13" s="38"/>
      <c r="P13" s="38"/>
      <c r="Q13" s="38"/>
      <c r="R13" s="38"/>
      <c r="S13" s="38"/>
      <c r="T13" s="38"/>
      <c r="U13" s="38"/>
      <c r="V13" s="37"/>
      <c r="W13" s="37"/>
      <c r="X13" s="37"/>
      <c r="Y13" s="38"/>
      <c r="Z13" s="37"/>
      <c r="AA13" s="37"/>
      <c r="AB13" s="55">
        <f>SUM(AB1:AB12)</f>
        <v>684</v>
      </c>
      <c r="AC13" s="37"/>
      <c r="AD13" s="37"/>
      <c r="AE13" s="37"/>
      <c r="AF13" s="38"/>
      <c r="AG13" s="38"/>
      <c r="AH13" s="38"/>
      <c r="AI13" s="63"/>
      <c r="AJ13" s="55">
        <f>SUM(AJ1:AJ12)</f>
        <v>684</v>
      </c>
      <c r="AK13" s="55">
        <f>SUM(AK1:AK12)</f>
        <v>670</v>
      </c>
      <c r="AL13" s="64">
        <f>SUM(AL1:AL12)</f>
        <v>56000</v>
      </c>
      <c r="AM13" s="65"/>
      <c r="AN13" s="66"/>
      <c r="AO13" s="69">
        <f>SUM(AO9:AO12)</f>
        <v>4</v>
      </c>
      <c r="AP13" s="69">
        <f t="shared" ref="AP13:AX13" si="0">SUM(AP9:AP12)</f>
        <v>3</v>
      </c>
      <c r="AQ13" s="69">
        <f t="shared" si="0"/>
        <v>6</v>
      </c>
      <c r="AR13" s="69">
        <f t="shared" si="0"/>
        <v>0</v>
      </c>
      <c r="AS13" s="69">
        <f t="shared" si="0"/>
        <v>2</v>
      </c>
      <c r="AT13" s="69">
        <f t="shared" si="0"/>
        <v>0</v>
      </c>
      <c r="AU13" s="69">
        <f t="shared" si="0"/>
        <v>1</v>
      </c>
      <c r="AV13" s="69">
        <f t="shared" si="0"/>
        <v>10</v>
      </c>
      <c r="AW13" s="69">
        <f t="shared" si="0"/>
        <v>1</v>
      </c>
      <c r="AX13" s="69">
        <f t="shared" si="0"/>
        <v>5</v>
      </c>
    </row>
    <row r="17" spans="4:21">
      <c r="D17" s="25">
        <v>100</v>
      </c>
      <c r="E17" s="26">
        <v>50</v>
      </c>
      <c r="F17" s="26">
        <v>20</v>
      </c>
      <c r="G17" s="26"/>
      <c r="H17" s="26">
        <v>10</v>
      </c>
      <c r="I17" s="26"/>
      <c r="J17" s="39" t="s">
        <v>1134</v>
      </c>
      <c r="K17" s="39"/>
      <c r="L17" s="40" t="s">
        <v>1086</v>
      </c>
      <c r="M17" s="41"/>
      <c r="N17" s="40" t="s">
        <v>1087</v>
      </c>
      <c r="O17" s="41"/>
      <c r="P17" s="40" t="s">
        <v>1088</v>
      </c>
      <c r="Q17" s="41"/>
      <c r="R17" s="40" t="s">
        <v>1089</v>
      </c>
      <c r="S17" s="41"/>
      <c r="T17" s="40" t="s">
        <v>1090</v>
      </c>
      <c r="U17" s="41"/>
    </row>
    <row r="18" spans="4:21">
      <c r="D18" s="25"/>
      <c r="E18" s="26"/>
      <c r="F18" s="26"/>
      <c r="G18" s="26"/>
      <c r="H18" s="26"/>
      <c r="I18" s="26"/>
      <c r="J18" s="39"/>
      <c r="K18" s="39"/>
      <c r="L18" s="42"/>
      <c r="M18" s="43"/>
      <c r="N18" s="42"/>
      <c r="O18" s="43"/>
      <c r="P18" s="42"/>
      <c r="Q18" s="43"/>
      <c r="R18" s="42"/>
      <c r="S18" s="43"/>
      <c r="T18" s="42"/>
      <c r="U18" s="43"/>
    </row>
    <row r="19" spans="4:21">
      <c r="D19" s="27">
        <f t="shared" ref="D19:F19" si="1">AO13</f>
        <v>4</v>
      </c>
      <c r="E19" s="27">
        <f t="shared" si="1"/>
        <v>3</v>
      </c>
      <c r="F19" s="27">
        <f t="shared" si="1"/>
        <v>6</v>
      </c>
      <c r="G19" s="27"/>
      <c r="H19" s="27">
        <f>AR13</f>
        <v>0</v>
      </c>
      <c r="I19" s="27"/>
      <c r="J19" s="27">
        <f>AS13</f>
        <v>2</v>
      </c>
      <c r="K19" s="27"/>
      <c r="L19" s="44">
        <f>AT13</f>
        <v>0</v>
      </c>
      <c r="M19" s="45"/>
      <c r="N19" s="44">
        <f>AU13</f>
        <v>1</v>
      </c>
      <c r="O19" s="45"/>
      <c r="P19" s="44">
        <f>AV13</f>
        <v>10</v>
      </c>
      <c r="Q19" s="45"/>
      <c r="R19" s="44">
        <f>AW13</f>
        <v>1</v>
      </c>
      <c r="S19" s="45"/>
      <c r="T19" s="44">
        <f>AX13</f>
        <v>5</v>
      </c>
      <c r="U19" s="45"/>
    </row>
    <row r="20" spans="4:21">
      <c r="D20" s="27"/>
      <c r="E20" s="27"/>
      <c r="F20" s="27"/>
      <c r="G20" s="27"/>
      <c r="H20" s="27"/>
      <c r="I20" s="27"/>
      <c r="J20" s="27"/>
      <c r="K20" s="27"/>
      <c r="L20" s="46"/>
      <c r="M20" s="47"/>
      <c r="N20" s="46"/>
      <c r="O20" s="47"/>
      <c r="P20" s="46"/>
      <c r="Q20" s="47"/>
      <c r="R20" s="46"/>
      <c r="S20" s="47"/>
      <c r="T20" s="46"/>
      <c r="U20" s="47"/>
    </row>
    <row r="23" spans="2:37">
      <c r="B23" s="28" t="s">
        <v>1140</v>
      </c>
      <c r="AK23" s="67" t="s">
        <v>1141</v>
      </c>
    </row>
  </sheetData>
  <autoFilter ref="A8:XFD13">
    <extLst/>
  </autoFilter>
  <mergeCells count="52">
    <mergeCell ref="A1:AM1"/>
    <mergeCell ref="A2:AM2"/>
    <mergeCell ref="A3:AM3"/>
    <mergeCell ref="A4:AM4"/>
    <mergeCell ref="A5:C5"/>
    <mergeCell ref="F5:L5"/>
    <mergeCell ref="AH5:AM5"/>
    <mergeCell ref="N7:Q7"/>
    <mergeCell ref="A13:K13"/>
    <mergeCell ref="A7:A8"/>
    <mergeCell ref="B7:B8"/>
    <mergeCell ref="C7:C8"/>
    <mergeCell ref="D7:D8"/>
    <mergeCell ref="D17:D18"/>
    <mergeCell ref="D19:D20"/>
    <mergeCell ref="E7:E8"/>
    <mergeCell ref="E17:E18"/>
    <mergeCell ref="E19:E20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F7:AF8"/>
    <mergeCell ref="AG7:AG8"/>
    <mergeCell ref="AH7:AH8"/>
    <mergeCell ref="AI7:AI8"/>
    <mergeCell ref="AJ7:AJ8"/>
    <mergeCell ref="AK7:AK8"/>
    <mergeCell ref="AL7:AL8"/>
    <mergeCell ref="AM7:AM8"/>
    <mergeCell ref="F17:G18"/>
    <mergeCell ref="H17:I18"/>
    <mergeCell ref="J17:K18"/>
    <mergeCell ref="L17:M18"/>
    <mergeCell ref="N17:O18"/>
    <mergeCell ref="P17:Q18"/>
    <mergeCell ref="R17:S18"/>
    <mergeCell ref="T17:U18"/>
    <mergeCell ref="F19:G20"/>
    <mergeCell ref="H19:I20"/>
    <mergeCell ref="J19:K20"/>
    <mergeCell ref="L19:M20"/>
    <mergeCell ref="N19:O20"/>
    <mergeCell ref="P19:Q20"/>
    <mergeCell ref="R19:S20"/>
    <mergeCell ref="T19:U20"/>
  </mergeCells>
  <pageMargins left="0.118055555555556" right="0.118055555555556" top="0.236111111111111" bottom="0.236111111111111" header="0.156944444444444" footer="0.0784722222222222"/>
  <pageSetup paperSize="9" orientation="landscape"/>
  <headerFooter/>
  <ignoredErrors>
    <ignoredError sqref="AJ13:AL13 AB13" emptyCellReferenc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37"/>
  <sheetViews>
    <sheetView zoomScale="145" zoomScaleNormal="145" topLeftCell="A21" workbookViewId="0">
      <selection activeCell="B19" sqref="B19"/>
    </sheetView>
  </sheetViews>
  <sheetFormatPr defaultColWidth="9" defaultRowHeight="13.5"/>
  <cols>
    <col min="1" max="1" width="2.75" style="6" customWidth="1"/>
    <col min="2" max="2" width="5.85833333333333" style="6" customWidth="1"/>
    <col min="3" max="3" width="6.89166666666667" style="6" customWidth="1"/>
    <col min="4" max="4" width="8.175" style="6" customWidth="1"/>
    <col min="5" max="5" width="6.63333333333333" style="6" customWidth="1"/>
    <col min="6" max="6" width="3.03333333333333" style="6" customWidth="1"/>
    <col min="7" max="7" width="2.93333333333333" style="6" customWidth="1"/>
    <col min="8" max="10" width="2.71666666666667" style="6" customWidth="1"/>
    <col min="11" max="11" width="2.825" style="6" customWidth="1"/>
    <col min="12" max="12" width="5.43333333333333" customWidth="1"/>
    <col min="13" max="13" width="4.825" customWidth="1"/>
    <col min="14" max="14" width="2.75833333333333" customWidth="1"/>
    <col min="15" max="15" width="4.65" customWidth="1"/>
    <col min="16" max="16" width="2.58333333333333" customWidth="1"/>
    <col min="17" max="17" width="2.59166666666667" customWidth="1"/>
    <col min="18" max="18" width="3.01666666666667" customWidth="1"/>
    <col min="19" max="19" width="4.04166666666667" customWidth="1"/>
    <col min="20" max="21" width="3.78333333333333" customWidth="1"/>
    <col min="22" max="24" width="3.375" customWidth="1"/>
    <col min="25" max="25" width="2.75833333333333" customWidth="1"/>
    <col min="26" max="26" width="3.79166666666667" customWidth="1"/>
    <col min="27" max="27" width="3.95833333333333" customWidth="1"/>
    <col min="28" max="28" width="6.00833333333333" customWidth="1"/>
    <col min="29" max="29" width="4.56666666666667" customWidth="1"/>
    <col min="30" max="30" width="3.1" customWidth="1"/>
    <col min="31" max="31" width="3.35833333333333" customWidth="1"/>
    <col min="32" max="32" width="5.25" customWidth="1"/>
    <col min="33" max="33" width="6.625" customWidth="1"/>
    <col min="34" max="34" width="6.25" hidden="1" customWidth="1"/>
    <col min="35" max="35" width="7.49166666666667" hidden="1" customWidth="1"/>
    <col min="36" max="36" width="12.15" customWidth="1"/>
    <col min="37" max="37" width="15.5166666666667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217</v>
      </c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1" t="s">
        <v>5</v>
      </c>
      <c r="AH5" s="11"/>
      <c r="AI5" s="11"/>
      <c r="AJ5" s="11"/>
      <c r="AK5" s="11"/>
      <c r="AL5" s="70"/>
    </row>
    <row r="6" s="2" customFormat="1" ht="57.95" customHeight="1" spans="1:37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07" t="s">
        <v>70</v>
      </c>
    </row>
    <row r="7" s="3" customFormat="1" ht="12" customHeight="1" spans="1:45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218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/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4" customFormat="1" ht="22" customHeight="1" spans="1:45">
      <c r="A9" s="19">
        <v>1</v>
      </c>
      <c r="B9" s="19" t="s">
        <v>219</v>
      </c>
      <c r="C9" s="20" t="s">
        <v>220</v>
      </c>
      <c r="D9" s="128" t="s">
        <v>221</v>
      </c>
      <c r="E9" s="21">
        <v>44713</v>
      </c>
      <c r="F9" s="19" t="s">
        <v>96</v>
      </c>
      <c r="G9" s="75" t="s">
        <v>222</v>
      </c>
      <c r="H9" s="75" t="s">
        <v>223</v>
      </c>
      <c r="I9" s="19">
        <v>26</v>
      </c>
      <c r="J9" s="19">
        <f t="shared" ref="J9:J19" si="0">26-I9</f>
        <v>0</v>
      </c>
      <c r="K9" s="19">
        <v>200</v>
      </c>
      <c r="L9" s="36">
        <f t="shared" ref="L9:L19" si="1">K9/26*I9</f>
        <v>200</v>
      </c>
      <c r="M9" s="36">
        <f t="shared" ref="M9:M19" si="2">K9/26*J9</f>
        <v>0</v>
      </c>
      <c r="N9" s="19">
        <v>14</v>
      </c>
      <c r="O9" s="36">
        <f>K9/26/8*1.5*N9</f>
        <v>20.1923076923077</v>
      </c>
      <c r="P9" s="19">
        <v>0</v>
      </c>
      <c r="Q9" s="19">
        <f>K9/26*2*P9</f>
        <v>0</v>
      </c>
      <c r="R9" s="19">
        <v>0</v>
      </c>
      <c r="S9" s="19">
        <f t="shared" ref="S9:S19" si="3">10/26*I9</f>
        <v>10</v>
      </c>
      <c r="T9" s="19">
        <v>30</v>
      </c>
      <c r="U9" s="19">
        <v>20</v>
      </c>
      <c r="V9" s="19">
        <f>10/26*I9</f>
        <v>10</v>
      </c>
      <c r="W9" s="36">
        <v>3.5</v>
      </c>
      <c r="X9" s="19">
        <v>8</v>
      </c>
      <c r="Y9" s="19">
        <v>0</v>
      </c>
      <c r="Z9" s="19">
        <v>0</v>
      </c>
      <c r="AA9" s="19">
        <v>0</v>
      </c>
      <c r="AB9" s="36">
        <f t="shared" ref="AB9:AB19" si="4">SUM(L9+O9+Q9+R9+S9+T9+U9+V9+X9+Y9+Z9+AA9+W9)</f>
        <v>301.692307692308</v>
      </c>
      <c r="AC9" s="19">
        <f>VLOOKUP(B9,[2]Sheet1!$B$2:$N$199,11,0)/4000</f>
        <v>6</v>
      </c>
      <c r="AD9" s="19">
        <v>0</v>
      </c>
      <c r="AE9" s="19">
        <f>VLOOKUP(B9,'[1]A01'!$E$7:$L$28,7,0)</f>
        <v>100</v>
      </c>
      <c r="AF9" s="19">
        <f t="shared" ref="AF9:AF19" si="5">SUM(AC9:AE9)</f>
        <v>106</v>
      </c>
      <c r="AG9" s="36">
        <f>AB9-AF9</f>
        <v>195.692307692308</v>
      </c>
      <c r="AH9" s="19"/>
      <c r="AI9" s="60"/>
      <c r="AJ9" s="34"/>
      <c r="AK9" s="214">
        <v>0</v>
      </c>
      <c r="AL9" s="72">
        <v>101225258</v>
      </c>
      <c r="AM9" s="73">
        <v>33518</v>
      </c>
      <c r="AN9" s="74" t="s">
        <v>99</v>
      </c>
      <c r="AO9" s="72" t="s">
        <v>224</v>
      </c>
      <c r="AP9" s="74" t="s">
        <v>101</v>
      </c>
      <c r="AQ9" s="74" t="s">
        <v>102</v>
      </c>
      <c r="AR9" s="74" t="s">
        <v>103</v>
      </c>
      <c r="AS9" s="74" t="s">
        <v>225</v>
      </c>
    </row>
    <row r="10" s="77" customFormat="1" ht="22" customHeight="1" spans="1:45">
      <c r="A10" s="19">
        <v>2</v>
      </c>
      <c r="B10" s="19" t="s">
        <v>226</v>
      </c>
      <c r="C10" s="20" t="s">
        <v>227</v>
      </c>
      <c r="D10" s="20" t="s">
        <v>228</v>
      </c>
      <c r="E10" s="21">
        <v>44711</v>
      </c>
      <c r="F10" s="19" t="s">
        <v>96</v>
      </c>
      <c r="G10" s="75" t="s">
        <v>222</v>
      </c>
      <c r="H10" s="22" t="s">
        <v>229</v>
      </c>
      <c r="I10" s="19">
        <v>24</v>
      </c>
      <c r="J10" s="19">
        <f t="shared" si="0"/>
        <v>2</v>
      </c>
      <c r="K10" s="19">
        <v>200</v>
      </c>
      <c r="L10" s="36">
        <f t="shared" si="1"/>
        <v>184.615384615385</v>
      </c>
      <c r="M10" s="36">
        <f t="shared" si="2"/>
        <v>15.3846153846154</v>
      </c>
      <c r="N10" s="19">
        <v>4</v>
      </c>
      <c r="O10" s="36">
        <f>K10/26/8*1.5*N10</f>
        <v>5.76923076923077</v>
      </c>
      <c r="P10" s="19">
        <v>0</v>
      </c>
      <c r="Q10" s="19">
        <f>K10/26*2*P10</f>
        <v>0</v>
      </c>
      <c r="R10" s="19">
        <v>0</v>
      </c>
      <c r="S10" s="19">
        <f t="shared" si="3"/>
        <v>9.23076923076923</v>
      </c>
      <c r="T10" s="19">
        <v>0</v>
      </c>
      <c r="U10" s="19">
        <v>0</v>
      </c>
      <c r="V10" s="19">
        <v>10</v>
      </c>
      <c r="W10" s="36">
        <v>1</v>
      </c>
      <c r="X10" s="54">
        <v>8</v>
      </c>
      <c r="Y10" s="19">
        <v>0</v>
      </c>
      <c r="Z10" s="19">
        <v>0</v>
      </c>
      <c r="AA10" s="19">
        <v>0</v>
      </c>
      <c r="AB10" s="36">
        <f t="shared" si="4"/>
        <v>218.615384615385</v>
      </c>
      <c r="AC10" s="19">
        <f>VLOOKUP(B10,[2]Sheet1!$B$2:$N$199,11,0)/4000</f>
        <v>5.79775</v>
      </c>
      <c r="AD10" s="19">
        <v>0</v>
      </c>
      <c r="AE10" s="19">
        <f>VLOOKUP(B10,'[1]A01'!$E$7:$L$28,7,0)</f>
        <v>100</v>
      </c>
      <c r="AF10" s="19">
        <f t="shared" si="5"/>
        <v>105.79775</v>
      </c>
      <c r="AG10" s="36">
        <f>AB10-AF10</f>
        <v>112.817634615385</v>
      </c>
      <c r="AH10" s="19"/>
      <c r="AI10" s="60"/>
      <c r="AJ10" s="74"/>
      <c r="AK10" s="214">
        <v>0</v>
      </c>
      <c r="AL10" s="72">
        <v>101400168</v>
      </c>
      <c r="AM10" s="73">
        <v>37390</v>
      </c>
      <c r="AN10" s="74" t="s">
        <v>141</v>
      </c>
      <c r="AO10" s="74"/>
      <c r="AP10" s="74" t="s">
        <v>101</v>
      </c>
      <c r="AQ10" s="74" t="s">
        <v>102</v>
      </c>
      <c r="AR10" s="74" t="s">
        <v>103</v>
      </c>
      <c r="AS10" s="72" t="s">
        <v>230</v>
      </c>
    </row>
    <row r="11" s="5" customFormat="1" ht="22" customHeight="1" spans="1:45">
      <c r="A11" s="19">
        <v>3</v>
      </c>
      <c r="B11" s="19" t="s">
        <v>231</v>
      </c>
      <c r="C11" s="20" t="s">
        <v>232</v>
      </c>
      <c r="D11" s="20" t="s">
        <v>233</v>
      </c>
      <c r="E11" s="21">
        <v>44711</v>
      </c>
      <c r="F11" s="19" t="s">
        <v>96</v>
      </c>
      <c r="G11" s="75" t="s">
        <v>222</v>
      </c>
      <c r="H11" s="22" t="s">
        <v>229</v>
      </c>
      <c r="I11" s="19">
        <v>24</v>
      </c>
      <c r="J11" s="19">
        <f t="shared" si="0"/>
        <v>2</v>
      </c>
      <c r="K11" s="19">
        <v>200</v>
      </c>
      <c r="L11" s="36">
        <f t="shared" si="1"/>
        <v>184.615384615385</v>
      </c>
      <c r="M11" s="36">
        <f t="shared" si="2"/>
        <v>15.3846153846154</v>
      </c>
      <c r="N11" s="19">
        <v>0</v>
      </c>
      <c r="O11" s="19">
        <f t="shared" ref="O11:O19" si="6">K11/26/8*1.5*N11</f>
        <v>0</v>
      </c>
      <c r="P11" s="19">
        <v>0</v>
      </c>
      <c r="Q11" s="19">
        <f t="shared" ref="Q11:Q19" si="7">K11/26*2*P11</f>
        <v>0</v>
      </c>
      <c r="R11" s="19">
        <v>0</v>
      </c>
      <c r="S11" s="19">
        <f t="shared" si="3"/>
        <v>9.23076923076923</v>
      </c>
      <c r="T11" s="19">
        <v>0</v>
      </c>
      <c r="U11" s="19">
        <v>0</v>
      </c>
      <c r="V11" s="19">
        <v>10</v>
      </c>
      <c r="W11" s="36">
        <v>0</v>
      </c>
      <c r="X11" s="19">
        <v>8</v>
      </c>
      <c r="Y11" s="19">
        <v>0</v>
      </c>
      <c r="Z11" s="19">
        <v>0</v>
      </c>
      <c r="AA11" s="19">
        <v>0</v>
      </c>
      <c r="AB11" s="36">
        <f t="shared" si="4"/>
        <v>211.846153846154</v>
      </c>
      <c r="AC11" s="19">
        <f>VLOOKUP(B11,[2]Sheet1!$B$2:$N$199,11,0)/4000</f>
        <v>5.749</v>
      </c>
      <c r="AD11" s="19">
        <v>0</v>
      </c>
      <c r="AE11" s="19">
        <f>VLOOKUP(B11,'[1]A01'!$E$7:$L$28,7,0)</f>
        <v>100</v>
      </c>
      <c r="AF11" s="19">
        <f t="shared" si="5"/>
        <v>105.749</v>
      </c>
      <c r="AG11" s="36">
        <f t="shared" ref="AG11:AG19" si="8">AB11-AF11</f>
        <v>106.097153846154</v>
      </c>
      <c r="AH11" s="19"/>
      <c r="AI11" s="60"/>
      <c r="AJ11" s="61"/>
      <c r="AK11" s="214">
        <v>0</v>
      </c>
      <c r="AL11" s="72">
        <v>101225488</v>
      </c>
      <c r="AM11" s="73">
        <v>32695</v>
      </c>
      <c r="AN11" s="74" t="s">
        <v>99</v>
      </c>
      <c r="AO11" s="72" t="s">
        <v>234</v>
      </c>
      <c r="AP11" s="74" t="s">
        <v>101</v>
      </c>
      <c r="AQ11" s="74" t="s">
        <v>102</v>
      </c>
      <c r="AR11" s="74" t="s">
        <v>103</v>
      </c>
      <c r="AS11" s="72" t="s">
        <v>235</v>
      </c>
    </row>
    <row r="12" s="5" customFormat="1" ht="25" customHeight="1" spans="1:45">
      <c r="A12" s="19">
        <v>4</v>
      </c>
      <c r="B12" s="19" t="s">
        <v>236</v>
      </c>
      <c r="C12" s="20" t="s">
        <v>237</v>
      </c>
      <c r="D12" s="20" t="s">
        <v>238</v>
      </c>
      <c r="E12" s="21">
        <v>44711</v>
      </c>
      <c r="F12" s="19" t="s">
        <v>96</v>
      </c>
      <c r="G12" s="75" t="s">
        <v>222</v>
      </c>
      <c r="H12" s="22" t="s">
        <v>229</v>
      </c>
      <c r="I12" s="19">
        <v>24</v>
      </c>
      <c r="J12" s="19">
        <f t="shared" si="0"/>
        <v>2</v>
      </c>
      <c r="K12" s="19">
        <v>200</v>
      </c>
      <c r="L12" s="36">
        <f t="shared" si="1"/>
        <v>184.615384615385</v>
      </c>
      <c r="M12" s="36">
        <f t="shared" si="2"/>
        <v>15.3846153846154</v>
      </c>
      <c r="N12" s="19">
        <v>2</v>
      </c>
      <c r="O12" s="19">
        <f t="shared" si="6"/>
        <v>2.88461538461538</v>
      </c>
      <c r="P12" s="19">
        <v>0</v>
      </c>
      <c r="Q12" s="19">
        <f t="shared" si="7"/>
        <v>0</v>
      </c>
      <c r="R12" s="19">
        <v>0</v>
      </c>
      <c r="S12" s="19">
        <f t="shared" si="3"/>
        <v>9.23076923076923</v>
      </c>
      <c r="T12" s="19">
        <v>0</v>
      </c>
      <c r="U12" s="19">
        <v>0</v>
      </c>
      <c r="V12" s="19">
        <v>10</v>
      </c>
      <c r="W12" s="36">
        <v>1</v>
      </c>
      <c r="X12" s="19">
        <v>8</v>
      </c>
      <c r="Y12" s="19">
        <v>0</v>
      </c>
      <c r="Z12" s="19">
        <v>0</v>
      </c>
      <c r="AA12" s="19">
        <v>0</v>
      </c>
      <c r="AB12" s="36">
        <f t="shared" si="4"/>
        <v>215.73076923077</v>
      </c>
      <c r="AC12" s="19">
        <f>VLOOKUP(B12,[2]Sheet1!$B$2:$N$199,11,0)/4000</f>
        <v>5.823</v>
      </c>
      <c r="AD12" s="19">
        <v>0</v>
      </c>
      <c r="AE12" s="19">
        <f>VLOOKUP(B12,'[1]A01'!$E$7:$L$28,7,0)</f>
        <v>100</v>
      </c>
      <c r="AF12" s="19">
        <f t="shared" si="5"/>
        <v>105.823</v>
      </c>
      <c r="AG12" s="36">
        <f t="shared" si="8"/>
        <v>109.90776923077</v>
      </c>
      <c r="AH12" s="19"/>
      <c r="AI12" s="60"/>
      <c r="AJ12" s="61"/>
      <c r="AK12" s="214">
        <v>0</v>
      </c>
      <c r="AL12" s="72">
        <v>100807202</v>
      </c>
      <c r="AM12" s="73">
        <v>30106</v>
      </c>
      <c r="AN12" s="74" t="s">
        <v>141</v>
      </c>
      <c r="AO12" s="72"/>
      <c r="AP12" s="74" t="s">
        <v>101</v>
      </c>
      <c r="AQ12" s="74" t="s">
        <v>102</v>
      </c>
      <c r="AR12" s="74" t="s">
        <v>103</v>
      </c>
      <c r="AS12" s="72" t="s">
        <v>239</v>
      </c>
    </row>
    <row r="13" s="5" customFormat="1" ht="25" customHeight="1" spans="1:45">
      <c r="A13" s="19">
        <v>5</v>
      </c>
      <c r="B13" s="19" t="s">
        <v>240</v>
      </c>
      <c r="C13" s="20" t="s">
        <v>241</v>
      </c>
      <c r="D13" s="20" t="s">
        <v>242</v>
      </c>
      <c r="E13" s="21">
        <v>44711</v>
      </c>
      <c r="F13" s="19" t="s">
        <v>96</v>
      </c>
      <c r="G13" s="75" t="s">
        <v>222</v>
      </c>
      <c r="H13" s="22" t="s">
        <v>229</v>
      </c>
      <c r="I13" s="19">
        <v>24</v>
      </c>
      <c r="J13" s="19">
        <f t="shared" si="0"/>
        <v>2</v>
      </c>
      <c r="K13" s="19">
        <v>200</v>
      </c>
      <c r="L13" s="36">
        <f t="shared" si="1"/>
        <v>184.615384615385</v>
      </c>
      <c r="M13" s="36">
        <f t="shared" si="2"/>
        <v>15.3846153846154</v>
      </c>
      <c r="N13" s="19">
        <v>0</v>
      </c>
      <c r="O13" s="19">
        <f t="shared" si="6"/>
        <v>0</v>
      </c>
      <c r="P13" s="19">
        <v>0</v>
      </c>
      <c r="Q13" s="19">
        <f t="shared" si="7"/>
        <v>0</v>
      </c>
      <c r="R13" s="19">
        <v>0</v>
      </c>
      <c r="S13" s="19">
        <f t="shared" si="3"/>
        <v>9.23076923076923</v>
      </c>
      <c r="T13" s="19">
        <v>0</v>
      </c>
      <c r="U13" s="19">
        <v>0</v>
      </c>
      <c r="V13" s="19">
        <v>10</v>
      </c>
      <c r="W13" s="36">
        <v>0</v>
      </c>
      <c r="X13" s="19">
        <v>8</v>
      </c>
      <c r="Y13" s="19">
        <v>0</v>
      </c>
      <c r="Z13" s="19">
        <v>0</v>
      </c>
      <c r="AA13" s="19">
        <v>0</v>
      </c>
      <c r="AB13" s="36">
        <f t="shared" si="4"/>
        <v>211.846153846154</v>
      </c>
      <c r="AC13" s="19">
        <f>VLOOKUP(B13,[2]Sheet1!$B$2:$N$199,11,0)/4000</f>
        <v>5.892</v>
      </c>
      <c r="AD13" s="19">
        <v>0</v>
      </c>
      <c r="AE13" s="19">
        <f>VLOOKUP(B13,'[1]A01'!$E$7:$L$28,7,0)</f>
        <v>100</v>
      </c>
      <c r="AF13" s="19">
        <f t="shared" si="5"/>
        <v>105.892</v>
      </c>
      <c r="AG13" s="36">
        <f t="shared" si="8"/>
        <v>105.954153846154</v>
      </c>
      <c r="AH13" s="19"/>
      <c r="AI13" s="60"/>
      <c r="AJ13" s="61"/>
      <c r="AK13" s="214">
        <v>0</v>
      </c>
      <c r="AL13" s="72">
        <v>101224840</v>
      </c>
      <c r="AM13" s="73">
        <v>32195</v>
      </c>
      <c r="AN13" s="74" t="s">
        <v>99</v>
      </c>
      <c r="AO13" s="72" t="s">
        <v>234</v>
      </c>
      <c r="AP13" s="74" t="s">
        <v>101</v>
      </c>
      <c r="AQ13" s="74" t="s">
        <v>102</v>
      </c>
      <c r="AR13" s="74" t="s">
        <v>103</v>
      </c>
      <c r="AS13" s="72" t="s">
        <v>243</v>
      </c>
    </row>
    <row r="14" s="5" customFormat="1" ht="22" customHeight="1" spans="1:45">
      <c r="A14" s="19">
        <v>6</v>
      </c>
      <c r="B14" s="19" t="s">
        <v>244</v>
      </c>
      <c r="C14" s="20" t="s">
        <v>245</v>
      </c>
      <c r="D14" s="20" t="s">
        <v>246</v>
      </c>
      <c r="E14" s="21">
        <v>44711</v>
      </c>
      <c r="F14" s="19" t="s">
        <v>96</v>
      </c>
      <c r="G14" s="75" t="s">
        <v>222</v>
      </c>
      <c r="H14" s="22" t="s">
        <v>229</v>
      </c>
      <c r="I14" s="19">
        <v>23</v>
      </c>
      <c r="J14" s="19">
        <f t="shared" si="0"/>
        <v>3</v>
      </c>
      <c r="K14" s="19">
        <v>200</v>
      </c>
      <c r="L14" s="36">
        <f t="shared" si="1"/>
        <v>176.923076923077</v>
      </c>
      <c r="M14" s="36">
        <f t="shared" si="2"/>
        <v>23.0769230769231</v>
      </c>
      <c r="N14" s="19">
        <v>8</v>
      </c>
      <c r="O14" s="36">
        <f t="shared" si="6"/>
        <v>11.5384615384615</v>
      </c>
      <c r="P14" s="19">
        <v>0</v>
      </c>
      <c r="Q14" s="19">
        <f t="shared" si="7"/>
        <v>0</v>
      </c>
      <c r="R14" s="19">
        <v>0</v>
      </c>
      <c r="S14" s="19">
        <f t="shared" si="3"/>
        <v>8.84615384615385</v>
      </c>
      <c r="T14" s="19">
        <v>0</v>
      </c>
      <c r="U14" s="19">
        <v>0</v>
      </c>
      <c r="V14" s="19">
        <v>10</v>
      </c>
      <c r="W14" s="36">
        <v>2</v>
      </c>
      <c r="X14" s="19">
        <v>8</v>
      </c>
      <c r="Y14" s="19">
        <v>0</v>
      </c>
      <c r="Z14" s="19">
        <v>0</v>
      </c>
      <c r="AA14" s="19">
        <v>0</v>
      </c>
      <c r="AB14" s="36">
        <f t="shared" si="4"/>
        <v>217.307692307692</v>
      </c>
      <c r="AC14" s="19">
        <f>VLOOKUP(B14,[2]Sheet1!$B$2:$N$199,11,0)/4000</f>
        <v>5.86625</v>
      </c>
      <c r="AD14" s="19">
        <v>0</v>
      </c>
      <c r="AE14" s="19">
        <f>VLOOKUP(B14,'[1]A01'!$E$7:$L$28,7,0)</f>
        <v>100</v>
      </c>
      <c r="AF14" s="19">
        <f t="shared" si="5"/>
        <v>105.86625</v>
      </c>
      <c r="AG14" s="36">
        <f t="shared" si="8"/>
        <v>111.441442307692</v>
      </c>
      <c r="AH14" s="19"/>
      <c r="AI14" s="60"/>
      <c r="AJ14" s="61"/>
      <c r="AK14" s="214">
        <v>0</v>
      </c>
      <c r="AL14" s="72">
        <v>100884149</v>
      </c>
      <c r="AM14" s="73">
        <v>32108</v>
      </c>
      <c r="AN14" s="74" t="s">
        <v>99</v>
      </c>
      <c r="AO14" s="72">
        <v>0</v>
      </c>
      <c r="AP14" s="74" t="s">
        <v>101</v>
      </c>
      <c r="AQ14" s="74" t="s">
        <v>102</v>
      </c>
      <c r="AR14" s="74" t="s">
        <v>103</v>
      </c>
      <c r="AS14" s="72" t="s">
        <v>247</v>
      </c>
    </row>
    <row r="15" s="5" customFormat="1" ht="22" customHeight="1" spans="1:45">
      <c r="A15" s="19">
        <v>7</v>
      </c>
      <c r="B15" s="19" t="s">
        <v>248</v>
      </c>
      <c r="C15" s="20" t="s">
        <v>249</v>
      </c>
      <c r="D15" s="20" t="s">
        <v>250</v>
      </c>
      <c r="E15" s="21">
        <v>44711</v>
      </c>
      <c r="F15" s="19" t="s">
        <v>96</v>
      </c>
      <c r="G15" s="75" t="s">
        <v>222</v>
      </c>
      <c r="H15" s="22" t="s">
        <v>229</v>
      </c>
      <c r="I15" s="19">
        <v>23</v>
      </c>
      <c r="J15" s="19">
        <f t="shared" si="0"/>
        <v>3</v>
      </c>
      <c r="K15" s="19">
        <v>200</v>
      </c>
      <c r="L15" s="36">
        <f t="shared" si="1"/>
        <v>176.923076923077</v>
      </c>
      <c r="M15" s="36">
        <f t="shared" si="2"/>
        <v>23.0769230769231</v>
      </c>
      <c r="N15" s="19">
        <v>12</v>
      </c>
      <c r="O15" s="19">
        <f t="shared" si="6"/>
        <v>17.3076923076923</v>
      </c>
      <c r="P15" s="19">
        <v>0</v>
      </c>
      <c r="Q15" s="19">
        <f t="shared" si="7"/>
        <v>0</v>
      </c>
      <c r="R15" s="19">
        <v>0</v>
      </c>
      <c r="S15" s="19">
        <f t="shared" si="3"/>
        <v>8.84615384615385</v>
      </c>
      <c r="T15" s="19">
        <v>0</v>
      </c>
      <c r="U15" s="19">
        <v>0</v>
      </c>
      <c r="V15" s="19">
        <v>10</v>
      </c>
      <c r="W15" s="36">
        <v>3</v>
      </c>
      <c r="X15" s="19">
        <v>8</v>
      </c>
      <c r="Y15" s="19">
        <v>0</v>
      </c>
      <c r="Z15" s="19">
        <v>0</v>
      </c>
      <c r="AA15" s="19">
        <v>0</v>
      </c>
      <c r="AB15" s="36">
        <f t="shared" si="4"/>
        <v>224.076923076923</v>
      </c>
      <c r="AC15" s="19">
        <f>VLOOKUP(B15,[2]Sheet1!$B$2:$N$199,11,0)/4000</f>
        <v>5.46625</v>
      </c>
      <c r="AD15" s="19">
        <v>0</v>
      </c>
      <c r="AE15" s="19">
        <f>VLOOKUP(B15,'[1]A01'!$E$7:$L$28,7,0)</f>
        <v>100</v>
      </c>
      <c r="AF15" s="19">
        <f t="shared" si="5"/>
        <v>105.46625</v>
      </c>
      <c r="AG15" s="36">
        <f t="shared" si="8"/>
        <v>118.610673076923</v>
      </c>
      <c r="AH15" s="19"/>
      <c r="AI15" s="60"/>
      <c r="AJ15" s="61"/>
      <c r="AK15" s="214">
        <v>0</v>
      </c>
      <c r="AL15" s="72">
        <v>101349517</v>
      </c>
      <c r="AM15" s="73">
        <v>33087</v>
      </c>
      <c r="AN15" s="74" t="s">
        <v>141</v>
      </c>
      <c r="AO15" s="72"/>
      <c r="AP15" s="74" t="s">
        <v>101</v>
      </c>
      <c r="AQ15" s="74" t="s">
        <v>102</v>
      </c>
      <c r="AR15" s="74" t="s">
        <v>103</v>
      </c>
      <c r="AS15" s="72" t="s">
        <v>251</v>
      </c>
    </row>
    <row r="16" s="5" customFormat="1" ht="26" customHeight="1" spans="1:45">
      <c r="A16" s="19">
        <v>8</v>
      </c>
      <c r="B16" s="19" t="s">
        <v>252</v>
      </c>
      <c r="C16" s="20" t="s">
        <v>253</v>
      </c>
      <c r="D16" s="20" t="s">
        <v>254</v>
      </c>
      <c r="E16" s="21">
        <v>44711</v>
      </c>
      <c r="F16" s="19" t="s">
        <v>96</v>
      </c>
      <c r="G16" s="75" t="s">
        <v>222</v>
      </c>
      <c r="H16" s="22" t="s">
        <v>229</v>
      </c>
      <c r="I16" s="19">
        <v>23.5</v>
      </c>
      <c r="J16" s="19">
        <f t="shared" si="0"/>
        <v>2.5</v>
      </c>
      <c r="K16" s="19">
        <v>200</v>
      </c>
      <c r="L16" s="36">
        <f t="shared" si="1"/>
        <v>180.769230769231</v>
      </c>
      <c r="M16" s="36">
        <f t="shared" si="2"/>
        <v>19.2307692307692</v>
      </c>
      <c r="N16" s="19">
        <v>2</v>
      </c>
      <c r="O16" s="19">
        <f t="shared" si="6"/>
        <v>2.88461538461538</v>
      </c>
      <c r="P16" s="19">
        <v>0</v>
      </c>
      <c r="Q16" s="19">
        <f t="shared" si="7"/>
        <v>0</v>
      </c>
      <c r="R16" s="19">
        <v>0</v>
      </c>
      <c r="S16" s="19">
        <f t="shared" si="3"/>
        <v>9.03846153846154</v>
      </c>
      <c r="T16" s="19">
        <v>0</v>
      </c>
      <c r="U16" s="19">
        <v>0</v>
      </c>
      <c r="V16" s="19">
        <v>10</v>
      </c>
      <c r="W16" s="36">
        <v>0.5</v>
      </c>
      <c r="X16" s="19">
        <v>8</v>
      </c>
      <c r="Y16" s="19">
        <v>0</v>
      </c>
      <c r="Z16" s="19">
        <v>0</v>
      </c>
      <c r="AA16" s="19">
        <v>0</v>
      </c>
      <c r="AB16" s="36">
        <f t="shared" si="4"/>
        <v>211.192307692308</v>
      </c>
      <c r="AC16" s="19">
        <f>VLOOKUP(B16,[2]Sheet1!$B$2:$N$199,11,0)/4000</f>
        <v>5.5375</v>
      </c>
      <c r="AD16" s="19">
        <v>0</v>
      </c>
      <c r="AE16" s="19">
        <f>VLOOKUP(B16,'[1]A01'!$E$7:$L$28,7,0)</f>
        <v>100</v>
      </c>
      <c r="AF16" s="19">
        <f t="shared" si="5"/>
        <v>105.5375</v>
      </c>
      <c r="AG16" s="36">
        <f t="shared" si="8"/>
        <v>105.654807692308</v>
      </c>
      <c r="AH16" s="19"/>
      <c r="AI16" s="60"/>
      <c r="AJ16" s="61"/>
      <c r="AK16" s="214">
        <v>0</v>
      </c>
      <c r="AL16" s="72">
        <v>100821237</v>
      </c>
      <c r="AM16" s="73">
        <v>34429</v>
      </c>
      <c r="AN16" s="74" t="s">
        <v>99</v>
      </c>
      <c r="AO16" s="72" t="s">
        <v>234</v>
      </c>
      <c r="AP16" s="74" t="s">
        <v>101</v>
      </c>
      <c r="AQ16" s="74" t="s">
        <v>102</v>
      </c>
      <c r="AR16" s="74" t="s">
        <v>103</v>
      </c>
      <c r="AS16" s="202" t="s">
        <v>255</v>
      </c>
    </row>
    <row r="17" s="5" customFormat="1" ht="22" customHeight="1" spans="1:45">
      <c r="A17" s="19">
        <v>9</v>
      </c>
      <c r="B17" s="19" t="s">
        <v>256</v>
      </c>
      <c r="C17" s="20" t="s">
        <v>257</v>
      </c>
      <c r="D17" s="20" t="s">
        <v>258</v>
      </c>
      <c r="E17" s="21">
        <v>44711</v>
      </c>
      <c r="F17" s="19" t="s">
        <v>96</v>
      </c>
      <c r="G17" s="75" t="s">
        <v>222</v>
      </c>
      <c r="H17" s="22" t="s">
        <v>229</v>
      </c>
      <c r="I17" s="19">
        <v>24</v>
      </c>
      <c r="J17" s="19">
        <f t="shared" si="0"/>
        <v>2</v>
      </c>
      <c r="K17" s="19">
        <v>200</v>
      </c>
      <c r="L17" s="36">
        <f t="shared" si="1"/>
        <v>184.615384615385</v>
      </c>
      <c r="M17" s="36">
        <f t="shared" si="2"/>
        <v>15.3846153846154</v>
      </c>
      <c r="N17" s="19">
        <v>8</v>
      </c>
      <c r="O17" s="19">
        <f t="shared" si="6"/>
        <v>11.5384615384615</v>
      </c>
      <c r="P17" s="19">
        <v>0</v>
      </c>
      <c r="Q17" s="19">
        <f t="shared" si="7"/>
        <v>0</v>
      </c>
      <c r="R17" s="19">
        <v>0</v>
      </c>
      <c r="S17" s="19">
        <f t="shared" si="3"/>
        <v>9.23076923076923</v>
      </c>
      <c r="T17" s="19">
        <v>0</v>
      </c>
      <c r="U17" s="19">
        <v>0</v>
      </c>
      <c r="V17" s="19">
        <v>10</v>
      </c>
      <c r="W17" s="36">
        <v>2</v>
      </c>
      <c r="X17" s="19">
        <v>8</v>
      </c>
      <c r="Y17" s="19">
        <v>0</v>
      </c>
      <c r="Z17" s="19">
        <v>0</v>
      </c>
      <c r="AA17" s="19">
        <v>0</v>
      </c>
      <c r="AB17" s="36">
        <f t="shared" si="4"/>
        <v>225.384615384616</v>
      </c>
      <c r="AC17" s="19">
        <f>VLOOKUP(B17,[2]Sheet1!$B$2:$N$199,11,0)/4000</f>
        <v>6</v>
      </c>
      <c r="AD17" s="19">
        <v>0</v>
      </c>
      <c r="AE17" s="19">
        <f>VLOOKUP(B17,'[1]A01'!$E$7:$L$28,7,0)</f>
        <v>100</v>
      </c>
      <c r="AF17" s="19">
        <f t="shared" si="5"/>
        <v>106</v>
      </c>
      <c r="AG17" s="36">
        <f t="shared" si="8"/>
        <v>119.384615384616</v>
      </c>
      <c r="AH17" s="19"/>
      <c r="AI17" s="60"/>
      <c r="AJ17" s="61"/>
      <c r="AK17" s="214">
        <v>0</v>
      </c>
      <c r="AL17" s="72">
        <v>100683493</v>
      </c>
      <c r="AM17" s="73">
        <v>35440</v>
      </c>
      <c r="AN17" s="74" t="s">
        <v>99</v>
      </c>
      <c r="AO17" s="72" t="s">
        <v>234</v>
      </c>
      <c r="AP17" s="74" t="s">
        <v>101</v>
      </c>
      <c r="AQ17" s="74" t="s">
        <v>102</v>
      </c>
      <c r="AR17" s="74" t="s">
        <v>103</v>
      </c>
      <c r="AS17" s="72" t="s">
        <v>259</v>
      </c>
    </row>
    <row r="18" s="5" customFormat="1" ht="22" customHeight="1" spans="1:45">
      <c r="A18" s="19">
        <v>10</v>
      </c>
      <c r="B18" s="19" t="s">
        <v>260</v>
      </c>
      <c r="C18" s="20" t="s">
        <v>261</v>
      </c>
      <c r="D18" s="20" t="s">
        <v>262</v>
      </c>
      <c r="E18" s="21">
        <v>44711</v>
      </c>
      <c r="F18" s="19" t="s">
        <v>96</v>
      </c>
      <c r="G18" s="75" t="s">
        <v>222</v>
      </c>
      <c r="H18" s="22" t="s">
        <v>229</v>
      </c>
      <c r="I18" s="19">
        <v>25.5</v>
      </c>
      <c r="J18" s="19">
        <f t="shared" si="0"/>
        <v>0.5</v>
      </c>
      <c r="K18" s="19">
        <v>200</v>
      </c>
      <c r="L18" s="36">
        <f t="shared" si="1"/>
        <v>196.153846153846</v>
      </c>
      <c r="M18" s="36">
        <f t="shared" si="2"/>
        <v>3.84615384615385</v>
      </c>
      <c r="N18" s="19">
        <v>8</v>
      </c>
      <c r="O18" s="19">
        <f t="shared" si="6"/>
        <v>11.5384615384615</v>
      </c>
      <c r="P18" s="19">
        <v>0</v>
      </c>
      <c r="Q18" s="19">
        <f t="shared" si="7"/>
        <v>0</v>
      </c>
      <c r="R18" s="19">
        <v>0</v>
      </c>
      <c r="S18" s="19">
        <f t="shared" si="3"/>
        <v>9.80769230769231</v>
      </c>
      <c r="T18" s="19">
        <v>0</v>
      </c>
      <c r="U18" s="19">
        <v>0</v>
      </c>
      <c r="V18" s="19">
        <v>10</v>
      </c>
      <c r="W18" s="36">
        <v>2</v>
      </c>
      <c r="X18" s="19">
        <v>8</v>
      </c>
      <c r="Y18" s="19">
        <v>0</v>
      </c>
      <c r="Z18" s="19">
        <v>0</v>
      </c>
      <c r="AA18" s="19">
        <v>0</v>
      </c>
      <c r="AB18" s="36">
        <f t="shared" si="4"/>
        <v>237.5</v>
      </c>
      <c r="AC18" s="19">
        <f>VLOOKUP(B18,[2]Sheet1!$B$2:$N$199,11,0)/4000</f>
        <v>6</v>
      </c>
      <c r="AD18" s="19">
        <v>0</v>
      </c>
      <c r="AE18" s="19">
        <f>VLOOKUP(B18,'[1]A01'!$E$7:$L$28,7,0)</f>
        <v>100</v>
      </c>
      <c r="AF18" s="19">
        <f t="shared" si="5"/>
        <v>106</v>
      </c>
      <c r="AG18" s="36">
        <f t="shared" si="8"/>
        <v>131.5</v>
      </c>
      <c r="AH18" s="19"/>
      <c r="AI18" s="60"/>
      <c r="AJ18" s="61"/>
      <c r="AK18" s="214">
        <v>0</v>
      </c>
      <c r="AL18" s="238" t="s">
        <v>263</v>
      </c>
      <c r="AM18" s="73">
        <v>34913</v>
      </c>
      <c r="AN18" s="74" t="s">
        <v>141</v>
      </c>
      <c r="AO18" s="72"/>
      <c r="AP18" s="74" t="s">
        <v>101</v>
      </c>
      <c r="AQ18" s="74" t="s">
        <v>102</v>
      </c>
      <c r="AR18" s="74" t="s">
        <v>103</v>
      </c>
      <c r="AS18" s="72" t="s">
        <v>264</v>
      </c>
    </row>
    <row r="19" s="5" customFormat="1" ht="22" customHeight="1" spans="1:45">
      <c r="A19" s="19">
        <v>11</v>
      </c>
      <c r="B19" s="19" t="s">
        <v>265</v>
      </c>
      <c r="C19" s="20" t="s">
        <v>266</v>
      </c>
      <c r="D19" s="20" t="s">
        <v>267</v>
      </c>
      <c r="E19" s="21">
        <v>44711</v>
      </c>
      <c r="F19" s="19" t="s">
        <v>96</v>
      </c>
      <c r="G19" s="75" t="s">
        <v>222</v>
      </c>
      <c r="H19" s="22" t="s">
        <v>229</v>
      </c>
      <c r="I19" s="19">
        <v>24</v>
      </c>
      <c r="J19" s="19">
        <f t="shared" si="0"/>
        <v>2</v>
      </c>
      <c r="K19" s="19">
        <v>200</v>
      </c>
      <c r="L19" s="36">
        <f t="shared" si="1"/>
        <v>184.615384615385</v>
      </c>
      <c r="M19" s="36">
        <f t="shared" si="2"/>
        <v>15.3846153846154</v>
      </c>
      <c r="N19" s="19">
        <v>10</v>
      </c>
      <c r="O19" s="19">
        <f t="shared" si="6"/>
        <v>14.4230769230769</v>
      </c>
      <c r="P19" s="19">
        <v>0</v>
      </c>
      <c r="Q19" s="19">
        <f t="shared" si="7"/>
        <v>0</v>
      </c>
      <c r="R19" s="19">
        <v>0</v>
      </c>
      <c r="S19" s="19">
        <f t="shared" ref="S19:S30" si="9">10/26*I19</f>
        <v>9.23076923076923</v>
      </c>
      <c r="T19" s="19">
        <v>0</v>
      </c>
      <c r="U19" s="19">
        <v>0</v>
      </c>
      <c r="V19" s="19">
        <v>10</v>
      </c>
      <c r="W19" s="36">
        <v>2.5</v>
      </c>
      <c r="X19" s="19">
        <v>8</v>
      </c>
      <c r="Y19" s="19">
        <v>0</v>
      </c>
      <c r="Z19" s="19">
        <v>0</v>
      </c>
      <c r="AA19" s="19">
        <v>0</v>
      </c>
      <c r="AB19" s="36">
        <f t="shared" si="4"/>
        <v>228.769230769231</v>
      </c>
      <c r="AC19" s="19">
        <f>VLOOKUP(B19,[2]Sheet1!$B$2:$N$199,11,0)/4000</f>
        <v>5.67775</v>
      </c>
      <c r="AD19" s="19">
        <v>0</v>
      </c>
      <c r="AE19" s="19">
        <f>VLOOKUP(B19,'[1]A01'!$E$7:$L$28,7,0)</f>
        <v>100</v>
      </c>
      <c r="AF19" s="19">
        <f t="shared" ref="AF19:AF35" si="10">SUM(AC19:AE19)</f>
        <v>105.67775</v>
      </c>
      <c r="AG19" s="36">
        <f t="shared" si="8"/>
        <v>123.091480769231</v>
      </c>
      <c r="AH19" s="19"/>
      <c r="AI19" s="60"/>
      <c r="AJ19" s="61"/>
      <c r="AK19" s="214">
        <v>0</v>
      </c>
      <c r="AL19" s="72">
        <v>100992860</v>
      </c>
      <c r="AM19" s="73">
        <v>31486</v>
      </c>
      <c r="AN19" s="74" t="s">
        <v>141</v>
      </c>
      <c r="AO19" s="74"/>
      <c r="AP19" s="74" t="s">
        <v>101</v>
      </c>
      <c r="AQ19" s="74" t="s">
        <v>102</v>
      </c>
      <c r="AR19" s="74" t="s">
        <v>103</v>
      </c>
      <c r="AS19" s="72" t="s">
        <v>268</v>
      </c>
    </row>
    <row r="20" s="5" customFormat="1" ht="22" customHeight="1" spans="1:45">
      <c r="A20" s="19">
        <v>12</v>
      </c>
      <c r="B20" s="19" t="s">
        <v>269</v>
      </c>
      <c r="C20" s="81" t="s">
        <v>270</v>
      </c>
      <c r="D20" s="81" t="s">
        <v>271</v>
      </c>
      <c r="E20" s="21">
        <v>44711</v>
      </c>
      <c r="F20" s="19" t="s">
        <v>96</v>
      </c>
      <c r="G20" s="75" t="s">
        <v>222</v>
      </c>
      <c r="H20" s="22" t="s">
        <v>229</v>
      </c>
      <c r="I20" s="19">
        <v>24.75</v>
      </c>
      <c r="J20" s="19">
        <f t="shared" ref="J20:J30" si="11">26-I20</f>
        <v>1.25</v>
      </c>
      <c r="K20" s="19">
        <v>200</v>
      </c>
      <c r="L20" s="36">
        <f t="shared" ref="L20:L30" si="12">K20/26*I20</f>
        <v>190.384615384615</v>
      </c>
      <c r="M20" s="36">
        <f t="shared" ref="M20:M30" si="13">K20/26*J20</f>
        <v>9.61538461538461</v>
      </c>
      <c r="N20" s="19">
        <v>2</v>
      </c>
      <c r="O20" s="19">
        <f t="shared" ref="O20:O30" si="14">K20/26/8*1.5*N20</f>
        <v>2.88461538461538</v>
      </c>
      <c r="P20" s="19">
        <v>0</v>
      </c>
      <c r="Q20" s="19">
        <f t="shared" ref="Q20:Q30" si="15">K20/26*2*P20</f>
        <v>0</v>
      </c>
      <c r="R20" s="19">
        <v>0</v>
      </c>
      <c r="S20" s="19">
        <f t="shared" si="9"/>
        <v>9.51923076923077</v>
      </c>
      <c r="T20" s="19">
        <v>0</v>
      </c>
      <c r="U20" s="19">
        <v>0</v>
      </c>
      <c r="V20" s="19">
        <v>10</v>
      </c>
      <c r="W20" s="36">
        <v>0.5</v>
      </c>
      <c r="X20" s="19">
        <v>8</v>
      </c>
      <c r="Y20" s="19">
        <v>0</v>
      </c>
      <c r="Z20" s="19">
        <v>0</v>
      </c>
      <c r="AA20" s="19">
        <v>0</v>
      </c>
      <c r="AB20" s="36">
        <f t="shared" ref="AB20:AB30" si="16">SUM(L20+O20+Q20+R20+S20+T20+U20+V20+X20+Y20+Z20+AA20+W20)</f>
        <v>221.288461538461</v>
      </c>
      <c r="AC20" s="19">
        <f>VLOOKUP(B20,[2]Sheet1!$B$2:$N$199,11,0)/4000</f>
        <v>6</v>
      </c>
      <c r="AD20" s="19">
        <v>0</v>
      </c>
      <c r="AE20" s="19">
        <f>VLOOKUP(B20,'[1]A01'!$E$7:$L$28,7,0)</f>
        <v>100</v>
      </c>
      <c r="AF20" s="19">
        <f t="shared" si="10"/>
        <v>106</v>
      </c>
      <c r="AG20" s="36">
        <f t="shared" ref="AG20:AG30" si="17">AB20-AF20</f>
        <v>115.288461538461</v>
      </c>
      <c r="AH20" s="19"/>
      <c r="AI20" s="60"/>
      <c r="AJ20" s="61"/>
      <c r="AK20" s="214">
        <v>0</v>
      </c>
      <c r="AL20" s="72">
        <v>100940119</v>
      </c>
      <c r="AM20" s="73">
        <v>29961</v>
      </c>
      <c r="AN20" s="74" t="s">
        <v>99</v>
      </c>
      <c r="AO20" s="72" t="s">
        <v>224</v>
      </c>
      <c r="AP20" s="74" t="s">
        <v>101</v>
      </c>
      <c r="AQ20" s="74" t="s">
        <v>102</v>
      </c>
      <c r="AR20" s="74" t="s">
        <v>103</v>
      </c>
      <c r="AS20" s="72" t="s">
        <v>272</v>
      </c>
    </row>
    <row r="21" s="5" customFormat="1" ht="22" customHeight="1" spans="1:45">
      <c r="A21" s="19">
        <v>13</v>
      </c>
      <c r="B21" s="19" t="s">
        <v>273</v>
      </c>
      <c r="C21" s="20" t="s">
        <v>274</v>
      </c>
      <c r="D21" s="20" t="s">
        <v>275</v>
      </c>
      <c r="E21" s="21">
        <v>44712</v>
      </c>
      <c r="F21" s="19" t="s">
        <v>96</v>
      </c>
      <c r="G21" s="75" t="s">
        <v>222</v>
      </c>
      <c r="H21" s="22" t="s">
        <v>229</v>
      </c>
      <c r="I21" s="19">
        <v>23.5</v>
      </c>
      <c r="J21" s="19">
        <f t="shared" si="11"/>
        <v>2.5</v>
      </c>
      <c r="K21" s="19">
        <v>200</v>
      </c>
      <c r="L21" s="36">
        <f t="shared" si="12"/>
        <v>180.769230769231</v>
      </c>
      <c r="M21" s="36">
        <f t="shared" si="13"/>
        <v>19.2307692307692</v>
      </c>
      <c r="N21" s="19">
        <v>4</v>
      </c>
      <c r="O21" s="19">
        <f t="shared" si="14"/>
        <v>5.76923076923077</v>
      </c>
      <c r="P21" s="19">
        <v>0</v>
      </c>
      <c r="Q21" s="19">
        <f t="shared" si="15"/>
        <v>0</v>
      </c>
      <c r="R21" s="19">
        <v>0</v>
      </c>
      <c r="S21" s="19">
        <f t="shared" si="9"/>
        <v>9.03846153846154</v>
      </c>
      <c r="T21" s="19">
        <v>0</v>
      </c>
      <c r="U21" s="19">
        <v>0</v>
      </c>
      <c r="V21" s="19">
        <v>10</v>
      </c>
      <c r="W21" s="36">
        <v>1</v>
      </c>
      <c r="X21" s="19">
        <v>8</v>
      </c>
      <c r="Y21" s="19">
        <v>0</v>
      </c>
      <c r="Z21" s="19">
        <v>0</v>
      </c>
      <c r="AA21" s="19">
        <v>0</v>
      </c>
      <c r="AB21" s="36">
        <f t="shared" si="16"/>
        <v>214.576923076923</v>
      </c>
      <c r="AC21" s="19">
        <f>VLOOKUP(B21,[2]Sheet1!$B$2:$N$199,11,0)/4000</f>
        <v>5.6945</v>
      </c>
      <c r="AD21" s="19">
        <v>0</v>
      </c>
      <c r="AE21" s="19">
        <f>VLOOKUP(B21,'[1]A01'!$E$7:$L$28,7,0)</f>
        <v>100</v>
      </c>
      <c r="AF21" s="19">
        <f t="shared" si="10"/>
        <v>105.6945</v>
      </c>
      <c r="AG21" s="36">
        <f t="shared" si="17"/>
        <v>108.882423076923</v>
      </c>
      <c r="AH21" s="19"/>
      <c r="AI21" s="60"/>
      <c r="AJ21" s="61"/>
      <c r="AK21" s="214">
        <v>0</v>
      </c>
      <c r="AL21" s="72">
        <v>100715909</v>
      </c>
      <c r="AM21" s="73">
        <v>35232</v>
      </c>
      <c r="AN21" s="74" t="s">
        <v>141</v>
      </c>
      <c r="AO21" s="72"/>
      <c r="AP21" s="74" t="s">
        <v>101</v>
      </c>
      <c r="AQ21" s="74" t="s">
        <v>102</v>
      </c>
      <c r="AR21" s="74" t="s">
        <v>103</v>
      </c>
      <c r="AS21" s="72"/>
    </row>
    <row r="22" s="5" customFormat="1" ht="22" customHeight="1" spans="1:45">
      <c r="A22" s="19">
        <v>14</v>
      </c>
      <c r="B22" s="19" t="s">
        <v>276</v>
      </c>
      <c r="C22" s="20" t="s">
        <v>277</v>
      </c>
      <c r="D22" s="20" t="s">
        <v>278</v>
      </c>
      <c r="E22" s="21">
        <v>44714</v>
      </c>
      <c r="F22" s="19" t="s">
        <v>96</v>
      </c>
      <c r="G22" s="75" t="s">
        <v>222</v>
      </c>
      <c r="H22" s="22" t="s">
        <v>229</v>
      </c>
      <c r="I22" s="19">
        <v>22.5</v>
      </c>
      <c r="J22" s="19">
        <f t="shared" si="11"/>
        <v>3.5</v>
      </c>
      <c r="K22" s="19">
        <v>200</v>
      </c>
      <c r="L22" s="36">
        <f t="shared" si="12"/>
        <v>173.076923076923</v>
      </c>
      <c r="M22" s="36">
        <f t="shared" si="13"/>
        <v>26.9230769230769</v>
      </c>
      <c r="N22" s="19">
        <v>2</v>
      </c>
      <c r="O22" s="19">
        <f t="shared" si="14"/>
        <v>2.88461538461538</v>
      </c>
      <c r="P22" s="19">
        <v>0</v>
      </c>
      <c r="Q22" s="19">
        <f t="shared" si="15"/>
        <v>0</v>
      </c>
      <c r="R22" s="19">
        <v>0</v>
      </c>
      <c r="S22" s="19">
        <f t="shared" si="9"/>
        <v>8.65384615384616</v>
      </c>
      <c r="T22" s="19">
        <v>0</v>
      </c>
      <c r="U22" s="19">
        <v>0</v>
      </c>
      <c r="V22" s="19">
        <v>10</v>
      </c>
      <c r="W22" s="36">
        <v>0.5</v>
      </c>
      <c r="X22" s="19">
        <v>8</v>
      </c>
      <c r="Y22" s="19">
        <v>0</v>
      </c>
      <c r="Z22" s="19">
        <v>0</v>
      </c>
      <c r="AA22" s="19">
        <v>0</v>
      </c>
      <c r="AB22" s="36">
        <f t="shared" si="16"/>
        <v>203.115384615385</v>
      </c>
      <c r="AC22" s="19">
        <f>VLOOKUP(B22,[2]Sheet1!$B$2:$N$199,11,0)/4000</f>
        <v>5.8835</v>
      </c>
      <c r="AD22" s="19">
        <v>0</v>
      </c>
      <c r="AE22" s="19">
        <f>VLOOKUP(B22,'[1]A01'!$E$7:$L$28,7,0)</f>
        <v>100</v>
      </c>
      <c r="AF22" s="19">
        <f t="shared" si="10"/>
        <v>105.8835</v>
      </c>
      <c r="AG22" s="36">
        <f t="shared" si="17"/>
        <v>97.231884615385</v>
      </c>
      <c r="AH22" s="19"/>
      <c r="AI22" s="60"/>
      <c r="AJ22" s="61"/>
      <c r="AK22" s="214">
        <v>0</v>
      </c>
      <c r="AL22" s="72">
        <v>101164510</v>
      </c>
      <c r="AM22" s="73">
        <v>33627</v>
      </c>
      <c r="AN22" s="74" t="s">
        <v>99</v>
      </c>
      <c r="AO22" s="72" t="s">
        <v>234</v>
      </c>
      <c r="AP22" s="74" t="s">
        <v>101</v>
      </c>
      <c r="AQ22" s="74" t="s">
        <v>102</v>
      </c>
      <c r="AR22" s="74" t="s">
        <v>103</v>
      </c>
      <c r="AS22" s="72" t="s">
        <v>279</v>
      </c>
    </row>
    <row r="23" s="5" customFormat="1" ht="22" customHeight="1" spans="1:45">
      <c r="A23" s="19">
        <v>15</v>
      </c>
      <c r="B23" s="19" t="s">
        <v>280</v>
      </c>
      <c r="C23" s="20" t="s">
        <v>281</v>
      </c>
      <c r="D23" s="20" t="s">
        <v>282</v>
      </c>
      <c r="E23" s="21">
        <v>44711</v>
      </c>
      <c r="F23" s="19" t="s">
        <v>96</v>
      </c>
      <c r="G23" s="75" t="s">
        <v>222</v>
      </c>
      <c r="H23" s="22" t="s">
        <v>229</v>
      </c>
      <c r="I23" s="19">
        <v>24</v>
      </c>
      <c r="J23" s="19">
        <f t="shared" si="11"/>
        <v>2</v>
      </c>
      <c r="K23" s="19">
        <v>200</v>
      </c>
      <c r="L23" s="36">
        <f t="shared" si="12"/>
        <v>184.615384615385</v>
      </c>
      <c r="M23" s="36">
        <f t="shared" si="13"/>
        <v>15.3846153846154</v>
      </c>
      <c r="N23" s="19">
        <v>0</v>
      </c>
      <c r="O23" s="19">
        <f t="shared" si="14"/>
        <v>0</v>
      </c>
      <c r="P23" s="19">
        <v>0</v>
      </c>
      <c r="Q23" s="19">
        <f t="shared" si="15"/>
        <v>0</v>
      </c>
      <c r="R23" s="19">
        <v>0</v>
      </c>
      <c r="S23" s="19">
        <f t="shared" si="9"/>
        <v>9.23076923076923</v>
      </c>
      <c r="T23" s="19">
        <v>0</v>
      </c>
      <c r="U23" s="19">
        <v>0</v>
      </c>
      <c r="V23" s="19">
        <v>10</v>
      </c>
      <c r="W23" s="36">
        <v>0</v>
      </c>
      <c r="X23" s="19">
        <v>8</v>
      </c>
      <c r="Y23" s="19">
        <v>0</v>
      </c>
      <c r="Z23" s="19">
        <v>0</v>
      </c>
      <c r="AA23" s="19">
        <v>0</v>
      </c>
      <c r="AB23" s="36">
        <f t="shared" si="16"/>
        <v>211.846153846154</v>
      </c>
      <c r="AC23" s="19">
        <f>VLOOKUP(B23,[2]Sheet1!$B$2:$N$199,11,0)/4000</f>
        <v>5.6145</v>
      </c>
      <c r="AD23" s="19">
        <v>0</v>
      </c>
      <c r="AE23" s="19">
        <f>VLOOKUP(B23,'[1]A01'!$E$7:$L$28,7,0)</f>
        <v>100</v>
      </c>
      <c r="AF23" s="19">
        <f t="shared" si="10"/>
        <v>105.6145</v>
      </c>
      <c r="AG23" s="36">
        <f t="shared" si="17"/>
        <v>106.231653846154</v>
      </c>
      <c r="AH23" s="19"/>
      <c r="AI23" s="60"/>
      <c r="AJ23" s="61"/>
      <c r="AK23" s="214">
        <v>0</v>
      </c>
      <c r="AL23" s="72" t="s">
        <v>283</v>
      </c>
      <c r="AM23" s="73">
        <v>34518</v>
      </c>
      <c r="AN23" s="74" t="s">
        <v>141</v>
      </c>
      <c r="AO23" s="72"/>
      <c r="AP23" s="74" t="s">
        <v>101</v>
      </c>
      <c r="AQ23" s="74" t="s">
        <v>102</v>
      </c>
      <c r="AR23" s="74" t="s">
        <v>103</v>
      </c>
      <c r="AS23" s="72" t="s">
        <v>284</v>
      </c>
    </row>
    <row r="24" s="5" customFormat="1" ht="22" customHeight="1" spans="1:45">
      <c r="A24" s="19">
        <v>16</v>
      </c>
      <c r="B24" s="19" t="s">
        <v>285</v>
      </c>
      <c r="C24" s="20" t="s">
        <v>286</v>
      </c>
      <c r="D24" s="20" t="s">
        <v>287</v>
      </c>
      <c r="E24" s="21">
        <v>44760</v>
      </c>
      <c r="F24" s="19" t="s">
        <v>96</v>
      </c>
      <c r="G24" s="75" t="s">
        <v>222</v>
      </c>
      <c r="H24" s="22" t="s">
        <v>229</v>
      </c>
      <c r="I24" s="19">
        <v>23</v>
      </c>
      <c r="J24" s="19">
        <f t="shared" si="11"/>
        <v>3</v>
      </c>
      <c r="K24" s="19">
        <v>200</v>
      </c>
      <c r="L24" s="36">
        <f t="shared" si="12"/>
        <v>176.923076923077</v>
      </c>
      <c r="M24" s="36">
        <f t="shared" si="13"/>
        <v>23.0769230769231</v>
      </c>
      <c r="N24" s="19">
        <v>0</v>
      </c>
      <c r="O24" s="19">
        <f t="shared" si="14"/>
        <v>0</v>
      </c>
      <c r="P24" s="19">
        <v>0</v>
      </c>
      <c r="Q24" s="19">
        <f t="shared" si="15"/>
        <v>0</v>
      </c>
      <c r="R24" s="19">
        <v>0</v>
      </c>
      <c r="S24" s="19">
        <f t="shared" si="9"/>
        <v>8.84615384615385</v>
      </c>
      <c r="T24" s="19">
        <v>0</v>
      </c>
      <c r="U24" s="19">
        <v>0</v>
      </c>
      <c r="V24" s="19">
        <v>10</v>
      </c>
      <c r="W24" s="36">
        <v>0</v>
      </c>
      <c r="X24" s="19">
        <v>8</v>
      </c>
      <c r="Y24" s="19">
        <v>0</v>
      </c>
      <c r="Z24" s="19">
        <v>0</v>
      </c>
      <c r="AA24" s="19">
        <v>0</v>
      </c>
      <c r="AB24" s="36">
        <f t="shared" si="16"/>
        <v>203.769230769231</v>
      </c>
      <c r="AC24" s="19">
        <f>VLOOKUP(B24,[2]Sheet1!$B$2:$N$199,11,0)/4000</f>
        <v>4.75825</v>
      </c>
      <c r="AD24" s="19">
        <v>0</v>
      </c>
      <c r="AE24" s="19">
        <f>VLOOKUP(B24,'[1]A01'!$E$7:$L$28,7,0)</f>
        <v>100</v>
      </c>
      <c r="AF24" s="19">
        <f t="shared" si="10"/>
        <v>104.75825</v>
      </c>
      <c r="AG24" s="36">
        <f t="shared" si="17"/>
        <v>99.010980769231</v>
      </c>
      <c r="AH24" s="19"/>
      <c r="AI24" s="60"/>
      <c r="AJ24" s="61"/>
      <c r="AK24" s="214">
        <v>0</v>
      </c>
      <c r="AL24" s="72" t="s">
        <v>288</v>
      </c>
      <c r="AM24" s="73">
        <v>31636</v>
      </c>
      <c r="AN24" s="74" t="s">
        <v>99</v>
      </c>
      <c r="AO24" s="72" t="s">
        <v>224</v>
      </c>
      <c r="AP24" s="74" t="s">
        <v>101</v>
      </c>
      <c r="AQ24" s="74" t="s">
        <v>102</v>
      </c>
      <c r="AR24" s="74" t="s">
        <v>103</v>
      </c>
      <c r="AS24" s="72" t="s">
        <v>289</v>
      </c>
    </row>
    <row r="25" s="5" customFormat="1" ht="22" customHeight="1" spans="1:45">
      <c r="A25" s="19">
        <v>17</v>
      </c>
      <c r="B25" s="19" t="s">
        <v>290</v>
      </c>
      <c r="C25" s="20" t="s">
        <v>291</v>
      </c>
      <c r="D25" s="20" t="s">
        <v>292</v>
      </c>
      <c r="E25" s="21">
        <v>44886</v>
      </c>
      <c r="F25" s="19" t="s">
        <v>108</v>
      </c>
      <c r="G25" s="75" t="s">
        <v>222</v>
      </c>
      <c r="H25" s="22" t="s">
        <v>229</v>
      </c>
      <c r="I25" s="19">
        <v>24.5</v>
      </c>
      <c r="J25" s="19">
        <f t="shared" si="11"/>
        <v>1.5</v>
      </c>
      <c r="K25" s="19">
        <v>200</v>
      </c>
      <c r="L25" s="36">
        <f t="shared" si="12"/>
        <v>188.461538461538</v>
      </c>
      <c r="M25" s="54">
        <f t="shared" si="13"/>
        <v>11.5384615384615</v>
      </c>
      <c r="N25" s="19">
        <v>2</v>
      </c>
      <c r="O25" s="19">
        <f t="shared" si="14"/>
        <v>2.88461538461538</v>
      </c>
      <c r="P25" s="19">
        <v>0</v>
      </c>
      <c r="Q25" s="19">
        <f t="shared" si="15"/>
        <v>0</v>
      </c>
      <c r="R25" s="19">
        <v>0</v>
      </c>
      <c r="S25" s="19">
        <f t="shared" si="9"/>
        <v>9.42307692307692</v>
      </c>
      <c r="T25" s="19">
        <v>0</v>
      </c>
      <c r="U25" s="19">
        <v>0</v>
      </c>
      <c r="V25" s="19">
        <v>10</v>
      </c>
      <c r="W25" s="36">
        <v>0.5</v>
      </c>
      <c r="X25" s="19">
        <v>8</v>
      </c>
      <c r="Y25" s="19">
        <v>0</v>
      </c>
      <c r="Z25" s="19">
        <v>0</v>
      </c>
      <c r="AA25" s="19">
        <v>0</v>
      </c>
      <c r="AB25" s="36">
        <f t="shared" si="16"/>
        <v>219.26923076923</v>
      </c>
      <c r="AC25" s="19">
        <f>VLOOKUP(B25,[2]Sheet1!$B$2:$N$199,11,0)/4000</f>
        <v>4.72825</v>
      </c>
      <c r="AD25" s="19">
        <v>0</v>
      </c>
      <c r="AE25" s="19">
        <f>VLOOKUP(B25,'[1]A01'!$E$7:$L$28,7,0)</f>
        <v>100</v>
      </c>
      <c r="AF25" s="19">
        <f t="shared" si="10"/>
        <v>104.72825</v>
      </c>
      <c r="AG25" s="36">
        <f t="shared" si="17"/>
        <v>114.54098076923</v>
      </c>
      <c r="AH25" s="19"/>
      <c r="AI25" s="60"/>
      <c r="AJ25" s="61"/>
      <c r="AK25" s="214">
        <v>0</v>
      </c>
      <c r="AL25" s="72" t="s">
        <v>293</v>
      </c>
      <c r="AM25" s="73">
        <v>31060</v>
      </c>
      <c r="AN25" s="74" t="s">
        <v>99</v>
      </c>
      <c r="AO25" s="72">
        <v>0</v>
      </c>
      <c r="AP25" s="74" t="s">
        <v>101</v>
      </c>
      <c r="AQ25" s="74" t="s">
        <v>102</v>
      </c>
      <c r="AR25" s="74" t="s">
        <v>103</v>
      </c>
      <c r="AS25" s="72" t="s">
        <v>294</v>
      </c>
    </row>
    <row r="26" s="5" customFormat="1" ht="22" customHeight="1" spans="1:45">
      <c r="A26" s="19">
        <v>18</v>
      </c>
      <c r="B26" s="19" t="s">
        <v>295</v>
      </c>
      <c r="C26" s="20" t="s">
        <v>296</v>
      </c>
      <c r="D26" s="20" t="s">
        <v>297</v>
      </c>
      <c r="E26" s="21">
        <v>44886</v>
      </c>
      <c r="F26" s="19" t="s">
        <v>96</v>
      </c>
      <c r="G26" s="75" t="s">
        <v>222</v>
      </c>
      <c r="H26" s="22" t="s">
        <v>229</v>
      </c>
      <c r="I26" s="19">
        <v>24.5</v>
      </c>
      <c r="J26" s="19">
        <f t="shared" si="11"/>
        <v>1.5</v>
      </c>
      <c r="K26" s="19">
        <v>200</v>
      </c>
      <c r="L26" s="36">
        <f t="shared" si="12"/>
        <v>188.461538461538</v>
      </c>
      <c r="M26" s="36">
        <f t="shared" si="13"/>
        <v>11.5384615384615</v>
      </c>
      <c r="N26" s="19">
        <v>6</v>
      </c>
      <c r="O26" s="19">
        <f t="shared" si="14"/>
        <v>8.65384615384615</v>
      </c>
      <c r="P26" s="19">
        <v>0</v>
      </c>
      <c r="Q26" s="19">
        <f t="shared" si="15"/>
        <v>0</v>
      </c>
      <c r="R26" s="19">
        <v>0</v>
      </c>
      <c r="S26" s="19">
        <f t="shared" si="9"/>
        <v>9.42307692307692</v>
      </c>
      <c r="T26" s="19">
        <v>0</v>
      </c>
      <c r="U26" s="19">
        <v>0</v>
      </c>
      <c r="V26" s="19">
        <v>10</v>
      </c>
      <c r="W26" s="36">
        <v>1.5</v>
      </c>
      <c r="X26" s="19">
        <v>8</v>
      </c>
      <c r="Y26" s="19">
        <v>0</v>
      </c>
      <c r="Z26" s="19">
        <v>0</v>
      </c>
      <c r="AA26" s="19">
        <v>0</v>
      </c>
      <c r="AB26" s="36">
        <f t="shared" si="16"/>
        <v>226.038461538461</v>
      </c>
      <c r="AC26" s="19">
        <f>VLOOKUP(B26,[2]Sheet1!$B$2:$N$199,11,0)/4000</f>
        <v>4.72825</v>
      </c>
      <c r="AD26" s="19">
        <v>0</v>
      </c>
      <c r="AE26" s="19">
        <f>VLOOKUP(B26,'[1]A01'!$E$7:$L$28,7,0)</f>
        <v>100</v>
      </c>
      <c r="AF26" s="19">
        <f t="shared" si="10"/>
        <v>104.72825</v>
      </c>
      <c r="AG26" s="36">
        <f t="shared" si="17"/>
        <v>121.310211538461</v>
      </c>
      <c r="AH26" s="19"/>
      <c r="AI26" s="60"/>
      <c r="AJ26" s="61"/>
      <c r="AK26" s="214">
        <v>0</v>
      </c>
      <c r="AL26" s="238" t="s">
        <v>298</v>
      </c>
      <c r="AM26" s="73">
        <v>33152</v>
      </c>
      <c r="AN26" s="74" t="s">
        <v>99</v>
      </c>
      <c r="AO26" s="74">
        <v>1</v>
      </c>
      <c r="AP26" s="74" t="s">
        <v>101</v>
      </c>
      <c r="AQ26" s="74" t="s">
        <v>102</v>
      </c>
      <c r="AR26" s="74" t="s">
        <v>103</v>
      </c>
      <c r="AS26" s="72" t="s">
        <v>299</v>
      </c>
    </row>
    <row r="27" s="5" customFormat="1" ht="26" customHeight="1" spans="1:45">
      <c r="A27" s="19">
        <v>19</v>
      </c>
      <c r="B27" s="19" t="s">
        <v>300</v>
      </c>
      <c r="C27" s="81" t="s">
        <v>301</v>
      </c>
      <c r="D27" s="81" t="s">
        <v>302</v>
      </c>
      <c r="E27" s="21">
        <v>44886</v>
      </c>
      <c r="F27" s="19" t="s">
        <v>96</v>
      </c>
      <c r="G27" s="75" t="s">
        <v>222</v>
      </c>
      <c r="H27" s="22" t="s">
        <v>229</v>
      </c>
      <c r="I27" s="19">
        <v>23.5</v>
      </c>
      <c r="J27" s="19">
        <f t="shared" si="11"/>
        <v>2.5</v>
      </c>
      <c r="K27" s="19">
        <v>200</v>
      </c>
      <c r="L27" s="36">
        <f t="shared" si="12"/>
        <v>180.769230769231</v>
      </c>
      <c r="M27" s="36">
        <f t="shared" si="13"/>
        <v>19.2307692307692</v>
      </c>
      <c r="N27" s="19">
        <v>0</v>
      </c>
      <c r="O27" s="19">
        <f t="shared" si="14"/>
        <v>0</v>
      </c>
      <c r="P27" s="19">
        <v>0</v>
      </c>
      <c r="Q27" s="19">
        <f t="shared" si="15"/>
        <v>0</v>
      </c>
      <c r="R27" s="19">
        <v>0</v>
      </c>
      <c r="S27" s="19">
        <f t="shared" si="9"/>
        <v>9.03846153846154</v>
      </c>
      <c r="T27" s="19">
        <v>0</v>
      </c>
      <c r="U27" s="19">
        <v>0</v>
      </c>
      <c r="V27" s="19">
        <v>10</v>
      </c>
      <c r="W27" s="36">
        <v>0</v>
      </c>
      <c r="X27" s="19">
        <v>8</v>
      </c>
      <c r="Y27" s="19">
        <v>0</v>
      </c>
      <c r="Z27" s="19">
        <v>0</v>
      </c>
      <c r="AA27" s="19">
        <v>0</v>
      </c>
      <c r="AB27" s="36">
        <f t="shared" si="16"/>
        <v>207.807692307693</v>
      </c>
      <c r="AC27" s="19">
        <f>VLOOKUP(B27,[2]Sheet1!$B$2:$N$199,11,0)/4000</f>
        <v>4.64825</v>
      </c>
      <c r="AD27" s="19">
        <v>0</v>
      </c>
      <c r="AE27" s="19">
        <f>VLOOKUP(B27,'[1]A01'!$E$7:$L$28,7,0)</f>
        <v>100</v>
      </c>
      <c r="AF27" s="19">
        <f t="shared" si="10"/>
        <v>104.64825</v>
      </c>
      <c r="AG27" s="36">
        <f t="shared" si="17"/>
        <v>103.159442307693</v>
      </c>
      <c r="AH27" s="19"/>
      <c r="AI27" s="60"/>
      <c r="AJ27" s="61"/>
      <c r="AK27" s="214">
        <v>0</v>
      </c>
      <c r="AL27" s="238" t="s">
        <v>303</v>
      </c>
      <c r="AM27" s="73">
        <v>34426</v>
      </c>
      <c r="AN27" s="74" t="s">
        <v>99</v>
      </c>
      <c r="AO27" s="72">
        <v>1</v>
      </c>
      <c r="AP27" s="74" t="s">
        <v>101</v>
      </c>
      <c r="AQ27" s="74" t="s">
        <v>102</v>
      </c>
      <c r="AR27" s="74" t="s">
        <v>103</v>
      </c>
      <c r="AS27" s="72" t="s">
        <v>304</v>
      </c>
    </row>
    <row r="28" s="5" customFormat="1" ht="22" customHeight="1" spans="1:45">
      <c r="A28" s="19">
        <v>20</v>
      </c>
      <c r="B28" s="19" t="s">
        <v>305</v>
      </c>
      <c r="C28" s="20" t="s">
        <v>306</v>
      </c>
      <c r="D28" s="20" t="s">
        <v>307</v>
      </c>
      <c r="E28" s="21">
        <v>44893</v>
      </c>
      <c r="F28" s="19" t="s">
        <v>96</v>
      </c>
      <c r="G28" s="75" t="s">
        <v>222</v>
      </c>
      <c r="H28" s="22" t="s">
        <v>229</v>
      </c>
      <c r="I28" s="19">
        <v>24</v>
      </c>
      <c r="J28" s="19">
        <f t="shared" si="11"/>
        <v>2</v>
      </c>
      <c r="K28" s="19">
        <v>200</v>
      </c>
      <c r="L28" s="36">
        <f t="shared" si="12"/>
        <v>184.615384615385</v>
      </c>
      <c r="M28" s="36">
        <f t="shared" si="13"/>
        <v>15.3846153846154</v>
      </c>
      <c r="N28" s="19">
        <v>8</v>
      </c>
      <c r="O28" s="19">
        <f t="shared" si="14"/>
        <v>11.5384615384615</v>
      </c>
      <c r="P28" s="19">
        <v>0</v>
      </c>
      <c r="Q28" s="19">
        <f t="shared" si="15"/>
        <v>0</v>
      </c>
      <c r="R28" s="19">
        <v>0</v>
      </c>
      <c r="S28" s="19">
        <f t="shared" si="9"/>
        <v>9.23076923076923</v>
      </c>
      <c r="T28" s="19">
        <v>0</v>
      </c>
      <c r="U28" s="19">
        <v>0</v>
      </c>
      <c r="V28" s="19">
        <v>10</v>
      </c>
      <c r="W28" s="36">
        <v>2</v>
      </c>
      <c r="X28" s="19">
        <v>8</v>
      </c>
      <c r="Y28" s="19">
        <v>0</v>
      </c>
      <c r="Z28" s="19">
        <v>0</v>
      </c>
      <c r="AA28" s="19">
        <v>0</v>
      </c>
      <c r="AB28" s="36">
        <f t="shared" si="16"/>
        <v>225.384615384616</v>
      </c>
      <c r="AC28" s="19">
        <f>VLOOKUP(B28,[2]Sheet1!$B$2:$N$199,11,0)/4000</f>
        <v>4.64825</v>
      </c>
      <c r="AD28" s="19">
        <v>0</v>
      </c>
      <c r="AE28" s="19">
        <f>VLOOKUP(B28,'[1]A01'!$E$7:$L$28,7,0)</f>
        <v>100</v>
      </c>
      <c r="AF28" s="19">
        <f t="shared" si="10"/>
        <v>104.64825</v>
      </c>
      <c r="AG28" s="36">
        <f t="shared" si="17"/>
        <v>120.736365384616</v>
      </c>
      <c r="AH28" s="19"/>
      <c r="AI28" s="60"/>
      <c r="AJ28" s="61"/>
      <c r="AK28" s="214">
        <v>0</v>
      </c>
      <c r="AL28" s="238" t="s">
        <v>308</v>
      </c>
      <c r="AM28" s="73">
        <v>31481</v>
      </c>
      <c r="AN28" s="74" t="s">
        <v>99</v>
      </c>
      <c r="AO28" s="72">
        <v>3</v>
      </c>
      <c r="AP28" s="74" t="s">
        <v>101</v>
      </c>
      <c r="AQ28" s="74" t="s">
        <v>102</v>
      </c>
      <c r="AR28" s="74" t="s">
        <v>103</v>
      </c>
      <c r="AS28" s="72" t="s">
        <v>309</v>
      </c>
    </row>
    <row r="29" s="5" customFormat="1" ht="22" customHeight="1" spans="1:45">
      <c r="A29" s="19">
        <v>21</v>
      </c>
      <c r="B29" s="19" t="s">
        <v>310</v>
      </c>
      <c r="C29" s="20" t="s">
        <v>311</v>
      </c>
      <c r="D29" s="20" t="s">
        <v>312</v>
      </c>
      <c r="E29" s="21">
        <v>44893</v>
      </c>
      <c r="F29" s="19" t="s">
        <v>96</v>
      </c>
      <c r="G29" s="75" t="s">
        <v>222</v>
      </c>
      <c r="H29" s="22" t="s">
        <v>229</v>
      </c>
      <c r="I29" s="19">
        <v>24</v>
      </c>
      <c r="J29" s="19">
        <f t="shared" si="11"/>
        <v>2</v>
      </c>
      <c r="K29" s="19">
        <v>200</v>
      </c>
      <c r="L29" s="36">
        <f t="shared" si="12"/>
        <v>184.615384615385</v>
      </c>
      <c r="M29" s="36">
        <f t="shared" si="13"/>
        <v>15.3846153846154</v>
      </c>
      <c r="N29" s="19">
        <v>10</v>
      </c>
      <c r="O29" s="19">
        <f t="shared" si="14"/>
        <v>14.4230769230769</v>
      </c>
      <c r="P29" s="19">
        <v>0</v>
      </c>
      <c r="Q29" s="19">
        <f t="shared" si="15"/>
        <v>0</v>
      </c>
      <c r="R29" s="19">
        <v>0</v>
      </c>
      <c r="S29" s="19">
        <f t="shared" si="9"/>
        <v>9.23076923076923</v>
      </c>
      <c r="T29" s="19">
        <v>0</v>
      </c>
      <c r="U29" s="19">
        <v>0</v>
      </c>
      <c r="V29" s="19">
        <v>10</v>
      </c>
      <c r="W29" s="36">
        <v>2.5</v>
      </c>
      <c r="X29" s="19">
        <v>8</v>
      </c>
      <c r="Y29" s="19">
        <v>0</v>
      </c>
      <c r="Z29" s="19">
        <v>0</v>
      </c>
      <c r="AA29" s="19">
        <v>0</v>
      </c>
      <c r="AB29" s="36">
        <f t="shared" si="16"/>
        <v>228.769230769231</v>
      </c>
      <c r="AC29" s="19">
        <f>VLOOKUP(B29,[2]Sheet1!$B$2:$N$199,11,0)/4000</f>
        <v>4.4485</v>
      </c>
      <c r="AD29" s="19">
        <v>0</v>
      </c>
      <c r="AE29" s="19">
        <f>VLOOKUP(B29,'[1]A01'!$E$7:$L$28,7,0)</f>
        <v>100</v>
      </c>
      <c r="AF29" s="19">
        <f t="shared" si="10"/>
        <v>104.4485</v>
      </c>
      <c r="AG29" s="36">
        <f t="shared" si="17"/>
        <v>124.320730769231</v>
      </c>
      <c r="AH29" s="19"/>
      <c r="AI29" s="60"/>
      <c r="AJ29" s="61"/>
      <c r="AK29" s="214">
        <v>0</v>
      </c>
      <c r="AL29" s="72">
        <v>101298386</v>
      </c>
      <c r="AM29" s="73">
        <v>31784</v>
      </c>
      <c r="AN29" s="74" t="s">
        <v>99</v>
      </c>
      <c r="AO29" s="72">
        <v>0</v>
      </c>
      <c r="AP29" s="74" t="s">
        <v>101</v>
      </c>
      <c r="AQ29" s="74" t="s">
        <v>102</v>
      </c>
      <c r="AR29" s="74" t="s">
        <v>103</v>
      </c>
      <c r="AS29" s="72" t="s">
        <v>313</v>
      </c>
    </row>
    <row r="30" s="5" customFormat="1" ht="22" customHeight="1" spans="1:45">
      <c r="A30" s="19">
        <v>22</v>
      </c>
      <c r="B30" s="19" t="s">
        <v>314</v>
      </c>
      <c r="C30" s="20" t="s">
        <v>315</v>
      </c>
      <c r="D30" s="20" t="s">
        <v>316</v>
      </c>
      <c r="E30" s="21">
        <v>44909</v>
      </c>
      <c r="F30" s="19" t="s">
        <v>96</v>
      </c>
      <c r="G30" s="75" t="s">
        <v>222</v>
      </c>
      <c r="H30" s="22" t="s">
        <v>229</v>
      </c>
      <c r="I30" s="19">
        <v>24</v>
      </c>
      <c r="J30" s="19">
        <f t="shared" si="11"/>
        <v>2</v>
      </c>
      <c r="K30" s="19">
        <v>200</v>
      </c>
      <c r="L30" s="36">
        <f t="shared" si="12"/>
        <v>184.615384615385</v>
      </c>
      <c r="M30" s="36">
        <f t="shared" si="13"/>
        <v>15.3846153846154</v>
      </c>
      <c r="N30" s="19">
        <v>10</v>
      </c>
      <c r="O30" s="19">
        <f t="shared" si="14"/>
        <v>14.4230769230769</v>
      </c>
      <c r="P30" s="19">
        <v>0</v>
      </c>
      <c r="Q30" s="19">
        <f t="shared" si="15"/>
        <v>0</v>
      </c>
      <c r="R30" s="19">
        <v>0</v>
      </c>
      <c r="S30" s="19">
        <f t="shared" si="9"/>
        <v>9.23076923076923</v>
      </c>
      <c r="T30" s="19">
        <v>0</v>
      </c>
      <c r="U30" s="19">
        <v>0</v>
      </c>
      <c r="V30" s="19">
        <v>10</v>
      </c>
      <c r="W30" s="36">
        <v>2.5</v>
      </c>
      <c r="X30" s="19">
        <v>8</v>
      </c>
      <c r="Y30" s="19">
        <v>0</v>
      </c>
      <c r="Z30" s="19">
        <v>0</v>
      </c>
      <c r="AA30" s="19">
        <v>0</v>
      </c>
      <c r="AB30" s="36">
        <f t="shared" si="16"/>
        <v>228.769230769231</v>
      </c>
      <c r="AC30" s="19">
        <v>0</v>
      </c>
      <c r="AD30" s="19">
        <v>0</v>
      </c>
      <c r="AE30" s="19">
        <f>VLOOKUP(B30,'[1]A01'!$E$7:$L$28,7,0)</f>
        <v>100</v>
      </c>
      <c r="AF30" s="19">
        <f t="shared" si="10"/>
        <v>100</v>
      </c>
      <c r="AG30" s="36">
        <f t="shared" si="17"/>
        <v>128.769230769231</v>
      </c>
      <c r="AH30" s="19"/>
      <c r="AI30" s="60"/>
      <c r="AJ30" s="61"/>
      <c r="AK30" s="214">
        <v>0</v>
      </c>
      <c r="AL30" s="72">
        <v>101169863</v>
      </c>
      <c r="AM30" s="73">
        <v>32024</v>
      </c>
      <c r="AN30" s="74" t="s">
        <v>99</v>
      </c>
      <c r="AO30" s="72">
        <v>0</v>
      </c>
      <c r="AP30" s="74" t="s">
        <v>102</v>
      </c>
      <c r="AQ30" s="74" t="s">
        <v>102</v>
      </c>
      <c r="AR30" s="74" t="s">
        <v>103</v>
      </c>
      <c r="AS30" s="72"/>
    </row>
    <row r="31" s="5" customFormat="1" ht="22" customHeight="1" spans="1:45">
      <c r="A31" s="19">
        <v>23</v>
      </c>
      <c r="B31" s="19" t="s">
        <v>317</v>
      </c>
      <c r="C31" s="20" t="s">
        <v>318</v>
      </c>
      <c r="D31" s="20" t="s">
        <v>319</v>
      </c>
      <c r="E31" s="21">
        <v>44951</v>
      </c>
      <c r="F31" s="19" t="s">
        <v>96</v>
      </c>
      <c r="G31" s="75" t="s">
        <v>222</v>
      </c>
      <c r="H31" s="22" t="s">
        <v>229</v>
      </c>
      <c r="I31" s="19">
        <v>6</v>
      </c>
      <c r="J31" s="19">
        <f t="shared" ref="J31:J37" si="18">26-I31</f>
        <v>20</v>
      </c>
      <c r="K31" s="19">
        <v>198</v>
      </c>
      <c r="L31" s="36">
        <f t="shared" ref="L31:L37" si="19">K31/26*I31</f>
        <v>45.6923076923077</v>
      </c>
      <c r="M31" s="54">
        <f t="shared" ref="M31:M37" si="20">K31/26*J31</f>
        <v>152.307692307692</v>
      </c>
      <c r="N31" s="19">
        <v>4</v>
      </c>
      <c r="O31" s="19">
        <f t="shared" ref="O31:O37" si="21">K31/26/8*1.5*N31</f>
        <v>5.71153846153846</v>
      </c>
      <c r="P31" s="19">
        <v>0</v>
      </c>
      <c r="Q31" s="19">
        <f t="shared" ref="Q31:Q37" si="22">K31/26*2*P31</f>
        <v>0</v>
      </c>
      <c r="R31" s="19">
        <v>0</v>
      </c>
      <c r="S31" s="19">
        <v>5</v>
      </c>
      <c r="T31" s="19">
        <v>0</v>
      </c>
      <c r="U31" s="19">
        <v>0</v>
      </c>
      <c r="V31" s="19">
        <v>5</v>
      </c>
      <c r="W31" s="36">
        <v>1</v>
      </c>
      <c r="X31" s="19">
        <v>4</v>
      </c>
      <c r="Y31" s="19">
        <v>0</v>
      </c>
      <c r="Z31" s="19">
        <v>0</v>
      </c>
      <c r="AA31" s="19">
        <v>0</v>
      </c>
      <c r="AB31" s="36">
        <f t="shared" ref="AB31:AB37" si="23">SUM(L31+O31+Q31+R31+S31+T31+U31+V31+X31+Y31+Z31+AA31+W31)</f>
        <v>66.4038461538462</v>
      </c>
      <c r="AC31" s="19">
        <v>0</v>
      </c>
      <c r="AD31" s="19">
        <v>0</v>
      </c>
      <c r="AE31" s="19">
        <v>0</v>
      </c>
      <c r="AF31" s="19">
        <f t="shared" si="10"/>
        <v>0</v>
      </c>
      <c r="AG31" s="36">
        <f t="shared" ref="AG31:AG37" si="24">AB31-AF31</f>
        <v>66.4038461538462</v>
      </c>
      <c r="AH31" s="19"/>
      <c r="AI31" s="60"/>
      <c r="AJ31" s="61"/>
      <c r="AK31" s="214">
        <v>0</v>
      </c>
      <c r="AL31" s="238" t="s">
        <v>320</v>
      </c>
      <c r="AM31" s="73">
        <v>32060</v>
      </c>
      <c r="AN31" s="74" t="s">
        <v>99</v>
      </c>
      <c r="AO31" s="72">
        <v>1</v>
      </c>
      <c r="AP31" s="74" t="s">
        <v>102</v>
      </c>
      <c r="AQ31" s="74" t="s">
        <v>102</v>
      </c>
      <c r="AR31" s="74" t="s">
        <v>103</v>
      </c>
      <c r="AS31" s="238" t="s">
        <v>321</v>
      </c>
    </row>
    <row r="32" s="5" customFormat="1" ht="22" customHeight="1" spans="1:45">
      <c r="A32" s="19">
        <v>24</v>
      </c>
      <c r="B32" s="19" t="s">
        <v>322</v>
      </c>
      <c r="C32" s="20" t="s">
        <v>323</v>
      </c>
      <c r="D32" s="20" t="s">
        <v>324</v>
      </c>
      <c r="E32" s="21">
        <v>44952</v>
      </c>
      <c r="F32" s="19" t="s">
        <v>96</v>
      </c>
      <c r="G32" s="75" t="s">
        <v>222</v>
      </c>
      <c r="H32" s="22" t="s">
        <v>229</v>
      </c>
      <c r="I32" s="19">
        <v>5</v>
      </c>
      <c r="J32" s="19">
        <f t="shared" si="18"/>
        <v>21</v>
      </c>
      <c r="K32" s="19">
        <v>198</v>
      </c>
      <c r="L32" s="36">
        <f t="shared" si="19"/>
        <v>38.0769230769231</v>
      </c>
      <c r="M32" s="36">
        <f t="shared" si="20"/>
        <v>159.923076923077</v>
      </c>
      <c r="N32" s="19">
        <v>6</v>
      </c>
      <c r="O32" s="19">
        <f t="shared" si="21"/>
        <v>8.56730769230769</v>
      </c>
      <c r="P32" s="19">
        <v>0</v>
      </c>
      <c r="Q32" s="19">
        <f t="shared" si="22"/>
        <v>0</v>
      </c>
      <c r="R32" s="19">
        <v>0</v>
      </c>
      <c r="S32" s="19">
        <v>5</v>
      </c>
      <c r="T32" s="19">
        <v>0</v>
      </c>
      <c r="U32" s="19">
        <v>0</v>
      </c>
      <c r="V32" s="19">
        <v>5</v>
      </c>
      <c r="W32" s="36">
        <v>1.5</v>
      </c>
      <c r="X32" s="19">
        <v>4</v>
      </c>
      <c r="Y32" s="19">
        <v>0</v>
      </c>
      <c r="Z32" s="19">
        <v>0</v>
      </c>
      <c r="AA32" s="19">
        <v>0</v>
      </c>
      <c r="AB32" s="36">
        <f t="shared" si="23"/>
        <v>62.1442307692308</v>
      </c>
      <c r="AC32" s="19">
        <v>0</v>
      </c>
      <c r="AD32" s="19">
        <v>0</v>
      </c>
      <c r="AE32" s="19">
        <v>0</v>
      </c>
      <c r="AF32" s="19">
        <f t="shared" si="10"/>
        <v>0</v>
      </c>
      <c r="AG32" s="36">
        <f t="shared" si="24"/>
        <v>62.1442307692308</v>
      </c>
      <c r="AH32" s="19"/>
      <c r="AI32" s="60"/>
      <c r="AJ32" s="61"/>
      <c r="AK32" s="214">
        <v>0</v>
      </c>
      <c r="AL32" s="72">
        <v>101450809</v>
      </c>
      <c r="AM32" s="73">
        <v>35073</v>
      </c>
      <c r="AN32" s="74" t="s">
        <v>99</v>
      </c>
      <c r="AO32" s="72">
        <v>1</v>
      </c>
      <c r="AP32" s="74" t="s">
        <v>102</v>
      </c>
      <c r="AQ32" s="74" t="s">
        <v>102</v>
      </c>
      <c r="AR32" s="74" t="s">
        <v>103</v>
      </c>
      <c r="AS32" s="72" t="s">
        <v>325</v>
      </c>
    </row>
    <row r="33" s="5" customFormat="1" ht="26" customHeight="1" spans="1:45">
      <c r="A33" s="19">
        <v>25</v>
      </c>
      <c r="B33" s="19" t="s">
        <v>326</v>
      </c>
      <c r="C33" s="81" t="s">
        <v>327</v>
      </c>
      <c r="D33" s="81" t="s">
        <v>328</v>
      </c>
      <c r="E33" s="21">
        <v>44952</v>
      </c>
      <c r="F33" s="19" t="s">
        <v>96</v>
      </c>
      <c r="G33" s="75" t="s">
        <v>222</v>
      </c>
      <c r="H33" s="22" t="s">
        <v>229</v>
      </c>
      <c r="I33" s="19">
        <v>5</v>
      </c>
      <c r="J33" s="19">
        <f t="shared" si="18"/>
        <v>21</v>
      </c>
      <c r="K33" s="19">
        <v>198</v>
      </c>
      <c r="L33" s="36">
        <f t="shared" si="19"/>
        <v>38.0769230769231</v>
      </c>
      <c r="M33" s="36">
        <f t="shared" si="20"/>
        <v>159.923076923077</v>
      </c>
      <c r="N33" s="19">
        <v>8</v>
      </c>
      <c r="O33" s="19">
        <f t="shared" si="21"/>
        <v>11.4230769230769</v>
      </c>
      <c r="P33" s="19">
        <v>0</v>
      </c>
      <c r="Q33" s="19">
        <f t="shared" si="22"/>
        <v>0</v>
      </c>
      <c r="R33" s="19">
        <v>0</v>
      </c>
      <c r="S33" s="19">
        <v>5</v>
      </c>
      <c r="T33" s="19">
        <v>0</v>
      </c>
      <c r="U33" s="19">
        <v>0</v>
      </c>
      <c r="V33" s="19">
        <v>5</v>
      </c>
      <c r="W33" s="36">
        <v>2</v>
      </c>
      <c r="X33" s="19">
        <v>4</v>
      </c>
      <c r="Y33" s="19">
        <v>0</v>
      </c>
      <c r="Z33" s="19">
        <v>0</v>
      </c>
      <c r="AA33" s="19">
        <v>0</v>
      </c>
      <c r="AB33" s="36">
        <f t="shared" si="23"/>
        <v>65.5</v>
      </c>
      <c r="AC33" s="19">
        <v>0</v>
      </c>
      <c r="AD33" s="19">
        <v>0</v>
      </c>
      <c r="AE33" s="19">
        <v>0</v>
      </c>
      <c r="AF33" s="19">
        <f t="shared" si="10"/>
        <v>0</v>
      </c>
      <c r="AG33" s="36">
        <f t="shared" si="24"/>
        <v>65.5</v>
      </c>
      <c r="AH33" s="19"/>
      <c r="AI33" s="60"/>
      <c r="AJ33" s="61"/>
      <c r="AK33" s="214">
        <v>0</v>
      </c>
      <c r="AL33" s="72">
        <v>100813764</v>
      </c>
      <c r="AM33" s="73">
        <v>32391</v>
      </c>
      <c r="AN33" s="74" t="s">
        <v>99</v>
      </c>
      <c r="AO33" s="72">
        <v>1</v>
      </c>
      <c r="AP33" s="74" t="s">
        <v>102</v>
      </c>
      <c r="AQ33" s="74" t="s">
        <v>102</v>
      </c>
      <c r="AR33" s="74" t="s">
        <v>103</v>
      </c>
      <c r="AS33" s="72" t="s">
        <v>329</v>
      </c>
    </row>
    <row r="34" s="5" customFormat="1" ht="22" customHeight="1" spans="1:45">
      <c r="A34" s="19">
        <v>26</v>
      </c>
      <c r="B34" s="19" t="s">
        <v>330</v>
      </c>
      <c r="C34" s="20" t="s">
        <v>331</v>
      </c>
      <c r="D34" s="20" t="s">
        <v>332</v>
      </c>
      <c r="E34" s="21">
        <v>44952</v>
      </c>
      <c r="F34" s="19" t="s">
        <v>96</v>
      </c>
      <c r="G34" s="75" t="s">
        <v>222</v>
      </c>
      <c r="H34" s="22" t="s">
        <v>229</v>
      </c>
      <c r="I34" s="19">
        <v>5</v>
      </c>
      <c r="J34" s="19">
        <f t="shared" si="18"/>
        <v>21</v>
      </c>
      <c r="K34" s="19">
        <v>198</v>
      </c>
      <c r="L34" s="36">
        <f t="shared" si="19"/>
        <v>38.0769230769231</v>
      </c>
      <c r="M34" s="36">
        <f t="shared" si="20"/>
        <v>159.923076923077</v>
      </c>
      <c r="N34" s="19">
        <v>8</v>
      </c>
      <c r="O34" s="19">
        <f t="shared" si="21"/>
        <v>11.4230769230769</v>
      </c>
      <c r="P34" s="19">
        <v>0</v>
      </c>
      <c r="Q34" s="19">
        <f t="shared" si="22"/>
        <v>0</v>
      </c>
      <c r="R34" s="19">
        <v>0</v>
      </c>
      <c r="S34" s="19">
        <v>5</v>
      </c>
      <c r="T34" s="19">
        <v>0</v>
      </c>
      <c r="U34" s="19">
        <v>0</v>
      </c>
      <c r="V34" s="19">
        <v>5</v>
      </c>
      <c r="W34" s="36">
        <v>2</v>
      </c>
      <c r="X34" s="19">
        <v>4</v>
      </c>
      <c r="Y34" s="19">
        <v>0</v>
      </c>
      <c r="Z34" s="19">
        <v>0</v>
      </c>
      <c r="AA34" s="19">
        <v>0</v>
      </c>
      <c r="AB34" s="36">
        <f t="shared" si="23"/>
        <v>65.5</v>
      </c>
      <c r="AC34" s="19">
        <v>0</v>
      </c>
      <c r="AD34" s="19">
        <v>0</v>
      </c>
      <c r="AE34" s="19">
        <v>0</v>
      </c>
      <c r="AF34" s="19">
        <f t="shared" si="10"/>
        <v>0</v>
      </c>
      <c r="AG34" s="36">
        <f t="shared" si="24"/>
        <v>65.5</v>
      </c>
      <c r="AH34" s="19"/>
      <c r="AI34" s="60"/>
      <c r="AJ34" s="61"/>
      <c r="AK34" s="214">
        <v>0</v>
      </c>
      <c r="AL34" s="238" t="s">
        <v>333</v>
      </c>
      <c r="AM34" s="73">
        <v>31632</v>
      </c>
      <c r="AN34" s="74" t="s">
        <v>99</v>
      </c>
      <c r="AO34" s="72">
        <v>2</v>
      </c>
      <c r="AP34" s="74" t="s">
        <v>102</v>
      </c>
      <c r="AQ34" s="74" t="s">
        <v>102</v>
      </c>
      <c r="AR34" s="74" t="s">
        <v>103</v>
      </c>
      <c r="AS34" s="72" t="s">
        <v>334</v>
      </c>
    </row>
    <row r="35" s="5" customFormat="1" ht="22" customHeight="1" spans="1:45">
      <c r="A35" s="19">
        <v>27</v>
      </c>
      <c r="B35" s="19" t="s">
        <v>335</v>
      </c>
      <c r="C35" s="20" t="s">
        <v>336</v>
      </c>
      <c r="D35" s="20" t="s">
        <v>337</v>
      </c>
      <c r="E35" s="21">
        <v>44952</v>
      </c>
      <c r="F35" s="19" t="s">
        <v>96</v>
      </c>
      <c r="G35" s="75" t="s">
        <v>222</v>
      </c>
      <c r="H35" s="22" t="s">
        <v>229</v>
      </c>
      <c r="I35" s="19">
        <v>4</v>
      </c>
      <c r="J35" s="19">
        <f t="shared" si="18"/>
        <v>22</v>
      </c>
      <c r="K35" s="19">
        <v>198</v>
      </c>
      <c r="L35" s="36">
        <f t="shared" si="19"/>
        <v>30.4615384615385</v>
      </c>
      <c r="M35" s="36">
        <f t="shared" si="20"/>
        <v>167.538461538462</v>
      </c>
      <c r="N35" s="19">
        <v>2</v>
      </c>
      <c r="O35" s="19">
        <f t="shared" si="21"/>
        <v>2.85576923076923</v>
      </c>
      <c r="P35" s="19">
        <v>0</v>
      </c>
      <c r="Q35" s="19">
        <f t="shared" si="22"/>
        <v>0</v>
      </c>
      <c r="R35" s="19">
        <v>0</v>
      </c>
      <c r="S35" s="19">
        <v>5</v>
      </c>
      <c r="T35" s="19">
        <v>0</v>
      </c>
      <c r="U35" s="19">
        <v>0</v>
      </c>
      <c r="V35" s="19">
        <v>5</v>
      </c>
      <c r="W35" s="36">
        <v>0.5</v>
      </c>
      <c r="X35" s="19">
        <v>4</v>
      </c>
      <c r="Y35" s="19">
        <v>0</v>
      </c>
      <c r="Z35" s="19">
        <v>0</v>
      </c>
      <c r="AA35" s="19">
        <v>0</v>
      </c>
      <c r="AB35" s="36">
        <f t="shared" si="23"/>
        <v>47.8173076923077</v>
      </c>
      <c r="AC35" s="19">
        <v>0</v>
      </c>
      <c r="AD35" s="19">
        <v>0</v>
      </c>
      <c r="AE35" s="19">
        <v>0</v>
      </c>
      <c r="AF35" s="19">
        <f t="shared" si="10"/>
        <v>0</v>
      </c>
      <c r="AG35" s="36">
        <f t="shared" si="24"/>
        <v>47.8173076923077</v>
      </c>
      <c r="AH35" s="19"/>
      <c r="AI35" s="60"/>
      <c r="AJ35" s="61"/>
      <c r="AK35" s="214">
        <v>0</v>
      </c>
      <c r="AL35" s="72">
        <v>101461449</v>
      </c>
      <c r="AM35" s="73">
        <v>34760</v>
      </c>
      <c r="AN35" s="74" t="s">
        <v>99</v>
      </c>
      <c r="AO35" s="72">
        <v>1</v>
      </c>
      <c r="AP35" s="74" t="s">
        <v>102</v>
      </c>
      <c r="AQ35" s="74" t="s">
        <v>102</v>
      </c>
      <c r="AR35" s="74" t="s">
        <v>103</v>
      </c>
      <c r="AS35" s="72" t="s">
        <v>338</v>
      </c>
    </row>
    <row r="36" s="5" customFormat="1" ht="22" customHeight="1" spans="1:45">
      <c r="A36" s="19">
        <v>28</v>
      </c>
      <c r="B36" s="19" t="s">
        <v>339</v>
      </c>
      <c r="C36" s="20" t="s">
        <v>340</v>
      </c>
      <c r="D36" s="20" t="s">
        <v>341</v>
      </c>
      <c r="E36" s="21">
        <v>44952</v>
      </c>
      <c r="F36" s="19" t="s">
        <v>96</v>
      </c>
      <c r="G36" s="75" t="s">
        <v>222</v>
      </c>
      <c r="H36" s="22" t="s">
        <v>229</v>
      </c>
      <c r="I36" s="19">
        <v>5</v>
      </c>
      <c r="J36" s="19">
        <f t="shared" si="18"/>
        <v>21</v>
      </c>
      <c r="K36" s="19">
        <v>198</v>
      </c>
      <c r="L36" s="36">
        <f t="shared" si="19"/>
        <v>38.0769230769231</v>
      </c>
      <c r="M36" s="36">
        <f t="shared" si="20"/>
        <v>159.923076923077</v>
      </c>
      <c r="N36" s="19">
        <v>8</v>
      </c>
      <c r="O36" s="19">
        <f t="shared" si="21"/>
        <v>11.4230769230769</v>
      </c>
      <c r="P36" s="19">
        <v>0</v>
      </c>
      <c r="Q36" s="19">
        <f t="shared" si="22"/>
        <v>0</v>
      </c>
      <c r="R36" s="19">
        <v>0</v>
      </c>
      <c r="S36" s="19">
        <v>5</v>
      </c>
      <c r="T36" s="19">
        <v>0</v>
      </c>
      <c r="U36" s="19">
        <v>0</v>
      </c>
      <c r="V36" s="19">
        <v>5</v>
      </c>
      <c r="W36" s="36">
        <v>2</v>
      </c>
      <c r="X36" s="19">
        <v>4</v>
      </c>
      <c r="Y36" s="19">
        <v>0</v>
      </c>
      <c r="Z36" s="19">
        <v>0</v>
      </c>
      <c r="AA36" s="19">
        <v>0</v>
      </c>
      <c r="AB36" s="36">
        <f t="shared" si="23"/>
        <v>65.5</v>
      </c>
      <c r="AC36" s="19">
        <v>0</v>
      </c>
      <c r="AD36" s="19">
        <v>0</v>
      </c>
      <c r="AE36" s="19">
        <v>0</v>
      </c>
      <c r="AF36" s="19">
        <f t="shared" ref="AF36:AF61" si="25">SUM(AC36:AE36)</f>
        <v>0</v>
      </c>
      <c r="AG36" s="36">
        <f t="shared" si="24"/>
        <v>65.5</v>
      </c>
      <c r="AH36" s="19"/>
      <c r="AI36" s="60"/>
      <c r="AJ36" s="61"/>
      <c r="AK36" s="214">
        <v>0</v>
      </c>
      <c r="AL36" s="72">
        <v>100798710</v>
      </c>
      <c r="AM36" s="73">
        <v>31940</v>
      </c>
      <c r="AN36" s="74" t="s">
        <v>99</v>
      </c>
      <c r="AO36" s="72">
        <v>1</v>
      </c>
      <c r="AP36" s="74" t="s">
        <v>102</v>
      </c>
      <c r="AQ36" s="74" t="s">
        <v>102</v>
      </c>
      <c r="AR36" s="74" t="s">
        <v>103</v>
      </c>
      <c r="AS36" s="72" t="s">
        <v>342</v>
      </c>
    </row>
    <row r="37" ht="26" customHeight="1" spans="1:37">
      <c r="A37" s="176" t="s">
        <v>216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8"/>
      <c r="L37" s="211">
        <f>SUM(L9:L36)</f>
        <v>4284.23076923077</v>
      </c>
      <c r="M37" s="211"/>
      <c r="N37" s="212">
        <f t="shared" ref="N37:V37" si="26">SUM(N9:N36)</f>
        <v>148</v>
      </c>
      <c r="O37" s="211">
        <f t="shared" si="26"/>
        <v>212.942307692307</v>
      </c>
      <c r="P37" s="213">
        <f t="shared" si="26"/>
        <v>0</v>
      </c>
      <c r="Q37" s="213">
        <f t="shared" si="26"/>
        <v>0</v>
      </c>
      <c r="R37" s="213">
        <f t="shared" si="26"/>
        <v>0</v>
      </c>
      <c r="S37" s="213">
        <f t="shared" si="26"/>
        <v>232.788461538461</v>
      </c>
      <c r="T37" s="212">
        <f t="shared" si="26"/>
        <v>30</v>
      </c>
      <c r="U37" s="213">
        <f t="shared" si="26"/>
        <v>20</v>
      </c>
      <c r="V37" s="212">
        <f t="shared" si="26"/>
        <v>250</v>
      </c>
      <c r="W37" s="212"/>
      <c r="X37" s="212">
        <f t="shared" ref="X37:AI37" si="27">SUM(X9:X36)</f>
        <v>200</v>
      </c>
      <c r="Y37" s="213">
        <f t="shared" si="27"/>
        <v>0</v>
      </c>
      <c r="Z37" s="78">
        <v>0</v>
      </c>
      <c r="AA37" s="213">
        <f t="shared" si="27"/>
        <v>0</v>
      </c>
      <c r="AB37" s="211">
        <f t="shared" si="27"/>
        <v>5267.46153846154</v>
      </c>
      <c r="AC37" s="211">
        <f t="shared" si="27"/>
        <v>114.96175</v>
      </c>
      <c r="AD37" s="213">
        <f t="shared" si="27"/>
        <v>0</v>
      </c>
      <c r="AE37" s="212">
        <f t="shared" si="27"/>
        <v>2200</v>
      </c>
      <c r="AF37" s="211">
        <f t="shared" si="27"/>
        <v>2314.96175</v>
      </c>
      <c r="AG37" s="211">
        <f t="shared" si="27"/>
        <v>2952.49978846154</v>
      </c>
      <c r="AH37" s="215">
        <f t="shared" si="27"/>
        <v>0</v>
      </c>
      <c r="AI37" s="216">
        <f t="shared" si="27"/>
        <v>0</v>
      </c>
      <c r="AJ37" s="215"/>
      <c r="AK37" s="214"/>
    </row>
  </sheetData>
  <autoFilter ref="A8:AY37">
    <extLst/>
  </autoFilter>
  <mergeCells count="32">
    <mergeCell ref="A1:AJ1"/>
    <mergeCell ref="A2:AJ2"/>
    <mergeCell ref="A3:AJ3"/>
    <mergeCell ref="A4:AJ4"/>
    <mergeCell ref="A5:C5"/>
    <mergeCell ref="F5:L5"/>
    <mergeCell ref="AG5:AJ5"/>
    <mergeCell ref="N7:Q7"/>
    <mergeCell ref="A37:K3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ignoredErrors>
    <ignoredError sqref="AE9:AE30" emptyCellReference="1"/>
    <ignoredError sqref="AL34 AS31:AS36 AL31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34"/>
  <sheetViews>
    <sheetView zoomScale="145" zoomScaleNormal="145" topLeftCell="A6" workbookViewId="0">
      <selection activeCell="B19" sqref="B19"/>
    </sheetView>
  </sheetViews>
  <sheetFormatPr defaultColWidth="9" defaultRowHeight="13.5"/>
  <cols>
    <col min="1" max="1" width="3.03333333333333" style="6" customWidth="1"/>
    <col min="2" max="2" width="5.68333333333333" style="170" customWidth="1"/>
    <col min="3" max="4" width="6.63333333333333" style="170" customWidth="1"/>
    <col min="5" max="5" width="6.63333333333333" style="6" customWidth="1"/>
    <col min="6" max="6" width="3.1" style="6" customWidth="1"/>
    <col min="7" max="7" width="2.58333333333333" style="6" customWidth="1"/>
    <col min="8" max="8" width="3.1" style="6" customWidth="1"/>
    <col min="9" max="9" width="3.8" style="6" customWidth="1"/>
    <col min="10" max="10" width="3.19166666666667" style="6" customWidth="1"/>
    <col min="11" max="11" width="3.25" style="6" customWidth="1"/>
    <col min="12" max="12" width="6.00833333333333" customWidth="1"/>
    <col min="13" max="13" width="3.96666666666667" customWidth="1"/>
    <col min="14" max="14" width="2.81666666666667" customWidth="1"/>
    <col min="15" max="15" width="3.5" customWidth="1"/>
    <col min="16" max="18" width="2.925" customWidth="1"/>
    <col min="19" max="19" width="4.275" customWidth="1"/>
    <col min="20" max="20" width="3.625" customWidth="1"/>
    <col min="21" max="21" width="3.58333333333333" customWidth="1"/>
    <col min="22" max="27" width="3.375" customWidth="1"/>
    <col min="28" max="28" width="7.04166666666667" customWidth="1"/>
    <col min="29" max="29" width="3.7" customWidth="1"/>
    <col min="30" max="30" width="2.825" customWidth="1"/>
    <col min="31" max="31" width="3.86666666666667" customWidth="1"/>
    <col min="32" max="32" width="4.375" customWidth="1"/>
    <col min="33" max="33" width="6.64166666666667" customWidth="1"/>
    <col min="34" max="34" width="0.258333333333333" hidden="1" customWidth="1"/>
    <col min="35" max="35" width="4.575" hidden="1" customWidth="1"/>
    <col min="36" max="36" width="11.25" customWidth="1"/>
    <col min="37" max="37" width="14.1333333333333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171"/>
      <c r="C1" s="171"/>
      <c r="D1" s="17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172"/>
      <c r="C2" s="172"/>
      <c r="D2" s="17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173"/>
      <c r="C3" s="173"/>
      <c r="D3" s="1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343</v>
      </c>
      <c r="B5" s="174"/>
      <c r="C5" s="175"/>
      <c r="D5" s="175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1" t="s">
        <v>5</v>
      </c>
      <c r="AH5" s="11"/>
      <c r="AI5" s="11"/>
      <c r="AJ5" s="11"/>
      <c r="AK5" s="11"/>
      <c r="AL5" s="70"/>
    </row>
    <row r="6" s="2" customFormat="1" ht="57.95" customHeight="1" spans="1:37">
      <c r="A6" s="13" t="s">
        <v>6</v>
      </c>
      <c r="B6" s="29" t="s">
        <v>7</v>
      </c>
      <c r="C6" s="29" t="s">
        <v>8</v>
      </c>
      <c r="D6" s="29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07" t="s">
        <v>344</v>
      </c>
    </row>
    <row r="7" s="3" customFormat="1" ht="12" customHeight="1" spans="1:45">
      <c r="A7" s="15" t="s">
        <v>39</v>
      </c>
      <c r="B7" s="15" t="s">
        <v>40</v>
      </c>
      <c r="C7" s="15" t="s">
        <v>41</v>
      </c>
      <c r="D7" s="15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7"/>
      <c r="C8" s="17"/>
      <c r="D8" s="17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4" customFormat="1" ht="25" customHeight="1" spans="1:45">
      <c r="A9" s="17">
        <v>1</v>
      </c>
      <c r="B9" s="128" t="s">
        <v>345</v>
      </c>
      <c r="C9" s="20" t="s">
        <v>346</v>
      </c>
      <c r="D9" s="20" t="s">
        <v>347</v>
      </c>
      <c r="E9" s="21">
        <v>44740</v>
      </c>
      <c r="F9" s="19" t="s">
        <v>108</v>
      </c>
      <c r="G9" s="75" t="s">
        <v>348</v>
      </c>
      <c r="H9" s="75" t="s">
        <v>223</v>
      </c>
      <c r="I9" s="19">
        <v>26</v>
      </c>
      <c r="J9" s="19">
        <f t="shared" ref="J9:J18" si="0">26-I9</f>
        <v>0</v>
      </c>
      <c r="K9" s="19">
        <v>200</v>
      </c>
      <c r="L9" s="36">
        <f t="shared" ref="L9:L18" si="1">K9/26*I9</f>
        <v>200</v>
      </c>
      <c r="M9" s="36">
        <f t="shared" ref="M9:M18" si="2">K9/26*J9</f>
        <v>0</v>
      </c>
      <c r="N9" s="19">
        <v>15</v>
      </c>
      <c r="O9" s="19">
        <f>K9/26/8*1.5*N9</f>
        <v>21.6346153846154</v>
      </c>
      <c r="P9" s="85">
        <v>0</v>
      </c>
      <c r="Q9" s="85">
        <f>K9/26*2*P9</f>
        <v>0</v>
      </c>
      <c r="R9" s="19">
        <v>0</v>
      </c>
      <c r="S9" s="36">
        <f t="shared" ref="S9:S18" si="3">10/26*I9</f>
        <v>10</v>
      </c>
      <c r="T9" s="19">
        <v>20</v>
      </c>
      <c r="U9" s="19">
        <v>30</v>
      </c>
      <c r="V9" s="19">
        <v>10</v>
      </c>
      <c r="W9" s="19">
        <v>3.75</v>
      </c>
      <c r="X9" s="19">
        <v>8</v>
      </c>
      <c r="Y9" s="19">
        <v>0</v>
      </c>
      <c r="Z9" s="19">
        <f>VLOOKUP(B9,'[3]Annual Leave '!$B$7:$Q$98,13,0)</f>
        <v>45.34</v>
      </c>
      <c r="AA9" s="19">
        <f>VLOOKUP(B9,'[3]Annual Leave '!$B$7:$Q$98,15,0)</f>
        <v>52.3136094674556</v>
      </c>
      <c r="AB9" s="36">
        <f t="shared" ref="AB9:AB18" si="4">SUM(L9+O9+Q9+R9+S9+T9+U9+V9+X9+Y9+Z9+AA9+W9)</f>
        <v>401.038224852071</v>
      </c>
      <c r="AC9" s="19">
        <f>VLOOKUP(B9,[2]Sheet1!$B$2:$M$199,11,0)/4000</f>
        <v>6</v>
      </c>
      <c r="AD9" s="19">
        <v>0</v>
      </c>
      <c r="AE9" s="19">
        <f>VLOOKUP(B9,'[1]A02'!$E$7:$L$29,7,0)</f>
        <v>100</v>
      </c>
      <c r="AF9" s="19">
        <f>SUM(AC9:AE9)</f>
        <v>106</v>
      </c>
      <c r="AG9" s="36">
        <f t="shared" ref="AG9:AG18" si="5">AB9-AF9</f>
        <v>295.038224852071</v>
      </c>
      <c r="AH9" s="52"/>
      <c r="AI9" s="52"/>
      <c r="AJ9" s="34"/>
      <c r="AK9" s="34"/>
      <c r="AL9" s="72">
        <v>100871162</v>
      </c>
      <c r="AM9" s="73">
        <v>32178</v>
      </c>
      <c r="AN9" s="74" t="s">
        <v>99</v>
      </c>
      <c r="AO9" s="72" t="s">
        <v>224</v>
      </c>
      <c r="AP9" s="74" t="s">
        <v>101</v>
      </c>
      <c r="AQ9" s="74" t="s">
        <v>102</v>
      </c>
      <c r="AR9" s="74" t="s">
        <v>103</v>
      </c>
      <c r="AS9" s="92" t="s">
        <v>349</v>
      </c>
    </row>
    <row r="10" s="77" customFormat="1" ht="25" customHeight="1" spans="1:45">
      <c r="A10" s="17">
        <v>2</v>
      </c>
      <c r="B10" s="20" t="s">
        <v>350</v>
      </c>
      <c r="C10" s="20" t="s">
        <v>351</v>
      </c>
      <c r="D10" s="20" t="s">
        <v>352</v>
      </c>
      <c r="E10" s="21">
        <v>44711</v>
      </c>
      <c r="F10" s="19" t="s">
        <v>96</v>
      </c>
      <c r="G10" s="75" t="s">
        <v>348</v>
      </c>
      <c r="H10" s="19" t="s">
        <v>229</v>
      </c>
      <c r="I10" s="19">
        <v>23</v>
      </c>
      <c r="J10" s="19">
        <f t="shared" si="0"/>
        <v>3</v>
      </c>
      <c r="K10" s="19">
        <v>200</v>
      </c>
      <c r="L10" s="36">
        <f t="shared" si="1"/>
        <v>176.923076923077</v>
      </c>
      <c r="M10" s="36">
        <f t="shared" si="2"/>
        <v>23.0769230769231</v>
      </c>
      <c r="N10" s="19">
        <v>14</v>
      </c>
      <c r="O10" s="19">
        <f>K10/26/8*1.5*N10</f>
        <v>20.1923076923077</v>
      </c>
      <c r="P10" s="19">
        <v>0</v>
      </c>
      <c r="Q10" s="19">
        <f>K10/26*2*P10</f>
        <v>0</v>
      </c>
      <c r="R10" s="19">
        <v>0</v>
      </c>
      <c r="S10" s="36">
        <f t="shared" si="3"/>
        <v>8.84615384615385</v>
      </c>
      <c r="T10" s="19">
        <v>0</v>
      </c>
      <c r="U10" s="19">
        <v>0</v>
      </c>
      <c r="V10" s="19">
        <v>10</v>
      </c>
      <c r="W10" s="19">
        <v>3.5</v>
      </c>
      <c r="X10" s="19">
        <v>8</v>
      </c>
      <c r="Y10" s="19">
        <v>0</v>
      </c>
      <c r="Z10" s="19">
        <v>0</v>
      </c>
      <c r="AA10" s="19">
        <v>0</v>
      </c>
      <c r="AB10" s="36">
        <f t="shared" si="4"/>
        <v>227.461538461539</v>
      </c>
      <c r="AC10" s="19">
        <f>VLOOKUP(B10,[2]Sheet1!$B$2:$M$199,11,0)/4000</f>
        <v>6</v>
      </c>
      <c r="AD10" s="19">
        <v>0</v>
      </c>
      <c r="AE10" s="19">
        <f>VLOOKUP(B10,'[1]A02'!$E$7:$L$29,7,0)</f>
        <v>100</v>
      </c>
      <c r="AF10" s="19">
        <f>SUM(AC10:AE10)</f>
        <v>106</v>
      </c>
      <c r="AG10" s="36">
        <f t="shared" si="5"/>
        <v>121.461538461539</v>
      </c>
      <c r="AH10" s="19">
        <v>150</v>
      </c>
      <c r="AI10" s="60">
        <v>68400</v>
      </c>
      <c r="AJ10" s="74"/>
      <c r="AK10" s="34"/>
      <c r="AL10" s="72">
        <v>101224752</v>
      </c>
      <c r="AM10" s="73">
        <v>34069</v>
      </c>
      <c r="AN10" s="74" t="s">
        <v>99</v>
      </c>
      <c r="AO10" s="72" t="s">
        <v>224</v>
      </c>
      <c r="AP10" s="74" t="s">
        <v>101</v>
      </c>
      <c r="AQ10" s="74" t="s">
        <v>102</v>
      </c>
      <c r="AR10" s="74" t="s">
        <v>103</v>
      </c>
      <c r="AS10" s="72" t="s">
        <v>353</v>
      </c>
    </row>
    <row r="11" s="5" customFormat="1" ht="25" customHeight="1" spans="1:45">
      <c r="A11" s="17">
        <v>3</v>
      </c>
      <c r="B11" s="20" t="s">
        <v>354</v>
      </c>
      <c r="C11" s="20" t="s">
        <v>355</v>
      </c>
      <c r="D11" s="20" t="s">
        <v>356</v>
      </c>
      <c r="E11" s="21">
        <v>44711</v>
      </c>
      <c r="F11" s="19" t="s">
        <v>96</v>
      </c>
      <c r="G11" s="75" t="s">
        <v>348</v>
      </c>
      <c r="H11" s="19" t="s">
        <v>229</v>
      </c>
      <c r="I11" s="19">
        <v>19.5</v>
      </c>
      <c r="J11" s="19">
        <f t="shared" si="0"/>
        <v>6.5</v>
      </c>
      <c r="K11" s="19">
        <v>200</v>
      </c>
      <c r="L11" s="36">
        <f t="shared" si="1"/>
        <v>150</v>
      </c>
      <c r="M11" s="36">
        <f t="shared" si="2"/>
        <v>50</v>
      </c>
      <c r="N11" s="19">
        <v>2</v>
      </c>
      <c r="O11" s="19">
        <f>K11/26/8*1.5*N11</f>
        <v>2.88461538461538</v>
      </c>
      <c r="P11" s="19">
        <v>0</v>
      </c>
      <c r="Q11" s="19">
        <f>K11/26*2*P11</f>
        <v>0</v>
      </c>
      <c r="R11" s="19">
        <v>0</v>
      </c>
      <c r="S11" s="36">
        <f t="shared" si="3"/>
        <v>7.5</v>
      </c>
      <c r="T11" s="19">
        <v>0</v>
      </c>
      <c r="U11" s="19">
        <v>0</v>
      </c>
      <c r="V11" s="19">
        <v>10</v>
      </c>
      <c r="W11" s="19">
        <v>0.5</v>
      </c>
      <c r="X11" s="19">
        <v>8</v>
      </c>
      <c r="Y11" s="19">
        <v>0</v>
      </c>
      <c r="Z11" s="19">
        <v>0</v>
      </c>
      <c r="AA11" s="19">
        <v>0</v>
      </c>
      <c r="AB11" s="36">
        <f t="shared" si="4"/>
        <v>178.884615384615</v>
      </c>
      <c r="AC11" s="19">
        <f>VLOOKUP(B11,[2]Sheet1!$B$2:$M$199,11,0)/4000</f>
        <v>4.28825</v>
      </c>
      <c r="AD11" s="19">
        <v>0</v>
      </c>
      <c r="AE11" s="19">
        <f>VLOOKUP(B11,'[1]A02'!$E$7:$L$29,7,0)</f>
        <v>50</v>
      </c>
      <c r="AF11" s="19">
        <f>SUM(AC11:AE11)</f>
        <v>54.28825</v>
      </c>
      <c r="AG11" s="36">
        <f t="shared" si="5"/>
        <v>124.596365384615</v>
      </c>
      <c r="AH11" s="19">
        <v>150</v>
      </c>
      <c r="AI11" s="60">
        <v>49600</v>
      </c>
      <c r="AJ11" s="61"/>
      <c r="AK11" s="34"/>
      <c r="AL11" s="72">
        <v>101169665</v>
      </c>
      <c r="AM11" s="73">
        <v>32803</v>
      </c>
      <c r="AN11" s="74" t="s">
        <v>99</v>
      </c>
      <c r="AO11" s="72" t="s">
        <v>234</v>
      </c>
      <c r="AP11" s="74" t="s">
        <v>101</v>
      </c>
      <c r="AQ11" s="74" t="s">
        <v>102</v>
      </c>
      <c r="AR11" s="74" t="s">
        <v>103</v>
      </c>
      <c r="AS11" s="72" t="s">
        <v>357</v>
      </c>
    </row>
    <row r="12" s="5" customFormat="1" ht="25" customHeight="1" spans="1:45">
      <c r="A12" s="17">
        <v>4</v>
      </c>
      <c r="B12" s="20" t="s">
        <v>358</v>
      </c>
      <c r="C12" s="20" t="s">
        <v>359</v>
      </c>
      <c r="D12" s="20" t="s">
        <v>360</v>
      </c>
      <c r="E12" s="21">
        <v>44711</v>
      </c>
      <c r="F12" s="19" t="s">
        <v>96</v>
      </c>
      <c r="G12" s="75" t="s">
        <v>348</v>
      </c>
      <c r="H12" s="19" t="s">
        <v>229</v>
      </c>
      <c r="I12" s="19">
        <v>19.5</v>
      </c>
      <c r="J12" s="19">
        <f t="shared" si="0"/>
        <v>6.5</v>
      </c>
      <c r="K12" s="19">
        <v>200</v>
      </c>
      <c r="L12" s="36">
        <f t="shared" si="1"/>
        <v>150</v>
      </c>
      <c r="M12" s="36">
        <f t="shared" si="2"/>
        <v>50</v>
      </c>
      <c r="N12" s="19">
        <v>2</v>
      </c>
      <c r="O12" s="19">
        <f t="shared" ref="O12:O19" si="6">K12/26/8*1.5*N12</f>
        <v>2.88461538461538</v>
      </c>
      <c r="P12" s="19">
        <v>0</v>
      </c>
      <c r="Q12" s="19">
        <f t="shared" ref="Q12:Q19" si="7">K12/26*2*P12</f>
        <v>0</v>
      </c>
      <c r="R12" s="19">
        <v>0</v>
      </c>
      <c r="S12" s="36">
        <f t="shared" si="3"/>
        <v>7.5</v>
      </c>
      <c r="T12" s="19">
        <v>0</v>
      </c>
      <c r="U12" s="19">
        <v>0</v>
      </c>
      <c r="V12" s="19">
        <v>10</v>
      </c>
      <c r="W12" s="19">
        <v>0.5</v>
      </c>
      <c r="X12" s="19">
        <v>8</v>
      </c>
      <c r="Y12" s="19">
        <v>0</v>
      </c>
      <c r="Z12" s="19">
        <v>0</v>
      </c>
      <c r="AA12" s="19">
        <v>0</v>
      </c>
      <c r="AB12" s="36">
        <f t="shared" si="4"/>
        <v>178.884615384615</v>
      </c>
      <c r="AC12" s="19">
        <f>VLOOKUP(B12,[2]Sheet1!$B$2:$M$199,11,0)/4000</f>
        <v>5.06725</v>
      </c>
      <c r="AD12" s="19">
        <v>0</v>
      </c>
      <c r="AE12" s="19">
        <f>VLOOKUP(B12,'[1]A02'!$E$7:$L$29,7,0)</f>
        <v>50</v>
      </c>
      <c r="AF12" s="19">
        <f t="shared" ref="AF12:AF19" si="8">SUM(AC12:AE12)</f>
        <v>55.06725</v>
      </c>
      <c r="AG12" s="36">
        <f t="shared" si="5"/>
        <v>123.817365384615</v>
      </c>
      <c r="AH12" s="19">
        <v>150</v>
      </c>
      <c r="AI12" s="60">
        <v>42000</v>
      </c>
      <c r="AJ12" s="61"/>
      <c r="AK12" s="34"/>
      <c r="AL12" s="72">
        <v>101224747</v>
      </c>
      <c r="AM12" s="73">
        <v>31190</v>
      </c>
      <c r="AN12" s="74" t="s">
        <v>99</v>
      </c>
      <c r="AO12" s="72" t="s">
        <v>224</v>
      </c>
      <c r="AP12" s="74" t="s">
        <v>101</v>
      </c>
      <c r="AQ12" s="74" t="s">
        <v>102</v>
      </c>
      <c r="AR12" s="74" t="s">
        <v>103</v>
      </c>
      <c r="AS12" s="72" t="s">
        <v>361</v>
      </c>
    </row>
    <row r="13" s="5" customFormat="1" ht="25" customHeight="1" spans="1:45">
      <c r="A13" s="17">
        <v>5</v>
      </c>
      <c r="B13" s="20" t="s">
        <v>362</v>
      </c>
      <c r="C13" s="20" t="s">
        <v>363</v>
      </c>
      <c r="D13" s="20" t="s">
        <v>364</v>
      </c>
      <c r="E13" s="21">
        <v>44711</v>
      </c>
      <c r="F13" s="19" t="s">
        <v>96</v>
      </c>
      <c r="G13" s="75" t="s">
        <v>348</v>
      </c>
      <c r="H13" s="19" t="s">
        <v>229</v>
      </c>
      <c r="I13" s="19">
        <v>23</v>
      </c>
      <c r="J13" s="19">
        <f t="shared" si="0"/>
        <v>3</v>
      </c>
      <c r="K13" s="19">
        <v>200</v>
      </c>
      <c r="L13" s="36">
        <f t="shared" si="1"/>
        <v>176.923076923077</v>
      </c>
      <c r="M13" s="36">
        <f t="shared" si="2"/>
        <v>23.0769230769231</v>
      </c>
      <c r="N13" s="19">
        <v>4</v>
      </c>
      <c r="O13" s="19">
        <f t="shared" si="6"/>
        <v>5.76923076923077</v>
      </c>
      <c r="P13" s="19">
        <v>0</v>
      </c>
      <c r="Q13" s="19">
        <f t="shared" si="7"/>
        <v>0</v>
      </c>
      <c r="R13" s="19">
        <v>0</v>
      </c>
      <c r="S13" s="36">
        <f t="shared" si="3"/>
        <v>8.84615384615385</v>
      </c>
      <c r="T13" s="19">
        <v>0</v>
      </c>
      <c r="U13" s="19">
        <v>0</v>
      </c>
      <c r="V13" s="19">
        <v>10</v>
      </c>
      <c r="W13" s="19">
        <v>1</v>
      </c>
      <c r="X13" s="19">
        <v>8</v>
      </c>
      <c r="Y13" s="19">
        <v>0</v>
      </c>
      <c r="Z13" s="19">
        <v>0</v>
      </c>
      <c r="AA13" s="19">
        <v>0</v>
      </c>
      <c r="AB13" s="36">
        <f t="shared" si="4"/>
        <v>210.538461538462</v>
      </c>
      <c r="AC13" s="19">
        <f>VLOOKUP(B13,[2]Sheet1!$B$2:$M$199,11,0)/4000</f>
        <v>5.43525</v>
      </c>
      <c r="AD13" s="19">
        <v>0</v>
      </c>
      <c r="AE13" s="19">
        <f>VLOOKUP(B13,'[1]A02'!$E$7:$L$29,7,0)</f>
        <v>100</v>
      </c>
      <c r="AF13" s="19">
        <f t="shared" si="8"/>
        <v>105.43525</v>
      </c>
      <c r="AG13" s="36">
        <f t="shared" si="5"/>
        <v>105.103211538462</v>
      </c>
      <c r="AH13" s="19">
        <v>150</v>
      </c>
      <c r="AI13" s="60">
        <v>55200</v>
      </c>
      <c r="AJ13" s="61"/>
      <c r="AK13" s="34"/>
      <c r="AL13" s="72">
        <v>100821464</v>
      </c>
      <c r="AM13" s="73">
        <v>33295</v>
      </c>
      <c r="AN13" s="74" t="s">
        <v>99</v>
      </c>
      <c r="AO13" s="72" t="s">
        <v>234</v>
      </c>
      <c r="AP13" s="74" t="s">
        <v>101</v>
      </c>
      <c r="AQ13" s="74" t="s">
        <v>102</v>
      </c>
      <c r="AR13" s="74" t="s">
        <v>103</v>
      </c>
      <c r="AS13" s="202" t="s">
        <v>365</v>
      </c>
    </row>
    <row r="14" s="5" customFormat="1" ht="25" customHeight="1" spans="1:45">
      <c r="A14" s="17">
        <v>6</v>
      </c>
      <c r="B14" s="20" t="s">
        <v>366</v>
      </c>
      <c r="C14" s="20" t="s">
        <v>367</v>
      </c>
      <c r="D14" s="20" t="s">
        <v>368</v>
      </c>
      <c r="E14" s="21">
        <v>44711</v>
      </c>
      <c r="F14" s="19" t="s">
        <v>96</v>
      </c>
      <c r="G14" s="75" t="s">
        <v>348</v>
      </c>
      <c r="H14" s="19" t="s">
        <v>229</v>
      </c>
      <c r="I14" s="19">
        <v>19.5</v>
      </c>
      <c r="J14" s="19">
        <f t="shared" si="0"/>
        <v>6.5</v>
      </c>
      <c r="K14" s="19">
        <v>200</v>
      </c>
      <c r="L14" s="36">
        <f t="shared" si="1"/>
        <v>150</v>
      </c>
      <c r="M14" s="36">
        <f t="shared" si="2"/>
        <v>50</v>
      </c>
      <c r="N14" s="19">
        <v>0</v>
      </c>
      <c r="O14" s="19">
        <f t="shared" si="6"/>
        <v>0</v>
      </c>
      <c r="P14" s="19">
        <v>0</v>
      </c>
      <c r="Q14" s="19">
        <f t="shared" si="7"/>
        <v>0</v>
      </c>
      <c r="R14" s="19">
        <v>0</v>
      </c>
      <c r="S14" s="36">
        <f t="shared" si="3"/>
        <v>7.5</v>
      </c>
      <c r="T14" s="19">
        <v>0</v>
      </c>
      <c r="U14" s="19">
        <v>0</v>
      </c>
      <c r="V14" s="19">
        <v>10</v>
      </c>
      <c r="W14" s="19">
        <v>0</v>
      </c>
      <c r="X14" s="19">
        <v>8</v>
      </c>
      <c r="Y14" s="19">
        <v>0</v>
      </c>
      <c r="Z14" s="19">
        <v>0</v>
      </c>
      <c r="AA14" s="19">
        <v>0</v>
      </c>
      <c r="AB14" s="36">
        <f t="shared" si="4"/>
        <v>175.5</v>
      </c>
      <c r="AC14" s="19">
        <f>VLOOKUP(B14,[2]Sheet1!$B$2:$M$199,11,0)/4000</f>
        <v>5.119</v>
      </c>
      <c r="AD14" s="19">
        <v>0</v>
      </c>
      <c r="AE14" s="19">
        <f>VLOOKUP(B14,'[1]A02'!$E$7:$L$29,7,0)</f>
        <v>50</v>
      </c>
      <c r="AF14" s="19">
        <f t="shared" si="8"/>
        <v>55.119</v>
      </c>
      <c r="AG14" s="36">
        <f t="shared" si="5"/>
        <v>120.381</v>
      </c>
      <c r="AH14" s="19">
        <v>150</v>
      </c>
      <c r="AI14" s="60">
        <v>36400</v>
      </c>
      <c r="AJ14" s="61"/>
      <c r="AK14" s="34"/>
      <c r="AL14" s="72">
        <v>100940158</v>
      </c>
      <c r="AM14" s="73">
        <v>32759</v>
      </c>
      <c r="AN14" s="74" t="s">
        <v>99</v>
      </c>
      <c r="AO14" s="72" t="s">
        <v>224</v>
      </c>
      <c r="AP14" s="74" t="s">
        <v>101</v>
      </c>
      <c r="AQ14" s="74" t="s">
        <v>102</v>
      </c>
      <c r="AR14" s="74" t="s">
        <v>103</v>
      </c>
      <c r="AS14" s="72" t="s">
        <v>369</v>
      </c>
    </row>
    <row r="15" s="5" customFormat="1" ht="25" customHeight="1" spans="1:45">
      <c r="A15" s="17">
        <v>7</v>
      </c>
      <c r="B15" s="20" t="s">
        <v>370</v>
      </c>
      <c r="C15" s="20" t="s">
        <v>371</v>
      </c>
      <c r="D15" s="20" t="s">
        <v>372</v>
      </c>
      <c r="E15" s="21">
        <v>44712</v>
      </c>
      <c r="F15" s="19" t="s">
        <v>96</v>
      </c>
      <c r="G15" s="75" t="s">
        <v>348</v>
      </c>
      <c r="H15" s="19" t="s">
        <v>229</v>
      </c>
      <c r="I15" s="19">
        <v>24.25</v>
      </c>
      <c r="J15" s="19">
        <f t="shared" si="0"/>
        <v>1.75</v>
      </c>
      <c r="K15" s="19">
        <v>200</v>
      </c>
      <c r="L15" s="36">
        <f t="shared" si="1"/>
        <v>186.538461538462</v>
      </c>
      <c r="M15" s="36">
        <f t="shared" si="2"/>
        <v>13.4615384615385</v>
      </c>
      <c r="N15" s="19">
        <v>4</v>
      </c>
      <c r="O15" s="19">
        <f t="shared" si="6"/>
        <v>5.76923076923077</v>
      </c>
      <c r="P15" s="19">
        <v>0</v>
      </c>
      <c r="Q15" s="19">
        <f t="shared" si="7"/>
        <v>0</v>
      </c>
      <c r="R15" s="19">
        <v>0</v>
      </c>
      <c r="S15" s="36">
        <f t="shared" si="3"/>
        <v>9.32692307692308</v>
      </c>
      <c r="T15" s="19">
        <v>0</v>
      </c>
      <c r="U15" s="19">
        <v>0</v>
      </c>
      <c r="V15" s="19">
        <v>10</v>
      </c>
      <c r="W15" s="19">
        <v>1</v>
      </c>
      <c r="X15" s="19">
        <v>8</v>
      </c>
      <c r="Y15" s="19">
        <v>0</v>
      </c>
      <c r="Z15" s="19">
        <v>0</v>
      </c>
      <c r="AA15" s="19">
        <v>0</v>
      </c>
      <c r="AB15" s="36">
        <f t="shared" si="4"/>
        <v>220.634615384616</v>
      </c>
      <c r="AC15" s="19">
        <f>VLOOKUP(B15,[2]Sheet1!$B$2:$M$199,11,0)/4000</f>
        <v>4.89125</v>
      </c>
      <c r="AD15" s="19">
        <v>0</v>
      </c>
      <c r="AE15" s="19">
        <f>VLOOKUP(B15,'[1]A02'!$E$7:$L$29,7,0)</f>
        <v>100</v>
      </c>
      <c r="AF15" s="19">
        <f t="shared" si="8"/>
        <v>104.89125</v>
      </c>
      <c r="AG15" s="36">
        <f t="shared" si="5"/>
        <v>115.743365384616</v>
      </c>
      <c r="AH15" s="19">
        <v>150</v>
      </c>
      <c r="AI15" s="60">
        <v>68400</v>
      </c>
      <c r="AJ15" s="61"/>
      <c r="AK15" s="34"/>
      <c r="AL15" s="238" t="s">
        <v>373</v>
      </c>
      <c r="AM15" s="73">
        <v>31294</v>
      </c>
      <c r="AN15" s="74" t="s">
        <v>141</v>
      </c>
      <c r="AO15" s="72"/>
      <c r="AP15" s="74" t="s">
        <v>101</v>
      </c>
      <c r="AQ15" s="74" t="s">
        <v>102</v>
      </c>
      <c r="AR15" s="74" t="s">
        <v>103</v>
      </c>
      <c r="AS15" s="72" t="s">
        <v>373</v>
      </c>
    </row>
    <row r="16" s="5" customFormat="1" ht="25" customHeight="1" spans="1:45">
      <c r="A16" s="17">
        <v>8</v>
      </c>
      <c r="B16" s="20" t="s">
        <v>374</v>
      </c>
      <c r="C16" s="20" t="s">
        <v>375</v>
      </c>
      <c r="D16" s="20" t="s">
        <v>376</v>
      </c>
      <c r="E16" s="21">
        <v>44712</v>
      </c>
      <c r="F16" s="19" t="s">
        <v>96</v>
      </c>
      <c r="G16" s="75" t="s">
        <v>348</v>
      </c>
      <c r="H16" s="19" t="s">
        <v>229</v>
      </c>
      <c r="I16" s="19">
        <v>18.5</v>
      </c>
      <c r="J16" s="19">
        <f t="shared" si="0"/>
        <v>7.5</v>
      </c>
      <c r="K16" s="19">
        <v>200</v>
      </c>
      <c r="L16" s="36">
        <f t="shared" si="1"/>
        <v>142.307692307692</v>
      </c>
      <c r="M16" s="36">
        <f t="shared" si="2"/>
        <v>57.6923076923077</v>
      </c>
      <c r="N16" s="19">
        <v>0</v>
      </c>
      <c r="O16" s="19">
        <f t="shared" si="6"/>
        <v>0</v>
      </c>
      <c r="P16" s="19">
        <v>0</v>
      </c>
      <c r="Q16" s="19">
        <f t="shared" si="7"/>
        <v>0</v>
      </c>
      <c r="R16" s="19">
        <v>0</v>
      </c>
      <c r="S16" s="36">
        <f t="shared" si="3"/>
        <v>7.11538461538462</v>
      </c>
      <c r="T16" s="19">
        <v>0</v>
      </c>
      <c r="U16" s="19">
        <v>0</v>
      </c>
      <c r="V16" s="19">
        <v>10</v>
      </c>
      <c r="W16" s="19">
        <v>0</v>
      </c>
      <c r="X16" s="19">
        <v>8</v>
      </c>
      <c r="Y16" s="19">
        <v>0</v>
      </c>
      <c r="Z16" s="19">
        <v>0</v>
      </c>
      <c r="AA16" s="19">
        <v>0</v>
      </c>
      <c r="AB16" s="36">
        <f t="shared" si="4"/>
        <v>167.423076923077</v>
      </c>
      <c r="AC16" s="19">
        <f>VLOOKUP(B16,[2]Sheet1!$B$2:$M$199,11,0)/4000</f>
        <v>5.1405</v>
      </c>
      <c r="AD16" s="19">
        <v>0</v>
      </c>
      <c r="AE16" s="19">
        <f>VLOOKUP(B16,'[1]A02'!$E$7:$L$29,7,0)</f>
        <v>50</v>
      </c>
      <c r="AF16" s="19">
        <f t="shared" si="8"/>
        <v>55.1405</v>
      </c>
      <c r="AG16" s="36">
        <f t="shared" si="5"/>
        <v>112.282576923077</v>
      </c>
      <c r="AH16" s="19">
        <v>150</v>
      </c>
      <c r="AI16" s="60">
        <v>32500</v>
      </c>
      <c r="AJ16" s="61"/>
      <c r="AK16" s="34"/>
      <c r="AL16" s="72">
        <v>100685752</v>
      </c>
      <c r="AM16" s="73">
        <v>34489</v>
      </c>
      <c r="AN16" s="74" t="s">
        <v>141</v>
      </c>
      <c r="AO16" s="72"/>
      <c r="AP16" s="74" t="s">
        <v>101</v>
      </c>
      <c r="AQ16" s="74" t="s">
        <v>102</v>
      </c>
      <c r="AR16" s="74" t="s">
        <v>103</v>
      </c>
      <c r="AS16" s="72" t="s">
        <v>377</v>
      </c>
    </row>
    <row r="17" s="5" customFormat="1" ht="25" customHeight="1" spans="1:45">
      <c r="A17" s="17">
        <v>9</v>
      </c>
      <c r="B17" s="20" t="s">
        <v>378</v>
      </c>
      <c r="C17" s="20" t="s">
        <v>379</v>
      </c>
      <c r="D17" s="20" t="s">
        <v>380</v>
      </c>
      <c r="E17" s="21">
        <v>44711</v>
      </c>
      <c r="F17" s="19" t="s">
        <v>96</v>
      </c>
      <c r="G17" s="75" t="s">
        <v>348</v>
      </c>
      <c r="H17" s="19" t="s">
        <v>229</v>
      </c>
      <c r="I17" s="19">
        <v>19.5</v>
      </c>
      <c r="J17" s="19">
        <f t="shared" si="0"/>
        <v>6.5</v>
      </c>
      <c r="K17" s="19">
        <v>200</v>
      </c>
      <c r="L17" s="36">
        <f t="shared" si="1"/>
        <v>150</v>
      </c>
      <c r="M17" s="36">
        <f t="shared" si="2"/>
        <v>50</v>
      </c>
      <c r="N17" s="19">
        <v>0</v>
      </c>
      <c r="O17" s="19">
        <f t="shared" si="6"/>
        <v>0</v>
      </c>
      <c r="P17" s="19">
        <v>0</v>
      </c>
      <c r="Q17" s="19">
        <f t="shared" si="7"/>
        <v>0</v>
      </c>
      <c r="R17" s="19">
        <v>0</v>
      </c>
      <c r="S17" s="36">
        <f t="shared" si="3"/>
        <v>7.5</v>
      </c>
      <c r="T17" s="19">
        <v>0</v>
      </c>
      <c r="U17" s="19">
        <v>0</v>
      </c>
      <c r="V17" s="19">
        <v>10</v>
      </c>
      <c r="W17" s="19">
        <v>0</v>
      </c>
      <c r="X17" s="19">
        <v>8</v>
      </c>
      <c r="Y17" s="19">
        <v>0</v>
      </c>
      <c r="Z17" s="19">
        <v>0</v>
      </c>
      <c r="AA17" s="19">
        <v>0</v>
      </c>
      <c r="AB17" s="36">
        <f t="shared" si="4"/>
        <v>175.5</v>
      </c>
      <c r="AC17" s="19">
        <f>VLOOKUP(B17,[2]Sheet1!$B$2:$M$199,11,0)/4000</f>
        <v>5.34575</v>
      </c>
      <c r="AD17" s="19">
        <v>0</v>
      </c>
      <c r="AE17" s="19">
        <f>VLOOKUP(B17,'[1]A02'!$E$7:$L$29,7,0)</f>
        <v>50</v>
      </c>
      <c r="AF17" s="19">
        <f t="shared" si="8"/>
        <v>55.34575</v>
      </c>
      <c r="AG17" s="36">
        <f t="shared" si="5"/>
        <v>120.15425</v>
      </c>
      <c r="AH17" s="19">
        <v>150</v>
      </c>
      <c r="AI17" s="60">
        <v>28800</v>
      </c>
      <c r="AJ17" s="61"/>
      <c r="AK17" s="34"/>
      <c r="AL17" s="238" t="s">
        <v>381</v>
      </c>
      <c r="AM17" s="73">
        <v>29307</v>
      </c>
      <c r="AN17" s="74" t="s">
        <v>99</v>
      </c>
      <c r="AO17" s="72" t="s">
        <v>164</v>
      </c>
      <c r="AP17" s="74" t="s">
        <v>101</v>
      </c>
      <c r="AQ17" s="74" t="s">
        <v>102</v>
      </c>
      <c r="AR17" s="74" t="s">
        <v>103</v>
      </c>
      <c r="AS17" s="72" t="s">
        <v>382</v>
      </c>
    </row>
    <row r="18" s="5" customFormat="1" ht="25" customHeight="1" spans="1:45">
      <c r="A18" s="17">
        <v>10</v>
      </c>
      <c r="B18" s="81" t="s">
        <v>383</v>
      </c>
      <c r="C18" s="81" t="s">
        <v>384</v>
      </c>
      <c r="D18" s="81" t="s">
        <v>385</v>
      </c>
      <c r="E18" s="127">
        <v>44711</v>
      </c>
      <c r="F18" s="85" t="s">
        <v>96</v>
      </c>
      <c r="G18" s="132" t="s">
        <v>348</v>
      </c>
      <c r="H18" s="85" t="s">
        <v>229</v>
      </c>
      <c r="I18" s="19">
        <v>19.5</v>
      </c>
      <c r="J18" s="19">
        <f t="shared" si="0"/>
        <v>6.5</v>
      </c>
      <c r="K18" s="19">
        <v>200</v>
      </c>
      <c r="L18" s="36">
        <f t="shared" si="1"/>
        <v>150</v>
      </c>
      <c r="M18" s="36">
        <f t="shared" si="2"/>
        <v>50</v>
      </c>
      <c r="N18" s="19">
        <v>0</v>
      </c>
      <c r="O18" s="19">
        <f t="shared" si="6"/>
        <v>0</v>
      </c>
      <c r="P18" s="19">
        <v>0</v>
      </c>
      <c r="Q18" s="19">
        <f t="shared" si="7"/>
        <v>0</v>
      </c>
      <c r="R18" s="19">
        <v>0</v>
      </c>
      <c r="S18" s="36">
        <f t="shared" si="3"/>
        <v>7.5</v>
      </c>
      <c r="T18" s="19">
        <v>0</v>
      </c>
      <c r="U18" s="19">
        <v>0</v>
      </c>
      <c r="V18" s="19">
        <v>10</v>
      </c>
      <c r="W18" s="19">
        <v>0</v>
      </c>
      <c r="X18" s="19">
        <v>8</v>
      </c>
      <c r="Y18" s="19">
        <v>0</v>
      </c>
      <c r="Z18" s="19">
        <v>0</v>
      </c>
      <c r="AA18" s="19">
        <v>0</v>
      </c>
      <c r="AB18" s="36">
        <f t="shared" si="4"/>
        <v>175.5</v>
      </c>
      <c r="AC18" s="19">
        <f>VLOOKUP(B18,[2]Sheet1!$B$2:$M$199,11,0)/4000</f>
        <v>5.359</v>
      </c>
      <c r="AD18" s="19">
        <v>0</v>
      </c>
      <c r="AE18" s="19">
        <f>VLOOKUP(B18,'[1]A02'!$E$7:$L$29,7,0)</f>
        <v>50</v>
      </c>
      <c r="AF18" s="19">
        <f t="shared" si="8"/>
        <v>55.359</v>
      </c>
      <c r="AG18" s="36">
        <f t="shared" si="5"/>
        <v>120.141</v>
      </c>
      <c r="AH18" s="19"/>
      <c r="AI18" s="60"/>
      <c r="AJ18" s="61"/>
      <c r="AK18" s="34"/>
      <c r="AL18" s="202">
        <v>100918690</v>
      </c>
      <c r="AM18" s="203">
        <v>30143</v>
      </c>
      <c r="AN18" s="91" t="s">
        <v>99</v>
      </c>
      <c r="AO18" s="202" t="s">
        <v>224</v>
      </c>
      <c r="AP18" s="91" t="s">
        <v>101</v>
      </c>
      <c r="AQ18" s="91" t="s">
        <v>102</v>
      </c>
      <c r="AR18" s="91" t="s">
        <v>103</v>
      </c>
      <c r="AS18" s="202" t="s">
        <v>386</v>
      </c>
    </row>
    <row r="19" s="5" customFormat="1" ht="25" customHeight="1" spans="1:45">
      <c r="A19" s="17">
        <v>11</v>
      </c>
      <c r="B19" s="20" t="s">
        <v>387</v>
      </c>
      <c r="C19" s="20" t="s">
        <v>388</v>
      </c>
      <c r="D19" s="20" t="s">
        <v>389</v>
      </c>
      <c r="E19" s="21">
        <v>44713</v>
      </c>
      <c r="F19" s="19" t="s">
        <v>96</v>
      </c>
      <c r="G19" s="75" t="s">
        <v>348</v>
      </c>
      <c r="H19" s="19" t="s">
        <v>229</v>
      </c>
      <c r="I19" s="19">
        <v>19.5</v>
      </c>
      <c r="J19" s="19">
        <f t="shared" ref="J19:J33" si="9">26-I19</f>
        <v>6.5</v>
      </c>
      <c r="K19" s="19">
        <v>200</v>
      </c>
      <c r="L19" s="36">
        <f t="shared" ref="L19:L28" si="10">K19/26*I19</f>
        <v>150</v>
      </c>
      <c r="M19" s="36">
        <f t="shared" ref="M19:M33" si="11">K19/26*J19</f>
        <v>50</v>
      </c>
      <c r="N19" s="19">
        <v>0</v>
      </c>
      <c r="O19" s="19">
        <f t="shared" si="6"/>
        <v>0</v>
      </c>
      <c r="P19" s="19">
        <v>0</v>
      </c>
      <c r="Q19" s="19">
        <f t="shared" si="7"/>
        <v>0</v>
      </c>
      <c r="R19" s="19">
        <v>0</v>
      </c>
      <c r="S19" s="36">
        <f t="shared" ref="S19:S31" si="12">10/26*I19</f>
        <v>7.5</v>
      </c>
      <c r="T19" s="19">
        <v>0</v>
      </c>
      <c r="U19" s="19">
        <v>0</v>
      </c>
      <c r="V19" s="19">
        <v>10</v>
      </c>
      <c r="W19" s="19">
        <v>0</v>
      </c>
      <c r="X19" s="19">
        <v>8</v>
      </c>
      <c r="Y19" s="19">
        <v>0</v>
      </c>
      <c r="Z19" s="19">
        <v>0</v>
      </c>
      <c r="AA19" s="19">
        <v>0</v>
      </c>
      <c r="AB19" s="36">
        <f t="shared" ref="AB19:AB33" si="13">SUM(L19+O19+Q19+R19+S19+T19+U19+V19+X19+Y19+Z19+AA19+W19)</f>
        <v>175.5</v>
      </c>
      <c r="AC19" s="19">
        <f>VLOOKUP(B19,[2]Sheet1!$B$2:$M$199,11,0)/4000</f>
        <v>5.359</v>
      </c>
      <c r="AD19" s="19">
        <v>0</v>
      </c>
      <c r="AE19" s="19">
        <f>VLOOKUP(B19,'[1]A02'!$E$7:$L$29,7,0)</f>
        <v>50</v>
      </c>
      <c r="AF19" s="19">
        <f t="shared" si="8"/>
        <v>55.359</v>
      </c>
      <c r="AG19" s="36">
        <f t="shared" ref="AG19:AG33" si="14">AB19-AF19</f>
        <v>120.141</v>
      </c>
      <c r="AH19" s="19">
        <v>150</v>
      </c>
      <c r="AI19" s="60">
        <v>44400</v>
      </c>
      <c r="AJ19" s="61"/>
      <c r="AK19" s="34"/>
      <c r="AL19" s="72">
        <v>101169924</v>
      </c>
      <c r="AM19" s="73">
        <v>31851</v>
      </c>
      <c r="AN19" s="74" t="s">
        <v>99</v>
      </c>
      <c r="AO19" s="72">
        <v>2</v>
      </c>
      <c r="AP19" s="74" t="s">
        <v>101</v>
      </c>
      <c r="AQ19" s="74" t="s">
        <v>102</v>
      </c>
      <c r="AR19" s="74" t="s">
        <v>103</v>
      </c>
      <c r="AS19" s="72" t="s">
        <v>390</v>
      </c>
    </row>
    <row r="20" s="5" customFormat="1" ht="25" customHeight="1" spans="1:45">
      <c r="A20" s="17">
        <v>12</v>
      </c>
      <c r="B20" s="20" t="s">
        <v>391</v>
      </c>
      <c r="C20" s="20" t="s">
        <v>392</v>
      </c>
      <c r="D20" s="20" t="s">
        <v>393</v>
      </c>
      <c r="E20" s="21">
        <v>44711</v>
      </c>
      <c r="F20" s="19" t="s">
        <v>96</v>
      </c>
      <c r="G20" s="75" t="s">
        <v>348</v>
      </c>
      <c r="H20" s="19" t="s">
        <v>229</v>
      </c>
      <c r="I20" s="19">
        <v>17.5</v>
      </c>
      <c r="J20" s="19">
        <f t="shared" si="9"/>
        <v>8.5</v>
      </c>
      <c r="K20" s="19">
        <v>200</v>
      </c>
      <c r="L20" s="36">
        <f t="shared" si="10"/>
        <v>134.615384615385</v>
      </c>
      <c r="M20" s="36">
        <f t="shared" si="11"/>
        <v>65.3846153846154</v>
      </c>
      <c r="N20" s="19">
        <v>0</v>
      </c>
      <c r="O20" s="19">
        <f t="shared" ref="O20:O33" si="15">K20/26/8*1.5*N20</f>
        <v>0</v>
      </c>
      <c r="P20" s="19">
        <v>0</v>
      </c>
      <c r="Q20" s="19">
        <f t="shared" ref="Q20:Q33" si="16">K20/26*2*P20</f>
        <v>0</v>
      </c>
      <c r="R20" s="19">
        <v>0</v>
      </c>
      <c r="S20" s="36">
        <f t="shared" si="12"/>
        <v>6.73076923076923</v>
      </c>
      <c r="T20" s="19">
        <v>0</v>
      </c>
      <c r="U20" s="19">
        <v>0</v>
      </c>
      <c r="V20" s="19">
        <v>10</v>
      </c>
      <c r="W20" s="19">
        <v>0</v>
      </c>
      <c r="X20" s="19">
        <v>8</v>
      </c>
      <c r="Y20" s="19">
        <v>0</v>
      </c>
      <c r="Z20" s="19">
        <v>0</v>
      </c>
      <c r="AA20" s="19">
        <v>0</v>
      </c>
      <c r="AB20" s="36">
        <f t="shared" si="13"/>
        <v>159.346153846154</v>
      </c>
      <c r="AC20" s="19">
        <f>VLOOKUP(B20,[2]Sheet1!$B$2:$M$199,11,0)/4000</f>
        <v>5.20825</v>
      </c>
      <c r="AD20" s="19">
        <v>0</v>
      </c>
      <c r="AE20" s="19">
        <f>VLOOKUP(B20,'[1]A02'!$E$7:$L$29,7,0)</f>
        <v>50</v>
      </c>
      <c r="AF20" s="19">
        <f t="shared" ref="AF20:AF33" si="17">SUM(AC20:AE20)</f>
        <v>55.20825</v>
      </c>
      <c r="AG20" s="36">
        <f t="shared" si="14"/>
        <v>104.137903846154</v>
      </c>
      <c r="AH20" s="19">
        <v>120</v>
      </c>
      <c r="AI20" s="60">
        <v>54900</v>
      </c>
      <c r="AJ20" s="61"/>
      <c r="AK20" s="34"/>
      <c r="AL20" s="72">
        <v>100678193</v>
      </c>
      <c r="AM20" s="73">
        <v>35252</v>
      </c>
      <c r="AN20" s="74" t="s">
        <v>99</v>
      </c>
      <c r="AO20" s="72">
        <v>1</v>
      </c>
      <c r="AP20" s="74" t="s">
        <v>101</v>
      </c>
      <c r="AQ20" s="74" t="s">
        <v>102</v>
      </c>
      <c r="AR20" s="74" t="s">
        <v>103</v>
      </c>
      <c r="AS20" s="72" t="s">
        <v>394</v>
      </c>
    </row>
    <row r="21" s="5" customFormat="1" ht="25" customHeight="1" spans="1:45">
      <c r="A21" s="17">
        <v>13</v>
      </c>
      <c r="B21" s="20" t="s">
        <v>395</v>
      </c>
      <c r="C21" s="20" t="s">
        <v>396</v>
      </c>
      <c r="D21" s="20" t="s">
        <v>397</v>
      </c>
      <c r="E21" s="21">
        <v>44711</v>
      </c>
      <c r="F21" s="19" t="s">
        <v>108</v>
      </c>
      <c r="G21" s="75" t="s">
        <v>348</v>
      </c>
      <c r="H21" s="19" t="s">
        <v>229</v>
      </c>
      <c r="I21" s="19">
        <v>19.5</v>
      </c>
      <c r="J21" s="19">
        <f t="shared" si="9"/>
        <v>6.5</v>
      </c>
      <c r="K21" s="19">
        <v>200</v>
      </c>
      <c r="L21" s="36">
        <f t="shared" si="10"/>
        <v>150</v>
      </c>
      <c r="M21" s="36">
        <f t="shared" si="11"/>
        <v>50</v>
      </c>
      <c r="N21" s="19">
        <v>0</v>
      </c>
      <c r="O21" s="19">
        <f t="shared" si="15"/>
        <v>0</v>
      </c>
      <c r="P21" s="19">
        <v>0</v>
      </c>
      <c r="Q21" s="19">
        <f t="shared" si="16"/>
        <v>0</v>
      </c>
      <c r="R21" s="19">
        <v>0</v>
      </c>
      <c r="S21" s="36">
        <f t="shared" si="12"/>
        <v>7.5</v>
      </c>
      <c r="T21" s="19">
        <v>0</v>
      </c>
      <c r="U21" s="19">
        <v>0</v>
      </c>
      <c r="V21" s="19">
        <v>10</v>
      </c>
      <c r="W21" s="19">
        <v>0</v>
      </c>
      <c r="X21" s="19">
        <v>8</v>
      </c>
      <c r="Y21" s="19">
        <v>0</v>
      </c>
      <c r="Z21" s="19">
        <v>0</v>
      </c>
      <c r="AA21" s="19">
        <v>0</v>
      </c>
      <c r="AB21" s="36">
        <f t="shared" si="13"/>
        <v>175.5</v>
      </c>
      <c r="AC21" s="19">
        <f>VLOOKUP(B21,[2]Sheet1!$B$2:$M$199,11,0)/4000</f>
        <v>4.99925</v>
      </c>
      <c r="AD21" s="19">
        <v>0</v>
      </c>
      <c r="AE21" s="19">
        <f>VLOOKUP(B21,'[1]A02'!$E$7:$L$29,7,0)</f>
        <v>50</v>
      </c>
      <c r="AF21" s="19">
        <f t="shared" si="17"/>
        <v>54.99925</v>
      </c>
      <c r="AG21" s="36">
        <f t="shared" si="14"/>
        <v>120.50075</v>
      </c>
      <c r="AH21" s="19">
        <v>100</v>
      </c>
      <c r="AI21" s="60">
        <v>42000</v>
      </c>
      <c r="AJ21" s="61"/>
      <c r="AK21" s="34"/>
      <c r="AL21" s="72">
        <v>150885357</v>
      </c>
      <c r="AM21" s="73">
        <v>30355</v>
      </c>
      <c r="AN21" s="74" t="s">
        <v>99</v>
      </c>
      <c r="AO21" s="72">
        <v>2</v>
      </c>
      <c r="AP21" s="74" t="s">
        <v>101</v>
      </c>
      <c r="AQ21" s="74" t="s">
        <v>102</v>
      </c>
      <c r="AR21" s="74" t="s">
        <v>103</v>
      </c>
      <c r="AS21" s="72" t="s">
        <v>398</v>
      </c>
    </row>
    <row r="22" s="5" customFormat="1" ht="25" customHeight="1" spans="1:45">
      <c r="A22" s="17">
        <v>14</v>
      </c>
      <c r="B22" s="20" t="s">
        <v>399</v>
      </c>
      <c r="C22" s="20" t="s">
        <v>400</v>
      </c>
      <c r="D22" s="20" t="s">
        <v>401</v>
      </c>
      <c r="E22" s="21">
        <v>44713</v>
      </c>
      <c r="F22" s="19" t="s">
        <v>108</v>
      </c>
      <c r="G22" s="75" t="s">
        <v>348</v>
      </c>
      <c r="H22" s="19" t="s">
        <v>229</v>
      </c>
      <c r="I22" s="19">
        <v>19.5</v>
      </c>
      <c r="J22" s="19">
        <f t="shared" si="9"/>
        <v>6.5</v>
      </c>
      <c r="K22" s="19">
        <v>200</v>
      </c>
      <c r="L22" s="36">
        <f t="shared" si="10"/>
        <v>150</v>
      </c>
      <c r="M22" s="36">
        <f t="shared" si="11"/>
        <v>50</v>
      </c>
      <c r="N22" s="19">
        <v>2</v>
      </c>
      <c r="O22" s="19">
        <f t="shared" si="15"/>
        <v>2.88461538461538</v>
      </c>
      <c r="P22" s="19">
        <v>0</v>
      </c>
      <c r="Q22" s="19">
        <f t="shared" si="16"/>
        <v>0</v>
      </c>
      <c r="R22" s="19">
        <v>0</v>
      </c>
      <c r="S22" s="36">
        <f t="shared" si="12"/>
        <v>7.5</v>
      </c>
      <c r="T22" s="19">
        <v>0</v>
      </c>
      <c r="U22" s="19">
        <v>0</v>
      </c>
      <c r="V22" s="19">
        <v>10</v>
      </c>
      <c r="W22" s="19">
        <v>0.5</v>
      </c>
      <c r="X22" s="19">
        <v>8</v>
      </c>
      <c r="Y22" s="19">
        <v>0</v>
      </c>
      <c r="Z22" s="19">
        <v>0</v>
      </c>
      <c r="AA22" s="19">
        <v>0</v>
      </c>
      <c r="AB22" s="36">
        <f t="shared" si="13"/>
        <v>178.884615384615</v>
      </c>
      <c r="AC22" s="19">
        <f>VLOOKUP(B22,[2]Sheet1!$B$2:$M$199,11,0)/4000</f>
        <v>5.31525</v>
      </c>
      <c r="AD22" s="19">
        <v>0</v>
      </c>
      <c r="AE22" s="19">
        <f>VLOOKUP(B22,'[1]A02'!$E$7:$L$29,7,0)</f>
        <v>50</v>
      </c>
      <c r="AF22" s="19">
        <f t="shared" si="17"/>
        <v>55.31525</v>
      </c>
      <c r="AG22" s="36">
        <f t="shared" si="14"/>
        <v>123.569365384615</v>
      </c>
      <c r="AH22" s="19">
        <v>150</v>
      </c>
      <c r="AI22" s="60">
        <v>31200</v>
      </c>
      <c r="AJ22" s="61"/>
      <c r="AK22" s="34"/>
      <c r="AL22" s="72">
        <v>100621971</v>
      </c>
      <c r="AM22" s="73">
        <v>33044</v>
      </c>
      <c r="AN22" s="74" t="s">
        <v>99</v>
      </c>
      <c r="AO22" s="72">
        <v>2</v>
      </c>
      <c r="AP22" s="74" t="s">
        <v>101</v>
      </c>
      <c r="AQ22" s="74" t="s">
        <v>102</v>
      </c>
      <c r="AR22" s="74" t="s">
        <v>103</v>
      </c>
      <c r="AS22" s="72"/>
    </row>
    <row r="23" s="5" customFormat="1" ht="25" customHeight="1" spans="1:45">
      <c r="A23" s="17">
        <v>15</v>
      </c>
      <c r="B23" s="20" t="s">
        <v>402</v>
      </c>
      <c r="C23" s="20" t="s">
        <v>403</v>
      </c>
      <c r="D23" s="20" t="s">
        <v>404</v>
      </c>
      <c r="E23" s="21">
        <v>44711</v>
      </c>
      <c r="F23" s="19" t="s">
        <v>96</v>
      </c>
      <c r="G23" s="75" t="s">
        <v>348</v>
      </c>
      <c r="H23" s="19" t="s">
        <v>229</v>
      </c>
      <c r="I23" s="19">
        <v>23</v>
      </c>
      <c r="J23" s="19">
        <f t="shared" si="9"/>
        <v>3</v>
      </c>
      <c r="K23" s="19">
        <v>200</v>
      </c>
      <c r="L23" s="36">
        <f t="shared" si="10"/>
        <v>176.923076923077</v>
      </c>
      <c r="M23" s="36">
        <f t="shared" si="11"/>
        <v>23.0769230769231</v>
      </c>
      <c r="N23" s="19">
        <v>4</v>
      </c>
      <c r="O23" s="19">
        <f t="shared" si="15"/>
        <v>5.76923076923077</v>
      </c>
      <c r="P23" s="19">
        <v>0</v>
      </c>
      <c r="Q23" s="19">
        <f t="shared" si="16"/>
        <v>0</v>
      </c>
      <c r="R23" s="19">
        <v>0</v>
      </c>
      <c r="S23" s="36">
        <f t="shared" si="12"/>
        <v>8.84615384615385</v>
      </c>
      <c r="T23" s="19">
        <v>0</v>
      </c>
      <c r="U23" s="19">
        <v>0</v>
      </c>
      <c r="V23" s="19">
        <v>10</v>
      </c>
      <c r="W23" s="19">
        <v>1</v>
      </c>
      <c r="X23" s="19">
        <v>8</v>
      </c>
      <c r="Y23" s="19">
        <v>0</v>
      </c>
      <c r="Z23" s="19">
        <v>0</v>
      </c>
      <c r="AA23" s="19">
        <v>0</v>
      </c>
      <c r="AB23" s="36">
        <f t="shared" si="13"/>
        <v>210.538461538462</v>
      </c>
      <c r="AC23" s="19">
        <f>VLOOKUP(B23,[2]Sheet1!$B$2:$M$199,11,0)/4000</f>
        <v>6</v>
      </c>
      <c r="AD23" s="19">
        <v>0</v>
      </c>
      <c r="AE23" s="19">
        <f>VLOOKUP(B23,'[1]A02'!$E$7:$L$29,7,0)</f>
        <v>100</v>
      </c>
      <c r="AF23" s="19">
        <f t="shared" si="17"/>
        <v>106</v>
      </c>
      <c r="AG23" s="36">
        <f t="shared" si="14"/>
        <v>104.538461538462</v>
      </c>
      <c r="AH23" s="19">
        <v>150</v>
      </c>
      <c r="AI23" s="60">
        <v>28400</v>
      </c>
      <c r="AJ23" s="61"/>
      <c r="AK23" s="34"/>
      <c r="AL23" s="72">
        <v>101455884</v>
      </c>
      <c r="AM23" s="73">
        <v>34018</v>
      </c>
      <c r="AN23" s="74" t="s">
        <v>99</v>
      </c>
      <c r="AO23" s="74">
        <v>2</v>
      </c>
      <c r="AP23" s="74" t="s">
        <v>101</v>
      </c>
      <c r="AQ23" s="74" t="s">
        <v>102</v>
      </c>
      <c r="AR23" s="74" t="s">
        <v>103</v>
      </c>
      <c r="AS23" s="72" t="s">
        <v>405</v>
      </c>
    </row>
    <row r="24" s="5" customFormat="1" ht="25" customHeight="1" spans="1:45">
      <c r="A24" s="17">
        <v>16</v>
      </c>
      <c r="B24" s="20" t="s">
        <v>406</v>
      </c>
      <c r="C24" s="20" t="s">
        <v>407</v>
      </c>
      <c r="D24" s="20" t="s">
        <v>408</v>
      </c>
      <c r="E24" s="21">
        <v>44713</v>
      </c>
      <c r="F24" s="19" t="s">
        <v>96</v>
      </c>
      <c r="G24" s="75" t="s">
        <v>348</v>
      </c>
      <c r="H24" s="19" t="s">
        <v>229</v>
      </c>
      <c r="I24" s="19">
        <v>23</v>
      </c>
      <c r="J24" s="19">
        <f t="shared" si="9"/>
        <v>3</v>
      </c>
      <c r="K24" s="19">
        <v>200</v>
      </c>
      <c r="L24" s="36">
        <f t="shared" si="10"/>
        <v>176.923076923077</v>
      </c>
      <c r="M24" s="36">
        <f t="shared" si="11"/>
        <v>23.0769230769231</v>
      </c>
      <c r="N24" s="19">
        <v>14</v>
      </c>
      <c r="O24" s="19">
        <f t="shared" si="15"/>
        <v>20.1923076923077</v>
      </c>
      <c r="P24" s="19">
        <v>0</v>
      </c>
      <c r="Q24" s="19">
        <f t="shared" si="16"/>
        <v>0</v>
      </c>
      <c r="R24" s="19">
        <v>0</v>
      </c>
      <c r="S24" s="36">
        <f t="shared" si="12"/>
        <v>8.84615384615385</v>
      </c>
      <c r="T24" s="19">
        <v>0</v>
      </c>
      <c r="U24" s="19">
        <v>0</v>
      </c>
      <c r="V24" s="19">
        <v>10</v>
      </c>
      <c r="W24" s="19">
        <v>3.5</v>
      </c>
      <c r="X24" s="19">
        <v>8</v>
      </c>
      <c r="Y24" s="19">
        <v>0</v>
      </c>
      <c r="Z24" s="19">
        <v>0</v>
      </c>
      <c r="AA24" s="19">
        <v>0</v>
      </c>
      <c r="AB24" s="36">
        <f t="shared" si="13"/>
        <v>227.461538461539</v>
      </c>
      <c r="AC24" s="19">
        <f>VLOOKUP(B24,[2]Sheet1!$B$2:$M$199,11,0)/4000</f>
        <v>6</v>
      </c>
      <c r="AD24" s="19">
        <v>0</v>
      </c>
      <c r="AE24" s="19">
        <f>VLOOKUP(B24,'[1]A02'!$E$7:$L$29,7,0)</f>
        <v>100</v>
      </c>
      <c r="AF24" s="19">
        <f t="shared" si="17"/>
        <v>106</v>
      </c>
      <c r="AG24" s="36">
        <f t="shared" si="14"/>
        <v>121.461538461539</v>
      </c>
      <c r="AH24" s="19">
        <v>150</v>
      </c>
      <c r="AI24" s="60">
        <v>64500</v>
      </c>
      <c r="AJ24" s="61"/>
      <c r="AK24" s="34"/>
      <c r="AL24" s="72">
        <v>101122686</v>
      </c>
      <c r="AM24" s="73">
        <v>33642</v>
      </c>
      <c r="AN24" s="74" t="s">
        <v>99</v>
      </c>
      <c r="AO24" s="74">
        <v>2</v>
      </c>
      <c r="AP24" s="74" t="s">
        <v>101</v>
      </c>
      <c r="AQ24" s="74" t="s">
        <v>102</v>
      </c>
      <c r="AR24" s="74" t="s">
        <v>103</v>
      </c>
      <c r="AS24" s="72" t="s">
        <v>409</v>
      </c>
    </row>
    <row r="25" s="5" customFormat="1" ht="25" customHeight="1" spans="1:45">
      <c r="A25" s="17">
        <v>17</v>
      </c>
      <c r="B25" s="20" t="s">
        <v>410</v>
      </c>
      <c r="C25" s="20" t="s">
        <v>411</v>
      </c>
      <c r="D25" s="20" t="s">
        <v>412</v>
      </c>
      <c r="E25" s="21">
        <v>44749</v>
      </c>
      <c r="F25" s="19" t="s">
        <v>96</v>
      </c>
      <c r="G25" s="75" t="s">
        <v>348</v>
      </c>
      <c r="H25" s="19" t="s">
        <v>229</v>
      </c>
      <c r="I25" s="19">
        <v>19.5</v>
      </c>
      <c r="J25" s="19">
        <f t="shared" si="9"/>
        <v>6.5</v>
      </c>
      <c r="K25" s="19">
        <v>200</v>
      </c>
      <c r="L25" s="36">
        <f t="shared" si="10"/>
        <v>150</v>
      </c>
      <c r="M25" s="36">
        <f t="shared" si="11"/>
        <v>50</v>
      </c>
      <c r="N25" s="19">
        <v>4</v>
      </c>
      <c r="O25" s="19">
        <f t="shared" si="15"/>
        <v>5.76923076923077</v>
      </c>
      <c r="P25" s="19">
        <v>0</v>
      </c>
      <c r="Q25" s="19">
        <f t="shared" si="16"/>
        <v>0</v>
      </c>
      <c r="R25" s="19">
        <v>0</v>
      </c>
      <c r="S25" s="36">
        <f t="shared" si="12"/>
        <v>7.5</v>
      </c>
      <c r="T25" s="19">
        <v>0</v>
      </c>
      <c r="U25" s="19">
        <v>0</v>
      </c>
      <c r="V25" s="19">
        <v>10</v>
      </c>
      <c r="W25" s="19">
        <v>1</v>
      </c>
      <c r="X25" s="19">
        <v>8</v>
      </c>
      <c r="Y25" s="19">
        <v>0</v>
      </c>
      <c r="Z25" s="19">
        <f>VLOOKUP(B25,'[3]Annual Leave '!$B$7:$Q$98,13,0)</f>
        <v>31.75</v>
      </c>
      <c r="AA25" s="19">
        <f>VLOOKUP(B25,'[3]Annual Leave '!$B$7:$Q$98,15,0)</f>
        <v>20.3541050295858</v>
      </c>
      <c r="AB25" s="36">
        <f t="shared" si="13"/>
        <v>234.373335798817</v>
      </c>
      <c r="AC25" s="19">
        <f>VLOOKUP(B25,[2]Sheet1!$B$2:$M$199,11,0)/4000</f>
        <v>4.287</v>
      </c>
      <c r="AD25" s="19">
        <v>0</v>
      </c>
      <c r="AE25" s="19">
        <f>VLOOKUP(B25,'[1]A02'!$E$7:$L$29,7,0)</f>
        <v>50</v>
      </c>
      <c r="AF25" s="19">
        <f t="shared" si="17"/>
        <v>54.287</v>
      </c>
      <c r="AG25" s="36">
        <f t="shared" si="14"/>
        <v>180.086335798817</v>
      </c>
      <c r="AH25" s="19">
        <v>150</v>
      </c>
      <c r="AI25" s="60">
        <v>36400</v>
      </c>
      <c r="AJ25" s="61"/>
      <c r="AK25" s="34"/>
      <c r="AL25" s="72">
        <v>101356841</v>
      </c>
      <c r="AM25" s="73">
        <v>37565</v>
      </c>
      <c r="AN25" s="74" t="s">
        <v>141</v>
      </c>
      <c r="AO25" s="72" t="s">
        <v>224</v>
      </c>
      <c r="AP25" s="74" t="s">
        <v>101</v>
      </c>
      <c r="AQ25" s="74" t="s">
        <v>102</v>
      </c>
      <c r="AR25" s="74" t="s">
        <v>103</v>
      </c>
      <c r="AS25" s="72" t="s">
        <v>413</v>
      </c>
    </row>
    <row r="26" s="5" customFormat="1" ht="25" customHeight="1" spans="1:45">
      <c r="A26" s="17">
        <v>18</v>
      </c>
      <c r="B26" s="20" t="s">
        <v>414</v>
      </c>
      <c r="C26" s="20" t="s">
        <v>415</v>
      </c>
      <c r="D26" s="20" t="s">
        <v>416</v>
      </c>
      <c r="E26" s="21">
        <v>44760</v>
      </c>
      <c r="F26" s="19" t="s">
        <v>96</v>
      </c>
      <c r="G26" s="75" t="s">
        <v>348</v>
      </c>
      <c r="H26" s="19" t="s">
        <v>229</v>
      </c>
      <c r="I26" s="19">
        <v>22.5</v>
      </c>
      <c r="J26" s="19">
        <f t="shared" si="9"/>
        <v>3.5</v>
      </c>
      <c r="K26" s="19">
        <v>200</v>
      </c>
      <c r="L26" s="36">
        <f t="shared" si="10"/>
        <v>173.076923076923</v>
      </c>
      <c r="M26" s="36">
        <f t="shared" si="11"/>
        <v>26.9230769230769</v>
      </c>
      <c r="N26" s="19">
        <v>4</v>
      </c>
      <c r="O26" s="19">
        <f t="shared" si="15"/>
        <v>5.76923076923077</v>
      </c>
      <c r="P26" s="19">
        <v>0</v>
      </c>
      <c r="Q26" s="19">
        <f t="shared" si="16"/>
        <v>0</v>
      </c>
      <c r="R26" s="19">
        <v>0</v>
      </c>
      <c r="S26" s="36">
        <f t="shared" si="12"/>
        <v>8.65384615384616</v>
      </c>
      <c r="T26" s="19">
        <v>0</v>
      </c>
      <c r="U26" s="19">
        <v>0</v>
      </c>
      <c r="V26" s="19">
        <v>10</v>
      </c>
      <c r="W26" s="19">
        <v>1</v>
      </c>
      <c r="X26" s="19">
        <v>8</v>
      </c>
      <c r="Y26" s="19">
        <v>0</v>
      </c>
      <c r="Z26" s="19">
        <v>0</v>
      </c>
      <c r="AA26" s="19">
        <v>0</v>
      </c>
      <c r="AB26" s="36">
        <f t="shared" si="13"/>
        <v>206.5</v>
      </c>
      <c r="AC26" s="19">
        <f>VLOOKUP(B26,[2]Sheet1!$B$2:$M$199,11,0)/4000</f>
        <v>4.597</v>
      </c>
      <c r="AD26" s="19">
        <v>0</v>
      </c>
      <c r="AE26" s="19">
        <f>VLOOKUP(B26,'[1]A02'!$E$7:$L$29,7,0)</f>
        <v>100</v>
      </c>
      <c r="AF26" s="19">
        <f t="shared" si="17"/>
        <v>104.597</v>
      </c>
      <c r="AG26" s="36">
        <f t="shared" si="14"/>
        <v>101.903</v>
      </c>
      <c r="AH26" s="19">
        <v>150</v>
      </c>
      <c r="AI26" s="60">
        <v>45700</v>
      </c>
      <c r="AJ26" s="61"/>
      <c r="AK26" s="34"/>
      <c r="AL26" s="72" t="s">
        <v>417</v>
      </c>
      <c r="AM26" s="73">
        <v>32439</v>
      </c>
      <c r="AN26" s="74" t="s">
        <v>99</v>
      </c>
      <c r="AO26" s="72" t="s">
        <v>234</v>
      </c>
      <c r="AP26" s="74" t="s">
        <v>101</v>
      </c>
      <c r="AQ26" s="74" t="s">
        <v>102</v>
      </c>
      <c r="AR26" s="74" t="s">
        <v>103</v>
      </c>
      <c r="AS26" s="72" t="s">
        <v>418</v>
      </c>
    </row>
    <row r="27" s="5" customFormat="1" ht="25" customHeight="1" spans="1:45">
      <c r="A27" s="17">
        <v>19</v>
      </c>
      <c r="B27" s="20" t="s">
        <v>419</v>
      </c>
      <c r="C27" s="20" t="s">
        <v>420</v>
      </c>
      <c r="D27" s="20" t="s">
        <v>421</v>
      </c>
      <c r="E27" s="21">
        <v>44760</v>
      </c>
      <c r="F27" s="19" t="s">
        <v>96</v>
      </c>
      <c r="G27" s="75" t="s">
        <v>348</v>
      </c>
      <c r="H27" s="19" t="s">
        <v>229</v>
      </c>
      <c r="I27" s="19">
        <v>19.5</v>
      </c>
      <c r="J27" s="19">
        <f t="shared" si="9"/>
        <v>6.5</v>
      </c>
      <c r="K27" s="19">
        <v>200</v>
      </c>
      <c r="L27" s="36">
        <f t="shared" si="10"/>
        <v>150</v>
      </c>
      <c r="M27" s="36">
        <f t="shared" si="11"/>
        <v>50</v>
      </c>
      <c r="N27" s="19">
        <v>0</v>
      </c>
      <c r="O27" s="19">
        <f t="shared" si="15"/>
        <v>0</v>
      </c>
      <c r="P27" s="19">
        <v>0</v>
      </c>
      <c r="Q27" s="19">
        <f t="shared" si="16"/>
        <v>0</v>
      </c>
      <c r="R27" s="19">
        <v>0</v>
      </c>
      <c r="S27" s="36">
        <f t="shared" si="12"/>
        <v>7.5</v>
      </c>
      <c r="T27" s="19">
        <v>0</v>
      </c>
      <c r="U27" s="19">
        <v>0</v>
      </c>
      <c r="V27" s="19">
        <v>10</v>
      </c>
      <c r="W27" s="19">
        <v>0</v>
      </c>
      <c r="X27" s="19">
        <v>8</v>
      </c>
      <c r="Y27" s="19">
        <v>0</v>
      </c>
      <c r="Z27" s="19">
        <v>0</v>
      </c>
      <c r="AA27" s="19">
        <v>0</v>
      </c>
      <c r="AB27" s="36">
        <f t="shared" si="13"/>
        <v>175.5</v>
      </c>
      <c r="AC27" s="19">
        <f>VLOOKUP(B27,[2]Sheet1!$B$2:$M$199,11,0)/4000</f>
        <v>4.298</v>
      </c>
      <c r="AD27" s="19">
        <v>0</v>
      </c>
      <c r="AE27" s="19">
        <f>VLOOKUP(B27,'[1]A02'!$E$7:$L$29,7,0)</f>
        <v>50</v>
      </c>
      <c r="AF27" s="19">
        <f t="shared" si="17"/>
        <v>54.298</v>
      </c>
      <c r="AG27" s="36">
        <f t="shared" si="14"/>
        <v>121.202</v>
      </c>
      <c r="AH27" s="19">
        <v>150</v>
      </c>
      <c r="AI27" s="60">
        <v>71800</v>
      </c>
      <c r="AJ27" s="61"/>
      <c r="AK27" s="34"/>
      <c r="AL27" s="72" t="s">
        <v>422</v>
      </c>
      <c r="AM27" s="73">
        <v>31423</v>
      </c>
      <c r="AN27" s="74" t="s">
        <v>99</v>
      </c>
      <c r="AO27" s="72">
        <v>1</v>
      </c>
      <c r="AP27" s="74" t="s">
        <v>101</v>
      </c>
      <c r="AQ27" s="74" t="s">
        <v>102</v>
      </c>
      <c r="AR27" s="74" t="s">
        <v>103</v>
      </c>
      <c r="AS27" s="72" t="s">
        <v>423</v>
      </c>
    </row>
    <row r="28" s="5" customFormat="1" ht="25" customHeight="1" spans="1:45">
      <c r="A28" s="17">
        <v>20</v>
      </c>
      <c r="B28" s="20" t="s">
        <v>424</v>
      </c>
      <c r="C28" s="20" t="s">
        <v>425</v>
      </c>
      <c r="D28" s="20" t="s">
        <v>426</v>
      </c>
      <c r="E28" s="21">
        <v>44886</v>
      </c>
      <c r="F28" s="19" t="s">
        <v>96</v>
      </c>
      <c r="G28" s="75" t="s">
        <v>348</v>
      </c>
      <c r="H28" s="19" t="s">
        <v>229</v>
      </c>
      <c r="I28" s="19">
        <v>17.5</v>
      </c>
      <c r="J28" s="19">
        <f t="shared" si="9"/>
        <v>8.5</v>
      </c>
      <c r="K28" s="19">
        <v>200</v>
      </c>
      <c r="L28" s="36">
        <f t="shared" si="10"/>
        <v>134.615384615385</v>
      </c>
      <c r="M28" s="84">
        <f t="shared" si="11"/>
        <v>65.3846153846154</v>
      </c>
      <c r="N28" s="19">
        <v>0</v>
      </c>
      <c r="O28" s="19">
        <f t="shared" si="15"/>
        <v>0</v>
      </c>
      <c r="P28" s="19">
        <v>0</v>
      </c>
      <c r="Q28" s="19">
        <f t="shared" si="16"/>
        <v>0</v>
      </c>
      <c r="R28" s="19">
        <v>0</v>
      </c>
      <c r="S28" s="36">
        <f t="shared" si="12"/>
        <v>6.73076923076923</v>
      </c>
      <c r="T28" s="19">
        <v>0</v>
      </c>
      <c r="U28" s="19">
        <v>0</v>
      </c>
      <c r="V28" s="19">
        <v>10</v>
      </c>
      <c r="W28" s="19">
        <v>0</v>
      </c>
      <c r="X28" s="19">
        <v>8</v>
      </c>
      <c r="Y28" s="19">
        <v>0</v>
      </c>
      <c r="Z28" s="19">
        <v>0</v>
      </c>
      <c r="AA28" s="19">
        <v>0</v>
      </c>
      <c r="AB28" s="36">
        <f t="shared" si="13"/>
        <v>159.346153846154</v>
      </c>
      <c r="AC28" s="19">
        <f>VLOOKUP(B28,[2]Sheet1!$B$2:$M$199,11,0)/4000</f>
        <v>4.20875</v>
      </c>
      <c r="AD28" s="19">
        <v>0</v>
      </c>
      <c r="AE28" s="19">
        <f>VLOOKUP(B28,'[1]A02'!$E$7:$L$29,7,0)</f>
        <v>50</v>
      </c>
      <c r="AF28" s="19">
        <f t="shared" si="17"/>
        <v>54.20875</v>
      </c>
      <c r="AG28" s="36">
        <f t="shared" si="14"/>
        <v>105.137403846154</v>
      </c>
      <c r="AH28" s="19">
        <v>150</v>
      </c>
      <c r="AI28" s="60">
        <v>71800</v>
      </c>
      <c r="AJ28" s="61"/>
      <c r="AK28" s="34"/>
      <c r="AL28" s="72">
        <v>100917839</v>
      </c>
      <c r="AM28" s="73">
        <v>33696</v>
      </c>
      <c r="AN28" s="74" t="s">
        <v>99</v>
      </c>
      <c r="AO28" s="72">
        <v>1</v>
      </c>
      <c r="AP28" s="74" t="s">
        <v>101</v>
      </c>
      <c r="AQ28" s="74" t="s">
        <v>102</v>
      </c>
      <c r="AR28" s="74" t="s">
        <v>103</v>
      </c>
      <c r="AS28" s="72"/>
    </row>
    <row r="29" s="5" customFormat="1" ht="25" customHeight="1" spans="1:45">
      <c r="A29" s="17">
        <v>21</v>
      </c>
      <c r="B29" s="20" t="s">
        <v>427</v>
      </c>
      <c r="C29" s="20" t="s">
        <v>428</v>
      </c>
      <c r="D29" s="20" t="s">
        <v>429</v>
      </c>
      <c r="E29" s="21">
        <v>44886</v>
      </c>
      <c r="F29" s="19" t="s">
        <v>96</v>
      </c>
      <c r="G29" s="75" t="s">
        <v>348</v>
      </c>
      <c r="H29" s="19" t="s">
        <v>229</v>
      </c>
      <c r="I29" s="19">
        <v>19.5</v>
      </c>
      <c r="J29" s="19">
        <f t="shared" si="9"/>
        <v>6.5</v>
      </c>
      <c r="K29" s="19">
        <v>200</v>
      </c>
      <c r="L29" s="36">
        <f t="shared" ref="L29:L33" si="18">K29/26*I29</f>
        <v>150</v>
      </c>
      <c r="M29" s="84">
        <f t="shared" si="11"/>
        <v>50</v>
      </c>
      <c r="N29" s="19">
        <v>0</v>
      </c>
      <c r="O29" s="19">
        <f t="shared" si="15"/>
        <v>0</v>
      </c>
      <c r="P29" s="19">
        <v>0</v>
      </c>
      <c r="Q29" s="19">
        <f t="shared" si="16"/>
        <v>0</v>
      </c>
      <c r="R29" s="19">
        <v>0</v>
      </c>
      <c r="S29" s="36">
        <f t="shared" si="12"/>
        <v>7.5</v>
      </c>
      <c r="T29" s="19">
        <v>0</v>
      </c>
      <c r="U29" s="19">
        <v>0</v>
      </c>
      <c r="V29" s="19">
        <v>10</v>
      </c>
      <c r="W29" s="19">
        <v>0</v>
      </c>
      <c r="X29" s="19">
        <v>8</v>
      </c>
      <c r="Y29" s="19">
        <v>0</v>
      </c>
      <c r="Z29" s="19">
        <v>0</v>
      </c>
      <c r="AA29" s="19">
        <v>0</v>
      </c>
      <c r="AB29" s="36">
        <f t="shared" si="13"/>
        <v>175.5</v>
      </c>
      <c r="AC29" s="19">
        <f>VLOOKUP(B29,[2]Sheet1!$B$2:$M$199,11,0)/4000</f>
        <v>4.24875</v>
      </c>
      <c r="AD29" s="19">
        <v>0</v>
      </c>
      <c r="AE29" s="19">
        <f>VLOOKUP(B29,'[1]A02'!$E$7:$L$29,7,0)</f>
        <v>50</v>
      </c>
      <c r="AF29" s="19">
        <f t="shared" si="17"/>
        <v>54.24875</v>
      </c>
      <c r="AG29" s="36">
        <f t="shared" si="14"/>
        <v>121.25125</v>
      </c>
      <c r="AH29" s="19">
        <v>150</v>
      </c>
      <c r="AI29" s="60">
        <v>36400</v>
      </c>
      <c r="AJ29" s="61"/>
      <c r="AK29" s="34"/>
      <c r="AL29" s="238" t="s">
        <v>430</v>
      </c>
      <c r="AM29" s="73">
        <v>33688</v>
      </c>
      <c r="AN29" s="74" t="s">
        <v>99</v>
      </c>
      <c r="AO29" s="72">
        <v>2</v>
      </c>
      <c r="AP29" s="74" t="s">
        <v>101</v>
      </c>
      <c r="AQ29" s="74" t="s">
        <v>102</v>
      </c>
      <c r="AR29" s="74" t="s">
        <v>103</v>
      </c>
      <c r="AS29" s="72"/>
    </row>
    <row r="30" s="5" customFormat="1" ht="25" customHeight="1" spans="1:45">
      <c r="A30" s="17">
        <v>22</v>
      </c>
      <c r="B30" s="20" t="s">
        <v>431</v>
      </c>
      <c r="C30" s="20" t="s">
        <v>432</v>
      </c>
      <c r="D30" s="20" t="s">
        <v>433</v>
      </c>
      <c r="E30" s="21">
        <v>44886</v>
      </c>
      <c r="F30" s="19" t="s">
        <v>96</v>
      </c>
      <c r="G30" s="75" t="s">
        <v>348</v>
      </c>
      <c r="H30" s="19" t="s">
        <v>229</v>
      </c>
      <c r="I30" s="19">
        <v>23.5</v>
      </c>
      <c r="J30" s="19">
        <f t="shared" si="9"/>
        <v>2.5</v>
      </c>
      <c r="K30" s="19">
        <v>200</v>
      </c>
      <c r="L30" s="36">
        <f t="shared" si="18"/>
        <v>180.769230769231</v>
      </c>
      <c r="M30" s="84">
        <f t="shared" si="11"/>
        <v>19.2307692307692</v>
      </c>
      <c r="N30" s="19">
        <v>4</v>
      </c>
      <c r="O30" s="19">
        <f t="shared" si="15"/>
        <v>5.76923076923077</v>
      </c>
      <c r="P30" s="19">
        <v>0</v>
      </c>
      <c r="Q30" s="19">
        <f t="shared" si="16"/>
        <v>0</v>
      </c>
      <c r="R30" s="19">
        <v>0</v>
      </c>
      <c r="S30" s="36">
        <f t="shared" si="12"/>
        <v>9.03846153846154</v>
      </c>
      <c r="T30" s="19">
        <v>0</v>
      </c>
      <c r="U30" s="19">
        <v>0</v>
      </c>
      <c r="V30" s="19">
        <v>10</v>
      </c>
      <c r="W30" s="19">
        <v>1</v>
      </c>
      <c r="X30" s="19">
        <v>8</v>
      </c>
      <c r="Y30" s="19">
        <v>0</v>
      </c>
      <c r="Z30" s="19">
        <v>0</v>
      </c>
      <c r="AA30" s="19">
        <v>0</v>
      </c>
      <c r="AB30" s="36">
        <f t="shared" si="13"/>
        <v>214.576923076923</v>
      </c>
      <c r="AC30" s="19">
        <f>VLOOKUP(B30,[2]Sheet1!$B$2:$M$199,11,0)/4000</f>
        <v>4.64825</v>
      </c>
      <c r="AD30" s="19">
        <v>0</v>
      </c>
      <c r="AE30" s="19">
        <f>VLOOKUP(B30,'[1]A02'!$E$7:$L$29,7,0)</f>
        <v>100</v>
      </c>
      <c r="AF30" s="19">
        <f t="shared" si="17"/>
        <v>104.64825</v>
      </c>
      <c r="AG30" s="36">
        <f t="shared" si="14"/>
        <v>109.928673076923</v>
      </c>
      <c r="AH30" s="19">
        <v>150</v>
      </c>
      <c r="AI30" s="60">
        <v>45700</v>
      </c>
      <c r="AJ30" s="61"/>
      <c r="AK30" s="34"/>
      <c r="AL30" s="72">
        <v>100878091</v>
      </c>
      <c r="AM30" s="73">
        <v>34375</v>
      </c>
      <c r="AN30" s="74" t="s">
        <v>99</v>
      </c>
      <c r="AO30" s="72">
        <v>0</v>
      </c>
      <c r="AP30" s="74" t="s">
        <v>101</v>
      </c>
      <c r="AQ30" s="74" t="s">
        <v>102</v>
      </c>
      <c r="AR30" s="74" t="s">
        <v>103</v>
      </c>
      <c r="AS30" s="72"/>
    </row>
    <row r="31" s="5" customFormat="1" ht="25" customHeight="1" spans="1:45">
      <c r="A31" s="17">
        <v>23</v>
      </c>
      <c r="B31" s="20" t="s">
        <v>434</v>
      </c>
      <c r="C31" s="20" t="s">
        <v>435</v>
      </c>
      <c r="D31" s="20" t="s">
        <v>436</v>
      </c>
      <c r="E31" s="21">
        <v>44889</v>
      </c>
      <c r="F31" s="19" t="s">
        <v>96</v>
      </c>
      <c r="G31" s="75" t="s">
        <v>348</v>
      </c>
      <c r="H31" s="19" t="s">
        <v>229</v>
      </c>
      <c r="I31" s="19">
        <v>19.5</v>
      </c>
      <c r="J31" s="19">
        <f t="shared" si="9"/>
        <v>6.5</v>
      </c>
      <c r="K31" s="19">
        <v>200</v>
      </c>
      <c r="L31" s="36">
        <f t="shared" si="18"/>
        <v>150</v>
      </c>
      <c r="M31" s="84">
        <f t="shared" si="11"/>
        <v>50</v>
      </c>
      <c r="N31" s="19">
        <v>4</v>
      </c>
      <c r="O31" s="19">
        <f t="shared" si="15"/>
        <v>5.76923076923077</v>
      </c>
      <c r="P31" s="19">
        <v>0</v>
      </c>
      <c r="Q31" s="19">
        <f t="shared" si="16"/>
        <v>0</v>
      </c>
      <c r="R31" s="19">
        <v>0</v>
      </c>
      <c r="S31" s="36">
        <f t="shared" si="12"/>
        <v>7.5</v>
      </c>
      <c r="T31" s="19">
        <v>0</v>
      </c>
      <c r="U31" s="19">
        <v>0</v>
      </c>
      <c r="V31" s="19">
        <v>10</v>
      </c>
      <c r="W31" s="19">
        <v>1</v>
      </c>
      <c r="X31" s="19">
        <v>8</v>
      </c>
      <c r="Y31" s="19">
        <v>0</v>
      </c>
      <c r="Z31" s="19">
        <v>0</v>
      </c>
      <c r="AA31" s="19">
        <v>0</v>
      </c>
      <c r="AB31" s="36">
        <f t="shared" si="13"/>
        <v>182.269230769231</v>
      </c>
      <c r="AC31" s="19">
        <v>0</v>
      </c>
      <c r="AD31" s="19">
        <v>0</v>
      </c>
      <c r="AE31" s="19">
        <f>VLOOKUP(B31,'[1]A02'!$E$7:$L$29,7,0)</f>
        <v>50</v>
      </c>
      <c r="AF31" s="19">
        <f t="shared" si="17"/>
        <v>50</v>
      </c>
      <c r="AG31" s="36">
        <f t="shared" si="14"/>
        <v>132.269230769231</v>
      </c>
      <c r="AH31" s="19">
        <v>150</v>
      </c>
      <c r="AI31" s="60">
        <v>71800</v>
      </c>
      <c r="AJ31" s="61"/>
      <c r="AK31" s="34"/>
      <c r="AL31" s="72">
        <v>101354226</v>
      </c>
      <c r="AM31" s="73">
        <v>34524</v>
      </c>
      <c r="AN31" s="74" t="s">
        <v>99</v>
      </c>
      <c r="AO31" s="72">
        <v>1</v>
      </c>
      <c r="AP31" s="74" t="s">
        <v>101</v>
      </c>
      <c r="AQ31" s="74" t="s">
        <v>102</v>
      </c>
      <c r="AR31" s="74" t="s">
        <v>103</v>
      </c>
      <c r="AS31" s="72"/>
    </row>
    <row r="32" s="5" customFormat="1" ht="25" customHeight="1" spans="1:45">
      <c r="A32" s="17">
        <v>24</v>
      </c>
      <c r="B32" s="20" t="s">
        <v>437</v>
      </c>
      <c r="C32" s="20" t="s">
        <v>438</v>
      </c>
      <c r="D32" s="20" t="s">
        <v>439</v>
      </c>
      <c r="E32" s="21">
        <v>44953</v>
      </c>
      <c r="F32" s="19" t="s">
        <v>96</v>
      </c>
      <c r="G32" s="75" t="s">
        <v>348</v>
      </c>
      <c r="H32" s="19" t="s">
        <v>229</v>
      </c>
      <c r="I32" s="19">
        <v>4</v>
      </c>
      <c r="J32" s="19">
        <f t="shared" si="9"/>
        <v>22</v>
      </c>
      <c r="K32" s="19">
        <v>198</v>
      </c>
      <c r="L32" s="36">
        <f t="shared" si="18"/>
        <v>30.4615384615385</v>
      </c>
      <c r="M32" s="84">
        <f t="shared" si="11"/>
        <v>167.538461538462</v>
      </c>
      <c r="N32" s="19">
        <v>6</v>
      </c>
      <c r="O32" s="19">
        <f t="shared" si="15"/>
        <v>8.56730769230769</v>
      </c>
      <c r="P32" s="19">
        <v>0</v>
      </c>
      <c r="Q32" s="19">
        <f t="shared" si="16"/>
        <v>0</v>
      </c>
      <c r="R32" s="19">
        <v>0</v>
      </c>
      <c r="S32" s="36">
        <v>5</v>
      </c>
      <c r="T32" s="19">
        <v>0</v>
      </c>
      <c r="U32" s="19">
        <v>0</v>
      </c>
      <c r="V32" s="19">
        <v>5</v>
      </c>
      <c r="W32" s="19">
        <v>1.5</v>
      </c>
      <c r="X32" s="19">
        <v>4</v>
      </c>
      <c r="Y32" s="19">
        <v>0</v>
      </c>
      <c r="Z32" s="19">
        <v>0</v>
      </c>
      <c r="AA32" s="19">
        <v>0</v>
      </c>
      <c r="AB32" s="36">
        <f t="shared" si="13"/>
        <v>54.5288461538462</v>
      </c>
      <c r="AC32" s="19">
        <v>0</v>
      </c>
      <c r="AD32" s="19">
        <v>0</v>
      </c>
      <c r="AE32" s="19">
        <v>0</v>
      </c>
      <c r="AF32" s="19">
        <f t="shared" si="17"/>
        <v>0</v>
      </c>
      <c r="AG32" s="36">
        <f t="shared" si="14"/>
        <v>54.5288461538462</v>
      </c>
      <c r="AH32" s="19">
        <v>150</v>
      </c>
      <c r="AI32" s="60">
        <v>45700</v>
      </c>
      <c r="AJ32" s="61"/>
      <c r="AK32" s="34"/>
      <c r="AL32" s="72">
        <v>101121381</v>
      </c>
      <c r="AM32" s="73">
        <v>29991</v>
      </c>
      <c r="AN32" s="74" t="s">
        <v>99</v>
      </c>
      <c r="AO32" s="72">
        <v>1</v>
      </c>
      <c r="AP32" s="74" t="s">
        <v>101</v>
      </c>
      <c r="AQ32" s="74" t="s">
        <v>102</v>
      </c>
      <c r="AR32" s="74" t="s">
        <v>103</v>
      </c>
      <c r="AS32" s="72"/>
    </row>
    <row r="33" s="5" customFormat="1" ht="25" customHeight="1" spans="1:45">
      <c r="A33" s="17">
        <v>25</v>
      </c>
      <c r="B33" s="20" t="s">
        <v>440</v>
      </c>
      <c r="C33" s="20" t="s">
        <v>441</v>
      </c>
      <c r="D33" s="20" t="s">
        <v>442</v>
      </c>
      <c r="E33" s="21">
        <v>44953</v>
      </c>
      <c r="F33" s="19" t="s">
        <v>96</v>
      </c>
      <c r="G33" s="75" t="s">
        <v>348</v>
      </c>
      <c r="H33" s="19" t="s">
        <v>229</v>
      </c>
      <c r="I33" s="19">
        <v>4</v>
      </c>
      <c r="J33" s="19">
        <f t="shared" si="9"/>
        <v>22</v>
      </c>
      <c r="K33" s="19">
        <v>198</v>
      </c>
      <c r="L33" s="36">
        <f t="shared" si="18"/>
        <v>30.4615384615385</v>
      </c>
      <c r="M33" s="84">
        <f t="shared" si="11"/>
        <v>167.538461538462</v>
      </c>
      <c r="N33" s="19">
        <v>0</v>
      </c>
      <c r="O33" s="19">
        <f t="shared" si="15"/>
        <v>0</v>
      </c>
      <c r="P33" s="19">
        <v>0</v>
      </c>
      <c r="Q33" s="19">
        <f t="shared" si="16"/>
        <v>0</v>
      </c>
      <c r="R33" s="19">
        <v>0</v>
      </c>
      <c r="S33" s="36">
        <v>5</v>
      </c>
      <c r="T33" s="19">
        <v>0</v>
      </c>
      <c r="U33" s="19">
        <v>0</v>
      </c>
      <c r="V33" s="19">
        <v>5</v>
      </c>
      <c r="W33" s="19">
        <v>0</v>
      </c>
      <c r="X33" s="19">
        <v>4</v>
      </c>
      <c r="Y33" s="19">
        <v>0</v>
      </c>
      <c r="Z33" s="19">
        <v>0</v>
      </c>
      <c r="AA33" s="19">
        <v>0</v>
      </c>
      <c r="AB33" s="36">
        <f t="shared" si="13"/>
        <v>44.4615384615385</v>
      </c>
      <c r="AC33" s="19">
        <v>0</v>
      </c>
      <c r="AD33" s="19">
        <v>0</v>
      </c>
      <c r="AE33" s="19">
        <v>0</v>
      </c>
      <c r="AF33" s="19">
        <f t="shared" si="17"/>
        <v>0</v>
      </c>
      <c r="AG33" s="36">
        <f t="shared" si="14"/>
        <v>44.4615384615385</v>
      </c>
      <c r="AH33" s="19">
        <v>150</v>
      </c>
      <c r="AI33" s="60">
        <v>71800</v>
      </c>
      <c r="AJ33" s="61"/>
      <c r="AK33" s="34"/>
      <c r="AL33" s="72">
        <v>100799238</v>
      </c>
      <c r="AM33" s="73">
        <v>31167</v>
      </c>
      <c r="AN33" s="74" t="s">
        <v>99</v>
      </c>
      <c r="AO33" s="72">
        <v>2</v>
      </c>
      <c r="AP33" s="74" t="s">
        <v>102</v>
      </c>
      <c r="AQ33" s="74" t="s">
        <v>102</v>
      </c>
      <c r="AR33" s="74" t="s">
        <v>103</v>
      </c>
      <c r="AS33" s="72" t="s">
        <v>443</v>
      </c>
    </row>
    <row r="34" ht="28" customHeight="1" spans="1:37">
      <c r="A34" s="176" t="s">
        <v>216</v>
      </c>
      <c r="B34" s="24"/>
      <c r="C34" s="24"/>
      <c r="D34" s="24"/>
      <c r="E34" s="177"/>
      <c r="F34" s="177"/>
      <c r="G34" s="177"/>
      <c r="H34" s="177"/>
      <c r="I34" s="177"/>
      <c r="J34" s="177"/>
      <c r="K34" s="178"/>
      <c r="L34" s="190">
        <f>SUM(L19:L33)</f>
        <v>2087.84615384615</v>
      </c>
      <c r="M34" s="190"/>
      <c r="N34" s="78">
        <f>SUM(N9:N33)</f>
        <v>83</v>
      </c>
      <c r="O34" s="78">
        <f t="shared" ref="O34:AG34" si="19">SUM(O9:O33)</f>
        <v>119.625</v>
      </c>
      <c r="P34" s="78">
        <f t="shared" si="19"/>
        <v>0</v>
      </c>
      <c r="Q34" s="78">
        <f t="shared" si="19"/>
        <v>0</v>
      </c>
      <c r="R34" s="78">
        <f t="shared" si="19"/>
        <v>0</v>
      </c>
      <c r="S34" s="78">
        <f t="shared" si="19"/>
        <v>192.980769230769</v>
      </c>
      <c r="T34" s="78">
        <f t="shared" si="19"/>
        <v>20</v>
      </c>
      <c r="U34" s="78">
        <f t="shared" si="19"/>
        <v>30</v>
      </c>
      <c r="V34" s="78">
        <f t="shared" si="19"/>
        <v>240</v>
      </c>
      <c r="W34" s="78">
        <f t="shared" si="19"/>
        <v>20.75</v>
      </c>
      <c r="X34" s="78">
        <f t="shared" si="19"/>
        <v>192</v>
      </c>
      <c r="Y34" s="78">
        <f t="shared" si="19"/>
        <v>0</v>
      </c>
      <c r="Z34" s="78">
        <f t="shared" si="19"/>
        <v>77.09</v>
      </c>
      <c r="AA34" s="78">
        <f t="shared" si="19"/>
        <v>72.6677144970414</v>
      </c>
      <c r="AB34" s="190">
        <f t="shared" si="19"/>
        <v>4685.65194526627</v>
      </c>
      <c r="AC34" s="78">
        <f t="shared" si="19"/>
        <v>111.81575</v>
      </c>
      <c r="AD34" s="78">
        <f t="shared" si="19"/>
        <v>0</v>
      </c>
      <c r="AE34" s="78">
        <f t="shared" si="19"/>
        <v>1550</v>
      </c>
      <c r="AF34" s="78">
        <f t="shared" si="19"/>
        <v>1661.81575</v>
      </c>
      <c r="AG34" s="190">
        <f t="shared" si="19"/>
        <v>3023.83619526627</v>
      </c>
      <c r="AH34" s="204">
        <f>SUM(AH10:AH33)</f>
        <v>3370</v>
      </c>
      <c r="AI34" s="205">
        <f>SUM(AI10:AI33)</f>
        <v>1143800</v>
      </c>
      <c r="AJ34" s="180"/>
      <c r="AK34" s="181"/>
    </row>
  </sheetData>
  <autoFilter ref="A8:AY34">
    <extLst/>
  </autoFilter>
  <mergeCells count="32">
    <mergeCell ref="A1:AJ1"/>
    <mergeCell ref="A2:AJ2"/>
    <mergeCell ref="A3:AJ3"/>
    <mergeCell ref="A4:AJ4"/>
    <mergeCell ref="A5:C5"/>
    <mergeCell ref="F5:L5"/>
    <mergeCell ref="AG5:AJ5"/>
    <mergeCell ref="N7:Q7"/>
    <mergeCell ref="A34:K34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ignoredErrors>
    <ignoredError sqref="AS33" numberStoredAsText="1"/>
    <ignoredError sqref="AE9:AE31" emptyCellReferenc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35"/>
  <sheetViews>
    <sheetView zoomScale="145" zoomScaleNormal="145" workbookViewId="0">
      <selection activeCell="P11" sqref="P11"/>
    </sheetView>
  </sheetViews>
  <sheetFormatPr defaultColWidth="9" defaultRowHeight="13.5"/>
  <cols>
    <col min="1" max="1" width="3.03333333333333" style="6" customWidth="1"/>
    <col min="2" max="2" width="5.34166666666667" style="6" customWidth="1"/>
    <col min="3" max="3" width="7.23333333333333" style="6" customWidth="1"/>
    <col min="4" max="4" width="6.375" style="6" customWidth="1"/>
    <col min="5" max="5" width="6.63333333333333" style="6" customWidth="1"/>
    <col min="6" max="6" width="3.04166666666667" style="6" customWidth="1"/>
    <col min="7" max="7" width="2.70833333333333" style="6" customWidth="1"/>
    <col min="8" max="8" width="3.69166666666667" style="6" customWidth="1"/>
    <col min="9" max="9" width="3.90833333333333" style="6" customWidth="1"/>
    <col min="10" max="10" width="3.18333333333333" style="6" customWidth="1"/>
    <col min="11" max="11" width="2.70833333333333" style="6" customWidth="1"/>
    <col min="12" max="12" width="5.21666666666667" customWidth="1"/>
    <col min="13" max="13" width="4.81666666666667" customWidth="1"/>
    <col min="14" max="14" width="4.21666666666667" customWidth="1"/>
    <col min="15" max="15" width="4.14166666666667" customWidth="1"/>
    <col min="16" max="18" width="3.01666666666667" customWidth="1"/>
    <col min="19" max="19" width="4.05" customWidth="1"/>
    <col min="20" max="22" width="2.925" customWidth="1"/>
    <col min="23" max="23" width="4.13333333333333" customWidth="1"/>
    <col min="24" max="24" width="3.61666666666667" customWidth="1"/>
    <col min="25" max="25" width="3.375" customWidth="1"/>
    <col min="26" max="27" width="4.56666666666667" customWidth="1"/>
    <col min="28" max="28" width="5.625" customWidth="1"/>
    <col min="29" max="29" width="4.05" customWidth="1"/>
    <col min="30" max="30" width="4.125" customWidth="1"/>
    <col min="31" max="31" width="4.39166666666667" customWidth="1"/>
    <col min="32" max="32" width="5.43333333333333" customWidth="1"/>
    <col min="33" max="33" width="6.03333333333333" customWidth="1"/>
    <col min="34" max="34" width="4.11666666666667" hidden="1" customWidth="1"/>
    <col min="35" max="35" width="2.31666666666667" hidden="1" customWidth="1"/>
    <col min="36" max="36" width="7.58333333333333" customWidth="1"/>
    <col min="37" max="37" width="14.05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444</v>
      </c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56" t="s">
        <v>5</v>
      </c>
      <c r="AG5" s="56"/>
      <c r="AH5" s="56"/>
      <c r="AI5" s="56"/>
      <c r="AJ5" s="56"/>
      <c r="AK5" s="56"/>
      <c r="AL5" s="70"/>
    </row>
    <row r="6" s="2" customFormat="1" ht="57.95" customHeight="1" spans="1:37">
      <c r="A6" s="13" t="s">
        <v>6</v>
      </c>
      <c r="B6" s="14" t="s">
        <v>7</v>
      </c>
      <c r="C6" s="14" t="s">
        <v>8</v>
      </c>
      <c r="D6" s="14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07" t="s">
        <v>344</v>
      </c>
    </row>
    <row r="7" s="3" customFormat="1" ht="12" customHeight="1" spans="1:45">
      <c r="A7" s="15" t="s">
        <v>39</v>
      </c>
      <c r="B7" s="16" t="s">
        <v>40</v>
      </c>
      <c r="C7" s="16" t="s">
        <v>41</v>
      </c>
      <c r="D7" s="16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8"/>
      <c r="C8" s="18"/>
      <c r="D8" s="18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5" customFormat="1" ht="24" customHeight="1" spans="1:45">
      <c r="A9" s="19">
        <v>1</v>
      </c>
      <c r="B9" s="75" t="s">
        <v>445</v>
      </c>
      <c r="C9" s="20" t="s">
        <v>446</v>
      </c>
      <c r="D9" s="20" t="s">
        <v>447</v>
      </c>
      <c r="E9" s="21">
        <v>44740</v>
      </c>
      <c r="F9" s="19" t="s">
        <v>96</v>
      </c>
      <c r="G9" s="75" t="s">
        <v>448</v>
      </c>
      <c r="H9" s="19" t="s">
        <v>223</v>
      </c>
      <c r="I9" s="19">
        <v>26</v>
      </c>
      <c r="J9" s="19">
        <f t="shared" ref="J9:J15" si="0">26-I9</f>
        <v>0</v>
      </c>
      <c r="K9" s="19">
        <v>200</v>
      </c>
      <c r="L9" s="36">
        <f t="shared" ref="L9:L15" si="1">K9/26*I9</f>
        <v>200</v>
      </c>
      <c r="M9" s="36">
        <f t="shared" ref="M9:M15" si="2">K9/26*J9</f>
        <v>0</v>
      </c>
      <c r="N9" s="19">
        <v>22</v>
      </c>
      <c r="O9" s="36">
        <f t="shared" ref="O9:O15" si="3">K9/26/8*1.5*N9</f>
        <v>31.7307692307692</v>
      </c>
      <c r="P9" s="19">
        <v>0</v>
      </c>
      <c r="Q9" s="19">
        <f t="shared" ref="Q9:Q15" si="4">K9/26*2*P9</f>
        <v>0</v>
      </c>
      <c r="R9" s="19">
        <v>0</v>
      </c>
      <c r="S9" s="19">
        <f t="shared" ref="S9:S15" si="5">10/26*I9</f>
        <v>10</v>
      </c>
      <c r="T9" s="19">
        <v>30</v>
      </c>
      <c r="U9" s="19">
        <v>20</v>
      </c>
      <c r="V9" s="19">
        <v>10</v>
      </c>
      <c r="W9" s="19">
        <v>5.5</v>
      </c>
      <c r="X9" s="19">
        <v>8</v>
      </c>
      <c r="Y9" s="19">
        <v>0</v>
      </c>
      <c r="Z9" s="19">
        <f>VLOOKUP(B9,'[3]Annual Leave '!$B$7:$Q$98,13,0)</f>
        <v>45.96</v>
      </c>
      <c r="AA9" s="19">
        <f>VLOOKUP(B9,'[3]Annual Leave '!$B$7:$Q$98,15,0)</f>
        <v>53.0336538461539</v>
      </c>
      <c r="AB9" s="36">
        <f t="shared" ref="AB9:AB15" si="6">SUM(L9+O9+Q9+R9+S9+T9+U9+V9+X9+Y9+Z9+AA9+W9)</f>
        <v>414.224423076923</v>
      </c>
      <c r="AC9" s="19">
        <f>VLOOKUP(B9,[2]Sheet1!$B$2:$N$199,11,0)/4000</f>
        <v>6</v>
      </c>
      <c r="AD9" s="19">
        <v>0</v>
      </c>
      <c r="AE9" s="19">
        <f>VLOOKUP(B9,'[1]A03'!$E$7:$L$33,7,0)</f>
        <v>100</v>
      </c>
      <c r="AF9" s="19">
        <f t="shared" ref="AF9:AF15" si="7">SUM(AC9:AE9)</f>
        <v>106</v>
      </c>
      <c r="AG9" s="36">
        <f t="shared" ref="AG9:AG15" si="8">AB9-AF9</f>
        <v>308.224423076923</v>
      </c>
      <c r="AH9" s="19">
        <v>220</v>
      </c>
      <c r="AI9" s="60">
        <v>30900</v>
      </c>
      <c r="AJ9" s="125"/>
      <c r="AK9" s="34"/>
      <c r="AL9" s="72">
        <v>101402341</v>
      </c>
      <c r="AM9" s="73">
        <v>31537</v>
      </c>
      <c r="AN9" s="74" t="s">
        <v>99</v>
      </c>
      <c r="AO9" s="72" t="s">
        <v>164</v>
      </c>
      <c r="AP9" s="74" t="s">
        <v>101</v>
      </c>
      <c r="AQ9" s="74" t="s">
        <v>102</v>
      </c>
      <c r="AR9" s="74" t="s">
        <v>103</v>
      </c>
      <c r="AS9" s="92" t="s">
        <v>449</v>
      </c>
    </row>
    <row r="10" s="5" customFormat="1" ht="24" customHeight="1" spans="1:45">
      <c r="A10" s="19">
        <v>2</v>
      </c>
      <c r="B10" s="75" t="s">
        <v>450</v>
      </c>
      <c r="C10" s="81" t="s">
        <v>451</v>
      </c>
      <c r="D10" s="20" t="s">
        <v>452</v>
      </c>
      <c r="E10" s="21">
        <v>44732</v>
      </c>
      <c r="F10" s="19" t="s">
        <v>96</v>
      </c>
      <c r="G10" s="75" t="s">
        <v>448</v>
      </c>
      <c r="H10" s="19" t="s">
        <v>229</v>
      </c>
      <c r="I10" s="19">
        <v>20.5</v>
      </c>
      <c r="J10" s="19">
        <f t="shared" si="0"/>
        <v>5.5</v>
      </c>
      <c r="K10" s="19">
        <v>200</v>
      </c>
      <c r="L10" s="36">
        <f t="shared" si="1"/>
        <v>157.692307692308</v>
      </c>
      <c r="M10" s="36">
        <f t="shared" si="2"/>
        <v>42.3076923076923</v>
      </c>
      <c r="N10" s="19">
        <v>22</v>
      </c>
      <c r="O10" s="36">
        <f t="shared" si="3"/>
        <v>31.7307692307692</v>
      </c>
      <c r="P10" s="19">
        <v>0</v>
      </c>
      <c r="Q10" s="19">
        <f t="shared" si="4"/>
        <v>0</v>
      </c>
      <c r="R10" s="19">
        <v>0</v>
      </c>
      <c r="S10" s="19">
        <f t="shared" si="5"/>
        <v>7.88461538461539</v>
      </c>
      <c r="T10" s="19">
        <v>0</v>
      </c>
      <c r="U10" s="19">
        <v>0</v>
      </c>
      <c r="V10" s="19">
        <v>10</v>
      </c>
      <c r="W10" s="19">
        <v>5.5</v>
      </c>
      <c r="X10" s="19">
        <v>8</v>
      </c>
      <c r="Y10" s="19">
        <v>0</v>
      </c>
      <c r="Z10" s="19">
        <f>VLOOKUP(B10,'[3]Annual Leave '!$B$7:$Q$98,13,0)</f>
        <v>34.07</v>
      </c>
      <c r="AA10" s="19">
        <f>VLOOKUP(B10,'[3]Annual Leave '!$B$7:$Q$98,15,0)</f>
        <v>13.1056767751479</v>
      </c>
      <c r="AB10" s="36">
        <f t="shared" si="6"/>
        <v>267.983369082841</v>
      </c>
      <c r="AC10" s="19">
        <f>VLOOKUP(B10,[2]Sheet1!$B$2:$N$199,11,0)/4000</f>
        <v>4.20625</v>
      </c>
      <c r="AD10" s="19">
        <v>0</v>
      </c>
      <c r="AE10" s="19">
        <f>VLOOKUP(B10,'[1]A03'!$E$7:$L$33,7,0)</f>
        <v>50</v>
      </c>
      <c r="AF10" s="19">
        <f t="shared" si="7"/>
        <v>54.20625</v>
      </c>
      <c r="AG10" s="36">
        <f t="shared" si="8"/>
        <v>213.777119082841</v>
      </c>
      <c r="AH10" s="19">
        <v>150</v>
      </c>
      <c r="AI10" s="60">
        <v>24900</v>
      </c>
      <c r="AJ10" s="125"/>
      <c r="AK10" s="34"/>
      <c r="AL10" s="72">
        <v>101431167</v>
      </c>
      <c r="AM10" s="73">
        <v>32098</v>
      </c>
      <c r="AN10" s="74" t="s">
        <v>99</v>
      </c>
      <c r="AO10" s="72">
        <v>1</v>
      </c>
      <c r="AP10" s="74" t="s">
        <v>101</v>
      </c>
      <c r="AQ10" s="74" t="s">
        <v>102</v>
      </c>
      <c r="AR10" s="74" t="s">
        <v>103</v>
      </c>
      <c r="AS10" s="92" t="s">
        <v>453</v>
      </c>
    </row>
    <row r="11" s="5" customFormat="1" ht="24" customHeight="1" spans="1:45">
      <c r="A11" s="19">
        <v>3</v>
      </c>
      <c r="B11" s="75" t="s">
        <v>454</v>
      </c>
      <c r="C11" s="20" t="s">
        <v>455</v>
      </c>
      <c r="D11" s="20" t="s">
        <v>456</v>
      </c>
      <c r="E11" s="21">
        <v>44732</v>
      </c>
      <c r="F11" s="19" t="s">
        <v>96</v>
      </c>
      <c r="G11" s="75" t="s">
        <v>448</v>
      </c>
      <c r="H11" s="19" t="s">
        <v>229</v>
      </c>
      <c r="I11" s="19">
        <v>20.25</v>
      </c>
      <c r="J11" s="19">
        <f t="shared" si="0"/>
        <v>5.75</v>
      </c>
      <c r="K11" s="19">
        <v>200</v>
      </c>
      <c r="L11" s="36">
        <f t="shared" si="1"/>
        <v>155.769230769231</v>
      </c>
      <c r="M11" s="36">
        <f t="shared" si="2"/>
        <v>44.2307692307692</v>
      </c>
      <c r="N11" s="19">
        <v>22</v>
      </c>
      <c r="O11" s="19">
        <f t="shared" si="3"/>
        <v>31.7307692307692</v>
      </c>
      <c r="P11" s="19">
        <v>0</v>
      </c>
      <c r="Q11" s="19">
        <f t="shared" si="4"/>
        <v>0</v>
      </c>
      <c r="R11" s="19">
        <v>0</v>
      </c>
      <c r="S11" s="19">
        <f t="shared" si="5"/>
        <v>7.78846153846154</v>
      </c>
      <c r="T11" s="19">
        <v>0</v>
      </c>
      <c r="U11" s="19">
        <v>0</v>
      </c>
      <c r="V11" s="19">
        <v>10</v>
      </c>
      <c r="W11" s="19">
        <v>5.5</v>
      </c>
      <c r="X11" s="54">
        <v>8</v>
      </c>
      <c r="Y11" s="19">
        <v>0</v>
      </c>
      <c r="Z11" s="19">
        <f>VLOOKUP(B11,'[3]Annual Leave '!$B$7:$Q$98,13,0)</f>
        <v>33.45</v>
      </c>
      <c r="AA11" s="19">
        <f>VLOOKUP(B11,'[3]Annual Leave '!$B$7:$Q$98,15,0)</f>
        <v>12.8645525147929</v>
      </c>
      <c r="AB11" s="36">
        <f t="shared" si="6"/>
        <v>265.103014053255</v>
      </c>
      <c r="AC11" s="19">
        <f>VLOOKUP(B11,[2]Sheet1!$B$2:$N$199,11,0)/4000</f>
        <v>4.287</v>
      </c>
      <c r="AD11" s="19">
        <v>0</v>
      </c>
      <c r="AE11" s="19">
        <f>VLOOKUP(B11,'[1]A03'!$E$7:$L$33,7,0)</f>
        <v>50</v>
      </c>
      <c r="AF11" s="19">
        <f t="shared" si="7"/>
        <v>54.287</v>
      </c>
      <c r="AG11" s="36">
        <f t="shared" si="8"/>
        <v>210.816014053255</v>
      </c>
      <c r="AH11" s="19">
        <v>150</v>
      </c>
      <c r="AI11" s="60">
        <v>51300</v>
      </c>
      <c r="AJ11" s="125"/>
      <c r="AK11" s="34"/>
      <c r="AL11" s="72" t="s">
        <v>457</v>
      </c>
      <c r="AM11" s="73">
        <v>30841</v>
      </c>
      <c r="AN11" s="74" t="s">
        <v>99</v>
      </c>
      <c r="AO11" s="72">
        <v>2</v>
      </c>
      <c r="AP11" s="74" t="s">
        <v>101</v>
      </c>
      <c r="AQ11" s="74" t="s">
        <v>102</v>
      </c>
      <c r="AR11" s="74" t="s">
        <v>103</v>
      </c>
      <c r="AS11" s="92" t="s">
        <v>458</v>
      </c>
    </row>
    <row r="12" s="5" customFormat="1" ht="24" customHeight="1" spans="1:45">
      <c r="A12" s="19">
        <v>4</v>
      </c>
      <c r="B12" s="75" t="s">
        <v>459</v>
      </c>
      <c r="C12" s="20" t="s">
        <v>460</v>
      </c>
      <c r="D12" s="20" t="s">
        <v>461</v>
      </c>
      <c r="E12" s="21">
        <v>44732</v>
      </c>
      <c r="F12" s="19" t="s">
        <v>96</v>
      </c>
      <c r="G12" s="75" t="s">
        <v>448</v>
      </c>
      <c r="H12" s="19" t="s">
        <v>229</v>
      </c>
      <c r="I12" s="19">
        <v>24.5</v>
      </c>
      <c r="J12" s="19">
        <f t="shared" si="0"/>
        <v>1.5</v>
      </c>
      <c r="K12" s="19">
        <v>200</v>
      </c>
      <c r="L12" s="36">
        <f t="shared" si="1"/>
        <v>188.461538461538</v>
      </c>
      <c r="M12" s="36">
        <f t="shared" si="2"/>
        <v>11.5384615384615</v>
      </c>
      <c r="N12" s="19">
        <v>14</v>
      </c>
      <c r="O12" s="19">
        <f t="shared" si="3"/>
        <v>20.1923076923077</v>
      </c>
      <c r="P12" s="19">
        <v>0</v>
      </c>
      <c r="Q12" s="19">
        <f t="shared" si="4"/>
        <v>0</v>
      </c>
      <c r="R12" s="19">
        <v>0</v>
      </c>
      <c r="S12" s="19">
        <f t="shared" si="5"/>
        <v>9.42307692307692</v>
      </c>
      <c r="T12" s="19">
        <v>0</v>
      </c>
      <c r="U12" s="19">
        <v>0</v>
      </c>
      <c r="V12" s="19">
        <v>10</v>
      </c>
      <c r="W12" s="19">
        <v>3.5</v>
      </c>
      <c r="X12" s="54">
        <v>8</v>
      </c>
      <c r="Y12" s="19">
        <v>0</v>
      </c>
      <c r="Z12" s="19">
        <f>VLOOKUP(B12,'[3]Annual Leave '!$B$7:$Q$98,13,0)</f>
        <v>34</v>
      </c>
      <c r="AA12" s="19">
        <f>VLOOKUP(B12,'[3]Annual Leave '!$B$7:$Q$98,15,0)</f>
        <v>4.35897435897436</v>
      </c>
      <c r="AB12" s="36">
        <f t="shared" si="6"/>
        <v>277.935897435897</v>
      </c>
      <c r="AC12" s="19">
        <f>VLOOKUP(B12,[2]Sheet1!$B$2:$N$199,11,0)/4000</f>
        <v>4.20625</v>
      </c>
      <c r="AD12" s="19">
        <v>0</v>
      </c>
      <c r="AE12" s="19">
        <f>VLOOKUP(B12,'[1]A03'!$E$7:$L$33,7,0)</f>
        <v>100</v>
      </c>
      <c r="AF12" s="19">
        <f t="shared" si="7"/>
        <v>104.20625</v>
      </c>
      <c r="AG12" s="36">
        <f t="shared" si="8"/>
        <v>173.729647435897</v>
      </c>
      <c r="AH12" s="19">
        <v>150</v>
      </c>
      <c r="AI12" s="60">
        <v>21100</v>
      </c>
      <c r="AJ12" s="125"/>
      <c r="AK12" s="34"/>
      <c r="AL12" s="72">
        <v>100830797</v>
      </c>
      <c r="AM12" s="73">
        <v>31232</v>
      </c>
      <c r="AN12" s="74" t="s">
        <v>99</v>
      </c>
      <c r="AO12" s="72">
        <v>2</v>
      </c>
      <c r="AP12" s="74" t="s">
        <v>101</v>
      </c>
      <c r="AQ12" s="74" t="s">
        <v>102</v>
      </c>
      <c r="AR12" s="74" t="s">
        <v>103</v>
      </c>
      <c r="AS12" s="92" t="s">
        <v>462</v>
      </c>
    </row>
    <row r="13" s="5" customFormat="1" ht="24" customHeight="1" spans="1:45">
      <c r="A13" s="19">
        <v>5</v>
      </c>
      <c r="B13" s="75" t="s">
        <v>463</v>
      </c>
      <c r="C13" s="81" t="s">
        <v>464</v>
      </c>
      <c r="D13" s="20" t="s">
        <v>465</v>
      </c>
      <c r="E13" s="21">
        <v>44732</v>
      </c>
      <c r="F13" s="19" t="s">
        <v>108</v>
      </c>
      <c r="G13" s="75" t="s">
        <v>448</v>
      </c>
      <c r="H13" s="19" t="s">
        <v>229</v>
      </c>
      <c r="I13" s="19">
        <v>20.5</v>
      </c>
      <c r="J13" s="19">
        <f t="shared" si="0"/>
        <v>5.5</v>
      </c>
      <c r="K13" s="19">
        <v>200</v>
      </c>
      <c r="L13" s="36">
        <f t="shared" si="1"/>
        <v>157.692307692308</v>
      </c>
      <c r="M13" s="36">
        <f t="shared" si="2"/>
        <v>42.3076923076923</v>
      </c>
      <c r="N13" s="19">
        <v>0</v>
      </c>
      <c r="O13" s="19">
        <f t="shared" si="3"/>
        <v>0</v>
      </c>
      <c r="P13" s="19">
        <v>0</v>
      </c>
      <c r="Q13" s="19">
        <f t="shared" si="4"/>
        <v>0</v>
      </c>
      <c r="R13" s="19">
        <v>0</v>
      </c>
      <c r="S13" s="19">
        <f t="shared" si="5"/>
        <v>7.88461538461539</v>
      </c>
      <c r="T13" s="19">
        <v>0</v>
      </c>
      <c r="U13" s="19">
        <v>0</v>
      </c>
      <c r="V13" s="19">
        <v>10</v>
      </c>
      <c r="W13" s="19">
        <v>0</v>
      </c>
      <c r="X13" s="54">
        <v>8</v>
      </c>
      <c r="Y13" s="19">
        <v>0</v>
      </c>
      <c r="Z13" s="19">
        <f>VLOOKUP(B13,'[3]Annual Leave '!$B$7:$Q$98,13,0)</f>
        <v>30.48</v>
      </c>
      <c r="AA13" s="19">
        <f>VLOOKUP(B13,'[3]Annual Leave '!$B$7:$Q$98,15,0)</f>
        <v>11.7220784023669</v>
      </c>
      <c r="AB13" s="36">
        <f t="shared" si="6"/>
        <v>225.77900147929</v>
      </c>
      <c r="AC13" s="19">
        <f>VLOOKUP(B13,[2]Sheet1!$B$2:$N$199,11,0)/4000</f>
        <v>4.32725</v>
      </c>
      <c r="AD13" s="19">
        <v>0</v>
      </c>
      <c r="AE13" s="19">
        <f>VLOOKUP(B13,'[1]A03'!$E$7:$L$33,7,0)</f>
        <v>50</v>
      </c>
      <c r="AF13" s="19">
        <f t="shared" si="7"/>
        <v>54.32725</v>
      </c>
      <c r="AG13" s="36">
        <f t="shared" si="8"/>
        <v>171.45175147929</v>
      </c>
      <c r="AH13" s="19">
        <v>150</v>
      </c>
      <c r="AI13" s="60">
        <v>55200</v>
      </c>
      <c r="AJ13" s="125"/>
      <c r="AK13" s="34"/>
      <c r="AL13" s="238" t="s">
        <v>466</v>
      </c>
      <c r="AM13" s="73">
        <v>33307</v>
      </c>
      <c r="AN13" s="74" t="s">
        <v>99</v>
      </c>
      <c r="AO13" s="72">
        <v>2</v>
      </c>
      <c r="AP13" s="74" t="s">
        <v>101</v>
      </c>
      <c r="AQ13" s="74" t="s">
        <v>102</v>
      </c>
      <c r="AR13" s="74" t="s">
        <v>103</v>
      </c>
      <c r="AS13" s="92" t="s">
        <v>467</v>
      </c>
    </row>
    <row r="14" s="5" customFormat="1" ht="24" customHeight="1" spans="1:45">
      <c r="A14" s="19">
        <v>6</v>
      </c>
      <c r="B14" s="75" t="s">
        <v>468</v>
      </c>
      <c r="C14" s="20" t="s">
        <v>469</v>
      </c>
      <c r="D14" s="20" t="s">
        <v>470</v>
      </c>
      <c r="E14" s="21">
        <v>44732</v>
      </c>
      <c r="F14" s="19" t="s">
        <v>96</v>
      </c>
      <c r="G14" s="75" t="s">
        <v>448</v>
      </c>
      <c r="H14" s="19" t="s">
        <v>229</v>
      </c>
      <c r="I14" s="19">
        <v>20.5</v>
      </c>
      <c r="J14" s="19">
        <f t="shared" si="0"/>
        <v>5.5</v>
      </c>
      <c r="K14" s="19">
        <v>200</v>
      </c>
      <c r="L14" s="36">
        <f t="shared" si="1"/>
        <v>157.692307692308</v>
      </c>
      <c r="M14" s="36">
        <f t="shared" si="2"/>
        <v>42.3076923076923</v>
      </c>
      <c r="N14" s="19">
        <v>22</v>
      </c>
      <c r="O14" s="19">
        <f t="shared" si="3"/>
        <v>31.7307692307692</v>
      </c>
      <c r="P14" s="19">
        <v>0</v>
      </c>
      <c r="Q14" s="19">
        <f t="shared" si="4"/>
        <v>0</v>
      </c>
      <c r="R14" s="19">
        <v>0</v>
      </c>
      <c r="S14" s="19">
        <f t="shared" si="5"/>
        <v>7.88461538461539</v>
      </c>
      <c r="T14" s="19">
        <v>0</v>
      </c>
      <c r="U14" s="19">
        <v>0</v>
      </c>
      <c r="V14" s="19">
        <v>10</v>
      </c>
      <c r="W14" s="19">
        <v>5.5</v>
      </c>
      <c r="X14" s="54">
        <v>8</v>
      </c>
      <c r="Y14" s="19">
        <v>0</v>
      </c>
      <c r="Z14" s="19">
        <f>VLOOKUP(B14,'[3]Annual Leave '!$B$7:$Q$98,13,0)</f>
        <v>33.91</v>
      </c>
      <c r="AA14" s="19">
        <f>VLOOKUP(B14,'[3]Annual Leave '!$B$7:$Q$98,15,0)</f>
        <v>39.1267566568047</v>
      </c>
      <c r="AB14" s="36">
        <f t="shared" si="6"/>
        <v>293.844448964497</v>
      </c>
      <c r="AC14" s="19">
        <f>VLOOKUP(B14,[2]Sheet1!$B$2:$N$199,11,0)/4000</f>
        <v>4.287</v>
      </c>
      <c r="AD14" s="19">
        <v>0</v>
      </c>
      <c r="AE14" s="19">
        <f>VLOOKUP(B14,'[1]A03'!$E$7:$L$33,7,0)</f>
        <v>50</v>
      </c>
      <c r="AF14" s="19">
        <f t="shared" si="7"/>
        <v>54.287</v>
      </c>
      <c r="AG14" s="36">
        <f t="shared" si="8"/>
        <v>239.557448964497</v>
      </c>
      <c r="AH14" s="19">
        <v>150</v>
      </c>
      <c r="AI14" s="60">
        <v>68400</v>
      </c>
      <c r="AJ14" s="125"/>
      <c r="AK14" s="34"/>
      <c r="AL14" s="72">
        <v>100853099</v>
      </c>
      <c r="AM14" s="73">
        <v>32629</v>
      </c>
      <c r="AN14" s="74" t="s">
        <v>99</v>
      </c>
      <c r="AO14" s="72">
        <v>2</v>
      </c>
      <c r="AP14" s="74" t="s">
        <v>101</v>
      </c>
      <c r="AQ14" s="74" t="s">
        <v>102</v>
      </c>
      <c r="AR14" s="74" t="s">
        <v>103</v>
      </c>
      <c r="AS14" s="92" t="s">
        <v>471</v>
      </c>
    </row>
    <row r="15" s="5" customFormat="1" ht="24" customHeight="1" spans="1:45">
      <c r="A15" s="19">
        <v>7</v>
      </c>
      <c r="B15" s="75" t="s">
        <v>472</v>
      </c>
      <c r="C15" s="20" t="s">
        <v>473</v>
      </c>
      <c r="D15" s="20" t="s">
        <v>474</v>
      </c>
      <c r="E15" s="21">
        <v>44732</v>
      </c>
      <c r="F15" s="19" t="s">
        <v>96</v>
      </c>
      <c r="G15" s="75" t="s">
        <v>448</v>
      </c>
      <c r="H15" s="19" t="s">
        <v>229</v>
      </c>
      <c r="I15" s="19">
        <v>22.5</v>
      </c>
      <c r="J15" s="19">
        <f t="shared" si="0"/>
        <v>3.5</v>
      </c>
      <c r="K15" s="19">
        <v>200</v>
      </c>
      <c r="L15" s="36">
        <f t="shared" si="1"/>
        <v>173.076923076923</v>
      </c>
      <c r="M15" s="36">
        <f t="shared" si="2"/>
        <v>26.9230769230769</v>
      </c>
      <c r="N15" s="19">
        <v>16</v>
      </c>
      <c r="O15" s="19">
        <f t="shared" si="3"/>
        <v>23.0769230769231</v>
      </c>
      <c r="P15" s="19">
        <v>0</v>
      </c>
      <c r="Q15" s="19">
        <f t="shared" si="4"/>
        <v>0</v>
      </c>
      <c r="R15" s="19">
        <v>0</v>
      </c>
      <c r="S15" s="19">
        <f t="shared" si="5"/>
        <v>8.65384615384616</v>
      </c>
      <c r="T15" s="19">
        <v>0</v>
      </c>
      <c r="U15" s="19">
        <v>0</v>
      </c>
      <c r="V15" s="19">
        <v>10</v>
      </c>
      <c r="W15" s="19">
        <v>4</v>
      </c>
      <c r="X15" s="54">
        <v>8</v>
      </c>
      <c r="Y15" s="19">
        <v>0</v>
      </c>
      <c r="Z15" s="19">
        <f>VLOOKUP(B15,'[3]Annual Leave '!$B$7:$Q$98,13,0)</f>
        <v>32.84</v>
      </c>
      <c r="AA15" s="19">
        <f>VLOOKUP(B15,'[3]Annual Leave '!$B$7:$Q$98,15,0)</f>
        <v>4.21024408284024</v>
      </c>
      <c r="AB15" s="36">
        <f t="shared" si="6"/>
        <v>263.857936390533</v>
      </c>
      <c r="AC15" s="19">
        <f>VLOOKUP(B15,[2]Sheet1!$B$2:$N$199,11,0)/4000</f>
        <v>3.82825</v>
      </c>
      <c r="AD15" s="19">
        <v>0</v>
      </c>
      <c r="AE15" s="19">
        <f>VLOOKUP(B15,'[1]A03'!$E$7:$L$33,7,0)</f>
        <v>100</v>
      </c>
      <c r="AF15" s="19">
        <f t="shared" si="7"/>
        <v>103.82825</v>
      </c>
      <c r="AG15" s="36">
        <f t="shared" si="8"/>
        <v>160.029686390533</v>
      </c>
      <c r="AH15" s="19">
        <v>150</v>
      </c>
      <c r="AI15" s="60">
        <v>21100</v>
      </c>
      <c r="AJ15" s="125"/>
      <c r="AK15" s="34"/>
      <c r="AL15" s="72">
        <v>101339589</v>
      </c>
      <c r="AM15" s="73">
        <v>29799</v>
      </c>
      <c r="AN15" s="74" t="s">
        <v>99</v>
      </c>
      <c r="AO15" s="72">
        <v>2</v>
      </c>
      <c r="AP15" s="74" t="s">
        <v>101</v>
      </c>
      <c r="AQ15" s="74" t="s">
        <v>102</v>
      </c>
      <c r="AR15" s="74" t="s">
        <v>103</v>
      </c>
      <c r="AS15" s="92" t="s">
        <v>475</v>
      </c>
    </row>
    <row r="16" s="5" customFormat="1" ht="24" customHeight="1" spans="1:45">
      <c r="A16" s="19">
        <v>8</v>
      </c>
      <c r="B16" s="133" t="s">
        <v>476</v>
      </c>
      <c r="C16" s="20" t="s">
        <v>477</v>
      </c>
      <c r="D16" s="20" t="s">
        <v>478</v>
      </c>
      <c r="E16" s="21">
        <v>44733</v>
      </c>
      <c r="F16" s="19" t="s">
        <v>96</v>
      </c>
      <c r="G16" s="75" t="s">
        <v>448</v>
      </c>
      <c r="H16" s="19" t="s">
        <v>229</v>
      </c>
      <c r="I16" s="19">
        <v>20.25</v>
      </c>
      <c r="J16" s="19">
        <f t="shared" ref="J16:J35" si="9">26-I16</f>
        <v>5.75</v>
      </c>
      <c r="K16" s="19">
        <v>200</v>
      </c>
      <c r="L16" s="36">
        <f t="shared" ref="L16:L35" si="10">K16/26*I16</f>
        <v>155.769230769231</v>
      </c>
      <c r="M16" s="36">
        <f t="shared" ref="M16:M25" si="11">K16/26*J16</f>
        <v>44.2307692307692</v>
      </c>
      <c r="N16" s="19">
        <v>0</v>
      </c>
      <c r="O16" s="36">
        <f t="shared" ref="O16:O35" si="12">K16/26/8*1.5*N16</f>
        <v>0</v>
      </c>
      <c r="P16" s="19">
        <v>0</v>
      </c>
      <c r="Q16" s="19">
        <f t="shared" ref="Q16:Q35" si="13">K16/26*2*P16</f>
        <v>0</v>
      </c>
      <c r="R16" s="19">
        <v>0</v>
      </c>
      <c r="S16" s="19">
        <f t="shared" ref="S16:S34" si="14">10/26*I16</f>
        <v>7.78846153846154</v>
      </c>
      <c r="T16" s="19">
        <v>0</v>
      </c>
      <c r="U16" s="19">
        <v>0</v>
      </c>
      <c r="V16" s="19">
        <v>10</v>
      </c>
      <c r="W16" s="19">
        <v>0</v>
      </c>
      <c r="X16" s="54">
        <v>8</v>
      </c>
      <c r="Y16" s="19">
        <v>0</v>
      </c>
      <c r="Z16" s="19">
        <f>VLOOKUP(B16,'[3]Annual Leave '!$B$7:$Q$98,13,0)</f>
        <v>31.75</v>
      </c>
      <c r="AA16" s="19">
        <f>VLOOKUP(B16,'[3]Annual Leave '!$B$7:$Q$98,15,0)</f>
        <v>4.07082100591716</v>
      </c>
      <c r="AB16" s="36">
        <f t="shared" ref="AB16:AB35" si="15">SUM(L16+O16+Q16+R16+S16+T16+U16+V16+X16+Y16+Z16+AA16+W16)</f>
        <v>217.37851331361</v>
      </c>
      <c r="AC16" s="19">
        <f>VLOOKUP(B16,[2]Sheet1!$B$2:$N$199,11,0)/4000</f>
        <v>4.219</v>
      </c>
      <c r="AD16" s="19">
        <v>0</v>
      </c>
      <c r="AE16" s="19">
        <f>VLOOKUP(B16,'[1]A03'!$E$7:$L$33,7,0)</f>
        <v>50</v>
      </c>
      <c r="AF16" s="19">
        <f t="shared" ref="AF16:AF35" si="16">SUM(AC16:AE16)</f>
        <v>54.219</v>
      </c>
      <c r="AG16" s="36">
        <f t="shared" ref="AG16:AG35" si="17">AB16-AF16</f>
        <v>163.15951331361</v>
      </c>
      <c r="AH16" s="19">
        <v>150</v>
      </c>
      <c r="AI16" s="60">
        <v>68400</v>
      </c>
      <c r="AJ16" s="125"/>
      <c r="AK16" s="34"/>
      <c r="AL16" s="72" t="s">
        <v>479</v>
      </c>
      <c r="AM16" s="73">
        <v>32489</v>
      </c>
      <c r="AN16" s="74" t="s">
        <v>99</v>
      </c>
      <c r="AO16" s="72">
        <v>1</v>
      </c>
      <c r="AP16" s="74" t="s">
        <v>101</v>
      </c>
      <c r="AQ16" s="74" t="s">
        <v>102</v>
      </c>
      <c r="AR16" s="74" t="s">
        <v>103</v>
      </c>
      <c r="AS16" s="72" t="s">
        <v>480</v>
      </c>
    </row>
    <row r="17" s="5" customFormat="1" ht="24" customHeight="1" spans="1:45">
      <c r="A17" s="19">
        <v>9</v>
      </c>
      <c r="B17" s="133" t="s">
        <v>481</v>
      </c>
      <c r="C17" s="20" t="s">
        <v>482</v>
      </c>
      <c r="D17" s="20" t="s">
        <v>483</v>
      </c>
      <c r="E17" s="21">
        <v>44734</v>
      </c>
      <c r="F17" s="19" t="s">
        <v>96</v>
      </c>
      <c r="G17" s="75" t="s">
        <v>448</v>
      </c>
      <c r="H17" s="19" t="s">
        <v>229</v>
      </c>
      <c r="I17" s="19">
        <v>20.5</v>
      </c>
      <c r="J17" s="19">
        <f t="shared" si="9"/>
        <v>5.5</v>
      </c>
      <c r="K17" s="19">
        <v>200</v>
      </c>
      <c r="L17" s="36">
        <f t="shared" si="10"/>
        <v>157.692307692308</v>
      </c>
      <c r="M17" s="36">
        <f t="shared" si="11"/>
        <v>42.3076923076923</v>
      </c>
      <c r="N17" s="19">
        <v>10</v>
      </c>
      <c r="O17" s="36">
        <f t="shared" si="12"/>
        <v>14.4230769230769</v>
      </c>
      <c r="P17" s="19">
        <v>0</v>
      </c>
      <c r="Q17" s="19">
        <f t="shared" si="13"/>
        <v>0</v>
      </c>
      <c r="R17" s="19">
        <v>0</v>
      </c>
      <c r="S17" s="19">
        <f t="shared" si="14"/>
        <v>7.88461538461539</v>
      </c>
      <c r="T17" s="19">
        <v>0</v>
      </c>
      <c r="U17" s="19">
        <v>0</v>
      </c>
      <c r="V17" s="19">
        <v>10</v>
      </c>
      <c r="W17" s="19">
        <v>2.5</v>
      </c>
      <c r="X17" s="54">
        <v>8</v>
      </c>
      <c r="Y17" s="19">
        <v>0</v>
      </c>
      <c r="Z17" s="19">
        <f>VLOOKUP(B17,'[3]Annual Leave '!$B$7:$Q$98,13,0)</f>
        <v>31.36</v>
      </c>
      <c r="AA17" s="19">
        <f>VLOOKUP(B17,'[3]Annual Leave '!$B$7:$Q$98,15,0)</f>
        <v>4.02046351084813</v>
      </c>
      <c r="AB17" s="36">
        <f t="shared" si="15"/>
        <v>235.880463510848</v>
      </c>
      <c r="AC17" s="19">
        <f>VLOOKUP(B17,[2]Sheet1!$B$2:$N$199,11,0)/4000</f>
        <v>3.964</v>
      </c>
      <c r="AD17" s="19">
        <v>0</v>
      </c>
      <c r="AE17" s="19">
        <f>VLOOKUP(B17,'[1]A03'!$E$7:$L$33,7,0)</f>
        <v>50</v>
      </c>
      <c r="AF17" s="19">
        <f t="shared" si="16"/>
        <v>53.964</v>
      </c>
      <c r="AG17" s="36">
        <f t="shared" si="17"/>
        <v>181.916463510848</v>
      </c>
      <c r="AH17" s="19">
        <v>150</v>
      </c>
      <c r="AI17" s="60">
        <v>68400</v>
      </c>
      <c r="AJ17" s="125"/>
      <c r="AK17" s="34"/>
      <c r="AL17" s="72" t="s">
        <v>484</v>
      </c>
      <c r="AM17" s="73">
        <v>37798</v>
      </c>
      <c r="AN17" s="74" t="s">
        <v>99</v>
      </c>
      <c r="AO17" s="72">
        <v>2</v>
      </c>
      <c r="AP17" s="74" t="s">
        <v>101</v>
      </c>
      <c r="AQ17" s="74" t="s">
        <v>102</v>
      </c>
      <c r="AR17" s="74" t="s">
        <v>103</v>
      </c>
      <c r="AS17" s="72" t="s">
        <v>485</v>
      </c>
    </row>
    <row r="18" s="5" customFormat="1" ht="24" customHeight="1" spans="1:45">
      <c r="A18" s="19">
        <v>10</v>
      </c>
      <c r="B18" s="75" t="s">
        <v>486</v>
      </c>
      <c r="C18" s="20" t="s">
        <v>487</v>
      </c>
      <c r="D18" s="20" t="s">
        <v>488</v>
      </c>
      <c r="E18" s="21">
        <v>44733</v>
      </c>
      <c r="F18" s="19" t="s">
        <v>96</v>
      </c>
      <c r="G18" s="75" t="s">
        <v>448</v>
      </c>
      <c r="H18" s="19" t="s">
        <v>229</v>
      </c>
      <c r="I18" s="19">
        <v>20.5</v>
      </c>
      <c r="J18" s="19">
        <f t="shared" si="9"/>
        <v>5.5</v>
      </c>
      <c r="K18" s="19">
        <v>200</v>
      </c>
      <c r="L18" s="36">
        <f t="shared" si="10"/>
        <v>157.692307692308</v>
      </c>
      <c r="M18" s="36">
        <f t="shared" si="11"/>
        <v>42.3076923076923</v>
      </c>
      <c r="N18" s="19">
        <v>0</v>
      </c>
      <c r="O18" s="19">
        <f t="shared" si="12"/>
        <v>0</v>
      </c>
      <c r="P18" s="19">
        <v>0</v>
      </c>
      <c r="Q18" s="19">
        <f t="shared" si="13"/>
        <v>0</v>
      </c>
      <c r="R18" s="19">
        <v>0</v>
      </c>
      <c r="S18" s="19">
        <f t="shared" si="14"/>
        <v>7.88461538461539</v>
      </c>
      <c r="T18" s="19">
        <v>0</v>
      </c>
      <c r="U18" s="19">
        <v>0</v>
      </c>
      <c r="V18" s="19">
        <v>10</v>
      </c>
      <c r="W18" s="19">
        <v>0</v>
      </c>
      <c r="X18" s="54">
        <v>8</v>
      </c>
      <c r="Y18" s="19">
        <v>0</v>
      </c>
      <c r="Z18" s="19">
        <f>VLOOKUP(B18,'[3]Annual Leave '!$B$7:$Q$98,13,0)</f>
        <v>31.46</v>
      </c>
      <c r="AA18" s="19">
        <f>VLOOKUP(B18,'[3]Annual Leave '!$B$7:$Q$98,15,0)</f>
        <v>12.0992973372781</v>
      </c>
      <c r="AB18" s="36">
        <f t="shared" si="15"/>
        <v>227.136220414201</v>
      </c>
      <c r="AC18" s="19">
        <f>VLOOKUP(B18,[2]Sheet1!$B$2:$N$199,11,0)/4000</f>
        <v>4.32725</v>
      </c>
      <c r="AD18" s="19">
        <v>0</v>
      </c>
      <c r="AE18" s="19">
        <f>VLOOKUP(B18,'[1]A03'!$E$7:$L$33,7,0)</f>
        <v>50</v>
      </c>
      <c r="AF18" s="19">
        <f t="shared" si="16"/>
        <v>54.32725</v>
      </c>
      <c r="AG18" s="36">
        <f t="shared" si="17"/>
        <v>172.808970414201</v>
      </c>
      <c r="AH18" s="19">
        <v>150</v>
      </c>
      <c r="AI18" s="60">
        <v>38100</v>
      </c>
      <c r="AJ18" s="125"/>
      <c r="AK18" s="34"/>
      <c r="AL18" s="72">
        <v>101386359</v>
      </c>
      <c r="AM18" s="73">
        <v>31780</v>
      </c>
      <c r="AN18" s="74" t="s">
        <v>99</v>
      </c>
      <c r="AO18" s="74">
        <v>2</v>
      </c>
      <c r="AP18" s="74" t="s">
        <v>101</v>
      </c>
      <c r="AQ18" s="74" t="s">
        <v>102</v>
      </c>
      <c r="AR18" s="74" t="s">
        <v>103</v>
      </c>
      <c r="AS18" s="72" t="s">
        <v>489</v>
      </c>
    </row>
    <row r="19" s="5" customFormat="1" ht="27" customHeight="1" spans="1:45">
      <c r="A19" s="19">
        <v>11</v>
      </c>
      <c r="B19" s="75" t="s">
        <v>490</v>
      </c>
      <c r="C19" s="20" t="s">
        <v>491</v>
      </c>
      <c r="D19" s="20" t="s">
        <v>492</v>
      </c>
      <c r="E19" s="21">
        <v>44733</v>
      </c>
      <c r="F19" s="19" t="s">
        <v>96</v>
      </c>
      <c r="G19" s="75" t="s">
        <v>448</v>
      </c>
      <c r="H19" s="19" t="s">
        <v>229</v>
      </c>
      <c r="I19" s="19">
        <v>20.5</v>
      </c>
      <c r="J19" s="19">
        <f t="shared" si="9"/>
        <v>5.5</v>
      </c>
      <c r="K19" s="19">
        <v>200</v>
      </c>
      <c r="L19" s="36">
        <f t="shared" si="10"/>
        <v>157.692307692308</v>
      </c>
      <c r="M19" s="36">
        <f t="shared" si="11"/>
        <v>42.3076923076923</v>
      </c>
      <c r="N19" s="19">
        <v>18</v>
      </c>
      <c r="O19" s="19">
        <f t="shared" si="12"/>
        <v>25.9615384615385</v>
      </c>
      <c r="P19" s="19">
        <v>0</v>
      </c>
      <c r="Q19" s="19">
        <f t="shared" si="13"/>
        <v>0</v>
      </c>
      <c r="R19" s="19">
        <v>0</v>
      </c>
      <c r="S19" s="19">
        <f t="shared" si="14"/>
        <v>7.88461538461539</v>
      </c>
      <c r="T19" s="19">
        <v>0</v>
      </c>
      <c r="U19" s="19">
        <v>0</v>
      </c>
      <c r="V19" s="19">
        <v>10</v>
      </c>
      <c r="W19" s="19">
        <v>4.5</v>
      </c>
      <c r="X19" s="54">
        <v>8</v>
      </c>
      <c r="Y19" s="19">
        <v>0</v>
      </c>
      <c r="Z19" s="19">
        <f>VLOOKUP(B19,'[3]Annual Leave '!$B$7:$Q$98,13,0)</f>
        <v>32.82</v>
      </c>
      <c r="AA19" s="19">
        <f>VLOOKUP(B19,'[3]Annual Leave '!$B$7:$Q$98,15,0)</f>
        <v>4.20743959566075</v>
      </c>
      <c r="AB19" s="36">
        <f t="shared" si="15"/>
        <v>251.065901134123</v>
      </c>
      <c r="AC19" s="19">
        <f>VLOOKUP(B19,[2]Sheet1!$B$2:$N$199,11,0)/4000</f>
        <v>4.20625</v>
      </c>
      <c r="AD19" s="19">
        <v>0</v>
      </c>
      <c r="AE19" s="19">
        <f>VLOOKUP(B19,'[1]A03'!$E$7:$L$33,7,0)</f>
        <v>50</v>
      </c>
      <c r="AF19" s="19">
        <f t="shared" si="16"/>
        <v>54.20625</v>
      </c>
      <c r="AG19" s="36">
        <f t="shared" si="17"/>
        <v>196.859651134123</v>
      </c>
      <c r="AH19" s="19">
        <v>150</v>
      </c>
      <c r="AI19" s="60">
        <v>55200</v>
      </c>
      <c r="AJ19" s="125"/>
      <c r="AK19" s="34"/>
      <c r="AL19" s="72">
        <v>101412808</v>
      </c>
      <c r="AM19" s="73">
        <v>37881</v>
      </c>
      <c r="AN19" s="74" t="s">
        <v>99</v>
      </c>
      <c r="AO19" s="74">
        <v>0</v>
      </c>
      <c r="AP19" s="74" t="s">
        <v>101</v>
      </c>
      <c r="AQ19" s="74" t="s">
        <v>102</v>
      </c>
      <c r="AR19" s="74" t="s">
        <v>103</v>
      </c>
      <c r="AS19" s="72"/>
    </row>
    <row r="20" s="5" customFormat="1" ht="24" customHeight="1" spans="1:45">
      <c r="A20" s="19">
        <v>12</v>
      </c>
      <c r="B20" s="75" t="s">
        <v>493</v>
      </c>
      <c r="C20" s="20" t="s">
        <v>494</v>
      </c>
      <c r="D20" s="20" t="s">
        <v>495</v>
      </c>
      <c r="E20" s="21">
        <v>44740</v>
      </c>
      <c r="F20" s="19" t="s">
        <v>108</v>
      </c>
      <c r="G20" s="75" t="s">
        <v>448</v>
      </c>
      <c r="H20" s="19" t="s">
        <v>229</v>
      </c>
      <c r="I20" s="19">
        <v>20.5</v>
      </c>
      <c r="J20" s="19">
        <f t="shared" si="9"/>
        <v>5.5</v>
      </c>
      <c r="K20" s="19">
        <v>200</v>
      </c>
      <c r="L20" s="36">
        <f t="shared" si="10"/>
        <v>157.692307692308</v>
      </c>
      <c r="M20" s="36">
        <f t="shared" si="11"/>
        <v>42.3076923076923</v>
      </c>
      <c r="N20" s="19">
        <v>6</v>
      </c>
      <c r="O20" s="19">
        <f t="shared" si="12"/>
        <v>8.65384615384615</v>
      </c>
      <c r="P20" s="19">
        <v>0</v>
      </c>
      <c r="Q20" s="19">
        <f t="shared" si="13"/>
        <v>0</v>
      </c>
      <c r="R20" s="19">
        <v>0</v>
      </c>
      <c r="S20" s="19">
        <f t="shared" si="14"/>
        <v>7.88461538461539</v>
      </c>
      <c r="T20" s="19">
        <v>0</v>
      </c>
      <c r="U20" s="19">
        <v>0</v>
      </c>
      <c r="V20" s="19">
        <v>10</v>
      </c>
      <c r="W20" s="19">
        <v>1.5</v>
      </c>
      <c r="X20" s="54">
        <v>8</v>
      </c>
      <c r="Y20" s="19">
        <v>0</v>
      </c>
      <c r="Z20" s="19">
        <f>VLOOKUP(B20,'[3]Annual Leave '!$B$7:$Q$98,13,0)</f>
        <v>30.77</v>
      </c>
      <c r="AA20" s="19">
        <f>VLOOKUP(B20,'[3]Annual Leave '!$B$7:$Q$98,15,0)</f>
        <v>3.94508136094674</v>
      </c>
      <c r="AB20" s="36">
        <f t="shared" si="15"/>
        <v>228.445850591716</v>
      </c>
      <c r="AC20" s="19">
        <f>VLOOKUP(B20,[2]Sheet1!$B$2:$N$199,11,0)/4000</f>
        <v>4.05775</v>
      </c>
      <c r="AD20" s="19">
        <v>0</v>
      </c>
      <c r="AE20" s="19">
        <f>VLOOKUP(B20,'[1]A03'!$E$7:$L$33,7,0)</f>
        <v>50</v>
      </c>
      <c r="AF20" s="19">
        <f t="shared" si="16"/>
        <v>54.05775</v>
      </c>
      <c r="AG20" s="36">
        <f t="shared" si="17"/>
        <v>174.388100591716</v>
      </c>
      <c r="AH20" s="19">
        <v>150</v>
      </c>
      <c r="AI20" s="60">
        <v>51300</v>
      </c>
      <c r="AJ20" s="125"/>
      <c r="AK20" s="34"/>
      <c r="AL20" s="72">
        <v>101225534</v>
      </c>
      <c r="AM20" s="73">
        <v>34400</v>
      </c>
      <c r="AN20" s="74" t="s">
        <v>99</v>
      </c>
      <c r="AO20" s="72">
        <v>0</v>
      </c>
      <c r="AP20" s="74" t="s">
        <v>101</v>
      </c>
      <c r="AQ20" s="74" t="s">
        <v>102</v>
      </c>
      <c r="AR20" s="74" t="s">
        <v>103</v>
      </c>
      <c r="AS20" s="72" t="s">
        <v>496</v>
      </c>
    </row>
    <row r="21" s="5" customFormat="1" ht="24" customHeight="1" spans="1:45">
      <c r="A21" s="19">
        <v>13</v>
      </c>
      <c r="B21" s="75" t="s">
        <v>497</v>
      </c>
      <c r="C21" s="20" t="s">
        <v>498</v>
      </c>
      <c r="D21" s="20" t="s">
        <v>499</v>
      </c>
      <c r="E21" s="21">
        <v>44755</v>
      </c>
      <c r="F21" s="19" t="s">
        <v>96</v>
      </c>
      <c r="G21" s="75" t="s">
        <v>448</v>
      </c>
      <c r="H21" s="19" t="s">
        <v>229</v>
      </c>
      <c r="I21" s="19">
        <v>24.5</v>
      </c>
      <c r="J21" s="19">
        <f t="shared" si="9"/>
        <v>1.5</v>
      </c>
      <c r="K21" s="19">
        <v>200</v>
      </c>
      <c r="L21" s="36">
        <f t="shared" si="10"/>
        <v>188.461538461538</v>
      </c>
      <c r="M21" s="36">
        <f t="shared" si="11"/>
        <v>11.5384615384615</v>
      </c>
      <c r="N21" s="19">
        <v>18</v>
      </c>
      <c r="O21" s="19">
        <f t="shared" si="12"/>
        <v>25.9615384615385</v>
      </c>
      <c r="P21" s="19">
        <v>0</v>
      </c>
      <c r="Q21" s="19">
        <f t="shared" si="13"/>
        <v>0</v>
      </c>
      <c r="R21" s="19">
        <v>0</v>
      </c>
      <c r="S21" s="19">
        <f t="shared" si="14"/>
        <v>9.42307692307692</v>
      </c>
      <c r="T21" s="19">
        <v>0</v>
      </c>
      <c r="U21" s="19">
        <v>0</v>
      </c>
      <c r="V21" s="19">
        <v>10</v>
      </c>
      <c r="W21" s="19">
        <v>4.5</v>
      </c>
      <c r="X21" s="54">
        <v>8</v>
      </c>
      <c r="Y21" s="19">
        <v>0</v>
      </c>
      <c r="Z21" s="19">
        <v>0</v>
      </c>
      <c r="AA21" s="19">
        <v>0</v>
      </c>
      <c r="AB21" s="36">
        <f t="shared" si="15"/>
        <v>246.346153846153</v>
      </c>
      <c r="AC21" s="19">
        <f>VLOOKUP(B21,[2]Sheet1!$B$2:$N$199,11,0)/4000</f>
        <v>4.287</v>
      </c>
      <c r="AD21" s="19">
        <v>0</v>
      </c>
      <c r="AE21" s="19">
        <f>VLOOKUP(B21,'[1]A03'!$E$7:$L$33,7,0)</f>
        <v>100</v>
      </c>
      <c r="AF21" s="19">
        <f t="shared" si="16"/>
        <v>104.287</v>
      </c>
      <c r="AG21" s="36">
        <f t="shared" si="17"/>
        <v>142.059153846153</v>
      </c>
      <c r="AH21" s="19">
        <v>150</v>
      </c>
      <c r="AI21" s="60">
        <v>34300</v>
      </c>
      <c r="AJ21" s="125"/>
      <c r="AK21" s="34"/>
      <c r="AL21" s="72" t="s">
        <v>500</v>
      </c>
      <c r="AM21" s="73">
        <v>29987</v>
      </c>
      <c r="AN21" s="74" t="s">
        <v>99</v>
      </c>
      <c r="AO21" s="72" t="s">
        <v>224</v>
      </c>
      <c r="AP21" s="74" t="s">
        <v>101</v>
      </c>
      <c r="AQ21" s="74" t="s">
        <v>102</v>
      </c>
      <c r="AR21" s="74" t="s">
        <v>103</v>
      </c>
      <c r="AS21" s="92" t="s">
        <v>501</v>
      </c>
    </row>
    <row r="22" s="5" customFormat="1" ht="24" customHeight="1" spans="1:45">
      <c r="A22" s="19">
        <v>14</v>
      </c>
      <c r="B22" s="75" t="s">
        <v>502</v>
      </c>
      <c r="C22" s="20" t="s">
        <v>503</v>
      </c>
      <c r="D22" s="20" t="s">
        <v>504</v>
      </c>
      <c r="E22" s="21">
        <v>44755</v>
      </c>
      <c r="F22" s="19" t="s">
        <v>96</v>
      </c>
      <c r="G22" s="75" t="s">
        <v>448</v>
      </c>
      <c r="H22" s="19" t="s">
        <v>229</v>
      </c>
      <c r="I22" s="19">
        <v>20.5</v>
      </c>
      <c r="J22" s="19">
        <f t="shared" si="9"/>
        <v>5.5</v>
      </c>
      <c r="K22" s="19">
        <v>200</v>
      </c>
      <c r="L22" s="36">
        <f t="shared" si="10"/>
        <v>157.692307692308</v>
      </c>
      <c r="M22" s="36">
        <f t="shared" si="11"/>
        <v>42.3076923076923</v>
      </c>
      <c r="N22" s="19">
        <v>22</v>
      </c>
      <c r="O22" s="19">
        <f t="shared" si="12"/>
        <v>31.7307692307692</v>
      </c>
      <c r="P22" s="19">
        <v>0</v>
      </c>
      <c r="Q22" s="19">
        <f t="shared" si="13"/>
        <v>0</v>
      </c>
      <c r="R22" s="19">
        <v>0</v>
      </c>
      <c r="S22" s="19">
        <f t="shared" si="14"/>
        <v>7.88461538461539</v>
      </c>
      <c r="T22" s="19">
        <v>0</v>
      </c>
      <c r="U22" s="19">
        <v>0</v>
      </c>
      <c r="V22" s="19">
        <v>10</v>
      </c>
      <c r="W22" s="19">
        <v>5.5</v>
      </c>
      <c r="X22" s="54">
        <v>8</v>
      </c>
      <c r="Y22" s="19">
        <v>0</v>
      </c>
      <c r="Z22" s="19">
        <v>0</v>
      </c>
      <c r="AA22" s="19">
        <v>0</v>
      </c>
      <c r="AB22" s="36">
        <f t="shared" si="15"/>
        <v>220.807692307693</v>
      </c>
      <c r="AC22" s="19">
        <f>VLOOKUP(B22,[2]Sheet1!$B$2:$N$199,11,0)/4000</f>
        <v>4.287</v>
      </c>
      <c r="AD22" s="19">
        <v>0</v>
      </c>
      <c r="AE22" s="19">
        <f>VLOOKUP(B22,'[1]A03'!$E$7:$L$33,7,0)</f>
        <v>50</v>
      </c>
      <c r="AF22" s="19">
        <f t="shared" si="16"/>
        <v>54.287</v>
      </c>
      <c r="AG22" s="36">
        <f t="shared" si="17"/>
        <v>166.520692307693</v>
      </c>
      <c r="AH22" s="19">
        <v>150</v>
      </c>
      <c r="AI22" s="60">
        <v>38100</v>
      </c>
      <c r="AJ22" s="125"/>
      <c r="AK22" s="34"/>
      <c r="AL22" s="72" t="s">
        <v>505</v>
      </c>
      <c r="AM22" s="73">
        <v>32853</v>
      </c>
      <c r="AN22" s="74" t="s">
        <v>99</v>
      </c>
      <c r="AO22" s="72" t="s">
        <v>164</v>
      </c>
      <c r="AP22" s="74" t="s">
        <v>101</v>
      </c>
      <c r="AQ22" s="74" t="s">
        <v>102</v>
      </c>
      <c r="AR22" s="74" t="s">
        <v>103</v>
      </c>
      <c r="AS22" s="92" t="s">
        <v>506</v>
      </c>
    </row>
    <row r="23" s="5" customFormat="1" ht="24" customHeight="1" spans="1:45">
      <c r="A23" s="19">
        <v>15</v>
      </c>
      <c r="B23" s="75" t="s">
        <v>507</v>
      </c>
      <c r="C23" s="20" t="s">
        <v>508</v>
      </c>
      <c r="D23" s="20" t="s">
        <v>509</v>
      </c>
      <c r="E23" s="21">
        <v>44755</v>
      </c>
      <c r="F23" s="19" t="s">
        <v>96</v>
      </c>
      <c r="G23" s="75" t="s">
        <v>448</v>
      </c>
      <c r="H23" s="19" t="s">
        <v>229</v>
      </c>
      <c r="I23" s="19">
        <v>24</v>
      </c>
      <c r="J23" s="19">
        <f t="shared" si="9"/>
        <v>2</v>
      </c>
      <c r="K23" s="19">
        <v>200</v>
      </c>
      <c r="L23" s="36">
        <f t="shared" si="10"/>
        <v>184.615384615385</v>
      </c>
      <c r="M23" s="36">
        <f t="shared" si="11"/>
        <v>15.3846153846154</v>
      </c>
      <c r="N23" s="19">
        <v>14</v>
      </c>
      <c r="O23" s="19">
        <f t="shared" si="12"/>
        <v>20.1923076923077</v>
      </c>
      <c r="P23" s="19">
        <v>0</v>
      </c>
      <c r="Q23" s="19">
        <f t="shared" si="13"/>
        <v>0</v>
      </c>
      <c r="R23" s="19">
        <v>0</v>
      </c>
      <c r="S23" s="19">
        <f t="shared" si="14"/>
        <v>9.23076923076923</v>
      </c>
      <c r="T23" s="19">
        <v>0</v>
      </c>
      <c r="U23" s="19">
        <v>0</v>
      </c>
      <c r="V23" s="19">
        <v>10</v>
      </c>
      <c r="W23" s="19">
        <v>3.5</v>
      </c>
      <c r="X23" s="54">
        <v>8</v>
      </c>
      <c r="Y23" s="19">
        <v>0</v>
      </c>
      <c r="Z23" s="19">
        <v>0</v>
      </c>
      <c r="AA23" s="19">
        <v>0</v>
      </c>
      <c r="AB23" s="36">
        <f t="shared" si="15"/>
        <v>235.538461538462</v>
      </c>
      <c r="AC23" s="19">
        <f>VLOOKUP(B23,[2]Sheet1!$B$2:$N$199,11,0)/4000</f>
        <v>4.839</v>
      </c>
      <c r="AD23" s="19">
        <v>0</v>
      </c>
      <c r="AE23" s="19">
        <f>VLOOKUP(B23,'[1]A03'!$E$7:$L$33,7,0)</f>
        <v>100</v>
      </c>
      <c r="AF23" s="19">
        <f t="shared" si="16"/>
        <v>104.839</v>
      </c>
      <c r="AG23" s="36">
        <f t="shared" si="17"/>
        <v>130.699461538462</v>
      </c>
      <c r="AH23" s="19">
        <v>150</v>
      </c>
      <c r="AI23" s="60">
        <v>42000</v>
      </c>
      <c r="AJ23" s="125"/>
      <c r="AK23" s="34"/>
      <c r="AL23" s="72" t="s">
        <v>510</v>
      </c>
      <c r="AM23" s="73">
        <v>30719</v>
      </c>
      <c r="AN23" s="74" t="s">
        <v>99</v>
      </c>
      <c r="AO23" s="72" t="s">
        <v>234</v>
      </c>
      <c r="AP23" s="74" t="s">
        <v>101</v>
      </c>
      <c r="AQ23" s="74" t="s">
        <v>102</v>
      </c>
      <c r="AR23" s="74" t="s">
        <v>103</v>
      </c>
      <c r="AS23" s="92" t="s">
        <v>511</v>
      </c>
    </row>
    <row r="24" s="5" customFormat="1" ht="24" customHeight="1" spans="1:45">
      <c r="A24" s="19">
        <v>16</v>
      </c>
      <c r="B24" s="75" t="s">
        <v>512</v>
      </c>
      <c r="C24" s="20" t="s">
        <v>513</v>
      </c>
      <c r="D24" s="20" t="s">
        <v>514</v>
      </c>
      <c r="E24" s="21">
        <v>44755</v>
      </c>
      <c r="F24" s="19" t="s">
        <v>96</v>
      </c>
      <c r="G24" s="75" t="s">
        <v>448</v>
      </c>
      <c r="H24" s="19" t="s">
        <v>229</v>
      </c>
      <c r="I24" s="19">
        <v>22.5</v>
      </c>
      <c r="J24" s="19">
        <f t="shared" si="9"/>
        <v>3.5</v>
      </c>
      <c r="K24" s="19">
        <v>200</v>
      </c>
      <c r="L24" s="36">
        <f t="shared" si="10"/>
        <v>173.076923076923</v>
      </c>
      <c r="M24" s="36">
        <f t="shared" si="11"/>
        <v>26.9230769230769</v>
      </c>
      <c r="N24" s="19">
        <v>22</v>
      </c>
      <c r="O24" s="19">
        <f t="shared" si="12"/>
        <v>31.7307692307692</v>
      </c>
      <c r="P24" s="19">
        <v>0</v>
      </c>
      <c r="Q24" s="19">
        <f t="shared" si="13"/>
        <v>0</v>
      </c>
      <c r="R24" s="19">
        <v>0</v>
      </c>
      <c r="S24" s="19">
        <f t="shared" si="14"/>
        <v>8.65384615384616</v>
      </c>
      <c r="T24" s="19">
        <v>0</v>
      </c>
      <c r="U24" s="19">
        <v>0</v>
      </c>
      <c r="V24" s="19">
        <v>10</v>
      </c>
      <c r="W24" s="19">
        <v>5.5</v>
      </c>
      <c r="X24" s="54">
        <v>8</v>
      </c>
      <c r="Y24" s="19">
        <v>0</v>
      </c>
      <c r="Z24" s="19">
        <v>0</v>
      </c>
      <c r="AA24" s="19">
        <v>0</v>
      </c>
      <c r="AB24" s="36">
        <f t="shared" si="15"/>
        <v>236.961538461538</v>
      </c>
      <c r="AC24" s="19">
        <f>VLOOKUP(B24,[2]Sheet1!$B$2:$N$199,11,0)/4000</f>
        <v>4.287</v>
      </c>
      <c r="AD24" s="19">
        <v>0</v>
      </c>
      <c r="AE24" s="19">
        <f>VLOOKUP(B24,'[1]A03'!$E$7:$L$33,7,0)</f>
        <v>100</v>
      </c>
      <c r="AF24" s="19">
        <f t="shared" si="16"/>
        <v>104.287</v>
      </c>
      <c r="AG24" s="36">
        <f t="shared" si="17"/>
        <v>132.674538461538</v>
      </c>
      <c r="AH24" s="19">
        <v>150</v>
      </c>
      <c r="AI24" s="60">
        <v>68400</v>
      </c>
      <c r="AJ24" s="125"/>
      <c r="AK24" s="34"/>
      <c r="AL24" s="72" t="s">
        <v>515</v>
      </c>
      <c r="AM24" s="73">
        <v>27487</v>
      </c>
      <c r="AN24" s="74" t="s">
        <v>99</v>
      </c>
      <c r="AO24" s="72" t="s">
        <v>164</v>
      </c>
      <c r="AP24" s="74" t="s">
        <v>101</v>
      </c>
      <c r="AQ24" s="74" t="s">
        <v>102</v>
      </c>
      <c r="AR24" s="74" t="s">
        <v>103</v>
      </c>
      <c r="AS24" s="92" t="s">
        <v>516</v>
      </c>
    </row>
    <row r="25" s="5" customFormat="1" ht="24" customHeight="1" spans="1:45">
      <c r="A25" s="19">
        <v>17</v>
      </c>
      <c r="B25" s="75" t="s">
        <v>517</v>
      </c>
      <c r="C25" s="20" t="s">
        <v>518</v>
      </c>
      <c r="D25" s="20" t="s">
        <v>519</v>
      </c>
      <c r="E25" s="21">
        <v>44755</v>
      </c>
      <c r="F25" s="19" t="s">
        <v>96</v>
      </c>
      <c r="G25" s="75" t="s">
        <v>448</v>
      </c>
      <c r="H25" s="19" t="s">
        <v>229</v>
      </c>
      <c r="I25" s="19">
        <v>23.5</v>
      </c>
      <c r="J25" s="19">
        <f t="shared" si="9"/>
        <v>2.5</v>
      </c>
      <c r="K25" s="19">
        <v>200</v>
      </c>
      <c r="L25" s="36">
        <f t="shared" si="10"/>
        <v>180.769230769231</v>
      </c>
      <c r="M25" s="36">
        <f t="shared" si="11"/>
        <v>19.2307692307692</v>
      </c>
      <c r="N25" s="19">
        <v>12</v>
      </c>
      <c r="O25" s="19">
        <f t="shared" si="12"/>
        <v>17.3076923076923</v>
      </c>
      <c r="P25" s="19">
        <v>0</v>
      </c>
      <c r="Q25" s="19">
        <f t="shared" si="13"/>
        <v>0</v>
      </c>
      <c r="R25" s="19">
        <v>0</v>
      </c>
      <c r="S25" s="19">
        <f t="shared" si="14"/>
        <v>9.03846153846154</v>
      </c>
      <c r="T25" s="19">
        <v>0</v>
      </c>
      <c r="U25" s="19">
        <v>0</v>
      </c>
      <c r="V25" s="19">
        <v>10</v>
      </c>
      <c r="W25" s="19">
        <v>3</v>
      </c>
      <c r="X25" s="54">
        <v>8</v>
      </c>
      <c r="Y25" s="19">
        <v>0</v>
      </c>
      <c r="Z25" s="19">
        <v>0</v>
      </c>
      <c r="AA25" s="19">
        <v>0</v>
      </c>
      <c r="AB25" s="36">
        <f t="shared" si="15"/>
        <v>228.115384615385</v>
      </c>
      <c r="AC25" s="19">
        <f>VLOOKUP(B25,[2]Sheet1!$B$2:$N$199,11,0)/4000</f>
        <v>4.1255</v>
      </c>
      <c r="AD25" s="19">
        <v>0</v>
      </c>
      <c r="AE25" s="19">
        <f>VLOOKUP(B25,'[1]A03'!$E$7:$L$33,7,0)</f>
        <v>100</v>
      </c>
      <c r="AF25" s="19">
        <f t="shared" si="16"/>
        <v>104.1255</v>
      </c>
      <c r="AG25" s="36">
        <f t="shared" si="17"/>
        <v>123.989884615385</v>
      </c>
      <c r="AH25" s="19">
        <v>150</v>
      </c>
      <c r="AI25" s="60">
        <v>42000</v>
      </c>
      <c r="AJ25" s="125"/>
      <c r="AK25" s="34"/>
      <c r="AL25" s="72" t="s">
        <v>520</v>
      </c>
      <c r="AM25" s="73">
        <v>33665</v>
      </c>
      <c r="AN25" s="74" t="s">
        <v>99</v>
      </c>
      <c r="AO25" s="72" t="s">
        <v>224</v>
      </c>
      <c r="AP25" s="74" t="s">
        <v>101</v>
      </c>
      <c r="AQ25" s="74" t="s">
        <v>102</v>
      </c>
      <c r="AR25" s="74" t="s">
        <v>103</v>
      </c>
      <c r="AS25" s="92"/>
    </row>
    <row r="26" s="5" customFormat="1" ht="24" customHeight="1" spans="1:45">
      <c r="A26" s="19">
        <v>18</v>
      </c>
      <c r="B26" s="75" t="s">
        <v>521</v>
      </c>
      <c r="C26" s="134" t="s">
        <v>522</v>
      </c>
      <c r="D26" s="20" t="s">
        <v>523</v>
      </c>
      <c r="E26" s="21">
        <v>44835</v>
      </c>
      <c r="F26" s="19" t="s">
        <v>96</v>
      </c>
      <c r="G26" s="75" t="s">
        <v>448</v>
      </c>
      <c r="H26" s="19" t="s">
        <v>229</v>
      </c>
      <c r="I26" s="137">
        <v>20.5</v>
      </c>
      <c r="J26" s="19">
        <f t="shared" si="9"/>
        <v>5.5</v>
      </c>
      <c r="K26" s="19">
        <v>200</v>
      </c>
      <c r="L26" s="36">
        <f t="shared" si="10"/>
        <v>157.692307692308</v>
      </c>
      <c r="M26" s="36">
        <f t="shared" ref="M26:M34" si="18">K26/26*J26</f>
        <v>42.3076923076923</v>
      </c>
      <c r="N26" s="19">
        <v>22</v>
      </c>
      <c r="O26" s="19">
        <f t="shared" si="12"/>
        <v>31.7307692307692</v>
      </c>
      <c r="P26" s="19">
        <v>0</v>
      </c>
      <c r="Q26" s="19">
        <f t="shared" si="13"/>
        <v>0</v>
      </c>
      <c r="R26" s="19">
        <v>0</v>
      </c>
      <c r="S26" s="19">
        <f t="shared" si="14"/>
        <v>7.88461538461539</v>
      </c>
      <c r="T26" s="19">
        <v>0</v>
      </c>
      <c r="U26" s="19">
        <v>0</v>
      </c>
      <c r="V26" s="19">
        <v>10</v>
      </c>
      <c r="W26" s="19">
        <v>5.5</v>
      </c>
      <c r="X26" s="54">
        <v>8</v>
      </c>
      <c r="Y26" s="19">
        <v>0</v>
      </c>
      <c r="Z26" s="19">
        <f>VLOOKUP(B26,'[3]Annual Leave '!$B$7:$Q$98,13,0)</f>
        <v>34.93</v>
      </c>
      <c r="AA26" s="19">
        <f>VLOOKUP(B26,'[3]Annual Leave '!$B$7:$Q$98,15,0)</f>
        <v>40.2994637573964</v>
      </c>
      <c r="AB26" s="36">
        <f t="shared" si="15"/>
        <v>296.037156065089</v>
      </c>
      <c r="AC26" s="19">
        <f>VLOOKUP(B26,[2]Sheet1!$B$2:$N$199,11,0)/4000</f>
        <v>4.718</v>
      </c>
      <c r="AD26" s="19">
        <v>0</v>
      </c>
      <c r="AE26" s="19">
        <f>VLOOKUP(B26,'[1]A03'!$E$7:$L$33,7,0)</f>
        <v>50</v>
      </c>
      <c r="AF26" s="19">
        <f t="shared" si="16"/>
        <v>54.718</v>
      </c>
      <c r="AG26" s="36">
        <f t="shared" si="17"/>
        <v>241.319156065089</v>
      </c>
      <c r="AH26" s="19"/>
      <c r="AI26" s="60"/>
      <c r="AJ26" s="125"/>
      <c r="AK26" s="34"/>
      <c r="AL26" s="77" t="s">
        <v>524</v>
      </c>
      <c r="AM26" s="208">
        <v>32270</v>
      </c>
      <c r="AN26" s="74" t="s">
        <v>99</v>
      </c>
      <c r="AO26" s="72" t="s">
        <v>525</v>
      </c>
      <c r="AP26" s="74" t="s">
        <v>101</v>
      </c>
      <c r="AQ26" s="74" t="s">
        <v>102</v>
      </c>
      <c r="AR26" s="74" t="s">
        <v>103</v>
      </c>
      <c r="AS26" s="77" t="s">
        <v>526</v>
      </c>
    </row>
    <row r="27" s="5" customFormat="1" ht="24" customHeight="1" spans="1:45">
      <c r="A27" s="19">
        <v>19</v>
      </c>
      <c r="B27" s="75" t="s">
        <v>527</v>
      </c>
      <c r="C27" s="20" t="s">
        <v>528</v>
      </c>
      <c r="D27" s="20" t="s">
        <v>529</v>
      </c>
      <c r="E27" s="21">
        <v>44889</v>
      </c>
      <c r="F27" s="19" t="s">
        <v>96</v>
      </c>
      <c r="G27" s="75" t="s">
        <v>448</v>
      </c>
      <c r="H27" s="19" t="s">
        <v>229</v>
      </c>
      <c r="I27" s="19">
        <v>20.5</v>
      </c>
      <c r="J27" s="19">
        <f t="shared" si="9"/>
        <v>5.5</v>
      </c>
      <c r="K27" s="19">
        <v>200</v>
      </c>
      <c r="L27" s="36">
        <f t="shared" si="10"/>
        <v>157.692307692308</v>
      </c>
      <c r="M27" s="36">
        <f t="shared" si="18"/>
        <v>42.3076923076923</v>
      </c>
      <c r="N27" s="19">
        <v>22</v>
      </c>
      <c r="O27" s="19">
        <f t="shared" si="12"/>
        <v>31.7307692307692</v>
      </c>
      <c r="P27" s="19">
        <v>0</v>
      </c>
      <c r="Q27" s="19">
        <f t="shared" si="13"/>
        <v>0</v>
      </c>
      <c r="R27" s="19">
        <v>0</v>
      </c>
      <c r="S27" s="19">
        <f t="shared" si="14"/>
        <v>7.88461538461539</v>
      </c>
      <c r="T27" s="19">
        <v>0</v>
      </c>
      <c r="U27" s="19">
        <v>0</v>
      </c>
      <c r="V27" s="19">
        <v>10</v>
      </c>
      <c r="W27" s="19">
        <v>5.5</v>
      </c>
      <c r="X27" s="54">
        <v>8</v>
      </c>
      <c r="Y27" s="19">
        <v>0</v>
      </c>
      <c r="Z27" s="19">
        <v>0</v>
      </c>
      <c r="AA27" s="19">
        <v>0</v>
      </c>
      <c r="AB27" s="36">
        <f t="shared" si="15"/>
        <v>220.807692307693</v>
      </c>
      <c r="AC27" s="19">
        <f>VLOOKUP(B27,[2]Sheet1!$B$2:$N$199,11,0)/4000</f>
        <v>4.4485</v>
      </c>
      <c r="AD27" s="19">
        <v>0</v>
      </c>
      <c r="AE27" s="19">
        <f>VLOOKUP(B27,'[1]A03'!$E$7:$L$33,7,0)</f>
        <v>50</v>
      </c>
      <c r="AF27" s="19">
        <f t="shared" si="16"/>
        <v>54.4485</v>
      </c>
      <c r="AG27" s="36">
        <f t="shared" si="17"/>
        <v>166.359192307693</v>
      </c>
      <c r="AH27" s="19">
        <v>150</v>
      </c>
      <c r="AI27" s="60">
        <v>68400</v>
      </c>
      <c r="AJ27" s="125"/>
      <c r="AK27" s="34"/>
      <c r="AL27" s="72">
        <v>101233390</v>
      </c>
      <c r="AM27" s="73">
        <v>31093</v>
      </c>
      <c r="AN27" s="74" t="s">
        <v>99</v>
      </c>
      <c r="AO27" s="72" t="s">
        <v>530</v>
      </c>
      <c r="AP27" s="74" t="s">
        <v>101</v>
      </c>
      <c r="AQ27" s="74" t="s">
        <v>102</v>
      </c>
      <c r="AR27" s="74" t="s">
        <v>103</v>
      </c>
      <c r="AS27" s="92"/>
    </row>
    <row r="28" s="5" customFormat="1" ht="24" customHeight="1" spans="1:45">
      <c r="A28" s="19">
        <v>20</v>
      </c>
      <c r="B28" s="75" t="s">
        <v>531</v>
      </c>
      <c r="C28" s="20" t="s">
        <v>532</v>
      </c>
      <c r="D28" s="20" t="s">
        <v>533</v>
      </c>
      <c r="E28" s="21">
        <v>44889</v>
      </c>
      <c r="F28" s="19" t="s">
        <v>96</v>
      </c>
      <c r="G28" s="75" t="s">
        <v>448</v>
      </c>
      <c r="H28" s="19" t="s">
        <v>229</v>
      </c>
      <c r="I28" s="19">
        <v>20.5</v>
      </c>
      <c r="J28" s="19">
        <f t="shared" si="9"/>
        <v>5.5</v>
      </c>
      <c r="K28" s="19">
        <v>200</v>
      </c>
      <c r="L28" s="36">
        <f t="shared" si="10"/>
        <v>157.692307692308</v>
      </c>
      <c r="M28" s="36">
        <f t="shared" si="18"/>
        <v>42.3076923076923</v>
      </c>
      <c r="N28" s="19">
        <v>22</v>
      </c>
      <c r="O28" s="19">
        <f t="shared" si="12"/>
        <v>31.7307692307692</v>
      </c>
      <c r="P28" s="19">
        <v>0</v>
      </c>
      <c r="Q28" s="19">
        <f t="shared" si="13"/>
        <v>0</v>
      </c>
      <c r="R28" s="19">
        <v>0</v>
      </c>
      <c r="S28" s="19">
        <f t="shared" si="14"/>
        <v>7.88461538461539</v>
      </c>
      <c r="T28" s="19">
        <v>0</v>
      </c>
      <c r="U28" s="19">
        <v>0</v>
      </c>
      <c r="V28" s="19">
        <v>10</v>
      </c>
      <c r="W28" s="19">
        <v>5.5</v>
      </c>
      <c r="X28" s="54">
        <v>8</v>
      </c>
      <c r="Y28" s="19">
        <v>0</v>
      </c>
      <c r="Z28" s="19">
        <v>0</v>
      </c>
      <c r="AA28" s="19">
        <v>0</v>
      </c>
      <c r="AB28" s="36">
        <f t="shared" si="15"/>
        <v>220.807692307693</v>
      </c>
      <c r="AC28" s="19">
        <f>VLOOKUP(B28,[2]Sheet1!$B$2:$N$199,11,0)/4000</f>
        <v>4.67575</v>
      </c>
      <c r="AD28" s="19">
        <v>0</v>
      </c>
      <c r="AE28" s="19">
        <f>VLOOKUP(B28,'[1]A03'!$E$7:$L$33,7,0)</f>
        <v>50</v>
      </c>
      <c r="AF28" s="19">
        <f t="shared" si="16"/>
        <v>54.67575</v>
      </c>
      <c r="AG28" s="36">
        <f t="shared" si="17"/>
        <v>166.131942307693</v>
      </c>
      <c r="AH28" s="19">
        <v>150</v>
      </c>
      <c r="AI28" s="60">
        <v>42000</v>
      </c>
      <c r="AJ28" s="125"/>
      <c r="AK28" s="34"/>
      <c r="AL28" s="238" t="s">
        <v>534</v>
      </c>
      <c r="AM28" s="73">
        <v>32143</v>
      </c>
      <c r="AN28" s="74" t="s">
        <v>99</v>
      </c>
      <c r="AO28" s="72" t="s">
        <v>535</v>
      </c>
      <c r="AP28" s="74" t="s">
        <v>101</v>
      </c>
      <c r="AQ28" s="74" t="s">
        <v>102</v>
      </c>
      <c r="AR28" s="74" t="s">
        <v>103</v>
      </c>
      <c r="AS28" s="92"/>
    </row>
    <row r="29" s="5" customFormat="1" ht="24" customHeight="1" spans="1:45">
      <c r="A29" s="19">
        <v>21</v>
      </c>
      <c r="B29" s="75" t="s">
        <v>536</v>
      </c>
      <c r="C29" s="80" t="s">
        <v>537</v>
      </c>
      <c r="D29" s="20" t="s">
        <v>538</v>
      </c>
      <c r="E29" s="21">
        <v>44889</v>
      </c>
      <c r="F29" s="19" t="s">
        <v>96</v>
      </c>
      <c r="G29" s="75" t="s">
        <v>448</v>
      </c>
      <c r="H29" s="19" t="s">
        <v>229</v>
      </c>
      <c r="I29" s="137">
        <v>22.5</v>
      </c>
      <c r="J29" s="19">
        <f t="shared" si="9"/>
        <v>3.5</v>
      </c>
      <c r="K29" s="19">
        <v>200</v>
      </c>
      <c r="L29" s="36">
        <f t="shared" si="10"/>
        <v>173.076923076923</v>
      </c>
      <c r="M29" s="36">
        <f t="shared" si="18"/>
        <v>26.9230769230769</v>
      </c>
      <c r="N29" s="19">
        <v>22</v>
      </c>
      <c r="O29" s="19">
        <f t="shared" si="12"/>
        <v>31.7307692307692</v>
      </c>
      <c r="P29" s="19">
        <v>0</v>
      </c>
      <c r="Q29" s="19">
        <f t="shared" si="13"/>
        <v>0</v>
      </c>
      <c r="R29" s="19">
        <v>0</v>
      </c>
      <c r="S29" s="19">
        <f t="shared" si="14"/>
        <v>8.65384615384616</v>
      </c>
      <c r="T29" s="19">
        <v>0</v>
      </c>
      <c r="U29" s="19">
        <v>0</v>
      </c>
      <c r="V29" s="19">
        <v>10</v>
      </c>
      <c r="W29" s="19">
        <v>5.5</v>
      </c>
      <c r="X29" s="54">
        <v>8</v>
      </c>
      <c r="Y29" s="19">
        <v>0</v>
      </c>
      <c r="Z29" s="19">
        <v>0</v>
      </c>
      <c r="AA29" s="19">
        <v>0</v>
      </c>
      <c r="AB29" s="36">
        <f t="shared" si="15"/>
        <v>236.961538461538</v>
      </c>
      <c r="AC29" s="19">
        <f>VLOOKUP(B29,[2]Sheet1!$B$2:$N$199,11,0)/4000</f>
        <v>4.24875</v>
      </c>
      <c r="AD29" s="19">
        <v>0</v>
      </c>
      <c r="AE29" s="19">
        <f>VLOOKUP(B29,'[1]A03'!$E$7:$L$33,7,0)</f>
        <v>100</v>
      </c>
      <c r="AF29" s="19">
        <f t="shared" si="16"/>
        <v>104.24875</v>
      </c>
      <c r="AG29" s="36">
        <f t="shared" si="17"/>
        <v>132.712788461538</v>
      </c>
      <c r="AH29" s="19"/>
      <c r="AI29" s="60"/>
      <c r="AJ29" s="125"/>
      <c r="AK29" s="34"/>
      <c r="AL29" s="238" t="s">
        <v>539</v>
      </c>
      <c r="AM29" s="73">
        <v>31662</v>
      </c>
      <c r="AN29" s="74" t="s">
        <v>99</v>
      </c>
      <c r="AO29" s="72" t="s">
        <v>530</v>
      </c>
      <c r="AP29" s="74" t="s">
        <v>101</v>
      </c>
      <c r="AQ29" s="74" t="s">
        <v>102</v>
      </c>
      <c r="AR29" s="74" t="s">
        <v>103</v>
      </c>
      <c r="AS29" s="72"/>
    </row>
    <row r="30" s="5" customFormat="1" ht="24" customHeight="1" spans="1:45">
      <c r="A30" s="19">
        <v>22</v>
      </c>
      <c r="B30" s="75" t="s">
        <v>540</v>
      </c>
      <c r="C30" s="81" t="s">
        <v>541</v>
      </c>
      <c r="D30" s="20" t="s">
        <v>542</v>
      </c>
      <c r="E30" s="21">
        <v>44897</v>
      </c>
      <c r="F30" s="19" t="s">
        <v>96</v>
      </c>
      <c r="G30" s="75" t="s">
        <v>448</v>
      </c>
      <c r="H30" s="19" t="s">
        <v>229</v>
      </c>
      <c r="I30" s="19">
        <v>20.5</v>
      </c>
      <c r="J30" s="19">
        <f t="shared" si="9"/>
        <v>5.5</v>
      </c>
      <c r="K30" s="19">
        <v>200</v>
      </c>
      <c r="L30" s="36">
        <f t="shared" si="10"/>
        <v>157.692307692308</v>
      </c>
      <c r="M30" s="36">
        <f t="shared" si="18"/>
        <v>42.3076923076923</v>
      </c>
      <c r="N30" s="19">
        <v>22</v>
      </c>
      <c r="O30" s="19">
        <f t="shared" si="12"/>
        <v>31.7307692307692</v>
      </c>
      <c r="P30" s="19">
        <v>0</v>
      </c>
      <c r="Q30" s="19">
        <f t="shared" si="13"/>
        <v>0</v>
      </c>
      <c r="R30" s="19">
        <v>0</v>
      </c>
      <c r="S30" s="19">
        <f t="shared" si="14"/>
        <v>7.88461538461539</v>
      </c>
      <c r="T30" s="19">
        <v>0</v>
      </c>
      <c r="U30" s="19">
        <v>0</v>
      </c>
      <c r="V30" s="19">
        <v>10</v>
      </c>
      <c r="W30" s="19">
        <v>5.5</v>
      </c>
      <c r="X30" s="54">
        <v>8</v>
      </c>
      <c r="Y30" s="19">
        <v>0</v>
      </c>
      <c r="Z30" s="19">
        <v>0</v>
      </c>
      <c r="AA30" s="19">
        <v>0</v>
      </c>
      <c r="AB30" s="36">
        <f t="shared" si="15"/>
        <v>220.807692307693</v>
      </c>
      <c r="AC30" s="19">
        <f>VLOOKUP(B30,[2]Sheet1!$B$2:$N$199,11,0)/4000</f>
        <v>4.05775</v>
      </c>
      <c r="AD30" s="19">
        <v>0</v>
      </c>
      <c r="AE30" s="19">
        <f>VLOOKUP(B30,'[1]A03'!$E$7:$L$33,7,0)</f>
        <v>50</v>
      </c>
      <c r="AF30" s="19">
        <f t="shared" si="16"/>
        <v>54.05775</v>
      </c>
      <c r="AG30" s="36">
        <f t="shared" si="17"/>
        <v>166.749942307693</v>
      </c>
      <c r="AH30" s="19">
        <v>150</v>
      </c>
      <c r="AI30" s="60">
        <v>68400</v>
      </c>
      <c r="AJ30" s="125"/>
      <c r="AK30" s="34"/>
      <c r="AL30" s="72" t="s">
        <v>543</v>
      </c>
      <c r="AM30" s="73">
        <v>33125</v>
      </c>
      <c r="AN30" s="74" t="s">
        <v>99</v>
      </c>
      <c r="AO30" s="72" t="s">
        <v>535</v>
      </c>
      <c r="AP30" s="74" t="s">
        <v>101</v>
      </c>
      <c r="AQ30" s="74" t="s">
        <v>102</v>
      </c>
      <c r="AR30" s="74" t="s">
        <v>103</v>
      </c>
      <c r="AS30" s="72" t="s">
        <v>544</v>
      </c>
    </row>
    <row r="31" s="5" customFormat="1" ht="24" customHeight="1" spans="1:45">
      <c r="A31" s="19">
        <v>23</v>
      </c>
      <c r="B31" s="75" t="s">
        <v>545</v>
      </c>
      <c r="C31" s="134" t="s">
        <v>546</v>
      </c>
      <c r="D31" s="20" t="s">
        <v>547</v>
      </c>
      <c r="E31" s="21">
        <v>44897</v>
      </c>
      <c r="F31" s="19" t="s">
        <v>96</v>
      </c>
      <c r="G31" s="75" t="s">
        <v>448</v>
      </c>
      <c r="H31" s="19" t="s">
        <v>229</v>
      </c>
      <c r="I31" s="137">
        <v>20.5</v>
      </c>
      <c r="J31" s="19">
        <f t="shared" si="9"/>
        <v>5.5</v>
      </c>
      <c r="K31" s="19">
        <v>200</v>
      </c>
      <c r="L31" s="36">
        <f t="shared" si="10"/>
        <v>157.692307692308</v>
      </c>
      <c r="M31" s="36">
        <f t="shared" si="18"/>
        <v>42.3076923076923</v>
      </c>
      <c r="N31" s="19">
        <v>22</v>
      </c>
      <c r="O31" s="19">
        <f t="shared" si="12"/>
        <v>31.7307692307692</v>
      </c>
      <c r="P31" s="19">
        <v>0</v>
      </c>
      <c r="Q31" s="19">
        <f t="shared" si="13"/>
        <v>0</v>
      </c>
      <c r="R31" s="19">
        <v>0</v>
      </c>
      <c r="S31" s="19">
        <f t="shared" si="14"/>
        <v>7.88461538461539</v>
      </c>
      <c r="T31" s="19">
        <v>0</v>
      </c>
      <c r="U31" s="19">
        <v>0</v>
      </c>
      <c r="V31" s="19">
        <v>10</v>
      </c>
      <c r="W31" s="19">
        <v>5.5</v>
      </c>
      <c r="X31" s="54">
        <v>8</v>
      </c>
      <c r="Y31" s="19">
        <v>0</v>
      </c>
      <c r="Z31" s="19">
        <v>0</v>
      </c>
      <c r="AA31" s="19">
        <v>0</v>
      </c>
      <c r="AB31" s="36">
        <f t="shared" si="15"/>
        <v>220.807692307693</v>
      </c>
      <c r="AC31" s="19">
        <f>VLOOKUP(B31,[2]Sheet1!$B$2:$N$199,11,0)/4000</f>
        <v>4.05775</v>
      </c>
      <c r="AD31" s="19">
        <v>0</v>
      </c>
      <c r="AE31" s="19">
        <f>VLOOKUP(B31,'[1]A03'!$E$7:$L$33,7,0)</f>
        <v>50</v>
      </c>
      <c r="AF31" s="19">
        <f t="shared" si="16"/>
        <v>54.05775</v>
      </c>
      <c r="AG31" s="36">
        <f t="shared" si="17"/>
        <v>166.749942307693</v>
      </c>
      <c r="AH31" s="19"/>
      <c r="AI31" s="60"/>
      <c r="AJ31" s="125"/>
      <c r="AK31" s="34"/>
      <c r="AL31" s="77">
        <v>100798894</v>
      </c>
      <c r="AM31" s="208">
        <v>30691</v>
      </c>
      <c r="AN31" s="74" t="s">
        <v>99</v>
      </c>
      <c r="AO31" s="72" t="s">
        <v>535</v>
      </c>
      <c r="AP31" s="74" t="s">
        <v>102</v>
      </c>
      <c r="AQ31" s="74" t="s">
        <v>102</v>
      </c>
      <c r="AR31" s="74" t="s">
        <v>103</v>
      </c>
      <c r="AS31" s="77"/>
    </row>
    <row r="32" s="5" customFormat="1" ht="24" customHeight="1" spans="1:45">
      <c r="A32" s="19">
        <v>24</v>
      </c>
      <c r="B32" s="75" t="s">
        <v>548</v>
      </c>
      <c r="C32" s="20" t="s">
        <v>549</v>
      </c>
      <c r="D32" s="20" t="s">
        <v>550</v>
      </c>
      <c r="E32" s="21">
        <v>44897</v>
      </c>
      <c r="F32" s="19" t="s">
        <v>96</v>
      </c>
      <c r="G32" s="75" t="s">
        <v>448</v>
      </c>
      <c r="H32" s="19" t="s">
        <v>229</v>
      </c>
      <c r="I32" s="19">
        <v>26</v>
      </c>
      <c r="J32" s="19">
        <f t="shared" si="9"/>
        <v>0</v>
      </c>
      <c r="K32" s="19">
        <v>200</v>
      </c>
      <c r="L32" s="36">
        <f t="shared" si="10"/>
        <v>200</v>
      </c>
      <c r="M32" s="36">
        <f t="shared" si="18"/>
        <v>0</v>
      </c>
      <c r="N32" s="19">
        <v>18</v>
      </c>
      <c r="O32" s="19">
        <f t="shared" si="12"/>
        <v>25.9615384615385</v>
      </c>
      <c r="P32" s="19">
        <v>0</v>
      </c>
      <c r="Q32" s="19">
        <f t="shared" si="13"/>
        <v>0</v>
      </c>
      <c r="R32" s="19">
        <v>0</v>
      </c>
      <c r="S32" s="19">
        <f t="shared" si="14"/>
        <v>10</v>
      </c>
      <c r="T32" s="19">
        <v>0</v>
      </c>
      <c r="U32" s="19">
        <v>0</v>
      </c>
      <c r="V32" s="19">
        <v>10</v>
      </c>
      <c r="W32" s="19">
        <v>4.5</v>
      </c>
      <c r="X32" s="54">
        <v>8</v>
      </c>
      <c r="Y32" s="19">
        <v>0</v>
      </c>
      <c r="Z32" s="19">
        <v>0</v>
      </c>
      <c r="AA32" s="19">
        <v>0</v>
      </c>
      <c r="AB32" s="36">
        <f t="shared" si="15"/>
        <v>258.461538461539</v>
      </c>
      <c r="AC32" s="19">
        <f>VLOOKUP(B32,[2]Sheet1!$B$2:$N$199,11,0)/4000</f>
        <v>4.5685</v>
      </c>
      <c r="AD32" s="19">
        <v>0</v>
      </c>
      <c r="AE32" s="19">
        <f>VLOOKUP(B32,'[1]A03'!$E$7:$L$33,7,0)</f>
        <v>100</v>
      </c>
      <c r="AF32" s="19">
        <f t="shared" si="16"/>
        <v>104.5685</v>
      </c>
      <c r="AG32" s="36">
        <f t="shared" si="17"/>
        <v>153.893038461539</v>
      </c>
      <c r="AH32" s="19">
        <v>150</v>
      </c>
      <c r="AI32" s="60">
        <v>68400</v>
      </c>
      <c r="AJ32" s="125"/>
      <c r="AK32" s="34"/>
      <c r="AL32" s="72">
        <v>100828199</v>
      </c>
      <c r="AM32" s="73">
        <v>31431</v>
      </c>
      <c r="AN32" s="74" t="s">
        <v>99</v>
      </c>
      <c r="AO32" s="72" t="s">
        <v>535</v>
      </c>
      <c r="AP32" s="74" t="s">
        <v>102</v>
      </c>
      <c r="AQ32" s="74" t="s">
        <v>102</v>
      </c>
      <c r="AR32" s="74" t="s">
        <v>103</v>
      </c>
      <c r="AS32" s="92"/>
    </row>
    <row r="33" s="5" customFormat="1" ht="24" customHeight="1" spans="1:45">
      <c r="A33" s="19">
        <v>25</v>
      </c>
      <c r="B33" s="75" t="s">
        <v>551</v>
      </c>
      <c r="C33" s="20" t="s">
        <v>552</v>
      </c>
      <c r="D33" s="20" t="s">
        <v>553</v>
      </c>
      <c r="E33" s="21">
        <v>44909</v>
      </c>
      <c r="F33" s="19" t="s">
        <v>96</v>
      </c>
      <c r="G33" s="75" t="s">
        <v>448</v>
      </c>
      <c r="H33" s="19" t="s">
        <v>229</v>
      </c>
      <c r="I33" s="19">
        <v>23</v>
      </c>
      <c r="J33" s="19">
        <f t="shared" si="9"/>
        <v>3</v>
      </c>
      <c r="K33" s="19">
        <v>200</v>
      </c>
      <c r="L33" s="36">
        <f t="shared" si="10"/>
        <v>176.923076923077</v>
      </c>
      <c r="M33" s="36">
        <f t="shared" si="18"/>
        <v>23.0769230769231</v>
      </c>
      <c r="N33" s="19">
        <v>8</v>
      </c>
      <c r="O33" s="19">
        <f t="shared" si="12"/>
        <v>11.5384615384615</v>
      </c>
      <c r="P33" s="19">
        <v>0</v>
      </c>
      <c r="Q33" s="19">
        <f t="shared" si="13"/>
        <v>0</v>
      </c>
      <c r="R33" s="19">
        <v>0</v>
      </c>
      <c r="S33" s="19">
        <f t="shared" si="14"/>
        <v>8.84615384615385</v>
      </c>
      <c r="T33" s="19">
        <v>0</v>
      </c>
      <c r="U33" s="19">
        <v>0</v>
      </c>
      <c r="V33" s="19">
        <v>10</v>
      </c>
      <c r="W33" s="19">
        <v>2</v>
      </c>
      <c r="X33" s="54">
        <v>8</v>
      </c>
      <c r="Y33" s="19">
        <v>0</v>
      </c>
      <c r="Z33" s="19">
        <v>0</v>
      </c>
      <c r="AA33" s="19">
        <v>0</v>
      </c>
      <c r="AB33" s="36">
        <f t="shared" si="15"/>
        <v>217.307692307692</v>
      </c>
      <c r="AC33" s="19">
        <v>0</v>
      </c>
      <c r="AD33" s="19">
        <v>0</v>
      </c>
      <c r="AE33" s="19">
        <f>VLOOKUP(B33,'[1]A03'!$E$7:$L$33,7,0)</f>
        <v>100</v>
      </c>
      <c r="AF33" s="19">
        <f t="shared" si="16"/>
        <v>100</v>
      </c>
      <c r="AG33" s="36">
        <f t="shared" si="17"/>
        <v>117.307692307692</v>
      </c>
      <c r="AH33" s="19">
        <v>150</v>
      </c>
      <c r="AI33" s="60">
        <v>42000</v>
      </c>
      <c r="AJ33" s="125"/>
      <c r="AK33" s="34"/>
      <c r="AL33" s="72">
        <v>101364929</v>
      </c>
      <c r="AM33" s="73">
        <v>30001</v>
      </c>
      <c r="AN33" s="74" t="s">
        <v>99</v>
      </c>
      <c r="AO33" s="72" t="s">
        <v>525</v>
      </c>
      <c r="AP33" s="74" t="s">
        <v>102</v>
      </c>
      <c r="AQ33" s="74" t="s">
        <v>102</v>
      </c>
      <c r="AR33" s="74" t="s">
        <v>103</v>
      </c>
      <c r="AS33" s="92"/>
    </row>
    <row r="34" s="5" customFormat="1" ht="24" customHeight="1" spans="1:45">
      <c r="A34" s="19">
        <v>26</v>
      </c>
      <c r="B34" s="75" t="s">
        <v>554</v>
      </c>
      <c r="C34" s="134" t="s">
        <v>555</v>
      </c>
      <c r="D34" s="20" t="s">
        <v>556</v>
      </c>
      <c r="E34" s="21">
        <v>44909</v>
      </c>
      <c r="F34" s="19" t="s">
        <v>96</v>
      </c>
      <c r="G34" s="75" t="s">
        <v>448</v>
      </c>
      <c r="H34" s="19" t="s">
        <v>229</v>
      </c>
      <c r="I34" s="137">
        <v>20.5</v>
      </c>
      <c r="J34" s="19">
        <f t="shared" si="9"/>
        <v>5.5</v>
      </c>
      <c r="K34" s="19">
        <v>200</v>
      </c>
      <c r="L34" s="36">
        <f t="shared" si="10"/>
        <v>157.692307692308</v>
      </c>
      <c r="M34" s="36">
        <f t="shared" si="18"/>
        <v>42.3076923076923</v>
      </c>
      <c r="N34" s="19">
        <v>20</v>
      </c>
      <c r="O34" s="19">
        <f t="shared" si="12"/>
        <v>28.8461538461538</v>
      </c>
      <c r="P34" s="19">
        <v>0</v>
      </c>
      <c r="Q34" s="19">
        <f t="shared" si="13"/>
        <v>0</v>
      </c>
      <c r="R34" s="19">
        <v>0</v>
      </c>
      <c r="S34" s="19">
        <f t="shared" si="14"/>
        <v>7.88461538461539</v>
      </c>
      <c r="T34" s="19">
        <v>0</v>
      </c>
      <c r="U34" s="19">
        <v>0</v>
      </c>
      <c r="V34" s="19">
        <v>10</v>
      </c>
      <c r="W34" s="19">
        <v>5</v>
      </c>
      <c r="X34" s="54">
        <v>8</v>
      </c>
      <c r="Y34" s="19">
        <v>0</v>
      </c>
      <c r="Z34" s="19">
        <v>0</v>
      </c>
      <c r="AA34" s="19">
        <v>0</v>
      </c>
      <c r="AB34" s="36">
        <f t="shared" si="15"/>
        <v>217.423076923077</v>
      </c>
      <c r="AC34" s="19">
        <v>0</v>
      </c>
      <c r="AD34" s="19">
        <v>0</v>
      </c>
      <c r="AE34" s="19">
        <f>VLOOKUP(B34,'[1]A03'!$E$7:$L$33,7,0)</f>
        <v>50</v>
      </c>
      <c r="AF34" s="19">
        <f t="shared" si="16"/>
        <v>50</v>
      </c>
      <c r="AG34" s="36">
        <f t="shared" si="17"/>
        <v>167.423076923077</v>
      </c>
      <c r="AH34" s="19"/>
      <c r="AI34" s="60"/>
      <c r="AJ34" s="125"/>
      <c r="AK34" s="34"/>
      <c r="AL34" s="72">
        <v>101240050</v>
      </c>
      <c r="AM34" s="73">
        <v>30002</v>
      </c>
      <c r="AN34" s="74" t="s">
        <v>99</v>
      </c>
      <c r="AO34" s="72" t="s">
        <v>535</v>
      </c>
      <c r="AP34" s="74" t="s">
        <v>102</v>
      </c>
      <c r="AQ34" s="74" t="s">
        <v>102</v>
      </c>
      <c r="AR34" s="74" t="s">
        <v>103</v>
      </c>
      <c r="AS34" s="72"/>
    </row>
    <row r="35" ht="23" customHeight="1" spans="1:37">
      <c r="A35" s="176" t="s">
        <v>557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8"/>
      <c r="L35" s="190">
        <f>SUM(L9:L34)</f>
        <v>4357.69230769231</v>
      </c>
      <c r="M35" s="190"/>
      <c r="N35" s="191">
        <f t="shared" ref="N35:W35" si="19">SUM(N9:N34)</f>
        <v>418</v>
      </c>
      <c r="O35" s="191">
        <f t="shared" si="19"/>
        <v>602.884615384615</v>
      </c>
      <c r="P35" s="191">
        <f t="shared" si="19"/>
        <v>0</v>
      </c>
      <c r="Q35" s="191">
        <f t="shared" si="19"/>
        <v>0</v>
      </c>
      <c r="R35" s="191">
        <f t="shared" si="19"/>
        <v>0</v>
      </c>
      <c r="S35" s="191">
        <f t="shared" si="19"/>
        <v>217.884615384615</v>
      </c>
      <c r="T35" s="192">
        <f t="shared" si="19"/>
        <v>30</v>
      </c>
      <c r="U35" s="192">
        <f t="shared" si="19"/>
        <v>20</v>
      </c>
      <c r="V35" s="192">
        <f t="shared" si="19"/>
        <v>260</v>
      </c>
      <c r="W35" s="191">
        <f t="shared" si="19"/>
        <v>104.5</v>
      </c>
      <c r="X35" s="192">
        <f t="shared" ref="X35:AG35" si="20">SUM(X9:X34)</f>
        <v>208</v>
      </c>
      <c r="Y35" s="190">
        <f t="shared" si="20"/>
        <v>0</v>
      </c>
      <c r="Z35" s="190">
        <f t="shared" si="20"/>
        <v>437.8</v>
      </c>
      <c r="AA35" s="190">
        <f t="shared" si="20"/>
        <v>207.064503205128</v>
      </c>
      <c r="AB35" s="190">
        <f t="shared" si="20"/>
        <v>6445.82604166667</v>
      </c>
      <c r="AC35" s="191">
        <f t="shared" si="20"/>
        <v>104.51675</v>
      </c>
      <c r="AD35" s="190">
        <f t="shared" si="20"/>
        <v>0</v>
      </c>
      <c r="AE35" s="192">
        <f t="shared" si="20"/>
        <v>1800</v>
      </c>
      <c r="AF35" s="190">
        <f t="shared" si="20"/>
        <v>1904.51675</v>
      </c>
      <c r="AG35" s="190">
        <f t="shared" si="20"/>
        <v>4541.30929166667</v>
      </c>
      <c r="AH35" s="78">
        <f>SUM(AH9:AH33)</f>
        <v>3370</v>
      </c>
      <c r="AI35" s="209">
        <f>SUM(AI9:AI33)</f>
        <v>1068300</v>
      </c>
      <c r="AJ35" s="180"/>
      <c r="AK35" s="210"/>
    </row>
  </sheetData>
  <autoFilter ref="A8:AY35">
    <extLst/>
  </autoFilter>
  <mergeCells count="32">
    <mergeCell ref="A1:AJ1"/>
    <mergeCell ref="A2:AJ2"/>
    <mergeCell ref="A3:AJ3"/>
    <mergeCell ref="A4:AJ4"/>
    <mergeCell ref="A5:C5"/>
    <mergeCell ref="F5:L5"/>
    <mergeCell ref="AF5:AJ5"/>
    <mergeCell ref="N7:Q7"/>
    <mergeCell ref="A35:K3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ignoredErrors>
    <ignoredError sqref="AE9:AE34" emptyCellReferenc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Y33"/>
  <sheetViews>
    <sheetView zoomScale="145" zoomScaleNormal="145" topLeftCell="A21" workbookViewId="0">
      <selection activeCell="P11" sqref="P11"/>
    </sheetView>
  </sheetViews>
  <sheetFormatPr defaultColWidth="9" defaultRowHeight="13.5"/>
  <cols>
    <col min="1" max="1" width="3.03333333333333" style="6" customWidth="1"/>
    <col min="2" max="2" width="5.43333333333333" style="6" customWidth="1"/>
    <col min="3" max="4" width="6.89166666666667" style="170" customWidth="1"/>
    <col min="5" max="5" width="6.625" style="6" customWidth="1"/>
    <col min="6" max="6" width="2.84166666666667" style="6" customWidth="1"/>
    <col min="7" max="7" width="3.03333333333333" style="6" customWidth="1"/>
    <col min="8" max="8" width="3.8" style="6" customWidth="1"/>
    <col min="9" max="9" width="3.53333333333333" style="6" customWidth="1"/>
    <col min="10" max="10" width="2.75833333333333" style="6" customWidth="1"/>
    <col min="11" max="11" width="3.69166666666667" style="6" customWidth="1"/>
    <col min="12" max="12" width="5.49166666666667" customWidth="1"/>
    <col min="13" max="13" width="3.7" customWidth="1"/>
    <col min="14" max="14" width="3.25833333333333" customWidth="1"/>
    <col min="15" max="17" width="3.5" customWidth="1"/>
    <col min="18" max="18" width="3.375" customWidth="1"/>
    <col min="19" max="19" width="4.05" customWidth="1"/>
    <col min="20" max="20" width="3.625" customWidth="1"/>
    <col min="21" max="21" width="3.36666666666667" customWidth="1"/>
    <col min="22" max="22" width="4.21666666666667" customWidth="1"/>
    <col min="23" max="23" width="4.05" customWidth="1"/>
    <col min="24" max="24" width="4.13333333333333" customWidth="1"/>
    <col min="25" max="27" width="3.375" customWidth="1"/>
    <col min="28" max="28" width="5.04166666666667" customWidth="1"/>
    <col min="29" max="29" width="3.475" customWidth="1"/>
    <col min="30" max="30" width="3.58333333333333" customWidth="1"/>
    <col min="31" max="31" width="4.25" customWidth="1"/>
    <col min="32" max="32" width="4.375" customWidth="1"/>
    <col min="33" max="33" width="5.325" customWidth="1"/>
    <col min="34" max="34" width="4.89166666666667" hidden="1" customWidth="1"/>
    <col min="35" max="35" width="6.84166666666667" hidden="1" customWidth="1"/>
    <col min="36" max="36" width="11.975" customWidth="1"/>
    <col min="37" max="37" width="12.75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7"/>
      <c r="C1" s="171"/>
      <c r="D1" s="17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8"/>
      <c r="C2" s="172"/>
      <c r="D2" s="17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9"/>
      <c r="C3" s="173"/>
      <c r="D3" s="1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558</v>
      </c>
      <c r="B5" s="189"/>
      <c r="C5" s="175"/>
      <c r="D5" s="175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1" t="s">
        <v>5</v>
      </c>
      <c r="AH5" s="11"/>
      <c r="AI5" s="11"/>
      <c r="AJ5" s="11"/>
      <c r="AK5" s="11"/>
      <c r="AL5" s="70"/>
    </row>
    <row r="6" s="2" customFormat="1" ht="57.95" customHeight="1" spans="1:37">
      <c r="A6" s="13" t="s">
        <v>6</v>
      </c>
      <c r="B6" s="14" t="s">
        <v>7</v>
      </c>
      <c r="C6" s="29" t="s">
        <v>8</v>
      </c>
      <c r="D6" s="29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9" t="s">
        <v>70</v>
      </c>
    </row>
    <row r="7" s="3" customFormat="1" ht="12" customHeight="1" spans="1:45">
      <c r="A7" s="15" t="s">
        <v>39</v>
      </c>
      <c r="B7" s="16" t="s">
        <v>40</v>
      </c>
      <c r="C7" s="15" t="s">
        <v>41</v>
      </c>
      <c r="D7" s="15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8"/>
      <c r="C8" s="17"/>
      <c r="D8" s="17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77" customFormat="1" ht="24" customHeight="1" spans="1:45">
      <c r="A9" s="19">
        <v>1</v>
      </c>
      <c r="B9" s="75" t="s">
        <v>559</v>
      </c>
      <c r="C9" s="20" t="s">
        <v>560</v>
      </c>
      <c r="D9" s="20" t="s">
        <v>561</v>
      </c>
      <c r="E9" s="21">
        <v>44732</v>
      </c>
      <c r="F9" s="19" t="s">
        <v>96</v>
      </c>
      <c r="G9" s="75" t="s">
        <v>562</v>
      </c>
      <c r="H9" s="19" t="s">
        <v>223</v>
      </c>
      <c r="I9" s="19">
        <v>26</v>
      </c>
      <c r="J9" s="19">
        <f t="shared" ref="J9:J17" si="0">26-I9</f>
        <v>0</v>
      </c>
      <c r="K9" s="19">
        <v>200</v>
      </c>
      <c r="L9" s="36">
        <f>K9/26*I9</f>
        <v>200</v>
      </c>
      <c r="M9" s="84">
        <f t="shared" ref="M9:M17" si="1">K9/26*J9</f>
        <v>0</v>
      </c>
      <c r="N9" s="19">
        <v>18</v>
      </c>
      <c r="O9" s="19">
        <f>K9/26/8*1.5*N9</f>
        <v>25.9615384615385</v>
      </c>
      <c r="P9" s="19">
        <v>0</v>
      </c>
      <c r="Q9" s="19">
        <f>K9/26*2*P9</f>
        <v>0</v>
      </c>
      <c r="R9" s="19">
        <v>0</v>
      </c>
      <c r="S9" s="36">
        <f t="shared" ref="S9:S17" si="2">10/26*I9</f>
        <v>10</v>
      </c>
      <c r="T9" s="19">
        <v>30</v>
      </c>
      <c r="U9" s="19">
        <v>20</v>
      </c>
      <c r="V9" s="54">
        <v>10</v>
      </c>
      <c r="W9" s="84">
        <v>6</v>
      </c>
      <c r="X9" s="54">
        <v>8</v>
      </c>
      <c r="Y9" s="19">
        <v>0</v>
      </c>
      <c r="Z9" s="19">
        <f>VLOOKUP(B9,'[3]Annual Leave '!$B$7:$Q$98,13,0)</f>
        <v>44.58</v>
      </c>
      <c r="AA9" s="19">
        <f>VLOOKUP(B9,'[3]Annual Leave '!$B$7:$Q$98,15,0)</f>
        <v>51.4360207100592</v>
      </c>
      <c r="AB9" s="36">
        <f t="shared" ref="AB9:AB17" si="3">SUM(L9+O9+Q9+R9+S9+T9+U9+V9+X9+Y9+Z9+AA9+W9)</f>
        <v>405.977559171598</v>
      </c>
      <c r="AC9" s="19">
        <f>VLOOKUP(B9,[2]Sheet1!$B$2:$N$199,11,0)/4000</f>
        <v>5.98175</v>
      </c>
      <c r="AD9" s="19">
        <v>0</v>
      </c>
      <c r="AE9" s="19">
        <f>VLOOKUP(B9,'[1]A04'!$E$7:$L$30,7,0)</f>
        <v>100</v>
      </c>
      <c r="AF9" s="19">
        <f>SUM(AC9:AE9)</f>
        <v>105.98175</v>
      </c>
      <c r="AG9" s="36">
        <f>AB9-AF9</f>
        <v>299.995809171598</v>
      </c>
      <c r="AH9" s="19">
        <v>227</v>
      </c>
      <c r="AI9" s="60">
        <v>2900</v>
      </c>
      <c r="AJ9" s="74"/>
      <c r="AK9" s="34"/>
      <c r="AL9" s="72">
        <v>100931290</v>
      </c>
      <c r="AM9" s="73">
        <v>31512</v>
      </c>
      <c r="AN9" s="74" t="s">
        <v>99</v>
      </c>
      <c r="AO9" s="72" t="s">
        <v>164</v>
      </c>
      <c r="AP9" s="74" t="s">
        <v>101</v>
      </c>
      <c r="AQ9" s="74" t="s">
        <v>102</v>
      </c>
      <c r="AR9" s="74" t="s">
        <v>103</v>
      </c>
      <c r="AS9" s="92" t="s">
        <v>563</v>
      </c>
    </row>
    <row r="10" s="77" customFormat="1" ht="24" customHeight="1" spans="1:45">
      <c r="A10" s="19">
        <v>2</v>
      </c>
      <c r="B10" s="75" t="s">
        <v>564</v>
      </c>
      <c r="C10" s="20" t="s">
        <v>565</v>
      </c>
      <c r="D10" s="20" t="s">
        <v>566</v>
      </c>
      <c r="E10" s="21">
        <v>44732</v>
      </c>
      <c r="F10" s="19" t="s">
        <v>96</v>
      </c>
      <c r="G10" s="75" t="s">
        <v>562</v>
      </c>
      <c r="H10" s="19" t="s">
        <v>229</v>
      </c>
      <c r="I10" s="19">
        <v>23</v>
      </c>
      <c r="J10" s="19">
        <f t="shared" si="0"/>
        <v>3</v>
      </c>
      <c r="K10" s="19">
        <v>200</v>
      </c>
      <c r="L10" s="36">
        <f t="shared" ref="L10:L29" si="4">K10/26*I10</f>
        <v>176.923076923077</v>
      </c>
      <c r="M10" s="84">
        <f t="shared" si="1"/>
        <v>23.0769230769231</v>
      </c>
      <c r="N10" s="19">
        <v>12</v>
      </c>
      <c r="O10" s="19">
        <f t="shared" ref="O10:O29" si="5">K10/26/8*1.5*N10</f>
        <v>17.3076923076923</v>
      </c>
      <c r="P10" s="19">
        <v>0</v>
      </c>
      <c r="Q10" s="19">
        <f t="shared" ref="Q10:Q29" si="6">K10/26*2*P10</f>
        <v>0</v>
      </c>
      <c r="R10" s="19">
        <v>0</v>
      </c>
      <c r="S10" s="36">
        <f t="shared" si="2"/>
        <v>8.84615384615385</v>
      </c>
      <c r="T10" s="19">
        <v>0</v>
      </c>
      <c r="U10" s="19">
        <v>0</v>
      </c>
      <c r="V10" s="54">
        <v>10</v>
      </c>
      <c r="W10" s="84">
        <v>3</v>
      </c>
      <c r="X10" s="54">
        <v>8</v>
      </c>
      <c r="Y10" s="19">
        <v>0</v>
      </c>
      <c r="Z10" s="19">
        <f>VLOOKUP(B10,'[3]Annual Leave '!$B$7:$Q$98,13,0)</f>
        <v>34.17</v>
      </c>
      <c r="AA10" s="19">
        <f>VLOOKUP(B10,'[3]Annual Leave '!$B$7:$Q$98,15,0)</f>
        <v>13.1428439349113</v>
      </c>
      <c r="AB10" s="36">
        <f t="shared" si="3"/>
        <v>271.389767011834</v>
      </c>
      <c r="AC10" s="19">
        <f>VLOOKUP(B10,[2]Sheet1!$B$2:$N$199,11,0)/4000</f>
        <v>4.32725</v>
      </c>
      <c r="AD10" s="19">
        <v>0</v>
      </c>
      <c r="AE10" s="19">
        <f>VLOOKUP(B10,'[1]A04'!$E$7:$L$30,7,0)</f>
        <v>100</v>
      </c>
      <c r="AF10" s="19">
        <f t="shared" ref="AF10:AF29" si="7">SUM(AC10:AE10)</f>
        <v>104.32725</v>
      </c>
      <c r="AG10" s="36">
        <f t="shared" ref="AG10:AG29" si="8">AB10-AF10</f>
        <v>167.062517011834</v>
      </c>
      <c r="AH10" s="19">
        <v>150</v>
      </c>
      <c r="AI10" s="60">
        <v>81</v>
      </c>
      <c r="AJ10" s="74"/>
      <c r="AK10" s="34"/>
      <c r="AL10" s="72" t="s">
        <v>567</v>
      </c>
      <c r="AM10" s="73">
        <v>32270</v>
      </c>
      <c r="AN10" s="74" t="s">
        <v>99</v>
      </c>
      <c r="AO10" s="72" t="s">
        <v>224</v>
      </c>
      <c r="AP10" s="74" t="s">
        <v>101</v>
      </c>
      <c r="AQ10" s="74" t="s">
        <v>102</v>
      </c>
      <c r="AR10" s="74" t="s">
        <v>103</v>
      </c>
      <c r="AS10" s="72" t="s">
        <v>516</v>
      </c>
    </row>
    <row r="11" s="77" customFormat="1" ht="24" customHeight="1" spans="1:45">
      <c r="A11" s="19">
        <v>3</v>
      </c>
      <c r="B11" s="75" t="s">
        <v>568</v>
      </c>
      <c r="C11" s="20" t="s">
        <v>569</v>
      </c>
      <c r="D11" s="20" t="s">
        <v>570</v>
      </c>
      <c r="E11" s="21">
        <v>44732</v>
      </c>
      <c r="F11" s="19" t="s">
        <v>96</v>
      </c>
      <c r="G11" s="75" t="s">
        <v>562</v>
      </c>
      <c r="H11" s="19" t="s">
        <v>229</v>
      </c>
      <c r="I11" s="19">
        <v>23</v>
      </c>
      <c r="J11" s="19">
        <f t="shared" si="0"/>
        <v>3</v>
      </c>
      <c r="K11" s="19">
        <v>200</v>
      </c>
      <c r="L11" s="36">
        <f t="shared" si="4"/>
        <v>176.923076923077</v>
      </c>
      <c r="M11" s="84">
        <f t="shared" si="1"/>
        <v>23.0769230769231</v>
      </c>
      <c r="N11" s="19">
        <v>8</v>
      </c>
      <c r="O11" s="19">
        <f t="shared" si="5"/>
        <v>11.5384615384615</v>
      </c>
      <c r="P11" s="19">
        <v>0</v>
      </c>
      <c r="Q11" s="19">
        <f t="shared" si="6"/>
        <v>0</v>
      </c>
      <c r="R11" s="19">
        <v>0</v>
      </c>
      <c r="S11" s="36">
        <f t="shared" si="2"/>
        <v>8.84615384615385</v>
      </c>
      <c r="T11" s="19">
        <v>0</v>
      </c>
      <c r="U11" s="19">
        <v>0</v>
      </c>
      <c r="V11" s="54">
        <v>10</v>
      </c>
      <c r="W11" s="84">
        <v>2</v>
      </c>
      <c r="X11" s="54">
        <v>8</v>
      </c>
      <c r="Y11" s="19">
        <v>0</v>
      </c>
      <c r="Z11" s="19">
        <f>VLOOKUP(B11,'[3]Annual Leave '!$B$7:$Q$98,13,0)</f>
        <v>34.19</v>
      </c>
      <c r="AA11" s="19">
        <f>VLOOKUP(B11,'[3]Annual Leave '!$B$7:$Q$98,15,0)</f>
        <v>13.1515347633136</v>
      </c>
      <c r="AB11" s="36">
        <f t="shared" si="3"/>
        <v>264.649227071006</v>
      </c>
      <c r="AC11" s="19">
        <f>VLOOKUP(B11,[2]Sheet1!$B$2:$N$199,11,0)/4000</f>
        <v>4.32725</v>
      </c>
      <c r="AD11" s="19">
        <v>0</v>
      </c>
      <c r="AE11" s="19">
        <f>VLOOKUP(B11,'[1]A04'!$E$7:$L$30,7,0)</f>
        <v>100</v>
      </c>
      <c r="AF11" s="19">
        <f t="shared" si="7"/>
        <v>104.32725</v>
      </c>
      <c r="AG11" s="36">
        <f t="shared" si="8"/>
        <v>160.321977071006</v>
      </c>
      <c r="AH11" s="19">
        <v>150</v>
      </c>
      <c r="AI11" s="60">
        <v>68400</v>
      </c>
      <c r="AJ11" s="74"/>
      <c r="AK11" s="34"/>
      <c r="AL11" s="72" t="s">
        <v>571</v>
      </c>
      <c r="AM11" s="73">
        <v>29925</v>
      </c>
      <c r="AN11" s="74" t="s">
        <v>99</v>
      </c>
      <c r="AO11" s="72" t="s">
        <v>224</v>
      </c>
      <c r="AP11" s="74" t="s">
        <v>101</v>
      </c>
      <c r="AQ11" s="74" t="s">
        <v>102</v>
      </c>
      <c r="AR11" s="74" t="s">
        <v>103</v>
      </c>
      <c r="AS11" s="72" t="s">
        <v>572</v>
      </c>
    </row>
    <row r="12" s="77" customFormat="1" ht="24" customHeight="1" spans="1:45">
      <c r="A12" s="19">
        <v>4</v>
      </c>
      <c r="B12" s="75" t="s">
        <v>573</v>
      </c>
      <c r="C12" s="20" t="s">
        <v>574</v>
      </c>
      <c r="D12" s="20" t="s">
        <v>575</v>
      </c>
      <c r="E12" s="21">
        <v>44732</v>
      </c>
      <c r="F12" s="19" t="s">
        <v>96</v>
      </c>
      <c r="G12" s="75" t="s">
        <v>562</v>
      </c>
      <c r="H12" s="19" t="s">
        <v>229</v>
      </c>
      <c r="I12" s="19">
        <v>20</v>
      </c>
      <c r="J12" s="19">
        <f t="shared" si="0"/>
        <v>6</v>
      </c>
      <c r="K12" s="19">
        <v>200</v>
      </c>
      <c r="L12" s="36">
        <f t="shared" si="4"/>
        <v>153.846153846154</v>
      </c>
      <c r="M12" s="84">
        <f t="shared" si="1"/>
        <v>46.1538461538462</v>
      </c>
      <c r="N12" s="19">
        <v>4</v>
      </c>
      <c r="O12" s="19">
        <f t="shared" si="5"/>
        <v>5.76923076923077</v>
      </c>
      <c r="P12" s="19">
        <v>0</v>
      </c>
      <c r="Q12" s="19">
        <f t="shared" si="6"/>
        <v>0</v>
      </c>
      <c r="R12" s="19">
        <v>0</v>
      </c>
      <c r="S12" s="36">
        <f t="shared" si="2"/>
        <v>7.69230769230769</v>
      </c>
      <c r="T12" s="19">
        <v>0</v>
      </c>
      <c r="U12" s="19">
        <v>0</v>
      </c>
      <c r="V12" s="54">
        <v>10</v>
      </c>
      <c r="W12" s="84">
        <v>1</v>
      </c>
      <c r="X12" s="54">
        <v>8</v>
      </c>
      <c r="Y12" s="19">
        <v>0</v>
      </c>
      <c r="Z12" s="19">
        <f>VLOOKUP(B12,'[3]Annual Leave '!$B$7:$Q$98,13,0)</f>
        <v>32.86</v>
      </c>
      <c r="AA12" s="19">
        <f>VLOOKUP(B12,'[3]Annual Leave '!$B$7:$Q$98,15,0)</f>
        <v>29.4930658284024</v>
      </c>
      <c r="AB12" s="36">
        <f t="shared" si="3"/>
        <v>248.660758136095</v>
      </c>
      <c r="AC12" s="19">
        <f>VLOOKUP(B12,[2]Sheet1!$B$2:$N$199,11,0)/4000</f>
        <v>4.32725</v>
      </c>
      <c r="AD12" s="19">
        <v>0</v>
      </c>
      <c r="AE12" s="19">
        <f>VLOOKUP(B12,'[1]A04'!$E$7:$L$30,7,0)</f>
        <v>50</v>
      </c>
      <c r="AF12" s="19">
        <f t="shared" si="7"/>
        <v>54.32725</v>
      </c>
      <c r="AG12" s="36">
        <f t="shared" si="8"/>
        <v>194.333508136095</v>
      </c>
      <c r="AH12" s="19">
        <v>150</v>
      </c>
      <c r="AI12" s="60">
        <v>68400</v>
      </c>
      <c r="AJ12" s="74"/>
      <c r="AK12" s="34"/>
      <c r="AL12" s="72" t="s">
        <v>576</v>
      </c>
      <c r="AM12" s="73">
        <v>37358</v>
      </c>
      <c r="AN12" s="74" t="s">
        <v>99</v>
      </c>
      <c r="AO12" s="72" t="s">
        <v>224</v>
      </c>
      <c r="AP12" s="74" t="s">
        <v>101</v>
      </c>
      <c r="AQ12" s="74" t="s">
        <v>102</v>
      </c>
      <c r="AR12" s="74" t="s">
        <v>103</v>
      </c>
      <c r="AS12" s="72" t="s">
        <v>577</v>
      </c>
    </row>
    <row r="13" s="5" customFormat="1" ht="24" customHeight="1" spans="1:45">
      <c r="A13" s="19">
        <v>5</v>
      </c>
      <c r="B13" s="75" t="s">
        <v>578</v>
      </c>
      <c r="C13" s="20" t="s">
        <v>579</v>
      </c>
      <c r="D13" s="20" t="s">
        <v>580</v>
      </c>
      <c r="E13" s="21">
        <v>44733</v>
      </c>
      <c r="F13" s="19" t="s">
        <v>96</v>
      </c>
      <c r="G13" s="75" t="s">
        <v>562</v>
      </c>
      <c r="H13" s="19" t="s">
        <v>229</v>
      </c>
      <c r="I13" s="19">
        <v>20</v>
      </c>
      <c r="J13" s="19">
        <f t="shared" si="0"/>
        <v>6</v>
      </c>
      <c r="K13" s="19">
        <v>200</v>
      </c>
      <c r="L13" s="36">
        <f t="shared" si="4"/>
        <v>153.846153846154</v>
      </c>
      <c r="M13" s="84">
        <f t="shared" si="1"/>
        <v>46.1538461538462</v>
      </c>
      <c r="N13" s="19">
        <v>0</v>
      </c>
      <c r="O13" s="19">
        <f t="shared" si="5"/>
        <v>0</v>
      </c>
      <c r="P13" s="19">
        <v>0</v>
      </c>
      <c r="Q13" s="19">
        <f t="shared" si="6"/>
        <v>0</v>
      </c>
      <c r="R13" s="19">
        <v>0</v>
      </c>
      <c r="S13" s="36">
        <f t="shared" si="2"/>
        <v>7.69230769230769</v>
      </c>
      <c r="T13" s="19">
        <v>0</v>
      </c>
      <c r="U13" s="19">
        <v>0</v>
      </c>
      <c r="V13" s="54">
        <v>10</v>
      </c>
      <c r="W13" s="84">
        <v>0</v>
      </c>
      <c r="X13" s="54">
        <v>8</v>
      </c>
      <c r="Y13" s="19">
        <v>0</v>
      </c>
      <c r="Z13" s="19">
        <f>VLOOKUP(B13,'[3]Annual Leave '!$B$7:$Q$98,13,0)</f>
        <v>32.28</v>
      </c>
      <c r="AA13" s="19">
        <f>VLOOKUP(B13,'[3]Annual Leave '!$B$7:$Q$98,15,0)</f>
        <v>12.4147559171598</v>
      </c>
      <c r="AB13" s="36">
        <f t="shared" si="3"/>
        <v>224.233217455621</v>
      </c>
      <c r="AC13" s="19">
        <f>VLOOKUP(B13,[2]Sheet1!$B$2:$N$199,11,0)/4000</f>
        <v>4.4355</v>
      </c>
      <c r="AD13" s="19">
        <v>0</v>
      </c>
      <c r="AE13" s="19">
        <f>VLOOKUP(B13,'[1]A04'!$E$7:$L$30,7,0)</f>
        <v>50</v>
      </c>
      <c r="AF13" s="19">
        <f t="shared" si="7"/>
        <v>54.4355</v>
      </c>
      <c r="AG13" s="36">
        <f t="shared" si="8"/>
        <v>169.797717455621</v>
      </c>
      <c r="AH13" s="19">
        <v>150</v>
      </c>
      <c r="AI13" s="60"/>
      <c r="AJ13" s="61"/>
      <c r="AK13" s="34"/>
      <c r="AL13" s="72">
        <v>10128428</v>
      </c>
      <c r="AM13" s="73">
        <v>29967</v>
      </c>
      <c r="AN13" s="74" t="s">
        <v>99</v>
      </c>
      <c r="AO13" s="72">
        <v>3</v>
      </c>
      <c r="AP13" s="74" t="s">
        <v>101</v>
      </c>
      <c r="AQ13" s="74" t="s">
        <v>102</v>
      </c>
      <c r="AR13" s="74" t="s">
        <v>103</v>
      </c>
      <c r="AS13" s="92" t="s">
        <v>581</v>
      </c>
    </row>
    <row r="14" s="5" customFormat="1" ht="24" customHeight="1" spans="1:45">
      <c r="A14" s="19">
        <v>6</v>
      </c>
      <c r="B14" s="75" t="s">
        <v>582</v>
      </c>
      <c r="C14" s="81" t="s">
        <v>583</v>
      </c>
      <c r="D14" s="20" t="s">
        <v>584</v>
      </c>
      <c r="E14" s="21">
        <v>44733</v>
      </c>
      <c r="F14" s="19" t="s">
        <v>96</v>
      </c>
      <c r="G14" s="75" t="s">
        <v>562</v>
      </c>
      <c r="H14" s="19" t="s">
        <v>229</v>
      </c>
      <c r="I14" s="19">
        <v>20</v>
      </c>
      <c r="J14" s="19">
        <f t="shared" si="0"/>
        <v>6</v>
      </c>
      <c r="K14" s="19">
        <v>200</v>
      </c>
      <c r="L14" s="36">
        <f t="shared" si="4"/>
        <v>153.846153846154</v>
      </c>
      <c r="M14" s="84">
        <f t="shared" si="1"/>
        <v>46.1538461538462</v>
      </c>
      <c r="N14" s="19">
        <v>0</v>
      </c>
      <c r="O14" s="19">
        <f t="shared" si="5"/>
        <v>0</v>
      </c>
      <c r="P14" s="19">
        <v>0</v>
      </c>
      <c r="Q14" s="19">
        <f t="shared" si="6"/>
        <v>0</v>
      </c>
      <c r="R14" s="19">
        <v>0</v>
      </c>
      <c r="S14" s="36">
        <f t="shared" si="2"/>
        <v>7.69230769230769</v>
      </c>
      <c r="T14" s="19">
        <v>0</v>
      </c>
      <c r="U14" s="19">
        <v>0</v>
      </c>
      <c r="V14" s="54">
        <v>10</v>
      </c>
      <c r="W14" s="84">
        <v>0</v>
      </c>
      <c r="X14" s="54">
        <v>8</v>
      </c>
      <c r="Y14" s="19">
        <v>0</v>
      </c>
      <c r="Z14" s="19">
        <f>VLOOKUP(B14,'[3]Annual Leave '!$B$7:$Q$98,13,0)</f>
        <v>30.7</v>
      </c>
      <c r="AA14" s="19">
        <f>VLOOKUP(B14,'[3]Annual Leave '!$B$7:$Q$98,15,0)</f>
        <v>11.8095414201183</v>
      </c>
      <c r="AB14" s="36">
        <f t="shared" si="3"/>
        <v>222.04800295858</v>
      </c>
      <c r="AC14" s="19">
        <f>VLOOKUP(B14,[2]Sheet1!$B$2:$N$199,11,0)/4000</f>
        <v>4.32725</v>
      </c>
      <c r="AD14" s="19">
        <v>0</v>
      </c>
      <c r="AE14" s="19">
        <f>VLOOKUP(B14,'[1]A04'!$E$7:$L$30,7,0)</f>
        <v>50</v>
      </c>
      <c r="AF14" s="19">
        <f t="shared" si="7"/>
        <v>54.32725</v>
      </c>
      <c r="AG14" s="36">
        <f t="shared" si="8"/>
        <v>167.72075295858</v>
      </c>
      <c r="AH14" s="19"/>
      <c r="AI14" s="60"/>
      <c r="AJ14" s="61"/>
      <c r="AK14" s="34"/>
      <c r="AL14" s="72">
        <v>100762459</v>
      </c>
      <c r="AM14" s="73">
        <v>33156</v>
      </c>
      <c r="AN14" s="74" t="s">
        <v>99</v>
      </c>
      <c r="AO14" s="72">
        <v>3</v>
      </c>
      <c r="AP14" s="74" t="s">
        <v>101</v>
      </c>
      <c r="AQ14" s="74" t="s">
        <v>102</v>
      </c>
      <c r="AR14" s="74" t="s">
        <v>103</v>
      </c>
      <c r="AS14" s="92" t="s">
        <v>585</v>
      </c>
    </row>
    <row r="15" s="5" customFormat="1" ht="24" customHeight="1" spans="1:45">
      <c r="A15" s="19">
        <v>7</v>
      </c>
      <c r="B15" s="75" t="s">
        <v>586</v>
      </c>
      <c r="C15" s="81" t="s">
        <v>587</v>
      </c>
      <c r="D15" s="20" t="s">
        <v>588</v>
      </c>
      <c r="E15" s="21">
        <v>44733</v>
      </c>
      <c r="F15" s="19" t="s">
        <v>96</v>
      </c>
      <c r="G15" s="75" t="s">
        <v>562</v>
      </c>
      <c r="H15" s="19" t="s">
        <v>229</v>
      </c>
      <c r="I15" s="19">
        <v>20</v>
      </c>
      <c r="J15" s="19">
        <f t="shared" si="0"/>
        <v>6</v>
      </c>
      <c r="K15" s="19">
        <v>200</v>
      </c>
      <c r="L15" s="36">
        <f t="shared" si="4"/>
        <v>153.846153846154</v>
      </c>
      <c r="M15" s="84">
        <f t="shared" si="1"/>
        <v>46.1538461538462</v>
      </c>
      <c r="N15" s="19">
        <v>0</v>
      </c>
      <c r="O15" s="19">
        <f t="shared" si="5"/>
        <v>0</v>
      </c>
      <c r="P15" s="19">
        <v>0</v>
      </c>
      <c r="Q15" s="19">
        <f t="shared" si="6"/>
        <v>0</v>
      </c>
      <c r="R15" s="19">
        <v>0</v>
      </c>
      <c r="S15" s="36">
        <f t="shared" si="2"/>
        <v>7.69230769230769</v>
      </c>
      <c r="T15" s="19">
        <v>0</v>
      </c>
      <c r="U15" s="19">
        <v>0</v>
      </c>
      <c r="V15" s="54">
        <v>10</v>
      </c>
      <c r="W15" s="84">
        <v>0</v>
      </c>
      <c r="X15" s="54">
        <v>8</v>
      </c>
      <c r="Y15" s="19">
        <v>0</v>
      </c>
      <c r="Z15" s="19">
        <f>VLOOKUP(B15,'[3]Annual Leave '!$B$7:$Q$98,13,0)</f>
        <v>33.32</v>
      </c>
      <c r="AA15" s="19">
        <f>VLOOKUP(B15,'[3]Annual Leave '!$B$7:$Q$98,15,0)</f>
        <v>38.4494267751479</v>
      </c>
      <c r="AB15" s="36">
        <f t="shared" si="3"/>
        <v>251.30788831361</v>
      </c>
      <c r="AC15" s="19">
        <f>VLOOKUP(B15,[2]Sheet1!$B$2:$N$199,11,0)/4000</f>
        <v>4.839</v>
      </c>
      <c r="AD15" s="19">
        <v>0</v>
      </c>
      <c r="AE15" s="19">
        <f>VLOOKUP(B15,'[1]A04'!$E$7:$L$30,7,0)</f>
        <v>50</v>
      </c>
      <c r="AF15" s="19">
        <f t="shared" si="7"/>
        <v>54.839</v>
      </c>
      <c r="AG15" s="36">
        <f t="shared" si="8"/>
        <v>196.46888831361</v>
      </c>
      <c r="AH15" s="19"/>
      <c r="AI15" s="60"/>
      <c r="AJ15" s="61"/>
      <c r="AK15" s="34"/>
      <c r="AL15" s="72">
        <v>101155558</v>
      </c>
      <c r="AM15" s="73">
        <v>32387</v>
      </c>
      <c r="AN15" s="74" t="s">
        <v>99</v>
      </c>
      <c r="AO15" s="72">
        <v>3</v>
      </c>
      <c r="AP15" s="74" t="s">
        <v>101</v>
      </c>
      <c r="AQ15" s="74" t="s">
        <v>102</v>
      </c>
      <c r="AR15" s="74" t="s">
        <v>103</v>
      </c>
      <c r="AS15" s="193" t="s">
        <v>589</v>
      </c>
    </row>
    <row r="16" s="5" customFormat="1" ht="24" customHeight="1" spans="1:45">
      <c r="A16" s="19">
        <v>8</v>
      </c>
      <c r="B16" s="75" t="s">
        <v>590</v>
      </c>
      <c r="C16" s="20" t="s">
        <v>591</v>
      </c>
      <c r="D16" s="20" t="s">
        <v>592</v>
      </c>
      <c r="E16" s="21">
        <v>44733</v>
      </c>
      <c r="F16" s="19" t="s">
        <v>108</v>
      </c>
      <c r="G16" s="75" t="s">
        <v>562</v>
      </c>
      <c r="H16" s="19" t="s">
        <v>229</v>
      </c>
      <c r="I16" s="19">
        <v>15</v>
      </c>
      <c r="J16" s="19">
        <f t="shared" si="0"/>
        <v>11</v>
      </c>
      <c r="K16" s="19">
        <v>200</v>
      </c>
      <c r="L16" s="36">
        <f t="shared" si="4"/>
        <v>115.384615384615</v>
      </c>
      <c r="M16" s="84">
        <f t="shared" si="1"/>
        <v>84.6153846153846</v>
      </c>
      <c r="N16" s="19">
        <v>0</v>
      </c>
      <c r="O16" s="19">
        <f t="shared" si="5"/>
        <v>0</v>
      </c>
      <c r="P16" s="19">
        <v>0</v>
      </c>
      <c r="Q16" s="19">
        <f t="shared" si="6"/>
        <v>0</v>
      </c>
      <c r="R16" s="19">
        <v>0</v>
      </c>
      <c r="S16" s="36">
        <f t="shared" si="2"/>
        <v>5.76923076923077</v>
      </c>
      <c r="T16" s="19">
        <v>0</v>
      </c>
      <c r="U16" s="19">
        <v>0</v>
      </c>
      <c r="V16" s="54">
        <v>10</v>
      </c>
      <c r="W16" s="84">
        <v>0</v>
      </c>
      <c r="X16" s="54">
        <v>8</v>
      </c>
      <c r="Y16" s="19">
        <v>0</v>
      </c>
      <c r="Z16" s="19">
        <f>VLOOKUP(B16,'[3]Annual Leave '!$B$7:$Q$98,13,0)</f>
        <v>30.83</v>
      </c>
      <c r="AA16" s="19">
        <f>VLOOKUP(B16,'[3]Annual Leave '!$B$7:$Q$98,15,0)</f>
        <v>11.8592825443787</v>
      </c>
      <c r="AB16" s="36">
        <f t="shared" si="3"/>
        <v>181.843128698224</v>
      </c>
      <c r="AC16" s="19">
        <f>VLOOKUP(B16,[2]Sheet1!$B$2:$N$199,11,0)/4000</f>
        <v>4.20625</v>
      </c>
      <c r="AD16" s="19">
        <v>0</v>
      </c>
      <c r="AE16" s="19">
        <f>VLOOKUP(B16,'[1]A04'!$E$7:$L$30,7,0)</f>
        <v>50</v>
      </c>
      <c r="AF16" s="19">
        <f t="shared" si="7"/>
        <v>54.20625</v>
      </c>
      <c r="AG16" s="36">
        <f t="shared" si="8"/>
        <v>127.636878698224</v>
      </c>
      <c r="AH16" s="19"/>
      <c r="AI16" s="60"/>
      <c r="AJ16" s="61"/>
      <c r="AK16" s="34"/>
      <c r="AL16" s="72">
        <v>101297519</v>
      </c>
      <c r="AM16" s="73">
        <v>33120</v>
      </c>
      <c r="AN16" s="74" t="s">
        <v>99</v>
      </c>
      <c r="AO16" s="72">
        <v>2</v>
      </c>
      <c r="AP16" s="74" t="s">
        <v>101</v>
      </c>
      <c r="AQ16" s="74" t="s">
        <v>102</v>
      </c>
      <c r="AR16" s="74" t="s">
        <v>103</v>
      </c>
      <c r="AS16" s="92" t="s">
        <v>593</v>
      </c>
    </row>
    <row r="17" s="5" customFormat="1" ht="24" customHeight="1" spans="1:45">
      <c r="A17" s="19">
        <v>9</v>
      </c>
      <c r="B17" s="75" t="s">
        <v>594</v>
      </c>
      <c r="C17" s="81" t="s">
        <v>487</v>
      </c>
      <c r="D17" s="20" t="s">
        <v>488</v>
      </c>
      <c r="E17" s="21">
        <v>44733</v>
      </c>
      <c r="F17" s="19" t="s">
        <v>96</v>
      </c>
      <c r="G17" s="75" t="s">
        <v>562</v>
      </c>
      <c r="H17" s="19" t="s">
        <v>229</v>
      </c>
      <c r="I17" s="19">
        <v>23</v>
      </c>
      <c r="J17" s="19">
        <f t="shared" si="0"/>
        <v>3</v>
      </c>
      <c r="K17" s="19">
        <v>200</v>
      </c>
      <c r="L17" s="36">
        <f t="shared" si="4"/>
        <v>176.923076923077</v>
      </c>
      <c r="M17" s="84">
        <f t="shared" si="1"/>
        <v>23.0769230769231</v>
      </c>
      <c r="N17" s="19">
        <v>23</v>
      </c>
      <c r="O17" s="19">
        <f t="shared" si="5"/>
        <v>33.1730769230769</v>
      </c>
      <c r="P17" s="19">
        <v>0</v>
      </c>
      <c r="Q17" s="19">
        <f t="shared" si="6"/>
        <v>0</v>
      </c>
      <c r="R17" s="19">
        <v>0</v>
      </c>
      <c r="S17" s="36">
        <f t="shared" si="2"/>
        <v>8.84615384615385</v>
      </c>
      <c r="T17" s="19">
        <v>0</v>
      </c>
      <c r="U17" s="19">
        <v>0</v>
      </c>
      <c r="V17" s="54">
        <v>10</v>
      </c>
      <c r="W17" s="84">
        <v>6</v>
      </c>
      <c r="X17" s="54">
        <v>8</v>
      </c>
      <c r="Y17" s="19">
        <v>0</v>
      </c>
      <c r="Z17" s="19">
        <f>VLOOKUP(B17,'[3]Annual Leave '!$B$7:$Q$98,13,0)</f>
        <v>34.33</v>
      </c>
      <c r="AA17" s="19">
        <f>VLOOKUP(B17,'[3]Annual Leave '!$B$7:$Q$98,15,0)</f>
        <v>30.809017504931</v>
      </c>
      <c r="AB17" s="36">
        <f t="shared" si="3"/>
        <v>308.081325197239</v>
      </c>
      <c r="AC17" s="19">
        <f>VLOOKUP(B17,[2]Sheet1!$B$2:$N$199,11,0)/4000</f>
        <v>4.0045</v>
      </c>
      <c r="AD17" s="19">
        <v>0</v>
      </c>
      <c r="AE17" s="19">
        <f>VLOOKUP(B17,'[1]A04'!$E$7:$L$30,7,0)</f>
        <v>100</v>
      </c>
      <c r="AF17" s="19">
        <f t="shared" si="7"/>
        <v>104.0045</v>
      </c>
      <c r="AG17" s="36">
        <f t="shared" si="8"/>
        <v>204.076825197239</v>
      </c>
      <c r="AH17" s="19"/>
      <c r="AI17" s="60"/>
      <c r="AJ17" s="61"/>
      <c r="AK17" s="34"/>
      <c r="AL17" s="72">
        <v>101295912</v>
      </c>
      <c r="AM17" s="73">
        <v>31366</v>
      </c>
      <c r="AN17" s="74" t="s">
        <v>99</v>
      </c>
      <c r="AO17" s="72">
        <v>2</v>
      </c>
      <c r="AP17" s="74" t="s">
        <v>101</v>
      </c>
      <c r="AQ17" s="74" t="s">
        <v>102</v>
      </c>
      <c r="AR17" s="74" t="s">
        <v>103</v>
      </c>
      <c r="AS17" s="92">
        <v>885142907</v>
      </c>
    </row>
    <row r="18" s="61" customFormat="1" ht="24" customHeight="1" spans="1:51">
      <c r="A18" s="19">
        <v>10</v>
      </c>
      <c r="B18" s="19" t="s">
        <v>595</v>
      </c>
      <c r="C18" s="81" t="s">
        <v>596</v>
      </c>
      <c r="D18" s="20" t="s">
        <v>597</v>
      </c>
      <c r="E18" s="21">
        <v>44733</v>
      </c>
      <c r="F18" s="19" t="s">
        <v>108</v>
      </c>
      <c r="G18" s="75" t="s">
        <v>562</v>
      </c>
      <c r="H18" s="19" t="s">
        <v>229</v>
      </c>
      <c r="I18" s="19">
        <v>22</v>
      </c>
      <c r="J18" s="19">
        <f t="shared" ref="J18:J34" si="9">26-I18</f>
        <v>4</v>
      </c>
      <c r="K18" s="19">
        <v>200</v>
      </c>
      <c r="L18" s="36">
        <f t="shared" si="4"/>
        <v>169.230769230769</v>
      </c>
      <c r="M18" s="84">
        <f t="shared" ref="M18:M34" si="10">K18/26*J18</f>
        <v>30.7692307692308</v>
      </c>
      <c r="N18" s="19">
        <v>0</v>
      </c>
      <c r="O18" s="19">
        <f t="shared" si="5"/>
        <v>0</v>
      </c>
      <c r="P18" s="19">
        <v>0</v>
      </c>
      <c r="Q18" s="19">
        <f t="shared" si="6"/>
        <v>0</v>
      </c>
      <c r="R18" s="19">
        <v>0</v>
      </c>
      <c r="S18" s="36">
        <f t="shared" ref="S18:S34" si="11">10/26*I18</f>
        <v>8.46153846153846</v>
      </c>
      <c r="T18" s="19">
        <v>0</v>
      </c>
      <c r="U18" s="19">
        <v>0</v>
      </c>
      <c r="V18" s="54">
        <v>10</v>
      </c>
      <c r="W18" s="84">
        <v>0</v>
      </c>
      <c r="X18" s="54">
        <v>8</v>
      </c>
      <c r="Y18" s="19">
        <v>0</v>
      </c>
      <c r="Z18" s="19">
        <f>VLOOKUP(B18,'[3]Annual Leave '!$B$7:$Q$98,13,0)</f>
        <v>31.54</v>
      </c>
      <c r="AA18" s="19">
        <f>VLOOKUP(B18,'[3]Annual Leave '!$B$7:$Q$98,15,0)</f>
        <v>12.1318417159763</v>
      </c>
      <c r="AB18" s="36">
        <f t="shared" ref="AB18:AB34" si="12">SUM(L18+O18+Q18+R18+S18+T18+U18+V18+X18+Y18+Z18+AA18+W18)</f>
        <v>239.364149408284</v>
      </c>
      <c r="AC18" s="19">
        <f>VLOOKUP(B18,[2]Sheet1!$B$2:$N$199,11,0)/4000</f>
        <v>4.32725</v>
      </c>
      <c r="AD18" s="19">
        <v>0</v>
      </c>
      <c r="AE18" s="19">
        <f>VLOOKUP(B18,'[1]A04'!$E$7:$L$30,7,0)</f>
        <v>100</v>
      </c>
      <c r="AF18" s="19">
        <f t="shared" si="7"/>
        <v>104.32725</v>
      </c>
      <c r="AG18" s="36">
        <f t="shared" si="8"/>
        <v>135.036899408284</v>
      </c>
      <c r="AH18" s="19"/>
      <c r="AI18" s="60"/>
      <c r="AK18" s="34"/>
      <c r="AL18" s="72">
        <v>100831591</v>
      </c>
      <c r="AM18" s="73">
        <v>30902</v>
      </c>
      <c r="AN18" s="74" t="s">
        <v>99</v>
      </c>
      <c r="AO18" s="72">
        <v>3</v>
      </c>
      <c r="AP18" s="74" t="s">
        <v>101</v>
      </c>
      <c r="AQ18" s="74" t="s">
        <v>102</v>
      </c>
      <c r="AR18" s="74" t="s">
        <v>103</v>
      </c>
      <c r="AS18" s="92" t="s">
        <v>598</v>
      </c>
      <c r="AT18" s="62"/>
      <c r="AU18" s="62"/>
      <c r="AV18" s="62"/>
      <c r="AW18" s="62"/>
      <c r="AX18" s="62"/>
      <c r="AY18" s="62"/>
    </row>
    <row r="19" s="5" customFormat="1" ht="24" customHeight="1" spans="1:45">
      <c r="A19" s="19">
        <v>11</v>
      </c>
      <c r="B19" s="75" t="s">
        <v>599</v>
      </c>
      <c r="C19" s="135" t="s">
        <v>600</v>
      </c>
      <c r="D19" s="128" t="s">
        <v>601</v>
      </c>
      <c r="E19" s="136">
        <v>44733</v>
      </c>
      <c r="F19" s="75" t="s">
        <v>96</v>
      </c>
      <c r="G19" s="75" t="s">
        <v>562</v>
      </c>
      <c r="H19" s="75" t="s">
        <v>229</v>
      </c>
      <c r="I19" s="75">
        <v>20</v>
      </c>
      <c r="J19" s="19">
        <f t="shared" si="9"/>
        <v>6</v>
      </c>
      <c r="K19" s="19">
        <v>200</v>
      </c>
      <c r="L19" s="138">
        <f t="shared" si="4"/>
        <v>153.846153846154</v>
      </c>
      <c r="M19" s="84">
        <f t="shared" si="10"/>
        <v>46.1538461538462</v>
      </c>
      <c r="N19" s="75">
        <v>0</v>
      </c>
      <c r="O19" s="19">
        <f t="shared" si="5"/>
        <v>0</v>
      </c>
      <c r="P19" s="75">
        <v>0</v>
      </c>
      <c r="Q19" s="19">
        <f t="shared" si="6"/>
        <v>0</v>
      </c>
      <c r="R19" s="75">
        <v>0</v>
      </c>
      <c r="S19" s="36">
        <f t="shared" si="11"/>
        <v>7.69230769230769</v>
      </c>
      <c r="T19" s="75">
        <v>0</v>
      </c>
      <c r="U19" s="75">
        <v>0</v>
      </c>
      <c r="V19" s="54">
        <v>10</v>
      </c>
      <c r="W19" s="84">
        <v>0</v>
      </c>
      <c r="X19" s="54">
        <v>8</v>
      </c>
      <c r="Y19" s="75">
        <v>0</v>
      </c>
      <c r="Z19" s="19">
        <f>VLOOKUP(B19,'[3]Annual Leave '!$B$7:$Q$98,13,0)</f>
        <v>31.07</v>
      </c>
      <c r="AA19" s="19">
        <f>VLOOKUP(B19,'[3]Annual Leave '!$B$7:$Q$98,15,0)</f>
        <v>11.9484097633136</v>
      </c>
      <c r="AB19" s="36">
        <f t="shared" si="12"/>
        <v>222.556871301775</v>
      </c>
      <c r="AC19" s="19">
        <f>VLOOKUP(B19,[2]Sheet1!$B$2:$N$199,11,0)/4000</f>
        <v>4.16575</v>
      </c>
      <c r="AD19" s="19">
        <v>0</v>
      </c>
      <c r="AE19" s="19">
        <f>VLOOKUP(B19,'[1]A04'!$E$7:$L$30,7,0)</f>
        <v>50</v>
      </c>
      <c r="AF19" s="19">
        <f t="shared" si="7"/>
        <v>54.16575</v>
      </c>
      <c r="AG19" s="138">
        <f t="shared" si="8"/>
        <v>168.391121301775</v>
      </c>
      <c r="AH19" s="75"/>
      <c r="AI19" s="139"/>
      <c r="AJ19" s="197"/>
      <c r="AK19" s="34"/>
      <c r="AL19" s="198" t="s">
        <v>602</v>
      </c>
      <c r="AM19" s="199">
        <v>33396</v>
      </c>
      <c r="AN19" s="200" t="s">
        <v>99</v>
      </c>
      <c r="AO19" s="198">
        <v>1</v>
      </c>
      <c r="AP19" s="200" t="s">
        <v>101</v>
      </c>
      <c r="AQ19" s="200" t="s">
        <v>102</v>
      </c>
      <c r="AR19" s="200" t="s">
        <v>103</v>
      </c>
      <c r="AS19" s="206" t="s">
        <v>603</v>
      </c>
    </row>
    <row r="20" s="5" customFormat="1" ht="24" customHeight="1" spans="1:45">
      <c r="A20" s="19">
        <v>12</v>
      </c>
      <c r="B20" s="75" t="s">
        <v>604</v>
      </c>
      <c r="C20" s="20" t="s">
        <v>605</v>
      </c>
      <c r="D20" s="20" t="s">
        <v>606</v>
      </c>
      <c r="E20" s="21">
        <v>44733</v>
      </c>
      <c r="F20" s="19" t="s">
        <v>96</v>
      </c>
      <c r="G20" s="75" t="s">
        <v>562</v>
      </c>
      <c r="H20" s="19" t="s">
        <v>229</v>
      </c>
      <c r="I20" s="19">
        <v>20</v>
      </c>
      <c r="J20" s="19">
        <f t="shared" si="9"/>
        <v>6</v>
      </c>
      <c r="K20" s="19">
        <v>200</v>
      </c>
      <c r="L20" s="36">
        <f t="shared" si="4"/>
        <v>153.846153846154</v>
      </c>
      <c r="M20" s="84">
        <f t="shared" si="10"/>
        <v>46.1538461538462</v>
      </c>
      <c r="N20" s="19">
        <v>0</v>
      </c>
      <c r="O20" s="19">
        <f t="shared" si="5"/>
        <v>0</v>
      </c>
      <c r="P20" s="19">
        <v>0</v>
      </c>
      <c r="Q20" s="19">
        <f t="shared" si="6"/>
        <v>0</v>
      </c>
      <c r="R20" s="19">
        <v>0</v>
      </c>
      <c r="S20" s="36">
        <f t="shared" si="11"/>
        <v>7.69230769230769</v>
      </c>
      <c r="T20" s="19">
        <v>0</v>
      </c>
      <c r="U20" s="19">
        <v>0</v>
      </c>
      <c r="V20" s="54">
        <v>10</v>
      </c>
      <c r="W20" s="84">
        <v>0</v>
      </c>
      <c r="X20" s="54">
        <v>8</v>
      </c>
      <c r="Y20" s="19">
        <v>0</v>
      </c>
      <c r="Z20" s="19">
        <f>VLOOKUP(B20,'[3]Annual Leave '!$B$7:$Q$98,13,0)</f>
        <v>31.82</v>
      </c>
      <c r="AA20" s="19">
        <f>VLOOKUP(B20,'[3]Annual Leave '!$B$7:$Q$98,15,0)</f>
        <v>12.2381656804734</v>
      </c>
      <c r="AB20" s="36">
        <f t="shared" si="12"/>
        <v>223.596627218935</v>
      </c>
      <c r="AC20" s="19">
        <f>VLOOKUP(B20,[2]Sheet1!$B$2:$N$199,11,0)/4000</f>
        <v>4.39525</v>
      </c>
      <c r="AD20" s="19">
        <v>0</v>
      </c>
      <c r="AE20" s="19">
        <f>VLOOKUP(B20,'[1]A04'!$E$7:$L$30,7,0)</f>
        <v>50</v>
      </c>
      <c r="AF20" s="19">
        <f t="shared" si="7"/>
        <v>54.39525</v>
      </c>
      <c r="AG20" s="36">
        <f t="shared" si="8"/>
        <v>169.201377218935</v>
      </c>
      <c r="AH20" s="19"/>
      <c r="AI20" s="60"/>
      <c r="AJ20" s="61"/>
      <c r="AK20" s="34"/>
      <c r="AL20" s="72">
        <v>101155852</v>
      </c>
      <c r="AM20" s="73">
        <v>32853</v>
      </c>
      <c r="AN20" s="74" t="s">
        <v>99</v>
      </c>
      <c r="AO20" s="72">
        <v>2</v>
      </c>
      <c r="AP20" s="74" t="s">
        <v>101</v>
      </c>
      <c r="AQ20" s="74" t="s">
        <v>102</v>
      </c>
      <c r="AR20" s="74" t="s">
        <v>103</v>
      </c>
      <c r="AS20" s="92" t="s">
        <v>607</v>
      </c>
    </row>
    <row r="21" s="5" customFormat="1" ht="24" customHeight="1" spans="1:45">
      <c r="A21" s="19">
        <v>13</v>
      </c>
      <c r="B21" s="75" t="s">
        <v>608</v>
      </c>
      <c r="C21" s="20" t="s">
        <v>609</v>
      </c>
      <c r="D21" s="20" t="s">
        <v>610</v>
      </c>
      <c r="E21" s="21">
        <v>44733</v>
      </c>
      <c r="F21" s="19" t="s">
        <v>96</v>
      </c>
      <c r="G21" s="75" t="s">
        <v>562</v>
      </c>
      <c r="H21" s="19" t="s">
        <v>229</v>
      </c>
      <c r="I21" s="19">
        <v>20</v>
      </c>
      <c r="J21" s="19">
        <f t="shared" si="9"/>
        <v>6</v>
      </c>
      <c r="K21" s="19">
        <v>200</v>
      </c>
      <c r="L21" s="36">
        <f t="shared" si="4"/>
        <v>153.846153846154</v>
      </c>
      <c r="M21" s="84">
        <f t="shared" si="10"/>
        <v>46.1538461538462</v>
      </c>
      <c r="N21" s="19">
        <v>0</v>
      </c>
      <c r="O21" s="19">
        <f t="shared" si="5"/>
        <v>0</v>
      </c>
      <c r="P21" s="19">
        <v>0</v>
      </c>
      <c r="Q21" s="19">
        <f t="shared" si="6"/>
        <v>0</v>
      </c>
      <c r="R21" s="19">
        <v>0</v>
      </c>
      <c r="S21" s="36">
        <f t="shared" si="11"/>
        <v>7.69230769230769</v>
      </c>
      <c r="T21" s="19">
        <v>0</v>
      </c>
      <c r="U21" s="19">
        <v>0</v>
      </c>
      <c r="V21" s="54">
        <v>10</v>
      </c>
      <c r="W21" s="84">
        <v>0</v>
      </c>
      <c r="X21" s="54">
        <v>8</v>
      </c>
      <c r="Y21" s="19">
        <v>0</v>
      </c>
      <c r="Z21" s="19">
        <f>VLOOKUP(B21,'[3]Annual Leave '!$B$7:$Q$98,13,0)</f>
        <v>31.65</v>
      </c>
      <c r="AA21" s="19">
        <f>VLOOKUP(B21,'[3]Annual Leave '!$B$7:$Q$98,15,0)</f>
        <v>12.1747411242604</v>
      </c>
      <c r="AB21" s="36">
        <f t="shared" si="12"/>
        <v>223.363202662722</v>
      </c>
      <c r="AC21" s="19">
        <f>VLOOKUP(B21,[2]Sheet1!$B$2:$N$199,11,0)/4000</f>
        <v>4.32725</v>
      </c>
      <c r="AD21" s="19">
        <v>0</v>
      </c>
      <c r="AE21" s="19">
        <f>VLOOKUP(B21,'[1]A04'!$E$7:$L$30,7,0)</f>
        <v>50</v>
      </c>
      <c r="AF21" s="19">
        <f t="shared" si="7"/>
        <v>54.32725</v>
      </c>
      <c r="AG21" s="36">
        <f t="shared" si="8"/>
        <v>169.035952662722</v>
      </c>
      <c r="AH21" s="19"/>
      <c r="AI21" s="60"/>
      <c r="AJ21" s="61"/>
      <c r="AK21" s="34"/>
      <c r="AL21" s="72">
        <v>100821907</v>
      </c>
      <c r="AM21" s="73">
        <v>29756</v>
      </c>
      <c r="AN21" s="74" t="s">
        <v>99</v>
      </c>
      <c r="AO21" s="72">
        <v>4</v>
      </c>
      <c r="AP21" s="74" t="s">
        <v>101</v>
      </c>
      <c r="AQ21" s="74" t="s">
        <v>102</v>
      </c>
      <c r="AR21" s="74" t="s">
        <v>103</v>
      </c>
      <c r="AS21" s="92" t="s">
        <v>611</v>
      </c>
    </row>
    <row r="22" s="5" customFormat="1" ht="24" customHeight="1" spans="1:45">
      <c r="A22" s="19">
        <v>14</v>
      </c>
      <c r="B22" s="75" t="s">
        <v>612</v>
      </c>
      <c r="C22" s="20" t="s">
        <v>613</v>
      </c>
      <c r="D22" s="20" t="s">
        <v>614</v>
      </c>
      <c r="E22" s="21">
        <v>44733</v>
      </c>
      <c r="F22" s="19" t="s">
        <v>108</v>
      </c>
      <c r="G22" s="75" t="s">
        <v>562</v>
      </c>
      <c r="H22" s="19" t="s">
        <v>229</v>
      </c>
      <c r="I22" s="19">
        <v>23</v>
      </c>
      <c r="J22" s="19">
        <f t="shared" si="9"/>
        <v>3</v>
      </c>
      <c r="K22" s="19">
        <v>200</v>
      </c>
      <c r="L22" s="36">
        <f t="shared" si="4"/>
        <v>176.923076923077</v>
      </c>
      <c r="M22" s="84">
        <f t="shared" si="10"/>
        <v>23.0769230769231</v>
      </c>
      <c r="N22" s="19">
        <v>0</v>
      </c>
      <c r="O22" s="19">
        <f t="shared" si="5"/>
        <v>0</v>
      </c>
      <c r="P22" s="19">
        <v>0</v>
      </c>
      <c r="Q22" s="19">
        <f t="shared" si="6"/>
        <v>0</v>
      </c>
      <c r="R22" s="19">
        <v>0</v>
      </c>
      <c r="S22" s="36">
        <f t="shared" si="11"/>
        <v>8.84615384615385</v>
      </c>
      <c r="T22" s="19">
        <v>0</v>
      </c>
      <c r="U22" s="19">
        <v>0</v>
      </c>
      <c r="V22" s="54">
        <v>10</v>
      </c>
      <c r="W22" s="84">
        <v>0</v>
      </c>
      <c r="X22" s="54">
        <v>8</v>
      </c>
      <c r="Y22" s="19">
        <v>0</v>
      </c>
      <c r="Z22" s="19">
        <f>VLOOKUP(B22,'[3]Annual Leave '!$B$7:$Q$98,13,0)</f>
        <v>32.01</v>
      </c>
      <c r="AA22" s="19">
        <f>VLOOKUP(B22,'[3]Annual Leave '!$B$7:$Q$98,15,0)</f>
        <v>12.3116678994083</v>
      </c>
      <c r="AB22" s="36">
        <f t="shared" si="12"/>
        <v>248.090898668639</v>
      </c>
      <c r="AC22" s="19">
        <f>VLOOKUP(B22,[2]Sheet1!$B$2:$N$199,11,0)/4000</f>
        <v>4.2465</v>
      </c>
      <c r="AD22" s="19">
        <v>0</v>
      </c>
      <c r="AE22" s="19">
        <f>VLOOKUP(B22,'[1]A04'!$E$7:$L$30,7,0)</f>
        <v>100</v>
      </c>
      <c r="AF22" s="19">
        <f t="shared" si="7"/>
        <v>104.2465</v>
      </c>
      <c r="AG22" s="36">
        <f t="shared" si="8"/>
        <v>143.844398668639</v>
      </c>
      <c r="AH22" s="19"/>
      <c r="AI22" s="60"/>
      <c r="AJ22" s="61"/>
      <c r="AK22" s="34"/>
      <c r="AL22" s="72">
        <v>100930804</v>
      </c>
      <c r="AM22" s="73">
        <v>30382</v>
      </c>
      <c r="AN22" s="74" t="s">
        <v>99</v>
      </c>
      <c r="AO22" s="72">
        <v>2</v>
      </c>
      <c r="AP22" s="74" t="s">
        <v>101</v>
      </c>
      <c r="AQ22" s="74" t="s">
        <v>102</v>
      </c>
      <c r="AR22" s="74" t="s">
        <v>103</v>
      </c>
      <c r="AS22" s="92" t="s">
        <v>615</v>
      </c>
    </row>
    <row r="23" s="5" customFormat="1" ht="24" customHeight="1" spans="1:45">
      <c r="A23" s="19">
        <v>15</v>
      </c>
      <c r="B23" s="75" t="s">
        <v>616</v>
      </c>
      <c r="C23" s="20" t="s">
        <v>617</v>
      </c>
      <c r="D23" s="20" t="s">
        <v>618</v>
      </c>
      <c r="E23" s="21">
        <v>44733</v>
      </c>
      <c r="F23" s="19" t="s">
        <v>96</v>
      </c>
      <c r="G23" s="75" t="s">
        <v>562</v>
      </c>
      <c r="H23" s="19" t="s">
        <v>229</v>
      </c>
      <c r="I23" s="19">
        <v>20</v>
      </c>
      <c r="J23" s="19">
        <f t="shared" si="9"/>
        <v>6</v>
      </c>
      <c r="K23" s="19">
        <v>200</v>
      </c>
      <c r="L23" s="36">
        <f t="shared" si="4"/>
        <v>153.846153846154</v>
      </c>
      <c r="M23" s="84">
        <f t="shared" si="10"/>
        <v>46.1538461538462</v>
      </c>
      <c r="N23" s="19">
        <v>2</v>
      </c>
      <c r="O23" s="19">
        <f t="shared" si="5"/>
        <v>2.88461538461538</v>
      </c>
      <c r="P23" s="19">
        <v>0</v>
      </c>
      <c r="Q23" s="19">
        <f t="shared" si="6"/>
        <v>0</v>
      </c>
      <c r="R23" s="19">
        <v>0</v>
      </c>
      <c r="S23" s="36">
        <f t="shared" si="11"/>
        <v>7.69230769230769</v>
      </c>
      <c r="T23" s="19">
        <v>0</v>
      </c>
      <c r="U23" s="19">
        <v>0</v>
      </c>
      <c r="V23" s="54">
        <v>10</v>
      </c>
      <c r="W23" s="84">
        <v>0.5</v>
      </c>
      <c r="X23" s="54">
        <v>8</v>
      </c>
      <c r="Y23" s="19">
        <v>0</v>
      </c>
      <c r="Z23" s="19">
        <f>VLOOKUP(B23,'[3]Annual Leave '!$B$7:$Q$98,13,0)</f>
        <v>34.01</v>
      </c>
      <c r="AA23" s="19">
        <f>VLOOKUP(B23,'[3]Annual Leave '!$B$7:$Q$98,15,0)</f>
        <v>17.4407051282051</v>
      </c>
      <c r="AB23" s="36">
        <f t="shared" si="12"/>
        <v>234.373782051282</v>
      </c>
      <c r="AC23" s="19">
        <f>VLOOKUP(B23,[2]Sheet1!$B$2:$N$199,11,0)/4000</f>
        <v>4.79875</v>
      </c>
      <c r="AD23" s="19">
        <v>0</v>
      </c>
      <c r="AE23" s="19">
        <f>VLOOKUP(B23,'[1]A04'!$E$7:$L$30,7,0)</f>
        <v>50</v>
      </c>
      <c r="AF23" s="19">
        <f t="shared" si="7"/>
        <v>54.79875</v>
      </c>
      <c r="AG23" s="36">
        <f t="shared" si="8"/>
        <v>179.575032051282</v>
      </c>
      <c r="AH23" s="19"/>
      <c r="AI23" s="60"/>
      <c r="AJ23" s="61"/>
      <c r="AK23" s="34"/>
      <c r="AL23" s="72" t="s">
        <v>619</v>
      </c>
      <c r="AM23" s="73">
        <v>32545</v>
      </c>
      <c r="AN23" s="74" t="s">
        <v>99</v>
      </c>
      <c r="AO23" s="72">
        <v>0</v>
      </c>
      <c r="AP23" s="74" t="s">
        <v>101</v>
      </c>
      <c r="AQ23" s="74" t="s">
        <v>102</v>
      </c>
      <c r="AR23" s="74" t="s">
        <v>103</v>
      </c>
      <c r="AS23" s="92" t="s">
        <v>620</v>
      </c>
    </row>
    <row r="24" s="5" customFormat="1" ht="24" customHeight="1" spans="1:45">
      <c r="A24" s="19">
        <v>16</v>
      </c>
      <c r="B24" s="75" t="s">
        <v>621</v>
      </c>
      <c r="C24" s="81" t="s">
        <v>622</v>
      </c>
      <c r="D24" s="20" t="s">
        <v>623</v>
      </c>
      <c r="E24" s="21">
        <v>44734</v>
      </c>
      <c r="F24" s="19" t="s">
        <v>96</v>
      </c>
      <c r="G24" s="75" t="s">
        <v>562</v>
      </c>
      <c r="H24" s="19" t="s">
        <v>229</v>
      </c>
      <c r="I24" s="19">
        <v>20</v>
      </c>
      <c r="J24" s="19">
        <f t="shared" si="9"/>
        <v>6</v>
      </c>
      <c r="K24" s="19">
        <v>200</v>
      </c>
      <c r="L24" s="36">
        <f t="shared" si="4"/>
        <v>153.846153846154</v>
      </c>
      <c r="M24" s="84">
        <f t="shared" si="10"/>
        <v>46.1538461538462</v>
      </c>
      <c r="N24" s="19">
        <v>4</v>
      </c>
      <c r="O24" s="19">
        <f t="shared" si="5"/>
        <v>5.76923076923077</v>
      </c>
      <c r="P24" s="19">
        <v>0</v>
      </c>
      <c r="Q24" s="19">
        <f t="shared" si="6"/>
        <v>0</v>
      </c>
      <c r="R24" s="19">
        <v>0</v>
      </c>
      <c r="S24" s="36">
        <f t="shared" si="11"/>
        <v>7.69230769230769</v>
      </c>
      <c r="T24" s="19">
        <v>0</v>
      </c>
      <c r="U24" s="19">
        <v>0</v>
      </c>
      <c r="V24" s="54">
        <v>10</v>
      </c>
      <c r="W24" s="84">
        <v>1</v>
      </c>
      <c r="X24" s="54">
        <v>8</v>
      </c>
      <c r="Y24" s="19">
        <v>0</v>
      </c>
      <c r="Z24" s="19">
        <f>VLOOKUP(B24,'[3]Annual Leave '!$B$7:$Q$98,13,0)</f>
        <v>32.93</v>
      </c>
      <c r="AA24" s="19">
        <f>VLOOKUP(B24,'[3]Annual Leave '!$B$7:$Q$98,15,0)</f>
        <v>21.1093133629191</v>
      </c>
      <c r="AB24" s="36">
        <f t="shared" si="12"/>
        <v>240.347005670612</v>
      </c>
      <c r="AC24" s="19">
        <f>VLOOKUP(B24,[2]Sheet1!$B$2:$N$199,11,0)/4000</f>
        <v>4.287</v>
      </c>
      <c r="AD24" s="19">
        <v>0</v>
      </c>
      <c r="AE24" s="19">
        <f>VLOOKUP(B24,'[1]A04'!$E$7:$L$30,7,0)</f>
        <v>50</v>
      </c>
      <c r="AF24" s="19">
        <f t="shared" si="7"/>
        <v>54.287</v>
      </c>
      <c r="AG24" s="36">
        <f t="shared" si="8"/>
        <v>186.060005670612</v>
      </c>
      <c r="AH24" s="19"/>
      <c r="AI24" s="60"/>
      <c r="AJ24" s="61"/>
      <c r="AK24" s="34"/>
      <c r="AL24" s="72">
        <v>101046700</v>
      </c>
      <c r="AM24" s="73">
        <v>32616</v>
      </c>
      <c r="AN24" s="74" t="s">
        <v>99</v>
      </c>
      <c r="AO24" s="72">
        <v>2</v>
      </c>
      <c r="AP24" s="74" t="s">
        <v>101</v>
      </c>
      <c r="AQ24" s="74" t="s">
        <v>102</v>
      </c>
      <c r="AR24" s="74" t="s">
        <v>103</v>
      </c>
      <c r="AS24" s="92" t="s">
        <v>624</v>
      </c>
    </row>
    <row r="25" s="5" customFormat="1" ht="24" customHeight="1" spans="1:45">
      <c r="A25" s="19">
        <v>17</v>
      </c>
      <c r="B25" s="75" t="s">
        <v>625</v>
      </c>
      <c r="C25" s="20" t="s">
        <v>626</v>
      </c>
      <c r="D25" s="20" t="s">
        <v>627</v>
      </c>
      <c r="E25" s="21">
        <v>44736</v>
      </c>
      <c r="F25" s="19" t="s">
        <v>96</v>
      </c>
      <c r="G25" s="75" t="s">
        <v>562</v>
      </c>
      <c r="H25" s="19" t="s">
        <v>229</v>
      </c>
      <c r="I25" s="19">
        <v>20</v>
      </c>
      <c r="J25" s="19">
        <f t="shared" si="9"/>
        <v>6</v>
      </c>
      <c r="K25" s="19">
        <v>200</v>
      </c>
      <c r="L25" s="36">
        <f t="shared" si="4"/>
        <v>153.846153846154</v>
      </c>
      <c r="M25" s="84">
        <f t="shared" si="10"/>
        <v>46.1538461538462</v>
      </c>
      <c r="N25" s="19">
        <v>2</v>
      </c>
      <c r="O25" s="19">
        <f t="shared" si="5"/>
        <v>2.88461538461538</v>
      </c>
      <c r="P25" s="19">
        <v>0</v>
      </c>
      <c r="Q25" s="19">
        <f t="shared" si="6"/>
        <v>0</v>
      </c>
      <c r="R25" s="19">
        <v>0</v>
      </c>
      <c r="S25" s="36">
        <f t="shared" si="11"/>
        <v>7.69230769230769</v>
      </c>
      <c r="T25" s="19">
        <v>0</v>
      </c>
      <c r="U25" s="19">
        <v>0</v>
      </c>
      <c r="V25" s="54">
        <v>10</v>
      </c>
      <c r="W25" s="84">
        <v>0.5</v>
      </c>
      <c r="X25" s="54">
        <v>8</v>
      </c>
      <c r="Y25" s="19">
        <v>0</v>
      </c>
      <c r="Z25" s="19">
        <f>VLOOKUP(B25,'[3]Annual Leave '!$B$7:$Q$98,13,0)</f>
        <v>31.62</v>
      </c>
      <c r="AA25" s="19">
        <f>VLOOKUP(B25,'[3]Annual Leave '!$B$7:$Q$98,15,0)</f>
        <v>20.2712031558185</v>
      </c>
      <c r="AB25" s="36">
        <f t="shared" si="12"/>
        <v>234.814280078896</v>
      </c>
      <c r="AC25" s="19">
        <f>VLOOKUP(B25,[2]Sheet1!$B$2:$N$199,11,0)/4000</f>
        <v>4.79875</v>
      </c>
      <c r="AD25" s="19">
        <v>0</v>
      </c>
      <c r="AE25" s="19">
        <f>VLOOKUP(B25,'[1]A04'!$E$7:$L$30,7,0)</f>
        <v>50</v>
      </c>
      <c r="AF25" s="19">
        <f t="shared" si="7"/>
        <v>54.79875</v>
      </c>
      <c r="AG25" s="36">
        <f t="shared" si="8"/>
        <v>180.015530078896</v>
      </c>
      <c r="AH25" s="19"/>
      <c r="AI25" s="60"/>
      <c r="AJ25" s="61"/>
      <c r="AK25" s="34"/>
      <c r="AL25" s="72">
        <v>100825478</v>
      </c>
      <c r="AM25" s="73">
        <v>33100</v>
      </c>
      <c r="AN25" s="74" t="s">
        <v>99</v>
      </c>
      <c r="AO25" s="72">
        <v>2</v>
      </c>
      <c r="AP25" s="74" t="s">
        <v>101</v>
      </c>
      <c r="AQ25" s="74" t="s">
        <v>102</v>
      </c>
      <c r="AR25" s="74" t="s">
        <v>103</v>
      </c>
      <c r="AS25" s="92" t="s">
        <v>628</v>
      </c>
    </row>
    <row r="26" s="5" customFormat="1" ht="24" customHeight="1" spans="1:45">
      <c r="A26" s="19">
        <v>18</v>
      </c>
      <c r="B26" s="75" t="s">
        <v>629</v>
      </c>
      <c r="C26" s="20" t="s">
        <v>630</v>
      </c>
      <c r="D26" s="20" t="s">
        <v>631</v>
      </c>
      <c r="E26" s="21">
        <v>44741</v>
      </c>
      <c r="F26" s="19" t="s">
        <v>96</v>
      </c>
      <c r="G26" s="75" t="s">
        <v>562</v>
      </c>
      <c r="H26" s="19" t="s">
        <v>229</v>
      </c>
      <c r="I26" s="19">
        <v>25</v>
      </c>
      <c r="J26" s="19">
        <f t="shared" si="9"/>
        <v>1</v>
      </c>
      <c r="K26" s="19">
        <v>200</v>
      </c>
      <c r="L26" s="36">
        <f t="shared" si="4"/>
        <v>192.307692307692</v>
      </c>
      <c r="M26" s="84">
        <f t="shared" si="10"/>
        <v>7.69230769230769</v>
      </c>
      <c r="N26" s="19">
        <v>24</v>
      </c>
      <c r="O26" s="19">
        <f t="shared" si="5"/>
        <v>34.6153846153846</v>
      </c>
      <c r="P26" s="19">
        <v>0</v>
      </c>
      <c r="Q26" s="19">
        <f t="shared" si="6"/>
        <v>0</v>
      </c>
      <c r="R26" s="19">
        <v>0</v>
      </c>
      <c r="S26" s="36">
        <f t="shared" si="11"/>
        <v>9.61538461538462</v>
      </c>
      <c r="T26" s="19">
        <v>0</v>
      </c>
      <c r="U26" s="19">
        <v>0</v>
      </c>
      <c r="V26" s="54">
        <v>10</v>
      </c>
      <c r="W26" s="84">
        <v>6</v>
      </c>
      <c r="X26" s="54">
        <v>8</v>
      </c>
      <c r="Y26" s="19">
        <v>0</v>
      </c>
      <c r="Z26" s="19">
        <f>VLOOKUP(B26,'[3]Annual Leave '!$B$7:$Q$98,13,0)</f>
        <v>35.87</v>
      </c>
      <c r="AA26" s="19">
        <f>VLOOKUP(B26,'[3]Annual Leave '!$B$7:$Q$98,15,0)</f>
        <v>41.3828587278106</v>
      </c>
      <c r="AB26" s="36">
        <f t="shared" si="12"/>
        <v>337.791320266272</v>
      </c>
      <c r="AC26" s="19">
        <f>VLOOKUP(B26,[2]Sheet1!$B$2:$N$199,11,0)/4000</f>
        <v>4.77125</v>
      </c>
      <c r="AD26" s="19">
        <v>0</v>
      </c>
      <c r="AE26" s="19">
        <f>VLOOKUP(B26,'[1]A04'!$E$7:$L$30,7,0)</f>
        <v>100</v>
      </c>
      <c r="AF26" s="19">
        <f t="shared" si="7"/>
        <v>104.77125</v>
      </c>
      <c r="AG26" s="36">
        <f t="shared" si="8"/>
        <v>233.020070266272</v>
      </c>
      <c r="AH26" s="19"/>
      <c r="AI26" s="60"/>
      <c r="AJ26" s="61"/>
      <c r="AK26" s="34"/>
      <c r="AL26" s="72">
        <v>101149219</v>
      </c>
      <c r="AM26" s="73">
        <v>31143</v>
      </c>
      <c r="AN26" s="74" t="s">
        <v>99</v>
      </c>
      <c r="AO26" s="72" t="s">
        <v>234</v>
      </c>
      <c r="AP26" s="74" t="s">
        <v>101</v>
      </c>
      <c r="AQ26" s="74" t="s">
        <v>102</v>
      </c>
      <c r="AR26" s="74" t="s">
        <v>103</v>
      </c>
      <c r="AS26" s="92" t="s">
        <v>632</v>
      </c>
    </row>
    <row r="27" s="5" customFormat="1" ht="24" customHeight="1" spans="1:45">
      <c r="A27" s="19">
        <v>19</v>
      </c>
      <c r="B27" s="75" t="s">
        <v>633</v>
      </c>
      <c r="C27" s="20" t="s">
        <v>634</v>
      </c>
      <c r="D27" s="20" t="s">
        <v>635</v>
      </c>
      <c r="E27" s="21">
        <v>44741</v>
      </c>
      <c r="F27" s="19" t="s">
        <v>96</v>
      </c>
      <c r="G27" s="75" t="s">
        <v>562</v>
      </c>
      <c r="H27" s="19" t="s">
        <v>229</v>
      </c>
      <c r="I27" s="19">
        <v>25</v>
      </c>
      <c r="J27" s="19">
        <f t="shared" si="9"/>
        <v>1</v>
      </c>
      <c r="K27" s="19">
        <v>200</v>
      </c>
      <c r="L27" s="36">
        <f t="shared" si="4"/>
        <v>192.307692307692</v>
      </c>
      <c r="M27" s="84">
        <f t="shared" si="10"/>
        <v>7.69230769230769</v>
      </c>
      <c r="N27" s="19">
        <v>24</v>
      </c>
      <c r="O27" s="19">
        <f t="shared" si="5"/>
        <v>34.6153846153846</v>
      </c>
      <c r="P27" s="19">
        <v>0</v>
      </c>
      <c r="Q27" s="19">
        <f t="shared" si="6"/>
        <v>0</v>
      </c>
      <c r="R27" s="19">
        <v>0</v>
      </c>
      <c r="S27" s="36">
        <f t="shared" si="11"/>
        <v>9.61538461538462</v>
      </c>
      <c r="T27" s="19">
        <v>0</v>
      </c>
      <c r="U27" s="19">
        <v>0</v>
      </c>
      <c r="V27" s="54">
        <v>10</v>
      </c>
      <c r="W27" s="84">
        <v>6</v>
      </c>
      <c r="X27" s="54">
        <v>8</v>
      </c>
      <c r="Y27" s="19">
        <v>0</v>
      </c>
      <c r="Z27" s="19">
        <f>VLOOKUP(B27,'[3]Annual Leave '!$B$7:$Q$98,13,0)</f>
        <v>35.87</v>
      </c>
      <c r="AA27" s="19">
        <f>VLOOKUP(B27,'[3]Annual Leave '!$B$7:$Q$98,15,0)</f>
        <v>41.3828587278106</v>
      </c>
      <c r="AB27" s="36">
        <f t="shared" si="12"/>
        <v>337.791320266272</v>
      </c>
      <c r="AC27" s="19">
        <f>VLOOKUP(B27,[2]Sheet1!$B$2:$N$199,11,0)/4000</f>
        <v>4.77125</v>
      </c>
      <c r="AD27" s="19">
        <v>0</v>
      </c>
      <c r="AE27" s="19">
        <f>VLOOKUP(B27,'[1]A04'!$E$7:$L$30,7,0)</f>
        <v>100</v>
      </c>
      <c r="AF27" s="19">
        <f t="shared" si="7"/>
        <v>104.77125</v>
      </c>
      <c r="AG27" s="36">
        <f t="shared" si="8"/>
        <v>233.020070266272</v>
      </c>
      <c r="AH27" s="19"/>
      <c r="AI27" s="60"/>
      <c r="AJ27" s="61"/>
      <c r="AK27" s="34"/>
      <c r="AL27" s="72">
        <v>100821466</v>
      </c>
      <c r="AM27" s="73">
        <v>32025</v>
      </c>
      <c r="AN27" s="74" t="s">
        <v>99</v>
      </c>
      <c r="AO27" s="72" t="s">
        <v>224</v>
      </c>
      <c r="AP27" s="74" t="s">
        <v>101</v>
      </c>
      <c r="AQ27" s="74" t="s">
        <v>102</v>
      </c>
      <c r="AR27" s="74" t="s">
        <v>103</v>
      </c>
      <c r="AS27" s="92" t="s">
        <v>636</v>
      </c>
    </row>
    <row r="28" s="5" customFormat="1" ht="24" customHeight="1" spans="1:45">
      <c r="A28" s="19">
        <v>20</v>
      </c>
      <c r="B28" s="75" t="s">
        <v>637</v>
      </c>
      <c r="C28" s="20" t="s">
        <v>638</v>
      </c>
      <c r="D28" s="20" t="s">
        <v>639</v>
      </c>
      <c r="E28" s="21">
        <v>44754</v>
      </c>
      <c r="F28" s="19" t="s">
        <v>96</v>
      </c>
      <c r="G28" s="75" t="s">
        <v>562</v>
      </c>
      <c r="H28" s="19" t="s">
        <v>229</v>
      </c>
      <c r="I28" s="19">
        <v>20</v>
      </c>
      <c r="J28" s="19">
        <f t="shared" si="9"/>
        <v>6</v>
      </c>
      <c r="K28" s="19">
        <v>200</v>
      </c>
      <c r="L28" s="36">
        <f t="shared" si="4"/>
        <v>153.846153846154</v>
      </c>
      <c r="M28" s="84">
        <f t="shared" si="10"/>
        <v>46.1538461538462</v>
      </c>
      <c r="N28" s="19">
        <v>0</v>
      </c>
      <c r="O28" s="19">
        <f t="shared" si="5"/>
        <v>0</v>
      </c>
      <c r="P28" s="19">
        <v>0</v>
      </c>
      <c r="Q28" s="19">
        <f t="shared" si="6"/>
        <v>0</v>
      </c>
      <c r="R28" s="19">
        <v>0</v>
      </c>
      <c r="S28" s="36">
        <f t="shared" si="11"/>
        <v>7.69230769230769</v>
      </c>
      <c r="T28" s="19">
        <v>0</v>
      </c>
      <c r="U28" s="19">
        <v>0</v>
      </c>
      <c r="V28" s="54">
        <v>10</v>
      </c>
      <c r="W28" s="84">
        <v>0</v>
      </c>
      <c r="X28" s="54">
        <v>8</v>
      </c>
      <c r="Y28" s="19">
        <v>0</v>
      </c>
      <c r="Z28" s="19">
        <v>0</v>
      </c>
      <c r="AA28" s="19">
        <v>0</v>
      </c>
      <c r="AB28" s="36">
        <f t="shared" si="12"/>
        <v>179.538461538462</v>
      </c>
      <c r="AC28" s="19">
        <f>VLOOKUP(B28,[2]Sheet1!$B$2:$N$199,11,0)/4000</f>
        <v>4.63725</v>
      </c>
      <c r="AD28" s="19">
        <v>0</v>
      </c>
      <c r="AE28" s="19">
        <f>VLOOKUP(B28,'[1]A04'!$E$7:$L$30,7,0)</f>
        <v>50</v>
      </c>
      <c r="AF28" s="19">
        <f t="shared" si="7"/>
        <v>54.63725</v>
      </c>
      <c r="AG28" s="36">
        <f t="shared" si="8"/>
        <v>124.901211538462</v>
      </c>
      <c r="AH28" s="19"/>
      <c r="AI28" s="60"/>
      <c r="AJ28" s="61"/>
      <c r="AK28" s="34"/>
      <c r="AL28" s="72" t="s">
        <v>640</v>
      </c>
      <c r="AM28" s="73">
        <v>33539</v>
      </c>
      <c r="AN28" s="74" t="s">
        <v>99</v>
      </c>
      <c r="AO28" s="72" t="s">
        <v>224</v>
      </c>
      <c r="AP28" s="74" t="s">
        <v>101</v>
      </c>
      <c r="AQ28" s="74" t="s">
        <v>102</v>
      </c>
      <c r="AR28" s="74" t="s">
        <v>103</v>
      </c>
      <c r="AS28" s="92" t="s">
        <v>641</v>
      </c>
    </row>
    <row r="29" s="5" customFormat="1" ht="24" customHeight="1" spans="1:45">
      <c r="A29" s="19">
        <v>21</v>
      </c>
      <c r="B29" s="75" t="s">
        <v>642</v>
      </c>
      <c r="C29" s="20" t="s">
        <v>643</v>
      </c>
      <c r="D29" s="20" t="s">
        <v>644</v>
      </c>
      <c r="E29" s="21">
        <v>44754</v>
      </c>
      <c r="F29" s="19" t="s">
        <v>96</v>
      </c>
      <c r="G29" s="75" t="s">
        <v>562</v>
      </c>
      <c r="H29" s="19" t="s">
        <v>229</v>
      </c>
      <c r="I29" s="19">
        <v>23</v>
      </c>
      <c r="J29" s="19">
        <f t="shared" si="9"/>
        <v>3</v>
      </c>
      <c r="K29" s="19">
        <v>200</v>
      </c>
      <c r="L29" s="36">
        <f t="shared" si="4"/>
        <v>176.923076923077</v>
      </c>
      <c r="M29" s="84">
        <f t="shared" si="10"/>
        <v>23.0769230769231</v>
      </c>
      <c r="N29" s="19">
        <v>21</v>
      </c>
      <c r="O29" s="19">
        <f t="shared" si="5"/>
        <v>30.2884615384615</v>
      </c>
      <c r="P29" s="19">
        <v>0</v>
      </c>
      <c r="Q29" s="19">
        <f t="shared" si="6"/>
        <v>0</v>
      </c>
      <c r="R29" s="19">
        <v>0</v>
      </c>
      <c r="S29" s="36">
        <f t="shared" si="11"/>
        <v>8.84615384615385</v>
      </c>
      <c r="T29" s="19">
        <v>0</v>
      </c>
      <c r="U29" s="19">
        <v>0</v>
      </c>
      <c r="V29" s="54">
        <v>10</v>
      </c>
      <c r="W29" s="84">
        <v>5.5</v>
      </c>
      <c r="X29" s="54">
        <v>8</v>
      </c>
      <c r="Y29" s="19">
        <v>0</v>
      </c>
      <c r="Z29" s="19">
        <v>0</v>
      </c>
      <c r="AA29" s="19">
        <v>0</v>
      </c>
      <c r="AB29" s="36">
        <f t="shared" si="12"/>
        <v>239.557692307692</v>
      </c>
      <c r="AC29" s="19">
        <f>VLOOKUP(B29,[2]Sheet1!$B$2:$N$199,11,0)/4000</f>
        <v>4.32725</v>
      </c>
      <c r="AD29" s="19">
        <v>0</v>
      </c>
      <c r="AE29" s="19">
        <f>VLOOKUP(B29,'[1]A04'!$E$7:$L$30,7,0)</f>
        <v>100</v>
      </c>
      <c r="AF29" s="19">
        <f t="shared" si="7"/>
        <v>104.32725</v>
      </c>
      <c r="AG29" s="36">
        <f t="shared" si="8"/>
        <v>135.230442307692</v>
      </c>
      <c r="AH29" s="19"/>
      <c r="AI29" s="60"/>
      <c r="AJ29" s="61"/>
      <c r="AK29" s="34"/>
      <c r="AL29" s="72" t="s">
        <v>645</v>
      </c>
      <c r="AM29" s="73">
        <v>29192</v>
      </c>
      <c r="AN29" s="74" t="s">
        <v>99</v>
      </c>
      <c r="AO29" s="72" t="s">
        <v>224</v>
      </c>
      <c r="AP29" s="74" t="s">
        <v>101</v>
      </c>
      <c r="AQ29" s="74" t="s">
        <v>102</v>
      </c>
      <c r="AR29" s="74" t="s">
        <v>103</v>
      </c>
      <c r="AS29" s="92" t="s">
        <v>646</v>
      </c>
    </row>
    <row r="30" s="5" customFormat="1" ht="24" customHeight="1" spans="1:45">
      <c r="A30" s="19">
        <v>22</v>
      </c>
      <c r="B30" s="75" t="s">
        <v>647</v>
      </c>
      <c r="C30" s="20" t="s">
        <v>648</v>
      </c>
      <c r="D30" s="20" t="s">
        <v>649</v>
      </c>
      <c r="E30" s="21">
        <v>44754</v>
      </c>
      <c r="F30" s="19" t="s">
        <v>96</v>
      </c>
      <c r="G30" s="75" t="s">
        <v>562</v>
      </c>
      <c r="H30" s="19" t="s">
        <v>229</v>
      </c>
      <c r="I30" s="19">
        <v>23</v>
      </c>
      <c r="J30" s="19">
        <f t="shared" si="9"/>
        <v>3</v>
      </c>
      <c r="K30" s="19">
        <v>200</v>
      </c>
      <c r="L30" s="36">
        <f t="shared" ref="L30:L36" si="13">K30/26*I30</f>
        <v>176.923076923077</v>
      </c>
      <c r="M30" s="84">
        <f t="shared" si="10"/>
        <v>23.0769230769231</v>
      </c>
      <c r="N30" s="19">
        <v>22</v>
      </c>
      <c r="O30" s="19">
        <f t="shared" ref="O30:O36" si="14">K30/26/8*1.5*N30</f>
        <v>31.7307692307692</v>
      </c>
      <c r="P30" s="19">
        <v>0</v>
      </c>
      <c r="Q30" s="19">
        <f t="shared" ref="Q30:Q36" si="15">K30/26*2*P30</f>
        <v>0</v>
      </c>
      <c r="R30" s="19">
        <v>0</v>
      </c>
      <c r="S30" s="36">
        <f t="shared" si="11"/>
        <v>8.84615384615385</v>
      </c>
      <c r="T30" s="19">
        <v>0</v>
      </c>
      <c r="U30" s="19">
        <v>0</v>
      </c>
      <c r="V30" s="54">
        <v>10</v>
      </c>
      <c r="W30" s="84">
        <v>5.5</v>
      </c>
      <c r="X30" s="54">
        <v>8</v>
      </c>
      <c r="Y30" s="19">
        <v>0</v>
      </c>
      <c r="Z30" s="19">
        <v>0</v>
      </c>
      <c r="AA30" s="19">
        <v>0</v>
      </c>
      <c r="AB30" s="36">
        <f t="shared" si="12"/>
        <v>241</v>
      </c>
      <c r="AC30" s="19">
        <f>VLOOKUP(B30,[2]Sheet1!$B$2:$N$199,11,0)/4000</f>
        <v>4.32725</v>
      </c>
      <c r="AD30" s="19">
        <v>0</v>
      </c>
      <c r="AE30" s="19">
        <f>VLOOKUP(B30,'[1]A04'!$E$7:$L$30,7,0)</f>
        <v>100</v>
      </c>
      <c r="AF30" s="19">
        <f t="shared" ref="AF30:AF36" si="16">SUM(AC30:AE30)</f>
        <v>104.32725</v>
      </c>
      <c r="AG30" s="36">
        <f t="shared" ref="AG30:AG36" si="17">AB30-AF30</f>
        <v>136.67275</v>
      </c>
      <c r="AH30" s="19"/>
      <c r="AI30" s="60"/>
      <c r="AJ30" s="61"/>
      <c r="AK30" s="34"/>
      <c r="AL30" s="72" t="s">
        <v>650</v>
      </c>
      <c r="AM30" s="73">
        <v>30122</v>
      </c>
      <c r="AN30" s="74" t="s">
        <v>99</v>
      </c>
      <c r="AO30" s="72" t="s">
        <v>224</v>
      </c>
      <c r="AP30" s="74" t="s">
        <v>101</v>
      </c>
      <c r="AQ30" s="74" t="s">
        <v>102</v>
      </c>
      <c r="AR30" s="74" t="s">
        <v>103</v>
      </c>
      <c r="AS30" s="92" t="s">
        <v>651</v>
      </c>
    </row>
    <row r="31" s="5" customFormat="1" ht="24" customHeight="1" spans="1:45">
      <c r="A31" s="19">
        <v>23</v>
      </c>
      <c r="B31" s="75" t="s">
        <v>652</v>
      </c>
      <c r="C31" s="20" t="s">
        <v>653</v>
      </c>
      <c r="D31" s="20" t="s">
        <v>654</v>
      </c>
      <c r="E31" s="21">
        <v>44754</v>
      </c>
      <c r="F31" s="19" t="s">
        <v>96</v>
      </c>
      <c r="G31" s="75" t="s">
        <v>562</v>
      </c>
      <c r="H31" s="19" t="s">
        <v>229</v>
      </c>
      <c r="I31" s="19">
        <v>20</v>
      </c>
      <c r="J31" s="19">
        <f t="shared" si="9"/>
        <v>6</v>
      </c>
      <c r="K31" s="19">
        <v>200</v>
      </c>
      <c r="L31" s="36">
        <f t="shared" si="13"/>
        <v>153.846153846154</v>
      </c>
      <c r="M31" s="84">
        <f t="shared" si="10"/>
        <v>46.1538461538462</v>
      </c>
      <c r="N31" s="19">
        <v>2</v>
      </c>
      <c r="O31" s="19">
        <f t="shared" si="14"/>
        <v>2.88461538461538</v>
      </c>
      <c r="P31" s="19">
        <v>0</v>
      </c>
      <c r="Q31" s="19">
        <f t="shared" si="15"/>
        <v>0</v>
      </c>
      <c r="R31" s="19">
        <v>0</v>
      </c>
      <c r="S31" s="36">
        <f t="shared" si="11"/>
        <v>7.69230769230769</v>
      </c>
      <c r="T31" s="19">
        <v>0</v>
      </c>
      <c r="U31" s="19">
        <v>0</v>
      </c>
      <c r="V31" s="54">
        <v>10</v>
      </c>
      <c r="W31" s="84">
        <v>0.5</v>
      </c>
      <c r="X31" s="54">
        <v>8</v>
      </c>
      <c r="Y31" s="19">
        <v>0</v>
      </c>
      <c r="Z31" s="19">
        <v>0</v>
      </c>
      <c r="AA31" s="19">
        <v>0</v>
      </c>
      <c r="AB31" s="36">
        <f t="shared" si="12"/>
        <v>182.923076923077</v>
      </c>
      <c r="AC31" s="19">
        <f>VLOOKUP(B31,[2]Sheet1!$B$2:$N$199,11,0)/4000</f>
        <v>4.32725</v>
      </c>
      <c r="AD31" s="19">
        <v>0</v>
      </c>
      <c r="AE31" s="19">
        <f>VLOOKUP(B31,'[1]A04'!$E$7:$L$30,7,0)</f>
        <v>50</v>
      </c>
      <c r="AF31" s="19">
        <f t="shared" si="16"/>
        <v>54.32725</v>
      </c>
      <c r="AG31" s="36">
        <f t="shared" si="17"/>
        <v>128.595826923077</v>
      </c>
      <c r="AH31" s="19"/>
      <c r="AI31" s="60"/>
      <c r="AJ31" s="61"/>
      <c r="AK31" s="34"/>
      <c r="AL31" s="72" t="s">
        <v>655</v>
      </c>
      <c r="AM31" s="73">
        <v>30870</v>
      </c>
      <c r="AN31" s="74" t="s">
        <v>99</v>
      </c>
      <c r="AO31" s="72" t="s">
        <v>224</v>
      </c>
      <c r="AP31" s="74" t="s">
        <v>101</v>
      </c>
      <c r="AQ31" s="74" t="s">
        <v>102</v>
      </c>
      <c r="AR31" s="74" t="s">
        <v>103</v>
      </c>
      <c r="AS31" s="92" t="s">
        <v>656</v>
      </c>
    </row>
    <row r="32" s="126" customFormat="1" ht="24" customHeight="1" spans="1:45">
      <c r="A32" s="19">
        <v>24</v>
      </c>
      <c r="B32" s="132" t="s">
        <v>657</v>
      </c>
      <c r="C32" s="80" t="s">
        <v>658</v>
      </c>
      <c r="D32" s="81" t="s">
        <v>659</v>
      </c>
      <c r="E32" s="127">
        <v>44837</v>
      </c>
      <c r="F32" s="85" t="s">
        <v>96</v>
      </c>
      <c r="G32" s="132" t="s">
        <v>562</v>
      </c>
      <c r="H32" s="85" t="s">
        <v>229</v>
      </c>
      <c r="I32" s="85">
        <v>21</v>
      </c>
      <c r="J32" s="85">
        <f t="shared" si="9"/>
        <v>5</v>
      </c>
      <c r="K32" s="19">
        <v>200</v>
      </c>
      <c r="L32" s="86">
        <f t="shared" si="13"/>
        <v>161.538461538462</v>
      </c>
      <c r="M32" s="140">
        <f t="shared" si="10"/>
        <v>38.4615384615385</v>
      </c>
      <c r="N32" s="85">
        <v>18</v>
      </c>
      <c r="O32" s="85">
        <f t="shared" si="14"/>
        <v>25.9615384615385</v>
      </c>
      <c r="P32" s="85">
        <v>0</v>
      </c>
      <c r="Q32" s="85">
        <f t="shared" si="15"/>
        <v>0</v>
      </c>
      <c r="R32" s="85">
        <v>0</v>
      </c>
      <c r="S32" s="86">
        <f t="shared" si="11"/>
        <v>8.07692307692308</v>
      </c>
      <c r="T32" s="85">
        <v>0</v>
      </c>
      <c r="U32" s="85">
        <v>0</v>
      </c>
      <c r="V32" s="141">
        <v>10</v>
      </c>
      <c r="W32" s="140">
        <v>4.5</v>
      </c>
      <c r="X32" s="141">
        <v>8</v>
      </c>
      <c r="Y32" s="85">
        <v>0</v>
      </c>
      <c r="Z32" s="19">
        <f>VLOOKUP(B32,'[3]Annual Leave '!$B$7:$Q$98,13,0)</f>
        <v>33.97</v>
      </c>
      <c r="AA32" s="19">
        <f>VLOOKUP(B32,'[3]Annual Leave '!$B$7:$Q$98,15,0)</f>
        <v>13.0651812130178</v>
      </c>
      <c r="AB32" s="86">
        <f t="shared" si="12"/>
        <v>265.112104289941</v>
      </c>
      <c r="AC32" s="19">
        <f>VLOOKUP(B32,[2]Sheet1!$B$2:$N$199,11,0)/4000</f>
        <v>4.32725</v>
      </c>
      <c r="AD32" s="19">
        <v>0</v>
      </c>
      <c r="AE32" s="19">
        <f>VLOOKUP(B32,'[1]A04'!$E$7:$L$30,7,0)</f>
        <v>100</v>
      </c>
      <c r="AF32" s="85">
        <f t="shared" si="16"/>
        <v>104.32725</v>
      </c>
      <c r="AG32" s="86">
        <f t="shared" si="17"/>
        <v>160.784854289941</v>
      </c>
      <c r="AH32" s="85"/>
      <c r="AI32" s="131"/>
      <c r="AJ32" s="201"/>
      <c r="AK32" s="34"/>
      <c r="AL32" s="202" t="s">
        <v>660</v>
      </c>
      <c r="AM32" s="203">
        <v>29878</v>
      </c>
      <c r="AN32" s="91" t="s">
        <v>99</v>
      </c>
      <c r="AO32" s="202" t="s">
        <v>234</v>
      </c>
      <c r="AP32" s="91" t="s">
        <v>102</v>
      </c>
      <c r="AQ32" s="91" t="s">
        <v>102</v>
      </c>
      <c r="AR32" s="91" t="s">
        <v>103</v>
      </c>
      <c r="AS32" s="193" t="s">
        <v>661</v>
      </c>
    </row>
    <row r="33" ht="18" customHeight="1" spans="1:37">
      <c r="A33" s="78"/>
      <c r="B33" s="188"/>
      <c r="C33" s="195"/>
      <c r="D33" s="195"/>
      <c r="E33" s="188"/>
      <c r="F33" s="188"/>
      <c r="G33" s="188"/>
      <c r="H33" s="188"/>
      <c r="I33" s="188"/>
      <c r="J33" s="188"/>
      <c r="K33" s="196"/>
      <c r="L33" s="190">
        <f>SUM(L9:L32)</f>
        <v>3938.46153846154</v>
      </c>
      <c r="M33" s="190"/>
      <c r="N33" s="78">
        <f t="shared" ref="N33:V33" si="18">SUM(N9:N32)</f>
        <v>184</v>
      </c>
      <c r="O33" s="78">
        <f t="shared" si="18"/>
        <v>265.384615384615</v>
      </c>
      <c r="P33" s="78">
        <f t="shared" si="18"/>
        <v>0</v>
      </c>
      <c r="Q33" s="78">
        <f t="shared" si="18"/>
        <v>0</v>
      </c>
      <c r="R33" s="78">
        <f t="shared" si="18"/>
        <v>0</v>
      </c>
      <c r="S33" s="78">
        <f t="shared" si="18"/>
        <v>196.923076923077</v>
      </c>
      <c r="T33" s="78">
        <f t="shared" si="18"/>
        <v>30</v>
      </c>
      <c r="U33" s="78">
        <f t="shared" si="18"/>
        <v>20</v>
      </c>
      <c r="V33" s="191">
        <f t="shared" si="18"/>
        <v>240</v>
      </c>
      <c r="W33" s="190"/>
      <c r="X33" s="78">
        <f t="shared" ref="X33:AG33" si="19">SUM(X9:X32)</f>
        <v>192</v>
      </c>
      <c r="Y33" s="78">
        <f t="shared" si="19"/>
        <v>0</v>
      </c>
      <c r="Z33" s="78">
        <f t="shared" si="19"/>
        <v>669.62</v>
      </c>
      <c r="AA33" s="78">
        <f t="shared" si="19"/>
        <v>428.022435897436</v>
      </c>
      <c r="AB33" s="78">
        <f t="shared" si="19"/>
        <v>6028.41166666667</v>
      </c>
      <c r="AC33" s="78">
        <f t="shared" si="19"/>
        <v>107.61125</v>
      </c>
      <c r="AD33" s="78">
        <f t="shared" si="19"/>
        <v>0</v>
      </c>
      <c r="AE33" s="78">
        <f t="shared" si="19"/>
        <v>1750</v>
      </c>
      <c r="AF33" s="78">
        <f t="shared" si="19"/>
        <v>1857.61125</v>
      </c>
      <c r="AG33" s="78">
        <f t="shared" si="19"/>
        <v>4170.80041666667</v>
      </c>
      <c r="AH33" s="204">
        <f>SUM(AH9:AH31)</f>
        <v>827</v>
      </c>
      <c r="AI33" s="205">
        <f>SUM(AI9:AI31)</f>
        <v>139781</v>
      </c>
      <c r="AJ33" s="180"/>
      <c r="AK33" s="181"/>
    </row>
  </sheetData>
  <autoFilter ref="A8:AY33">
    <extLst/>
  </autoFilter>
  <mergeCells count="31">
    <mergeCell ref="A1:AJ1"/>
    <mergeCell ref="A2:AJ2"/>
    <mergeCell ref="A3:AJ3"/>
    <mergeCell ref="A4:AJ4"/>
    <mergeCell ref="A5:C5"/>
    <mergeCell ref="F5:L5"/>
    <mergeCell ref="AG5:AJ5"/>
    <mergeCell ref="N7:Q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31"/>
  <sheetViews>
    <sheetView zoomScale="130" zoomScaleNormal="130" topLeftCell="A19" workbookViewId="0">
      <selection activeCell="P11" sqref="P11"/>
    </sheetView>
  </sheetViews>
  <sheetFormatPr defaultColWidth="9" defaultRowHeight="13.5"/>
  <cols>
    <col min="1" max="1" width="3.45833333333333" style="6" customWidth="1"/>
    <col min="2" max="2" width="5.38333333333333" style="6" customWidth="1"/>
    <col min="3" max="4" width="6.625" style="170" customWidth="1"/>
    <col min="5" max="5" width="6.725" style="6" customWidth="1"/>
    <col min="6" max="6" width="3.74166666666667" style="6" customWidth="1"/>
    <col min="7" max="7" width="2.98333333333333" style="6" customWidth="1"/>
    <col min="8" max="8" width="3.35833333333333" style="170" customWidth="1"/>
    <col min="9" max="9" width="4.03333333333333" style="6" customWidth="1"/>
    <col min="10" max="10" width="3.26666666666667" style="6" customWidth="1"/>
    <col min="11" max="11" width="3.875" style="6" customWidth="1"/>
    <col min="12" max="12" width="5.09166666666667" customWidth="1"/>
    <col min="13" max="15" width="4.13333333333333" customWidth="1"/>
    <col min="16" max="17" width="3.26666666666667" customWidth="1"/>
    <col min="18" max="18" width="3.375" customWidth="1"/>
    <col min="19" max="19" width="4.70833333333333" customWidth="1"/>
    <col min="20" max="20" width="3.625" customWidth="1"/>
    <col min="21" max="21" width="2.48333333333333" customWidth="1"/>
    <col min="22" max="22" width="4.70833333333333" customWidth="1"/>
    <col min="23" max="23" width="3.16666666666667" customWidth="1"/>
    <col min="24" max="25" width="3.375" customWidth="1"/>
    <col min="26" max="26" width="4.41666666666667" customWidth="1"/>
    <col min="27" max="27" width="4.325" customWidth="1"/>
    <col min="28" max="28" width="5.625" customWidth="1"/>
    <col min="29" max="29" width="4.425" customWidth="1"/>
    <col min="30" max="30" width="3.26666666666667" customWidth="1"/>
    <col min="31" max="31" width="4.25" customWidth="1"/>
    <col min="32" max="32" width="4.375" customWidth="1"/>
    <col min="33" max="33" width="6.625" customWidth="1"/>
    <col min="34" max="34" width="6.25" hidden="1" customWidth="1"/>
    <col min="35" max="35" width="8.75" hidden="1" customWidth="1"/>
    <col min="36" max="36" width="6.625" customWidth="1"/>
    <col min="37" max="37" width="16.7333333333333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662</v>
      </c>
      <c r="B1" s="7"/>
      <c r="C1" s="171"/>
      <c r="D1" s="171"/>
      <c r="E1" s="7"/>
      <c r="F1" s="7"/>
      <c r="G1" s="7"/>
      <c r="H1" s="171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8"/>
      <c r="C2" s="172"/>
      <c r="D2" s="172"/>
      <c r="E2" s="8"/>
      <c r="F2" s="8"/>
      <c r="G2" s="8"/>
      <c r="H2" s="172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9"/>
      <c r="C3" s="173"/>
      <c r="D3" s="173"/>
      <c r="E3" s="9"/>
      <c r="F3" s="9"/>
      <c r="G3" s="9"/>
      <c r="H3" s="173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663</v>
      </c>
      <c r="B5" s="189"/>
      <c r="C5" s="175"/>
      <c r="D5" s="175"/>
      <c r="E5" s="11"/>
      <c r="F5" s="11"/>
      <c r="G5" s="11"/>
      <c r="H5" s="194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56" t="s">
        <v>5</v>
      </c>
      <c r="AG5" s="56"/>
      <c r="AH5" s="56"/>
      <c r="AI5" s="56"/>
      <c r="AJ5" s="56"/>
      <c r="AK5" s="56"/>
      <c r="AL5" s="70"/>
    </row>
    <row r="6" s="2" customFormat="1" ht="57.95" customHeight="1" spans="1:37">
      <c r="A6" s="13" t="s">
        <v>6</v>
      </c>
      <c r="B6" s="14" t="s">
        <v>7</v>
      </c>
      <c r="C6" s="29" t="s">
        <v>8</v>
      </c>
      <c r="D6" s="29" t="s">
        <v>8</v>
      </c>
      <c r="E6" s="14" t="s">
        <v>9</v>
      </c>
      <c r="F6" s="14" t="s">
        <v>10</v>
      </c>
      <c r="G6" s="14"/>
      <c r="H6" s="29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9" t="s">
        <v>70</v>
      </c>
    </row>
    <row r="7" s="3" customFormat="1" ht="12" customHeight="1" spans="1:45">
      <c r="A7" s="15" t="s">
        <v>39</v>
      </c>
      <c r="B7" s="16" t="s">
        <v>40</v>
      </c>
      <c r="C7" s="15" t="s">
        <v>41</v>
      </c>
      <c r="D7" s="15" t="s">
        <v>42</v>
      </c>
      <c r="E7" s="15" t="s">
        <v>43</v>
      </c>
      <c r="F7" s="16" t="s">
        <v>44</v>
      </c>
      <c r="G7" s="16"/>
      <c r="H7" s="15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8"/>
      <c r="C8" s="17"/>
      <c r="D8" s="17"/>
      <c r="E8" s="17"/>
      <c r="F8" s="18"/>
      <c r="G8" s="18"/>
      <c r="H8" s="17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77" customFormat="1" ht="26" customHeight="1" spans="1:45">
      <c r="A9" s="19">
        <v>1</v>
      </c>
      <c r="B9" s="75" t="s">
        <v>664</v>
      </c>
      <c r="C9" s="20" t="s">
        <v>665</v>
      </c>
      <c r="D9" s="20" t="s">
        <v>666</v>
      </c>
      <c r="E9" s="21">
        <v>44742</v>
      </c>
      <c r="F9" s="19" t="s">
        <v>667</v>
      </c>
      <c r="G9" s="75" t="s">
        <v>668</v>
      </c>
      <c r="H9" s="76" t="s">
        <v>223</v>
      </c>
      <c r="I9" s="19">
        <v>26</v>
      </c>
      <c r="J9" s="19">
        <f>26-I9</f>
        <v>0</v>
      </c>
      <c r="K9" s="19">
        <v>200</v>
      </c>
      <c r="L9" s="36">
        <f>K9/26*I9</f>
        <v>200</v>
      </c>
      <c r="M9" s="36">
        <f>K9/26*J9</f>
        <v>0</v>
      </c>
      <c r="N9" s="19">
        <v>14</v>
      </c>
      <c r="O9" s="19">
        <f>K9/26/8*1.5*N9</f>
        <v>20.1923076923077</v>
      </c>
      <c r="P9" s="85">
        <v>0</v>
      </c>
      <c r="Q9" s="85">
        <f>K9/26*2*P9</f>
        <v>0</v>
      </c>
      <c r="R9" s="19">
        <v>0</v>
      </c>
      <c r="S9" s="19">
        <f>10/26*I9</f>
        <v>10</v>
      </c>
      <c r="T9" s="19">
        <v>20</v>
      </c>
      <c r="U9" s="19">
        <v>30</v>
      </c>
      <c r="V9" s="19">
        <v>10</v>
      </c>
      <c r="W9" s="19">
        <v>3.5</v>
      </c>
      <c r="X9" s="19">
        <v>8</v>
      </c>
      <c r="Y9" s="19">
        <v>0</v>
      </c>
      <c r="Z9" s="19">
        <f>VLOOKUP(B9,'[3]Annual Leave '!$B$7:$Q$98,13,0)</f>
        <v>41.26</v>
      </c>
      <c r="AA9" s="36">
        <f>VLOOKUP(B9,'[3]Annual Leave '!$B$7:$Q$98,15,0)</f>
        <v>47.6047633136095</v>
      </c>
      <c r="AB9" s="36">
        <f>SUM(L9+O9+Q9+R9+S9+T9+U9+V9+X9+Y9+Z9+AA9+W9)</f>
        <v>390.557071005917</v>
      </c>
      <c r="AC9" s="19">
        <f>VLOOKUP(B9,[2]Sheet1!$B$2:$N$199,11,0)/4000</f>
        <v>4.86875</v>
      </c>
      <c r="AD9" s="19">
        <v>0</v>
      </c>
      <c r="AE9" s="19">
        <f>VLOOKUP(B9,'[1]A05'!$E$7:$L$28,7,0)</f>
        <v>100</v>
      </c>
      <c r="AF9" s="19">
        <f>SUM(AC9:AE9)</f>
        <v>104.86875</v>
      </c>
      <c r="AG9" s="36">
        <f>AB9-AF9</f>
        <v>285.688321005917</v>
      </c>
      <c r="AH9" s="19"/>
      <c r="AI9" s="60"/>
      <c r="AJ9" s="19"/>
      <c r="AK9" s="34"/>
      <c r="AL9" s="72">
        <v>100940340</v>
      </c>
      <c r="AM9" s="73">
        <v>29317</v>
      </c>
      <c r="AN9" s="74" t="s">
        <v>99</v>
      </c>
      <c r="AO9" s="72" t="s">
        <v>164</v>
      </c>
      <c r="AP9" s="74" t="s">
        <v>101</v>
      </c>
      <c r="AQ9" s="74" t="s">
        <v>102</v>
      </c>
      <c r="AR9" s="74" t="s">
        <v>103</v>
      </c>
      <c r="AS9" s="92" t="s">
        <v>669</v>
      </c>
    </row>
    <row r="10" s="5" customFormat="1" ht="26" customHeight="1" spans="1:45">
      <c r="A10" s="19">
        <v>2</v>
      </c>
      <c r="B10" s="75" t="s">
        <v>670</v>
      </c>
      <c r="C10" s="20" t="s">
        <v>671</v>
      </c>
      <c r="D10" s="20" t="s">
        <v>672</v>
      </c>
      <c r="E10" s="21">
        <v>44747</v>
      </c>
      <c r="F10" s="19" t="s">
        <v>96</v>
      </c>
      <c r="G10" s="75" t="s">
        <v>668</v>
      </c>
      <c r="H10" s="76" t="s">
        <v>229</v>
      </c>
      <c r="I10" s="19">
        <v>23</v>
      </c>
      <c r="J10" s="19">
        <f t="shared" ref="J10:J23" si="0">26-I10</f>
        <v>3</v>
      </c>
      <c r="K10" s="19">
        <v>200</v>
      </c>
      <c r="L10" s="36">
        <f t="shared" ref="L10:L23" si="1">K10/26*I10</f>
        <v>176.923076923077</v>
      </c>
      <c r="M10" s="36">
        <f t="shared" ref="M10:M23" si="2">K10/26*J10</f>
        <v>23.0769230769231</v>
      </c>
      <c r="N10" s="19">
        <v>8</v>
      </c>
      <c r="O10" s="19">
        <f t="shared" ref="O10:O23" si="3">K10/26/8*1.5*N10</f>
        <v>11.5384615384615</v>
      </c>
      <c r="P10" s="85">
        <v>0</v>
      </c>
      <c r="Q10" s="85">
        <f t="shared" ref="Q10:Q23" si="4">K10/26*2*P10</f>
        <v>0</v>
      </c>
      <c r="R10" s="19">
        <v>0</v>
      </c>
      <c r="S10" s="19">
        <f t="shared" ref="S10:S17" si="5">10/26*I10</f>
        <v>8.84615384615385</v>
      </c>
      <c r="T10" s="19">
        <v>0</v>
      </c>
      <c r="U10" s="19">
        <v>0</v>
      </c>
      <c r="V10" s="19">
        <v>10</v>
      </c>
      <c r="W10" s="19">
        <v>2</v>
      </c>
      <c r="X10" s="19">
        <v>8</v>
      </c>
      <c r="Y10" s="19">
        <v>0</v>
      </c>
      <c r="Z10" s="19">
        <f>VLOOKUP(B10,'[3]Annual Leave '!$B$7:$Q$98,13,0)</f>
        <v>33.67</v>
      </c>
      <c r="AA10" s="36">
        <f>VLOOKUP(B10,'[3]Annual Leave '!$B$7:$Q$98,15,0)</f>
        <v>12.9504437869823</v>
      </c>
      <c r="AB10" s="36">
        <f t="shared" ref="AB10:AB23" si="6">SUM(L10+O10+Q10+R10+S10+T10+U10+V10+X10+Y10+Z10+AA10+W10)</f>
        <v>263.928136094675</v>
      </c>
      <c r="AC10" s="19">
        <f>VLOOKUP(B10,[2]Sheet1!$B$2:$N$199,11,0)/4000</f>
        <v>4.597</v>
      </c>
      <c r="AD10" s="19">
        <v>0</v>
      </c>
      <c r="AE10" s="19">
        <f>VLOOKUP(B10,'[1]A05'!$E$7:$L$28,7,0)</f>
        <v>100</v>
      </c>
      <c r="AF10" s="19">
        <f>SUM(AC10:AE10)</f>
        <v>104.597</v>
      </c>
      <c r="AG10" s="36">
        <f>AB10-AF10</f>
        <v>159.331136094675</v>
      </c>
      <c r="AH10" s="19"/>
      <c r="AI10" s="60"/>
      <c r="AJ10" s="125"/>
      <c r="AK10" s="34"/>
      <c r="AL10" s="72" t="s">
        <v>673</v>
      </c>
      <c r="AM10" s="73">
        <v>31295</v>
      </c>
      <c r="AN10" s="74" t="s">
        <v>99</v>
      </c>
      <c r="AO10" s="72" t="s">
        <v>224</v>
      </c>
      <c r="AP10" s="74" t="s">
        <v>101</v>
      </c>
      <c r="AQ10" s="74" t="s">
        <v>102</v>
      </c>
      <c r="AR10" s="74" t="s">
        <v>103</v>
      </c>
      <c r="AS10" s="92" t="s">
        <v>674</v>
      </c>
    </row>
    <row r="11" s="5" customFormat="1" ht="26" customHeight="1" spans="1:45">
      <c r="A11" s="19">
        <v>3</v>
      </c>
      <c r="B11" s="75" t="s">
        <v>675</v>
      </c>
      <c r="C11" s="20" t="s">
        <v>676</v>
      </c>
      <c r="D11" s="20" t="s">
        <v>677</v>
      </c>
      <c r="E11" s="21">
        <v>44747</v>
      </c>
      <c r="F11" s="19" t="s">
        <v>96</v>
      </c>
      <c r="G11" s="75" t="s">
        <v>668</v>
      </c>
      <c r="H11" s="76" t="s">
        <v>229</v>
      </c>
      <c r="I11" s="19">
        <v>23</v>
      </c>
      <c r="J11" s="19">
        <f t="shared" si="0"/>
        <v>3</v>
      </c>
      <c r="K11" s="19">
        <v>200</v>
      </c>
      <c r="L11" s="36">
        <f t="shared" si="1"/>
        <v>176.923076923077</v>
      </c>
      <c r="M11" s="36">
        <f t="shared" si="2"/>
        <v>23.0769230769231</v>
      </c>
      <c r="N11" s="19">
        <v>6</v>
      </c>
      <c r="O11" s="19">
        <f t="shared" si="3"/>
        <v>8.65384615384615</v>
      </c>
      <c r="P11" s="85">
        <v>0</v>
      </c>
      <c r="Q11" s="85">
        <f t="shared" si="4"/>
        <v>0</v>
      </c>
      <c r="R11" s="19">
        <v>0</v>
      </c>
      <c r="S11" s="19">
        <f t="shared" si="5"/>
        <v>8.84615384615385</v>
      </c>
      <c r="T11" s="19">
        <v>0</v>
      </c>
      <c r="U11" s="19">
        <v>0</v>
      </c>
      <c r="V11" s="19">
        <v>10</v>
      </c>
      <c r="W11" s="19">
        <v>1.5</v>
      </c>
      <c r="X11" s="19">
        <v>8</v>
      </c>
      <c r="Y11" s="19">
        <v>0</v>
      </c>
      <c r="Z11" s="19">
        <f>VLOOKUP(B11,'[3]Annual Leave '!$B$7:$Q$98,13,0)</f>
        <v>33.5</v>
      </c>
      <c r="AA11" s="36">
        <f>VLOOKUP(B11,'[3]Annual Leave '!$B$7:$Q$98,15,0)</f>
        <v>12.8853550295858</v>
      </c>
      <c r="AB11" s="36">
        <f t="shared" si="6"/>
        <v>260.308431952663</v>
      </c>
      <c r="AC11" s="19">
        <f>VLOOKUP(B11,[2]Sheet1!$B$2:$N$199,11,0)/4000</f>
        <v>4.597</v>
      </c>
      <c r="AD11" s="19">
        <v>0</v>
      </c>
      <c r="AE11" s="19">
        <f>VLOOKUP(B11,'[1]A05'!$E$7:$L$28,7,0)</f>
        <v>100</v>
      </c>
      <c r="AF11" s="19">
        <f t="shared" ref="AF11:AF23" si="7">SUM(AC11:AE11)</f>
        <v>104.597</v>
      </c>
      <c r="AG11" s="36">
        <f t="shared" ref="AG11:AG23" si="8">AB11-AF11</f>
        <v>155.711431952663</v>
      </c>
      <c r="AH11" s="19"/>
      <c r="AI11" s="60"/>
      <c r="AJ11" s="125"/>
      <c r="AK11" s="34"/>
      <c r="AL11" s="72" t="s">
        <v>678</v>
      </c>
      <c r="AM11" s="73">
        <v>34396</v>
      </c>
      <c r="AN11" s="74" t="s">
        <v>99</v>
      </c>
      <c r="AO11" s="72" t="s">
        <v>234</v>
      </c>
      <c r="AP11" s="74" t="s">
        <v>101</v>
      </c>
      <c r="AQ11" s="74" t="s">
        <v>102</v>
      </c>
      <c r="AR11" s="74" t="s">
        <v>103</v>
      </c>
      <c r="AS11" s="92" t="s">
        <v>679</v>
      </c>
    </row>
    <row r="12" s="5" customFormat="1" ht="26" customHeight="1" spans="1:45">
      <c r="A12" s="19">
        <v>4</v>
      </c>
      <c r="B12" s="75" t="s">
        <v>680</v>
      </c>
      <c r="C12" s="20" t="s">
        <v>681</v>
      </c>
      <c r="D12" s="20" t="s">
        <v>682</v>
      </c>
      <c r="E12" s="21">
        <v>44747</v>
      </c>
      <c r="F12" s="19" t="s">
        <v>96</v>
      </c>
      <c r="G12" s="75" t="s">
        <v>668</v>
      </c>
      <c r="H12" s="76" t="s">
        <v>229</v>
      </c>
      <c r="I12" s="19">
        <v>23</v>
      </c>
      <c r="J12" s="19">
        <f t="shared" si="0"/>
        <v>3</v>
      </c>
      <c r="K12" s="19">
        <v>200</v>
      </c>
      <c r="L12" s="36">
        <f t="shared" si="1"/>
        <v>176.923076923077</v>
      </c>
      <c r="M12" s="36">
        <f t="shared" si="2"/>
        <v>23.0769230769231</v>
      </c>
      <c r="N12" s="19">
        <v>10</v>
      </c>
      <c r="O12" s="19">
        <f t="shared" si="3"/>
        <v>14.4230769230769</v>
      </c>
      <c r="P12" s="85">
        <v>0</v>
      </c>
      <c r="Q12" s="85">
        <f t="shared" si="4"/>
        <v>0</v>
      </c>
      <c r="R12" s="19">
        <v>0</v>
      </c>
      <c r="S12" s="19">
        <f t="shared" si="5"/>
        <v>8.84615384615385</v>
      </c>
      <c r="T12" s="19">
        <v>0</v>
      </c>
      <c r="U12" s="19">
        <v>0</v>
      </c>
      <c r="V12" s="19">
        <v>10</v>
      </c>
      <c r="W12" s="19">
        <v>2.5</v>
      </c>
      <c r="X12" s="19">
        <v>8</v>
      </c>
      <c r="Y12" s="19">
        <v>0</v>
      </c>
      <c r="Z12" s="19">
        <f>VLOOKUP(B12,'[3]Annual Leave '!$B$7:$Q$98,13,0)</f>
        <v>33.64</v>
      </c>
      <c r="AA12" s="36">
        <f>VLOOKUP(B12,'[3]Annual Leave '!$B$7:$Q$98,15,0)</f>
        <v>12.9400887573965</v>
      </c>
      <c r="AB12" s="36">
        <f t="shared" si="6"/>
        <v>267.272396449704</v>
      </c>
      <c r="AC12" s="19">
        <f>VLOOKUP(B12,[2]Sheet1!$B$2:$N$199,11,0)/4000</f>
        <v>4.51625</v>
      </c>
      <c r="AD12" s="19">
        <v>0</v>
      </c>
      <c r="AE12" s="19">
        <f>VLOOKUP(B12,'[1]A05'!$E$7:$L$28,7,0)</f>
        <v>100</v>
      </c>
      <c r="AF12" s="19">
        <f t="shared" si="7"/>
        <v>104.51625</v>
      </c>
      <c r="AG12" s="36">
        <f t="shared" si="8"/>
        <v>162.756146449704</v>
      </c>
      <c r="AH12" s="19"/>
      <c r="AI12" s="60"/>
      <c r="AJ12" s="125"/>
      <c r="AK12" s="34"/>
      <c r="AL12" s="72" t="s">
        <v>683</v>
      </c>
      <c r="AM12" s="73">
        <v>34840</v>
      </c>
      <c r="AN12" s="74" t="s">
        <v>99</v>
      </c>
      <c r="AO12" s="72" t="s">
        <v>234</v>
      </c>
      <c r="AP12" s="74" t="s">
        <v>101</v>
      </c>
      <c r="AQ12" s="74" t="s">
        <v>102</v>
      </c>
      <c r="AR12" s="74" t="s">
        <v>103</v>
      </c>
      <c r="AS12" s="92" t="s">
        <v>684</v>
      </c>
    </row>
    <row r="13" s="5" customFormat="1" ht="26" customHeight="1" spans="1:45">
      <c r="A13" s="19">
        <v>5</v>
      </c>
      <c r="B13" s="75" t="s">
        <v>685</v>
      </c>
      <c r="C13" s="20" t="s">
        <v>686</v>
      </c>
      <c r="D13" s="20" t="s">
        <v>687</v>
      </c>
      <c r="E13" s="21">
        <v>44747</v>
      </c>
      <c r="F13" s="19" t="s">
        <v>96</v>
      </c>
      <c r="G13" s="75" t="s">
        <v>668</v>
      </c>
      <c r="H13" s="76" t="s">
        <v>229</v>
      </c>
      <c r="I13" s="19">
        <v>23</v>
      </c>
      <c r="J13" s="19">
        <f t="shared" si="0"/>
        <v>3</v>
      </c>
      <c r="K13" s="19">
        <v>200</v>
      </c>
      <c r="L13" s="36">
        <f t="shared" si="1"/>
        <v>176.923076923077</v>
      </c>
      <c r="M13" s="36">
        <f t="shared" si="2"/>
        <v>23.0769230769231</v>
      </c>
      <c r="N13" s="19">
        <v>8</v>
      </c>
      <c r="O13" s="19">
        <f t="shared" si="3"/>
        <v>11.5384615384615</v>
      </c>
      <c r="P13" s="85">
        <v>0</v>
      </c>
      <c r="Q13" s="85">
        <f t="shared" si="4"/>
        <v>0</v>
      </c>
      <c r="R13" s="19">
        <v>0</v>
      </c>
      <c r="S13" s="19">
        <f t="shared" si="5"/>
        <v>8.84615384615385</v>
      </c>
      <c r="T13" s="19">
        <v>0</v>
      </c>
      <c r="U13" s="19">
        <v>0</v>
      </c>
      <c r="V13" s="19">
        <v>10</v>
      </c>
      <c r="W13" s="19">
        <v>2</v>
      </c>
      <c r="X13" s="19">
        <v>8</v>
      </c>
      <c r="Y13" s="19">
        <v>0</v>
      </c>
      <c r="Z13" s="19">
        <f>VLOOKUP(B13,'[3]Annual Leave '!$B$7:$Q$98,13,0)</f>
        <v>33.11</v>
      </c>
      <c r="AA13" s="36">
        <f>VLOOKUP(B13,'[3]Annual Leave '!$B$7:$Q$98,15,0)</f>
        <v>12.7361316568047</v>
      </c>
      <c r="AB13" s="36">
        <f t="shared" si="6"/>
        <v>263.153823964497</v>
      </c>
      <c r="AC13" s="19">
        <f>VLOOKUP(B13,[2]Sheet1!$B$2:$N$199,11,0)/4000</f>
        <v>4.4355</v>
      </c>
      <c r="AD13" s="19">
        <v>0</v>
      </c>
      <c r="AE13" s="19">
        <f>VLOOKUP(B13,'[1]A05'!$E$7:$L$28,7,0)</f>
        <v>100</v>
      </c>
      <c r="AF13" s="19">
        <f t="shared" si="7"/>
        <v>104.4355</v>
      </c>
      <c r="AG13" s="36">
        <f t="shared" si="8"/>
        <v>158.718323964497</v>
      </c>
      <c r="AH13" s="19"/>
      <c r="AI13" s="60"/>
      <c r="AJ13" s="125"/>
      <c r="AK13" s="34"/>
      <c r="AL13" s="72" t="s">
        <v>688</v>
      </c>
      <c r="AM13" s="73">
        <v>30682</v>
      </c>
      <c r="AN13" s="74" t="s">
        <v>99</v>
      </c>
      <c r="AO13" s="72" t="s">
        <v>224</v>
      </c>
      <c r="AP13" s="74" t="s">
        <v>101</v>
      </c>
      <c r="AQ13" s="74" t="s">
        <v>102</v>
      </c>
      <c r="AR13" s="74" t="s">
        <v>103</v>
      </c>
      <c r="AS13" s="92" t="s">
        <v>689</v>
      </c>
    </row>
    <row r="14" s="5" customFormat="1" ht="26" customHeight="1" spans="1:45">
      <c r="A14" s="19">
        <v>6</v>
      </c>
      <c r="B14" s="75" t="s">
        <v>690</v>
      </c>
      <c r="C14" s="20" t="s">
        <v>691</v>
      </c>
      <c r="D14" s="20" t="s">
        <v>692</v>
      </c>
      <c r="E14" s="21">
        <v>44747</v>
      </c>
      <c r="F14" s="19" t="s">
        <v>96</v>
      </c>
      <c r="G14" s="75" t="s">
        <v>668</v>
      </c>
      <c r="H14" s="76" t="s">
        <v>229</v>
      </c>
      <c r="I14" s="19">
        <v>23</v>
      </c>
      <c r="J14" s="19">
        <f t="shared" si="0"/>
        <v>3</v>
      </c>
      <c r="K14" s="19">
        <v>200</v>
      </c>
      <c r="L14" s="36">
        <f t="shared" si="1"/>
        <v>176.923076923077</v>
      </c>
      <c r="M14" s="36">
        <f t="shared" si="2"/>
        <v>23.0769230769231</v>
      </c>
      <c r="N14" s="19">
        <v>24</v>
      </c>
      <c r="O14" s="19">
        <f t="shared" si="3"/>
        <v>34.6153846153846</v>
      </c>
      <c r="P14" s="85">
        <v>0</v>
      </c>
      <c r="Q14" s="85">
        <f t="shared" si="4"/>
        <v>0</v>
      </c>
      <c r="R14" s="19">
        <v>0</v>
      </c>
      <c r="S14" s="19">
        <f t="shared" si="5"/>
        <v>8.84615384615385</v>
      </c>
      <c r="T14" s="19">
        <v>0</v>
      </c>
      <c r="U14" s="19">
        <v>0</v>
      </c>
      <c r="V14" s="19">
        <v>10</v>
      </c>
      <c r="W14" s="19">
        <v>6</v>
      </c>
      <c r="X14" s="19">
        <v>8</v>
      </c>
      <c r="Y14" s="19">
        <v>0</v>
      </c>
      <c r="Z14" s="19">
        <f>VLOOKUP(B14,'[3]Annual Leave '!$B$7:$Q$98,13,0)</f>
        <v>35.22</v>
      </c>
      <c r="AA14" s="36">
        <f>VLOOKUP(B14,'[3]Annual Leave '!$B$7:$Q$98,15,0)</f>
        <v>13.5465976331361</v>
      </c>
      <c r="AB14" s="36">
        <f t="shared" si="6"/>
        <v>293.151213017752</v>
      </c>
      <c r="AC14" s="19">
        <f>VLOOKUP(B14,[2]Sheet1!$B$2:$N$199,11,0)/4000</f>
        <v>4.67775</v>
      </c>
      <c r="AD14" s="19">
        <v>0</v>
      </c>
      <c r="AE14" s="19">
        <f>VLOOKUP(B14,'[1]A05'!$E$7:$L$28,7,0)</f>
        <v>100</v>
      </c>
      <c r="AF14" s="19">
        <f t="shared" si="7"/>
        <v>104.67775</v>
      </c>
      <c r="AG14" s="36">
        <f t="shared" si="8"/>
        <v>188.473463017752</v>
      </c>
      <c r="AH14" s="19"/>
      <c r="AI14" s="60"/>
      <c r="AJ14" s="125"/>
      <c r="AK14" s="34"/>
      <c r="AL14" s="72" t="s">
        <v>693</v>
      </c>
      <c r="AM14" s="73">
        <v>29650</v>
      </c>
      <c r="AN14" s="74" t="s">
        <v>99</v>
      </c>
      <c r="AO14" s="72" t="s">
        <v>224</v>
      </c>
      <c r="AP14" s="74" t="s">
        <v>101</v>
      </c>
      <c r="AQ14" s="74" t="s">
        <v>102</v>
      </c>
      <c r="AR14" s="74" t="s">
        <v>103</v>
      </c>
      <c r="AS14" s="92" t="s">
        <v>694</v>
      </c>
    </row>
    <row r="15" s="5" customFormat="1" ht="26" customHeight="1" spans="1:45">
      <c r="A15" s="19">
        <v>7</v>
      </c>
      <c r="B15" s="75" t="s">
        <v>695</v>
      </c>
      <c r="C15" s="20" t="s">
        <v>696</v>
      </c>
      <c r="D15" s="20" t="s">
        <v>697</v>
      </c>
      <c r="E15" s="21">
        <v>44747</v>
      </c>
      <c r="F15" s="19" t="s">
        <v>96</v>
      </c>
      <c r="G15" s="75" t="s">
        <v>668</v>
      </c>
      <c r="H15" s="76" t="s">
        <v>229</v>
      </c>
      <c r="I15" s="19">
        <v>23</v>
      </c>
      <c r="J15" s="19">
        <f t="shared" si="0"/>
        <v>3</v>
      </c>
      <c r="K15" s="19">
        <v>200</v>
      </c>
      <c r="L15" s="36">
        <f t="shared" si="1"/>
        <v>176.923076923077</v>
      </c>
      <c r="M15" s="36">
        <f t="shared" si="2"/>
        <v>23.0769230769231</v>
      </c>
      <c r="N15" s="19">
        <v>14</v>
      </c>
      <c r="O15" s="19">
        <f t="shared" si="3"/>
        <v>20.1923076923077</v>
      </c>
      <c r="P15" s="85">
        <v>0</v>
      </c>
      <c r="Q15" s="85">
        <f t="shared" si="4"/>
        <v>0</v>
      </c>
      <c r="R15" s="19">
        <v>0</v>
      </c>
      <c r="S15" s="19">
        <f t="shared" si="5"/>
        <v>8.84615384615385</v>
      </c>
      <c r="T15" s="19">
        <v>0</v>
      </c>
      <c r="U15" s="19">
        <v>0</v>
      </c>
      <c r="V15" s="19">
        <v>10</v>
      </c>
      <c r="W15" s="19">
        <v>3.5</v>
      </c>
      <c r="X15" s="19">
        <v>8</v>
      </c>
      <c r="Y15" s="19">
        <v>0</v>
      </c>
      <c r="Z15" s="19">
        <f>VLOOKUP(B15,'[3]Annual Leave '!$B$7:$Q$98,13,0)</f>
        <v>34.18</v>
      </c>
      <c r="AA15" s="36">
        <f>VLOOKUP(B15,'[3]Annual Leave '!$B$7:$Q$98,15,0)</f>
        <v>13.1457100591716</v>
      </c>
      <c r="AB15" s="36">
        <f t="shared" si="6"/>
        <v>274.78724852071</v>
      </c>
      <c r="AC15" s="19">
        <f>VLOOKUP(B15,[2]Sheet1!$B$2:$N$199,11,0)/4000</f>
        <v>4.597</v>
      </c>
      <c r="AD15" s="19">
        <v>0</v>
      </c>
      <c r="AE15" s="19">
        <f>VLOOKUP(B15,'[1]A05'!$E$7:$L$28,7,0)</f>
        <v>100</v>
      </c>
      <c r="AF15" s="19">
        <f t="shared" si="7"/>
        <v>104.597</v>
      </c>
      <c r="AG15" s="36">
        <f t="shared" si="8"/>
        <v>170.19024852071</v>
      </c>
      <c r="AH15" s="19"/>
      <c r="AI15" s="60"/>
      <c r="AJ15" s="125"/>
      <c r="AK15" s="34"/>
      <c r="AL15" s="72" t="s">
        <v>698</v>
      </c>
      <c r="AM15" s="73">
        <v>32124</v>
      </c>
      <c r="AN15" s="74" t="s">
        <v>99</v>
      </c>
      <c r="AO15" s="72" t="s">
        <v>224</v>
      </c>
      <c r="AP15" s="74" t="s">
        <v>101</v>
      </c>
      <c r="AQ15" s="74" t="s">
        <v>102</v>
      </c>
      <c r="AR15" s="74" t="s">
        <v>103</v>
      </c>
      <c r="AS15" s="92" t="s">
        <v>699</v>
      </c>
    </row>
    <row r="16" s="5" customFormat="1" ht="26" customHeight="1" spans="1:45">
      <c r="A16" s="19">
        <v>8</v>
      </c>
      <c r="B16" s="75" t="s">
        <v>700</v>
      </c>
      <c r="C16" s="20" t="s">
        <v>701</v>
      </c>
      <c r="D16" s="20" t="s">
        <v>702</v>
      </c>
      <c r="E16" s="21">
        <v>44747</v>
      </c>
      <c r="F16" s="19" t="s">
        <v>96</v>
      </c>
      <c r="G16" s="75" t="s">
        <v>668</v>
      </c>
      <c r="H16" s="76" t="s">
        <v>229</v>
      </c>
      <c r="I16" s="19">
        <v>23</v>
      </c>
      <c r="J16" s="19">
        <f t="shared" si="0"/>
        <v>3</v>
      </c>
      <c r="K16" s="19">
        <v>200</v>
      </c>
      <c r="L16" s="36">
        <f t="shared" si="1"/>
        <v>176.923076923077</v>
      </c>
      <c r="M16" s="36">
        <f t="shared" si="2"/>
        <v>23.0769230769231</v>
      </c>
      <c r="N16" s="19">
        <v>8</v>
      </c>
      <c r="O16" s="19">
        <f t="shared" si="3"/>
        <v>11.5384615384615</v>
      </c>
      <c r="P16" s="85">
        <v>0</v>
      </c>
      <c r="Q16" s="85">
        <f t="shared" si="4"/>
        <v>0</v>
      </c>
      <c r="R16" s="19">
        <v>0</v>
      </c>
      <c r="S16" s="19">
        <f t="shared" si="5"/>
        <v>8.84615384615385</v>
      </c>
      <c r="T16" s="19">
        <v>0</v>
      </c>
      <c r="U16" s="19">
        <v>0</v>
      </c>
      <c r="V16" s="19">
        <v>10</v>
      </c>
      <c r="W16" s="19">
        <v>2</v>
      </c>
      <c r="X16" s="19">
        <v>8</v>
      </c>
      <c r="Y16" s="19">
        <v>0</v>
      </c>
      <c r="Z16" s="19">
        <f>VLOOKUP(B16,'[3]Annual Leave '!$B$7:$Q$98,13,0)</f>
        <v>33.73</v>
      </c>
      <c r="AA16" s="36">
        <f>VLOOKUP(B16,'[3]Annual Leave '!$B$7:$Q$98,15,0)</f>
        <v>12.9744822485207</v>
      </c>
      <c r="AB16" s="36">
        <f t="shared" si="6"/>
        <v>264.012174556213</v>
      </c>
      <c r="AC16" s="19">
        <f>VLOOKUP(B16,[2]Sheet1!$B$2:$N$199,11,0)/4000</f>
        <v>4.3805</v>
      </c>
      <c r="AD16" s="19">
        <v>0</v>
      </c>
      <c r="AE16" s="19">
        <f>VLOOKUP(B16,'[1]A05'!$E$7:$L$28,7,0)</f>
        <v>100</v>
      </c>
      <c r="AF16" s="19">
        <f t="shared" si="7"/>
        <v>104.3805</v>
      </c>
      <c r="AG16" s="36">
        <f t="shared" si="8"/>
        <v>159.631674556213</v>
      </c>
      <c r="AH16" s="19"/>
      <c r="AI16" s="60"/>
      <c r="AJ16" s="125"/>
      <c r="AK16" s="34"/>
      <c r="AL16" s="72">
        <v>101298529</v>
      </c>
      <c r="AM16" s="73">
        <v>34884</v>
      </c>
      <c r="AN16" s="74" t="s">
        <v>99</v>
      </c>
      <c r="AO16" s="72" t="s">
        <v>224</v>
      </c>
      <c r="AP16" s="74" t="s">
        <v>101</v>
      </c>
      <c r="AQ16" s="74" t="s">
        <v>102</v>
      </c>
      <c r="AR16" s="74" t="s">
        <v>103</v>
      </c>
      <c r="AS16" s="92" t="s">
        <v>703</v>
      </c>
    </row>
    <row r="17" s="5" customFormat="1" ht="26" customHeight="1" spans="1:45">
      <c r="A17" s="19">
        <v>9</v>
      </c>
      <c r="B17" s="75" t="s">
        <v>704</v>
      </c>
      <c r="C17" s="20" t="s">
        <v>705</v>
      </c>
      <c r="D17" s="20" t="s">
        <v>706</v>
      </c>
      <c r="E17" s="21">
        <v>44747</v>
      </c>
      <c r="F17" s="19" t="s">
        <v>96</v>
      </c>
      <c r="G17" s="75" t="s">
        <v>668</v>
      </c>
      <c r="H17" s="76" t="s">
        <v>229</v>
      </c>
      <c r="I17" s="19">
        <v>23</v>
      </c>
      <c r="J17" s="19">
        <f t="shared" si="0"/>
        <v>3</v>
      </c>
      <c r="K17" s="19">
        <v>200</v>
      </c>
      <c r="L17" s="36">
        <f t="shared" si="1"/>
        <v>176.923076923077</v>
      </c>
      <c r="M17" s="36">
        <f t="shared" si="2"/>
        <v>23.0769230769231</v>
      </c>
      <c r="N17" s="19">
        <v>8</v>
      </c>
      <c r="O17" s="19">
        <f t="shared" si="3"/>
        <v>11.5384615384615</v>
      </c>
      <c r="P17" s="85">
        <v>0</v>
      </c>
      <c r="Q17" s="85">
        <f t="shared" si="4"/>
        <v>0</v>
      </c>
      <c r="R17" s="19">
        <v>0</v>
      </c>
      <c r="S17" s="19">
        <f t="shared" si="5"/>
        <v>8.84615384615385</v>
      </c>
      <c r="T17" s="19">
        <v>0</v>
      </c>
      <c r="U17" s="19">
        <v>0</v>
      </c>
      <c r="V17" s="19">
        <v>10</v>
      </c>
      <c r="W17" s="19">
        <v>2</v>
      </c>
      <c r="X17" s="19">
        <v>8</v>
      </c>
      <c r="Y17" s="19">
        <v>0</v>
      </c>
      <c r="Z17" s="19">
        <f>VLOOKUP(B17,'[3]Annual Leave '!$B$7:$Q$98,13,0)</f>
        <v>32.56</v>
      </c>
      <c r="AA17" s="36">
        <f>VLOOKUP(B17,'[3]Annual Leave '!$B$7:$Q$98,15,0)</f>
        <v>20.8696992110454</v>
      </c>
      <c r="AB17" s="36">
        <f t="shared" si="6"/>
        <v>270.737391518738</v>
      </c>
      <c r="AC17" s="19">
        <f>VLOOKUP(B17,[2]Sheet1!$B$2:$N$199,11,0)/4000</f>
        <v>4.13825</v>
      </c>
      <c r="AD17" s="19">
        <v>0</v>
      </c>
      <c r="AE17" s="19">
        <f>VLOOKUP(B17,'[1]A05'!$E$7:$L$28,7,0)</f>
        <v>100</v>
      </c>
      <c r="AF17" s="19">
        <f t="shared" si="7"/>
        <v>104.13825</v>
      </c>
      <c r="AG17" s="36">
        <f t="shared" si="8"/>
        <v>166.599141518738</v>
      </c>
      <c r="AH17" s="19"/>
      <c r="AI17" s="60"/>
      <c r="AJ17" s="125"/>
      <c r="AK17" s="34"/>
      <c r="AL17" s="72" t="s">
        <v>707</v>
      </c>
      <c r="AM17" s="73">
        <v>34342</v>
      </c>
      <c r="AN17" s="74" t="s">
        <v>99</v>
      </c>
      <c r="AO17" s="72" t="s">
        <v>234</v>
      </c>
      <c r="AP17" s="74" t="s">
        <v>101</v>
      </c>
      <c r="AQ17" s="74" t="s">
        <v>102</v>
      </c>
      <c r="AR17" s="74" t="s">
        <v>103</v>
      </c>
      <c r="AS17" s="92" t="s">
        <v>708</v>
      </c>
    </row>
    <row r="18" s="5" customFormat="1" ht="26" customHeight="1" spans="1:45">
      <c r="A18" s="19">
        <v>10</v>
      </c>
      <c r="B18" s="75" t="s">
        <v>709</v>
      </c>
      <c r="C18" s="20" t="s">
        <v>710</v>
      </c>
      <c r="D18" s="20" t="s">
        <v>711</v>
      </c>
      <c r="E18" s="21">
        <v>44747</v>
      </c>
      <c r="F18" s="19" t="s">
        <v>96</v>
      </c>
      <c r="G18" s="75" t="s">
        <v>668</v>
      </c>
      <c r="H18" s="76" t="s">
        <v>229</v>
      </c>
      <c r="I18" s="19">
        <v>23</v>
      </c>
      <c r="J18" s="19">
        <f t="shared" si="0"/>
        <v>3</v>
      </c>
      <c r="K18" s="19">
        <v>200</v>
      </c>
      <c r="L18" s="36">
        <f t="shared" si="1"/>
        <v>176.923076923077</v>
      </c>
      <c r="M18" s="36">
        <f t="shared" si="2"/>
        <v>23.0769230769231</v>
      </c>
      <c r="N18" s="19">
        <v>0</v>
      </c>
      <c r="O18" s="19">
        <f t="shared" si="3"/>
        <v>0</v>
      </c>
      <c r="P18" s="85">
        <v>0</v>
      </c>
      <c r="Q18" s="85">
        <f t="shared" si="4"/>
        <v>0</v>
      </c>
      <c r="R18" s="19">
        <v>0</v>
      </c>
      <c r="S18" s="19">
        <f t="shared" ref="S18:S30" si="9">10/26*I18</f>
        <v>8.84615384615385</v>
      </c>
      <c r="T18" s="19">
        <v>0</v>
      </c>
      <c r="U18" s="19">
        <v>0</v>
      </c>
      <c r="V18" s="19">
        <v>10</v>
      </c>
      <c r="W18" s="19">
        <v>0</v>
      </c>
      <c r="X18" s="19">
        <v>8</v>
      </c>
      <c r="Y18" s="19">
        <v>0</v>
      </c>
      <c r="Z18" s="19">
        <f>VLOOKUP(B18,'[3]Annual Leave '!$B$7:$Q$98,13,0)</f>
        <v>33.03</v>
      </c>
      <c r="AA18" s="36">
        <f>VLOOKUP(B18,'[3]Annual Leave '!$B$7:$Q$98,15,0)</f>
        <v>12.7021079881657</v>
      </c>
      <c r="AB18" s="36">
        <f t="shared" si="6"/>
        <v>249.501338757397</v>
      </c>
      <c r="AC18" s="19">
        <f>VLOOKUP(B18,[2]Sheet1!$B$2:$N$199,11,0)/4000</f>
        <v>4.60975</v>
      </c>
      <c r="AD18" s="19">
        <v>0</v>
      </c>
      <c r="AE18" s="19">
        <f>VLOOKUP(B18,'[1]A05'!$E$7:$L$28,7,0)</f>
        <v>100</v>
      </c>
      <c r="AF18" s="19">
        <f t="shared" si="7"/>
        <v>104.60975</v>
      </c>
      <c r="AG18" s="36">
        <f t="shared" si="8"/>
        <v>144.891588757397</v>
      </c>
      <c r="AH18" s="19"/>
      <c r="AI18" s="60"/>
      <c r="AJ18" s="125"/>
      <c r="AK18" s="34"/>
      <c r="AL18" s="72" t="s">
        <v>712</v>
      </c>
      <c r="AM18" s="73">
        <v>33359</v>
      </c>
      <c r="AN18" s="74" t="s">
        <v>99</v>
      </c>
      <c r="AO18" s="72" t="s">
        <v>224</v>
      </c>
      <c r="AP18" s="74" t="s">
        <v>101</v>
      </c>
      <c r="AQ18" s="74" t="s">
        <v>102</v>
      </c>
      <c r="AR18" s="74" t="s">
        <v>103</v>
      </c>
      <c r="AS18" s="92" t="s">
        <v>713</v>
      </c>
    </row>
    <row r="19" s="5" customFormat="1" ht="26" customHeight="1" spans="1:45">
      <c r="A19" s="19">
        <v>11</v>
      </c>
      <c r="B19" s="75" t="s">
        <v>714</v>
      </c>
      <c r="C19" s="20" t="s">
        <v>715</v>
      </c>
      <c r="D19" s="20" t="s">
        <v>716</v>
      </c>
      <c r="E19" s="21">
        <v>44747</v>
      </c>
      <c r="F19" s="19" t="s">
        <v>96</v>
      </c>
      <c r="G19" s="75" t="s">
        <v>668</v>
      </c>
      <c r="H19" s="76" t="s">
        <v>229</v>
      </c>
      <c r="I19" s="19">
        <v>22</v>
      </c>
      <c r="J19" s="19">
        <f t="shared" si="0"/>
        <v>4</v>
      </c>
      <c r="K19" s="19">
        <v>200</v>
      </c>
      <c r="L19" s="36">
        <f t="shared" si="1"/>
        <v>169.230769230769</v>
      </c>
      <c r="M19" s="36">
        <f t="shared" si="2"/>
        <v>30.7692307692308</v>
      </c>
      <c r="N19" s="19">
        <v>2</v>
      </c>
      <c r="O19" s="19">
        <f t="shared" si="3"/>
        <v>2.88461538461538</v>
      </c>
      <c r="P19" s="85">
        <v>0</v>
      </c>
      <c r="Q19" s="85">
        <f t="shared" si="4"/>
        <v>0</v>
      </c>
      <c r="R19" s="19">
        <v>0</v>
      </c>
      <c r="S19" s="19">
        <f t="shared" si="9"/>
        <v>8.46153846153846</v>
      </c>
      <c r="T19" s="19">
        <v>0</v>
      </c>
      <c r="U19" s="19">
        <v>0</v>
      </c>
      <c r="V19" s="19">
        <v>10</v>
      </c>
      <c r="W19" s="19">
        <v>0.5</v>
      </c>
      <c r="X19" s="19">
        <v>8</v>
      </c>
      <c r="Y19" s="19">
        <v>0</v>
      </c>
      <c r="Z19" s="19">
        <f>VLOOKUP(B19,'[3]Annual Leave '!$B$7:$Q$98,13,0)</f>
        <v>32.4</v>
      </c>
      <c r="AA19" s="36">
        <f>VLOOKUP(B19,'[3]Annual Leave '!$B$7:$Q$98,15,0)</f>
        <v>20.7683062130178</v>
      </c>
      <c r="AB19" s="36">
        <f t="shared" si="6"/>
        <v>252.245229289941</v>
      </c>
      <c r="AC19" s="19">
        <f>VLOOKUP(B19,[2]Sheet1!$B$2:$N$199,11,0)/4000</f>
        <v>4.44825</v>
      </c>
      <c r="AD19" s="19">
        <v>0</v>
      </c>
      <c r="AE19" s="19">
        <f>VLOOKUP(B19,'[1]A05'!$E$7:$L$28,7,0)</f>
        <v>100</v>
      </c>
      <c r="AF19" s="19">
        <f t="shared" si="7"/>
        <v>104.44825</v>
      </c>
      <c r="AG19" s="36">
        <f t="shared" si="8"/>
        <v>147.796979289941</v>
      </c>
      <c r="AH19" s="19"/>
      <c r="AI19" s="60"/>
      <c r="AJ19" s="125"/>
      <c r="AK19" s="34"/>
      <c r="AL19" s="72" t="s">
        <v>717</v>
      </c>
      <c r="AM19" s="73">
        <v>34096</v>
      </c>
      <c r="AN19" s="74" t="s">
        <v>141</v>
      </c>
      <c r="AO19" s="72"/>
      <c r="AP19" s="74" t="s">
        <v>101</v>
      </c>
      <c r="AQ19" s="74" t="s">
        <v>102</v>
      </c>
      <c r="AR19" s="74" t="s">
        <v>103</v>
      </c>
      <c r="AS19" s="92" t="s">
        <v>718</v>
      </c>
    </row>
    <row r="20" s="5" customFormat="1" ht="26" customHeight="1" spans="1:45">
      <c r="A20" s="19">
        <v>12</v>
      </c>
      <c r="B20" s="75" t="s">
        <v>719</v>
      </c>
      <c r="C20" s="20" t="s">
        <v>720</v>
      </c>
      <c r="D20" s="20" t="s">
        <v>721</v>
      </c>
      <c r="E20" s="21">
        <v>44747</v>
      </c>
      <c r="F20" s="19" t="s">
        <v>96</v>
      </c>
      <c r="G20" s="75" t="s">
        <v>668</v>
      </c>
      <c r="H20" s="76" t="s">
        <v>229</v>
      </c>
      <c r="I20" s="19">
        <v>23</v>
      </c>
      <c r="J20" s="19">
        <f t="shared" si="0"/>
        <v>3</v>
      </c>
      <c r="K20" s="19">
        <v>200</v>
      </c>
      <c r="L20" s="36">
        <f t="shared" si="1"/>
        <v>176.923076923077</v>
      </c>
      <c r="M20" s="36">
        <f t="shared" si="2"/>
        <v>23.0769230769231</v>
      </c>
      <c r="N20" s="19">
        <v>10</v>
      </c>
      <c r="O20" s="19">
        <f t="shared" si="3"/>
        <v>14.4230769230769</v>
      </c>
      <c r="P20" s="85">
        <v>0</v>
      </c>
      <c r="Q20" s="85">
        <f t="shared" si="4"/>
        <v>0</v>
      </c>
      <c r="R20" s="19">
        <v>0</v>
      </c>
      <c r="S20" s="19">
        <f t="shared" si="9"/>
        <v>8.84615384615385</v>
      </c>
      <c r="T20" s="19">
        <v>0</v>
      </c>
      <c r="U20" s="19">
        <v>0</v>
      </c>
      <c r="V20" s="19">
        <v>10</v>
      </c>
      <c r="W20" s="19">
        <v>2.5</v>
      </c>
      <c r="X20" s="19">
        <v>8</v>
      </c>
      <c r="Y20" s="19">
        <v>0</v>
      </c>
      <c r="Z20" s="19">
        <f>VLOOKUP(B20,'[3]Annual Leave '!$B$7:$Q$98,13,0)</f>
        <v>33.25</v>
      </c>
      <c r="AA20" s="36">
        <f>VLOOKUP(B20,'[3]Annual Leave '!$B$7:$Q$98,15,0)</f>
        <v>21.3153353057199</v>
      </c>
      <c r="AB20" s="36">
        <f t="shared" si="6"/>
        <v>275.257642998028</v>
      </c>
      <c r="AC20" s="19">
        <f>VLOOKUP(B20,[2]Sheet1!$B$2:$N$199,11,0)/4000</f>
        <v>4.51625</v>
      </c>
      <c r="AD20" s="19">
        <v>0</v>
      </c>
      <c r="AE20" s="19">
        <f>VLOOKUP(B20,'[1]A05'!$E$7:$L$28,7,0)</f>
        <v>100</v>
      </c>
      <c r="AF20" s="19">
        <f t="shared" si="7"/>
        <v>104.51625</v>
      </c>
      <c r="AG20" s="36">
        <f t="shared" si="8"/>
        <v>170.741392998028</v>
      </c>
      <c r="AH20" s="19"/>
      <c r="AI20" s="60"/>
      <c r="AJ20" s="125"/>
      <c r="AK20" s="34"/>
      <c r="AL20" s="72" t="s">
        <v>722</v>
      </c>
      <c r="AM20" s="73">
        <v>32206</v>
      </c>
      <c r="AN20" s="74" t="s">
        <v>99</v>
      </c>
      <c r="AO20" s="72" t="s">
        <v>224</v>
      </c>
      <c r="AP20" s="74" t="s">
        <v>101</v>
      </c>
      <c r="AQ20" s="74" t="s">
        <v>102</v>
      </c>
      <c r="AR20" s="74" t="s">
        <v>103</v>
      </c>
      <c r="AS20" s="92" t="s">
        <v>723</v>
      </c>
    </row>
    <row r="21" s="5" customFormat="1" ht="26" customHeight="1" spans="1:45">
      <c r="A21" s="19">
        <v>13</v>
      </c>
      <c r="B21" s="75" t="s">
        <v>724</v>
      </c>
      <c r="C21" s="20" t="s">
        <v>725</v>
      </c>
      <c r="D21" s="20" t="s">
        <v>726</v>
      </c>
      <c r="E21" s="21">
        <v>44747</v>
      </c>
      <c r="F21" s="19" t="s">
        <v>96</v>
      </c>
      <c r="G21" s="75" t="s">
        <v>668</v>
      </c>
      <c r="H21" s="76" t="s">
        <v>229</v>
      </c>
      <c r="I21" s="19">
        <v>24.5</v>
      </c>
      <c r="J21" s="19">
        <f t="shared" si="0"/>
        <v>1.5</v>
      </c>
      <c r="K21" s="19">
        <v>200</v>
      </c>
      <c r="L21" s="36">
        <f t="shared" si="1"/>
        <v>188.461538461538</v>
      </c>
      <c r="M21" s="36">
        <f t="shared" si="2"/>
        <v>11.5384615384615</v>
      </c>
      <c r="N21" s="19">
        <v>12</v>
      </c>
      <c r="O21" s="19">
        <f t="shared" si="3"/>
        <v>17.3076923076923</v>
      </c>
      <c r="P21" s="85">
        <v>0</v>
      </c>
      <c r="Q21" s="85">
        <f t="shared" si="4"/>
        <v>0</v>
      </c>
      <c r="R21" s="19">
        <v>0</v>
      </c>
      <c r="S21" s="19">
        <f t="shared" si="9"/>
        <v>9.42307692307692</v>
      </c>
      <c r="T21" s="19">
        <v>0</v>
      </c>
      <c r="U21" s="19">
        <v>0</v>
      </c>
      <c r="V21" s="19">
        <v>10</v>
      </c>
      <c r="W21" s="19">
        <v>3</v>
      </c>
      <c r="X21" s="19">
        <v>8</v>
      </c>
      <c r="Y21" s="19">
        <v>0</v>
      </c>
      <c r="Z21" s="19">
        <f>VLOOKUP(B21,'[3]Annual Leave '!$B$7:$Q$98,13,0)</f>
        <v>34.03</v>
      </c>
      <c r="AA21" s="36">
        <f>VLOOKUP(B21,'[3]Annual Leave '!$B$7:$Q$98,15,0)</f>
        <v>8.72485207100592</v>
      </c>
      <c r="AB21" s="36">
        <f t="shared" si="6"/>
        <v>278.947159763313</v>
      </c>
      <c r="AC21" s="19">
        <f>VLOOKUP(B21,[2]Sheet1!$B$2:$N$199,11,0)/4000</f>
        <v>4.75825</v>
      </c>
      <c r="AD21" s="19">
        <v>0</v>
      </c>
      <c r="AE21" s="19">
        <f>VLOOKUP(B21,'[1]A05'!$E$7:$L$28,7,0)</f>
        <v>100</v>
      </c>
      <c r="AF21" s="19">
        <f t="shared" si="7"/>
        <v>104.75825</v>
      </c>
      <c r="AG21" s="36">
        <f t="shared" si="8"/>
        <v>174.188909763313</v>
      </c>
      <c r="AH21" s="19"/>
      <c r="AI21" s="60"/>
      <c r="AJ21" s="125"/>
      <c r="AK21" s="34"/>
      <c r="AL21" s="72"/>
      <c r="AM21" s="73">
        <v>34108</v>
      </c>
      <c r="AN21" s="74" t="s">
        <v>99</v>
      </c>
      <c r="AO21" s="72" t="s">
        <v>224</v>
      </c>
      <c r="AP21" s="74" t="s">
        <v>101</v>
      </c>
      <c r="AQ21" s="74" t="s">
        <v>102</v>
      </c>
      <c r="AR21" s="74" t="s">
        <v>103</v>
      </c>
      <c r="AS21" s="92" t="s">
        <v>467</v>
      </c>
    </row>
    <row r="22" s="5" customFormat="1" ht="26" customHeight="1" spans="1:45">
      <c r="A22" s="19">
        <v>14</v>
      </c>
      <c r="B22" s="75" t="s">
        <v>727</v>
      </c>
      <c r="C22" s="20" t="s">
        <v>728</v>
      </c>
      <c r="D22" s="20" t="s">
        <v>729</v>
      </c>
      <c r="E22" s="21">
        <v>44747</v>
      </c>
      <c r="F22" s="19" t="s">
        <v>96</v>
      </c>
      <c r="G22" s="75" t="s">
        <v>668</v>
      </c>
      <c r="H22" s="76" t="s">
        <v>229</v>
      </c>
      <c r="I22" s="19">
        <v>21</v>
      </c>
      <c r="J22" s="19">
        <f t="shared" si="0"/>
        <v>5</v>
      </c>
      <c r="K22" s="19">
        <v>200</v>
      </c>
      <c r="L22" s="36">
        <f t="shared" si="1"/>
        <v>161.538461538462</v>
      </c>
      <c r="M22" s="36">
        <f t="shared" si="2"/>
        <v>38.4615384615385</v>
      </c>
      <c r="N22" s="19">
        <v>6</v>
      </c>
      <c r="O22" s="19">
        <f t="shared" si="3"/>
        <v>8.65384615384615</v>
      </c>
      <c r="P22" s="85">
        <v>0</v>
      </c>
      <c r="Q22" s="85">
        <f t="shared" si="4"/>
        <v>0</v>
      </c>
      <c r="R22" s="19">
        <v>0</v>
      </c>
      <c r="S22" s="19">
        <f t="shared" si="9"/>
        <v>8.07692307692308</v>
      </c>
      <c r="T22" s="19">
        <v>0</v>
      </c>
      <c r="U22" s="19">
        <v>0</v>
      </c>
      <c r="V22" s="19">
        <v>10</v>
      </c>
      <c r="W22" s="19">
        <v>1.5</v>
      </c>
      <c r="X22" s="19">
        <v>8</v>
      </c>
      <c r="Y22" s="19">
        <v>0</v>
      </c>
      <c r="Z22" s="19">
        <f>VLOOKUP(B22,'[3]Annual Leave '!$B$7:$Q$98,13,0)</f>
        <v>31.91</v>
      </c>
      <c r="AA22" s="36">
        <f>VLOOKUP(B22,'[3]Annual Leave '!$B$7:$Q$98,15,0)</f>
        <v>8.1819526627219</v>
      </c>
      <c r="AB22" s="36">
        <f t="shared" si="6"/>
        <v>237.861183431953</v>
      </c>
      <c r="AC22" s="19">
        <f>VLOOKUP(B22,[2]Sheet1!$B$2:$N$199,11,0)/4000</f>
        <v>4.274</v>
      </c>
      <c r="AD22" s="19">
        <v>0</v>
      </c>
      <c r="AE22" s="19">
        <f>VLOOKUP(B22,'[1]A05'!$E$7:$L$28,7,0)</f>
        <v>100</v>
      </c>
      <c r="AF22" s="19">
        <f t="shared" si="7"/>
        <v>104.274</v>
      </c>
      <c r="AG22" s="36">
        <f t="shared" si="8"/>
        <v>133.587183431953</v>
      </c>
      <c r="AH22" s="19"/>
      <c r="AI22" s="60"/>
      <c r="AJ22" s="125"/>
      <c r="AK22" s="34"/>
      <c r="AL22" s="72" t="s">
        <v>730</v>
      </c>
      <c r="AM22" s="73">
        <v>30932</v>
      </c>
      <c r="AN22" s="74" t="s">
        <v>99</v>
      </c>
      <c r="AO22" s="72" t="s">
        <v>224</v>
      </c>
      <c r="AP22" s="74" t="s">
        <v>101</v>
      </c>
      <c r="AQ22" s="74" t="s">
        <v>102</v>
      </c>
      <c r="AR22" s="74" t="s">
        <v>103</v>
      </c>
      <c r="AS22" s="92" t="s">
        <v>731</v>
      </c>
    </row>
    <row r="23" s="5" customFormat="1" ht="26" customHeight="1" spans="1:45">
      <c r="A23" s="19">
        <v>15</v>
      </c>
      <c r="B23" s="75" t="s">
        <v>732</v>
      </c>
      <c r="C23" s="20" t="s">
        <v>733</v>
      </c>
      <c r="D23" s="20" t="s">
        <v>734</v>
      </c>
      <c r="E23" s="21">
        <v>44747</v>
      </c>
      <c r="F23" s="19" t="s">
        <v>96</v>
      </c>
      <c r="G23" s="75" t="s">
        <v>668</v>
      </c>
      <c r="H23" s="76" t="s">
        <v>229</v>
      </c>
      <c r="I23" s="19">
        <v>23</v>
      </c>
      <c r="J23" s="19">
        <f t="shared" si="0"/>
        <v>3</v>
      </c>
      <c r="K23" s="19">
        <v>200</v>
      </c>
      <c r="L23" s="36">
        <f t="shared" si="1"/>
        <v>176.923076923077</v>
      </c>
      <c r="M23" s="36">
        <f t="shared" si="2"/>
        <v>23.0769230769231</v>
      </c>
      <c r="N23" s="19">
        <v>10</v>
      </c>
      <c r="O23" s="19">
        <f t="shared" si="3"/>
        <v>14.4230769230769</v>
      </c>
      <c r="P23" s="85">
        <v>0</v>
      </c>
      <c r="Q23" s="85">
        <f t="shared" si="4"/>
        <v>0</v>
      </c>
      <c r="R23" s="19">
        <v>0</v>
      </c>
      <c r="S23" s="19">
        <f t="shared" si="9"/>
        <v>8.84615384615385</v>
      </c>
      <c r="T23" s="19">
        <v>0</v>
      </c>
      <c r="U23" s="19">
        <v>0</v>
      </c>
      <c r="V23" s="19">
        <v>10</v>
      </c>
      <c r="W23" s="19">
        <v>2.5</v>
      </c>
      <c r="X23" s="19">
        <v>8</v>
      </c>
      <c r="Y23" s="19">
        <v>0</v>
      </c>
      <c r="Z23" s="19">
        <f>VLOOKUP(B23,'[3]Annual Leave '!$B$7:$Q$98,13,0)</f>
        <v>34.04</v>
      </c>
      <c r="AA23" s="36">
        <f>VLOOKUP(B23,'[3]Annual Leave '!$B$7:$Q$98,15,0)</f>
        <v>13.090976331361</v>
      </c>
      <c r="AB23" s="36">
        <f t="shared" si="6"/>
        <v>267.823284023669</v>
      </c>
      <c r="AC23" s="19">
        <f>VLOOKUP(B23,[2]Sheet1!$B$2:$N$199,11,0)/4000</f>
        <v>4.67775</v>
      </c>
      <c r="AD23" s="19">
        <v>0</v>
      </c>
      <c r="AE23" s="19">
        <f>VLOOKUP(B23,'[1]A05'!$E$7:$L$28,7,0)</f>
        <v>100</v>
      </c>
      <c r="AF23" s="19">
        <f t="shared" si="7"/>
        <v>104.67775</v>
      </c>
      <c r="AG23" s="36">
        <f t="shared" si="8"/>
        <v>163.145534023669</v>
      </c>
      <c r="AH23" s="19"/>
      <c r="AI23" s="60"/>
      <c r="AJ23" s="125"/>
      <c r="AK23" s="34"/>
      <c r="AL23" s="72" t="s">
        <v>735</v>
      </c>
      <c r="AM23" s="73">
        <v>33817</v>
      </c>
      <c r="AN23" s="74" t="s">
        <v>99</v>
      </c>
      <c r="AO23" s="72" t="s">
        <v>224</v>
      </c>
      <c r="AP23" s="74" t="s">
        <v>101</v>
      </c>
      <c r="AQ23" s="74" t="s">
        <v>102</v>
      </c>
      <c r="AR23" s="74" t="s">
        <v>103</v>
      </c>
      <c r="AS23" s="92" t="s">
        <v>736</v>
      </c>
    </row>
    <row r="24" s="5" customFormat="1" ht="26" customHeight="1" spans="1:45">
      <c r="A24" s="19">
        <v>16</v>
      </c>
      <c r="B24" s="75" t="s">
        <v>737</v>
      </c>
      <c r="C24" s="20" t="s">
        <v>738</v>
      </c>
      <c r="D24" s="20" t="s">
        <v>509</v>
      </c>
      <c r="E24" s="21">
        <v>44760</v>
      </c>
      <c r="F24" s="19" t="s">
        <v>96</v>
      </c>
      <c r="G24" s="75" t="s">
        <v>668</v>
      </c>
      <c r="H24" s="76" t="s">
        <v>229</v>
      </c>
      <c r="I24" s="19">
        <v>24.5</v>
      </c>
      <c r="J24" s="19">
        <f t="shared" ref="J24:J30" si="10">26-I24</f>
        <v>1.5</v>
      </c>
      <c r="K24" s="19">
        <v>200</v>
      </c>
      <c r="L24" s="36">
        <f t="shared" ref="L24:L30" si="11">K24/26*I24</f>
        <v>188.461538461538</v>
      </c>
      <c r="M24" s="36">
        <f t="shared" ref="M24:M30" si="12">K24/26*J24</f>
        <v>11.5384615384615</v>
      </c>
      <c r="N24" s="19">
        <v>12</v>
      </c>
      <c r="O24" s="19">
        <f t="shared" ref="O24:O30" si="13">K24/26/8*1.5*N24</f>
        <v>17.3076923076923</v>
      </c>
      <c r="P24" s="85">
        <v>0</v>
      </c>
      <c r="Q24" s="85">
        <f t="shared" ref="Q24:Q30" si="14">K24/26*2*P24</f>
        <v>0</v>
      </c>
      <c r="R24" s="19">
        <v>0</v>
      </c>
      <c r="S24" s="19">
        <f t="shared" si="9"/>
        <v>9.42307692307692</v>
      </c>
      <c r="T24" s="19">
        <v>0</v>
      </c>
      <c r="U24" s="19">
        <v>0</v>
      </c>
      <c r="V24" s="19">
        <v>10</v>
      </c>
      <c r="W24" s="19">
        <v>3</v>
      </c>
      <c r="X24" s="19">
        <v>8</v>
      </c>
      <c r="Y24" s="19">
        <v>0</v>
      </c>
      <c r="Z24" s="19">
        <v>0</v>
      </c>
      <c r="AA24" s="36">
        <v>0</v>
      </c>
      <c r="AB24" s="36">
        <f t="shared" ref="AB24:AB30" si="15">SUM(L24+O24+Q24+R24+S24+T24+U24+V24+X24+Y24+Z24+AA24+W24)</f>
        <v>236.192307692308</v>
      </c>
      <c r="AC24" s="19">
        <f>VLOOKUP(B24,[2]Sheet1!$B$2:$N$199,11,0)/4000</f>
        <v>4.75825</v>
      </c>
      <c r="AD24" s="19">
        <v>0</v>
      </c>
      <c r="AE24" s="19">
        <f>VLOOKUP(B24,'[1]A05'!$E$7:$L$28,7,0)</f>
        <v>100</v>
      </c>
      <c r="AF24" s="19">
        <f t="shared" ref="AF24:AF30" si="16">SUM(AC24:AE24)</f>
        <v>104.75825</v>
      </c>
      <c r="AG24" s="36">
        <f t="shared" ref="AG24:AG30" si="17">AB24-AF24</f>
        <v>131.434057692308</v>
      </c>
      <c r="AH24" s="19"/>
      <c r="AI24" s="60"/>
      <c r="AJ24" s="125"/>
      <c r="AK24" s="34"/>
      <c r="AL24" s="72" t="s">
        <v>510</v>
      </c>
      <c r="AM24" s="73">
        <v>30719</v>
      </c>
      <c r="AN24" s="74" t="s">
        <v>99</v>
      </c>
      <c r="AO24" s="72" t="s">
        <v>164</v>
      </c>
      <c r="AP24" s="74" t="s">
        <v>101</v>
      </c>
      <c r="AQ24" s="74" t="s">
        <v>102</v>
      </c>
      <c r="AR24" s="74" t="s">
        <v>103</v>
      </c>
      <c r="AS24" s="92" t="s">
        <v>511</v>
      </c>
    </row>
    <row r="25" s="5" customFormat="1" ht="26" customHeight="1" spans="1:45">
      <c r="A25" s="19">
        <v>17</v>
      </c>
      <c r="B25" s="75" t="s">
        <v>739</v>
      </c>
      <c r="C25" s="20" t="s">
        <v>740</v>
      </c>
      <c r="D25" s="20" t="s">
        <v>741</v>
      </c>
      <c r="E25" s="21">
        <v>44802</v>
      </c>
      <c r="F25" s="19" t="s">
        <v>108</v>
      </c>
      <c r="G25" s="75" t="s">
        <v>668</v>
      </c>
      <c r="H25" s="76" t="s">
        <v>229</v>
      </c>
      <c r="I25" s="19">
        <v>24</v>
      </c>
      <c r="J25" s="19">
        <f t="shared" si="10"/>
        <v>2</v>
      </c>
      <c r="K25" s="19">
        <v>200</v>
      </c>
      <c r="L25" s="36">
        <f t="shared" si="11"/>
        <v>184.615384615385</v>
      </c>
      <c r="M25" s="36">
        <f t="shared" si="12"/>
        <v>15.3846153846154</v>
      </c>
      <c r="N25" s="19">
        <v>2</v>
      </c>
      <c r="O25" s="19">
        <f t="shared" si="13"/>
        <v>2.88461538461538</v>
      </c>
      <c r="P25" s="85">
        <v>0</v>
      </c>
      <c r="Q25" s="85">
        <f t="shared" si="14"/>
        <v>0</v>
      </c>
      <c r="R25" s="19">
        <v>0</v>
      </c>
      <c r="S25" s="19">
        <f t="shared" si="9"/>
        <v>9.23076923076923</v>
      </c>
      <c r="T25" s="19">
        <v>0</v>
      </c>
      <c r="U25" s="19">
        <v>0</v>
      </c>
      <c r="V25" s="19">
        <v>10</v>
      </c>
      <c r="W25" s="19">
        <v>0.5</v>
      </c>
      <c r="X25" s="19">
        <v>8</v>
      </c>
      <c r="Y25" s="19">
        <v>0</v>
      </c>
      <c r="Z25" s="19">
        <v>0</v>
      </c>
      <c r="AA25" s="36">
        <v>0</v>
      </c>
      <c r="AB25" s="36">
        <f t="shared" si="15"/>
        <v>215.230769230769</v>
      </c>
      <c r="AC25" s="19">
        <f>VLOOKUP(B25,[2]Sheet1!$B$2:$N$199,11,0)/4000</f>
        <v>5.7825</v>
      </c>
      <c r="AD25" s="19">
        <v>0</v>
      </c>
      <c r="AE25" s="19">
        <f>VLOOKUP(B25,'[1]A05'!$E$7:$L$28,7,0)</f>
        <v>100</v>
      </c>
      <c r="AF25" s="19">
        <f t="shared" si="16"/>
        <v>105.7825</v>
      </c>
      <c r="AG25" s="36">
        <f t="shared" si="17"/>
        <v>109.448269230769</v>
      </c>
      <c r="AH25" s="19"/>
      <c r="AI25" s="60"/>
      <c r="AJ25" s="125"/>
      <c r="AK25" s="34"/>
      <c r="AL25" s="72" t="s">
        <v>742</v>
      </c>
      <c r="AM25" s="73">
        <v>34434</v>
      </c>
      <c r="AN25" s="74" t="s">
        <v>99</v>
      </c>
      <c r="AO25" s="72" t="s">
        <v>234</v>
      </c>
      <c r="AP25" s="74" t="s">
        <v>101</v>
      </c>
      <c r="AQ25" s="74" t="s">
        <v>102</v>
      </c>
      <c r="AR25" s="74" t="s">
        <v>103</v>
      </c>
      <c r="AS25" s="92" t="s">
        <v>743</v>
      </c>
    </row>
    <row r="26" s="5" customFormat="1" ht="26" customHeight="1" spans="1:45">
      <c r="A26" s="19">
        <v>18</v>
      </c>
      <c r="B26" s="75" t="s">
        <v>744</v>
      </c>
      <c r="C26" s="20" t="s">
        <v>745</v>
      </c>
      <c r="D26" s="20" t="s">
        <v>746</v>
      </c>
      <c r="E26" s="21">
        <v>44823</v>
      </c>
      <c r="F26" s="19" t="s">
        <v>96</v>
      </c>
      <c r="G26" s="75" t="s">
        <v>668</v>
      </c>
      <c r="H26" s="76" t="s">
        <v>229</v>
      </c>
      <c r="I26" s="19">
        <v>24.5</v>
      </c>
      <c r="J26" s="19">
        <f t="shared" si="10"/>
        <v>1.5</v>
      </c>
      <c r="K26" s="19">
        <v>200</v>
      </c>
      <c r="L26" s="36">
        <f t="shared" si="11"/>
        <v>188.461538461538</v>
      </c>
      <c r="M26" s="36">
        <f t="shared" si="12"/>
        <v>11.5384615384615</v>
      </c>
      <c r="N26" s="19">
        <v>6</v>
      </c>
      <c r="O26" s="19">
        <f t="shared" si="13"/>
        <v>8.65384615384615</v>
      </c>
      <c r="P26" s="85">
        <v>0</v>
      </c>
      <c r="Q26" s="85">
        <f t="shared" si="14"/>
        <v>0</v>
      </c>
      <c r="R26" s="19">
        <v>0</v>
      </c>
      <c r="S26" s="19">
        <f t="shared" si="9"/>
        <v>9.42307692307692</v>
      </c>
      <c r="T26" s="19">
        <v>0</v>
      </c>
      <c r="U26" s="19">
        <v>0</v>
      </c>
      <c r="V26" s="19">
        <v>10</v>
      </c>
      <c r="W26" s="19">
        <v>1.5</v>
      </c>
      <c r="X26" s="19">
        <v>8</v>
      </c>
      <c r="Y26" s="19">
        <v>0</v>
      </c>
      <c r="Z26" s="19">
        <f>VLOOKUP(B26,'[3]Annual Leave '!$B$7:$Q$98,13,0)</f>
        <v>33.72</v>
      </c>
      <c r="AA26" s="36">
        <f>VLOOKUP(B26,'[3]Annual Leave '!$B$7:$Q$98,15,0)</f>
        <v>17.2899408284024</v>
      </c>
      <c r="AB26" s="36">
        <f t="shared" si="15"/>
        <v>277.048402366864</v>
      </c>
      <c r="AC26" s="19">
        <f>VLOOKUP(B26,[2]Sheet1!$B$2:$N$199,11,0)/4000</f>
        <v>4.51625</v>
      </c>
      <c r="AD26" s="19">
        <v>0</v>
      </c>
      <c r="AE26" s="19">
        <f>VLOOKUP(B26,'[1]A05'!$E$7:$L$28,7,0)</f>
        <v>100</v>
      </c>
      <c r="AF26" s="19">
        <f t="shared" si="16"/>
        <v>104.51625</v>
      </c>
      <c r="AG26" s="36">
        <f t="shared" si="17"/>
        <v>172.532152366864</v>
      </c>
      <c r="AH26" s="19"/>
      <c r="AI26" s="60"/>
      <c r="AJ26" s="125"/>
      <c r="AK26" s="34"/>
      <c r="AL26" s="72" t="s">
        <v>747</v>
      </c>
      <c r="AM26" s="73">
        <v>30699</v>
      </c>
      <c r="AN26" s="74" t="s">
        <v>99</v>
      </c>
      <c r="AO26" s="72" t="s">
        <v>234</v>
      </c>
      <c r="AP26" s="74" t="s">
        <v>101</v>
      </c>
      <c r="AQ26" s="74" t="s">
        <v>102</v>
      </c>
      <c r="AR26" s="74" t="s">
        <v>103</v>
      </c>
      <c r="AS26" s="92" t="s">
        <v>748</v>
      </c>
    </row>
    <row r="27" s="5" customFormat="1" ht="26" customHeight="1" spans="1:45">
      <c r="A27" s="19">
        <v>19</v>
      </c>
      <c r="B27" s="75" t="s">
        <v>749</v>
      </c>
      <c r="C27" s="20" t="s">
        <v>750</v>
      </c>
      <c r="D27" s="20" t="s">
        <v>751</v>
      </c>
      <c r="E27" s="21">
        <v>44886</v>
      </c>
      <c r="F27" s="19" t="s">
        <v>96</v>
      </c>
      <c r="G27" s="75" t="s">
        <v>668</v>
      </c>
      <c r="H27" s="76" t="s">
        <v>229</v>
      </c>
      <c r="I27" s="19">
        <v>23</v>
      </c>
      <c r="J27" s="19">
        <f t="shared" si="10"/>
        <v>3</v>
      </c>
      <c r="K27" s="19">
        <v>200</v>
      </c>
      <c r="L27" s="36">
        <f t="shared" si="11"/>
        <v>176.923076923077</v>
      </c>
      <c r="M27" s="84">
        <f t="shared" si="12"/>
        <v>23.0769230769231</v>
      </c>
      <c r="N27" s="19">
        <v>8</v>
      </c>
      <c r="O27" s="19">
        <f t="shared" si="13"/>
        <v>11.5384615384615</v>
      </c>
      <c r="P27" s="85">
        <v>0</v>
      </c>
      <c r="Q27" s="85">
        <f t="shared" si="14"/>
        <v>0</v>
      </c>
      <c r="R27" s="19">
        <v>0</v>
      </c>
      <c r="S27" s="19">
        <f t="shared" si="9"/>
        <v>8.84615384615385</v>
      </c>
      <c r="T27" s="19">
        <v>0</v>
      </c>
      <c r="U27" s="19">
        <v>0</v>
      </c>
      <c r="V27" s="19">
        <v>10</v>
      </c>
      <c r="W27" s="19">
        <v>2</v>
      </c>
      <c r="X27" s="19">
        <v>8</v>
      </c>
      <c r="Y27" s="19">
        <v>0</v>
      </c>
      <c r="Z27" s="19">
        <v>0</v>
      </c>
      <c r="AA27" s="36">
        <v>0</v>
      </c>
      <c r="AB27" s="36">
        <f t="shared" si="15"/>
        <v>217.307692307692</v>
      </c>
      <c r="AC27" s="19">
        <f>VLOOKUP(B27,[2]Sheet1!$B$2:$N$199,11,0)/4000</f>
        <v>4.55575</v>
      </c>
      <c r="AD27" s="19">
        <v>0</v>
      </c>
      <c r="AE27" s="19">
        <f>VLOOKUP(B27,'[1]A05'!$E$7:$L$28,7,0)</f>
        <v>100</v>
      </c>
      <c r="AF27" s="19">
        <f t="shared" si="16"/>
        <v>104.55575</v>
      </c>
      <c r="AG27" s="36">
        <f t="shared" si="17"/>
        <v>112.751942307692</v>
      </c>
      <c r="AH27" s="19"/>
      <c r="AI27" s="60"/>
      <c r="AJ27" s="125"/>
      <c r="AK27" s="34"/>
      <c r="AL27" s="72">
        <v>101240057</v>
      </c>
      <c r="AM27" s="73">
        <v>29862</v>
      </c>
      <c r="AN27" s="74" t="s">
        <v>99</v>
      </c>
      <c r="AO27" s="72">
        <v>0</v>
      </c>
      <c r="AP27" s="74" t="s">
        <v>101</v>
      </c>
      <c r="AQ27" s="74" t="s">
        <v>102</v>
      </c>
      <c r="AR27" s="74" t="s">
        <v>103</v>
      </c>
      <c r="AS27" s="92"/>
    </row>
    <row r="28" s="5" customFormat="1" ht="26" customHeight="1" spans="1:45">
      <c r="A28" s="19">
        <v>20</v>
      </c>
      <c r="B28" s="75" t="s">
        <v>752</v>
      </c>
      <c r="C28" s="20" t="s">
        <v>753</v>
      </c>
      <c r="D28" s="20" t="s">
        <v>754</v>
      </c>
      <c r="E28" s="21">
        <v>44886</v>
      </c>
      <c r="F28" s="19" t="s">
        <v>108</v>
      </c>
      <c r="G28" s="75" t="s">
        <v>668</v>
      </c>
      <c r="H28" s="76" t="s">
        <v>229</v>
      </c>
      <c r="I28" s="19">
        <v>21</v>
      </c>
      <c r="J28" s="19">
        <f t="shared" si="10"/>
        <v>5</v>
      </c>
      <c r="K28" s="19">
        <v>200</v>
      </c>
      <c r="L28" s="36">
        <f t="shared" si="11"/>
        <v>161.538461538462</v>
      </c>
      <c r="M28" s="84">
        <f t="shared" si="12"/>
        <v>38.4615384615385</v>
      </c>
      <c r="N28" s="19">
        <v>8</v>
      </c>
      <c r="O28" s="19">
        <f t="shared" si="13"/>
        <v>11.5384615384615</v>
      </c>
      <c r="P28" s="85">
        <v>0</v>
      </c>
      <c r="Q28" s="85">
        <f t="shared" si="14"/>
        <v>0</v>
      </c>
      <c r="R28" s="19">
        <v>0</v>
      </c>
      <c r="S28" s="19">
        <f t="shared" si="9"/>
        <v>8.07692307692308</v>
      </c>
      <c r="T28" s="19">
        <v>0</v>
      </c>
      <c r="U28" s="19">
        <v>0</v>
      </c>
      <c r="V28" s="19">
        <v>10</v>
      </c>
      <c r="W28" s="19">
        <v>2</v>
      </c>
      <c r="X28" s="19">
        <v>8</v>
      </c>
      <c r="Y28" s="19">
        <v>0</v>
      </c>
      <c r="Z28" s="19">
        <v>0</v>
      </c>
      <c r="AA28" s="36">
        <v>0</v>
      </c>
      <c r="AB28" s="36">
        <f t="shared" si="15"/>
        <v>201.153846153846</v>
      </c>
      <c r="AC28" s="19">
        <f>VLOOKUP(B28,[2]Sheet1!$B$2:$N$199,11,0)/4000</f>
        <v>4.55575</v>
      </c>
      <c r="AD28" s="19">
        <v>0</v>
      </c>
      <c r="AE28" s="19">
        <f>VLOOKUP(B28,'[1]A05'!$E$7:$L$28,7,0)</f>
        <v>100</v>
      </c>
      <c r="AF28" s="19">
        <f t="shared" si="16"/>
        <v>104.55575</v>
      </c>
      <c r="AG28" s="36">
        <f t="shared" si="17"/>
        <v>96.598096153846</v>
      </c>
      <c r="AH28" s="19"/>
      <c r="AI28" s="60"/>
      <c r="AJ28" s="125"/>
      <c r="AK28" s="34"/>
      <c r="AL28" s="72">
        <v>110324262</v>
      </c>
      <c r="AM28" s="73">
        <v>32141</v>
      </c>
      <c r="AN28" s="74" t="s">
        <v>99</v>
      </c>
      <c r="AO28" s="72" t="s">
        <v>234</v>
      </c>
      <c r="AP28" s="74" t="s">
        <v>101</v>
      </c>
      <c r="AQ28" s="74" t="s">
        <v>102</v>
      </c>
      <c r="AR28" s="74" t="s">
        <v>103</v>
      </c>
      <c r="AS28" s="92"/>
    </row>
    <row r="29" s="5" customFormat="1" ht="26" customHeight="1" spans="1:45">
      <c r="A29" s="19">
        <v>21</v>
      </c>
      <c r="B29" s="75" t="s">
        <v>755</v>
      </c>
      <c r="C29" s="20" t="s">
        <v>756</v>
      </c>
      <c r="D29" s="20" t="s">
        <v>757</v>
      </c>
      <c r="E29" s="21">
        <v>44886</v>
      </c>
      <c r="F29" s="19" t="s">
        <v>96</v>
      </c>
      <c r="G29" s="75" t="s">
        <v>668</v>
      </c>
      <c r="H29" s="76" t="s">
        <v>229</v>
      </c>
      <c r="I29" s="19">
        <v>23</v>
      </c>
      <c r="J29" s="19">
        <f t="shared" si="10"/>
        <v>3</v>
      </c>
      <c r="K29" s="19">
        <v>200</v>
      </c>
      <c r="L29" s="36">
        <f t="shared" si="11"/>
        <v>176.923076923077</v>
      </c>
      <c r="M29" s="84">
        <f t="shared" si="12"/>
        <v>23.0769230769231</v>
      </c>
      <c r="N29" s="19">
        <v>10</v>
      </c>
      <c r="O29" s="19">
        <f t="shared" si="13"/>
        <v>14.4230769230769</v>
      </c>
      <c r="P29" s="85">
        <v>0</v>
      </c>
      <c r="Q29" s="85">
        <f t="shared" si="14"/>
        <v>0</v>
      </c>
      <c r="R29" s="19">
        <v>0</v>
      </c>
      <c r="S29" s="19">
        <f t="shared" si="9"/>
        <v>8.84615384615385</v>
      </c>
      <c r="T29" s="19">
        <v>0</v>
      </c>
      <c r="U29" s="19">
        <v>0</v>
      </c>
      <c r="V29" s="19">
        <v>10</v>
      </c>
      <c r="W29" s="19">
        <v>2.5</v>
      </c>
      <c r="X29" s="19">
        <v>8</v>
      </c>
      <c r="Y29" s="19">
        <v>0</v>
      </c>
      <c r="Z29" s="19">
        <v>0</v>
      </c>
      <c r="AA29" s="36">
        <v>0</v>
      </c>
      <c r="AB29" s="36">
        <f t="shared" si="15"/>
        <v>220.692307692308</v>
      </c>
      <c r="AC29" s="19">
        <f>VLOOKUP(B29,[2]Sheet1!$B$2:$N$199,11,0)/4000</f>
        <v>4.47575</v>
      </c>
      <c r="AD29" s="19">
        <v>0</v>
      </c>
      <c r="AE29" s="19">
        <f>VLOOKUP(B29,'[1]A05'!$E$7:$L$28,7,0)</f>
        <v>100</v>
      </c>
      <c r="AF29" s="19">
        <f t="shared" si="16"/>
        <v>104.47575</v>
      </c>
      <c r="AG29" s="36">
        <f t="shared" si="17"/>
        <v>116.216557692308</v>
      </c>
      <c r="AH29" s="19"/>
      <c r="AI29" s="60"/>
      <c r="AJ29" s="125"/>
      <c r="AK29" s="34"/>
      <c r="AL29" s="72">
        <v>100717636</v>
      </c>
      <c r="AM29" s="73">
        <v>30317</v>
      </c>
      <c r="AN29" s="74" t="s">
        <v>99</v>
      </c>
      <c r="AO29" s="72" t="s">
        <v>224</v>
      </c>
      <c r="AP29" s="74" t="s">
        <v>101</v>
      </c>
      <c r="AQ29" s="74" t="s">
        <v>102</v>
      </c>
      <c r="AR29" s="74" t="s">
        <v>103</v>
      </c>
      <c r="AS29" s="92"/>
    </row>
    <row r="30" s="5" customFormat="1" ht="26" customHeight="1" spans="1:45">
      <c r="A30" s="19">
        <v>22</v>
      </c>
      <c r="B30" s="75" t="s">
        <v>758</v>
      </c>
      <c r="C30" s="20" t="s">
        <v>759</v>
      </c>
      <c r="D30" s="20" t="s">
        <v>760</v>
      </c>
      <c r="E30" s="21">
        <v>44953</v>
      </c>
      <c r="F30" s="19" t="s">
        <v>108</v>
      </c>
      <c r="G30" s="75" t="s">
        <v>668</v>
      </c>
      <c r="H30" s="76" t="s">
        <v>229</v>
      </c>
      <c r="I30" s="19">
        <v>4</v>
      </c>
      <c r="J30" s="19">
        <f t="shared" si="10"/>
        <v>22</v>
      </c>
      <c r="K30" s="19">
        <v>198</v>
      </c>
      <c r="L30" s="36">
        <f t="shared" si="11"/>
        <v>30.4615384615385</v>
      </c>
      <c r="M30" s="84">
        <f t="shared" si="12"/>
        <v>167.538461538462</v>
      </c>
      <c r="N30" s="19">
        <v>2</v>
      </c>
      <c r="O30" s="19">
        <f t="shared" si="13"/>
        <v>2.85576923076923</v>
      </c>
      <c r="P30" s="85">
        <v>0</v>
      </c>
      <c r="Q30" s="85">
        <f t="shared" si="14"/>
        <v>0</v>
      </c>
      <c r="R30" s="19">
        <v>0</v>
      </c>
      <c r="S30" s="19">
        <v>5</v>
      </c>
      <c r="T30" s="19">
        <v>0</v>
      </c>
      <c r="U30" s="19">
        <v>0</v>
      </c>
      <c r="V30" s="19">
        <v>5</v>
      </c>
      <c r="W30" s="19">
        <v>0.5</v>
      </c>
      <c r="X30" s="19">
        <v>4</v>
      </c>
      <c r="Y30" s="19">
        <v>0</v>
      </c>
      <c r="Z30" s="19">
        <v>0</v>
      </c>
      <c r="AA30" s="36">
        <v>0</v>
      </c>
      <c r="AB30" s="36">
        <f t="shared" si="15"/>
        <v>47.8173076923077</v>
      </c>
      <c r="AC30" s="19">
        <v>0</v>
      </c>
      <c r="AD30" s="19">
        <v>0</v>
      </c>
      <c r="AE30" s="19">
        <v>0</v>
      </c>
      <c r="AF30" s="19">
        <f t="shared" si="16"/>
        <v>0</v>
      </c>
      <c r="AG30" s="36">
        <f t="shared" si="17"/>
        <v>47.8173076923077</v>
      </c>
      <c r="AH30" s="19"/>
      <c r="AI30" s="60"/>
      <c r="AJ30" s="125"/>
      <c r="AK30" s="34"/>
      <c r="AL30" s="72">
        <v>101336012</v>
      </c>
      <c r="AM30" s="73">
        <v>33884</v>
      </c>
      <c r="AN30" s="74" t="s">
        <v>99</v>
      </c>
      <c r="AO30" s="72" t="s">
        <v>224</v>
      </c>
      <c r="AP30" s="74" t="s">
        <v>102</v>
      </c>
      <c r="AQ30" s="74" t="s">
        <v>102</v>
      </c>
      <c r="AR30" s="74" t="s">
        <v>103</v>
      </c>
      <c r="AS30" s="92" t="s">
        <v>761</v>
      </c>
    </row>
    <row r="31" ht="22" customHeight="1" spans="1:37">
      <c r="A31" s="176" t="s">
        <v>762</v>
      </c>
      <c r="B31" s="177"/>
      <c r="C31" s="24"/>
      <c r="D31" s="24"/>
      <c r="E31" s="177"/>
      <c r="F31" s="177"/>
      <c r="G31" s="177"/>
      <c r="H31" s="24"/>
      <c r="I31" s="177"/>
      <c r="J31" s="177"/>
      <c r="K31" s="178"/>
      <c r="L31" s="191">
        <f>SUM(L9:L30)</f>
        <v>3772.76923076923</v>
      </c>
      <c r="M31" s="190"/>
      <c r="N31" s="191">
        <f t="shared" ref="N31:V31" si="18">SUM(N9:N30)</f>
        <v>188</v>
      </c>
      <c r="O31" s="191">
        <f t="shared" si="18"/>
        <v>271.125</v>
      </c>
      <c r="P31" s="190">
        <f t="shared" si="18"/>
        <v>0</v>
      </c>
      <c r="Q31" s="190">
        <f t="shared" si="18"/>
        <v>0</v>
      </c>
      <c r="R31" s="190">
        <f t="shared" si="18"/>
        <v>0</v>
      </c>
      <c r="S31" s="190">
        <f t="shared" si="18"/>
        <v>192.115384615385</v>
      </c>
      <c r="T31" s="192">
        <f t="shared" si="18"/>
        <v>20</v>
      </c>
      <c r="U31" s="192">
        <f t="shared" si="18"/>
        <v>30</v>
      </c>
      <c r="V31" s="190">
        <f t="shared" si="18"/>
        <v>215</v>
      </c>
      <c r="W31" s="190"/>
      <c r="X31" s="192">
        <f t="shared" ref="X31:AG31" si="19">SUM(X9:X30)</f>
        <v>172</v>
      </c>
      <c r="Y31" s="190">
        <f t="shared" si="19"/>
        <v>0</v>
      </c>
      <c r="Z31" s="190">
        <f t="shared" si="19"/>
        <v>543.25</v>
      </c>
      <c r="AA31" s="191">
        <f t="shared" si="19"/>
        <v>261.726743096647</v>
      </c>
      <c r="AB31" s="190">
        <f t="shared" si="19"/>
        <v>5524.98635848126</v>
      </c>
      <c r="AC31" s="191">
        <f t="shared" si="19"/>
        <v>96.7365</v>
      </c>
      <c r="AD31" s="190">
        <f t="shared" si="19"/>
        <v>0</v>
      </c>
      <c r="AE31" s="192">
        <f t="shared" si="19"/>
        <v>2100</v>
      </c>
      <c r="AF31" s="192">
        <f t="shared" si="19"/>
        <v>2196.7365</v>
      </c>
      <c r="AG31" s="190">
        <f t="shared" si="19"/>
        <v>3328.24985848126</v>
      </c>
      <c r="AH31" s="180"/>
      <c r="AI31" s="180"/>
      <c r="AJ31" s="180"/>
      <c r="AK31" s="181"/>
    </row>
  </sheetData>
  <autoFilter ref="A8:AY31">
    <extLst/>
  </autoFilter>
  <mergeCells count="32">
    <mergeCell ref="A1:AJ1"/>
    <mergeCell ref="A2:AJ2"/>
    <mergeCell ref="A3:AJ3"/>
    <mergeCell ref="A4:AJ4"/>
    <mergeCell ref="A5:C5"/>
    <mergeCell ref="F5:L5"/>
    <mergeCell ref="AF5:AJ5"/>
    <mergeCell ref="N7:Q7"/>
    <mergeCell ref="A31:K31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ignoredErrors>
    <ignoredError sqref="AS9:AS26 AS30" numberStoredAsText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23"/>
  <sheetViews>
    <sheetView zoomScale="145" zoomScaleNormal="145" topLeftCell="AC9" workbookViewId="0">
      <selection activeCell="P11" sqref="P11"/>
    </sheetView>
  </sheetViews>
  <sheetFormatPr defaultColWidth="9" defaultRowHeight="13.5"/>
  <cols>
    <col min="1" max="1" width="3.21666666666667" style="6" customWidth="1"/>
    <col min="2" max="2" width="5.425" style="6" customWidth="1"/>
    <col min="3" max="3" width="7.75" style="170" customWidth="1"/>
    <col min="4" max="4" width="7.24166666666667" style="170" customWidth="1"/>
    <col min="5" max="5" width="6.98333333333333" style="6" customWidth="1"/>
    <col min="6" max="6" width="3.35" style="6" customWidth="1"/>
    <col min="7" max="7" width="3.475" style="6" customWidth="1"/>
    <col min="8" max="8" width="3.95833333333333" style="6" customWidth="1"/>
    <col min="9" max="9" width="3.7" style="6" customWidth="1"/>
    <col min="10" max="10" width="3.1" style="6" customWidth="1"/>
    <col min="11" max="11" width="3.275" style="6" customWidth="1"/>
    <col min="12" max="12" width="5.36666666666667" customWidth="1"/>
    <col min="13" max="13" width="3.53333333333333" customWidth="1"/>
    <col min="14" max="14" width="4.225" customWidth="1"/>
    <col min="15" max="15" width="4.05" customWidth="1"/>
    <col min="16" max="17" width="3.5" customWidth="1"/>
    <col min="18" max="18" width="3.375" customWidth="1"/>
    <col min="19" max="19" width="4.74166666666667" customWidth="1"/>
    <col min="20" max="21" width="3.35833333333333" customWidth="1"/>
    <col min="22" max="22" width="3.375" customWidth="1"/>
    <col min="23" max="25" width="2.75" customWidth="1"/>
    <col min="26" max="27" width="4.05" customWidth="1"/>
    <col min="28" max="28" width="5.625" customWidth="1"/>
    <col min="29" max="29" width="4.05" customWidth="1"/>
    <col min="30" max="30" width="3.78333333333333" customWidth="1"/>
    <col min="31" max="31" width="4.25" customWidth="1"/>
    <col min="32" max="32" width="4.375" customWidth="1"/>
    <col min="33" max="33" width="6.625" customWidth="1"/>
    <col min="34" max="34" width="6.25" hidden="1" customWidth="1"/>
    <col min="35" max="35" width="8.75" hidden="1" customWidth="1"/>
    <col min="36" max="36" width="7.93333333333333" customWidth="1"/>
    <col min="37" max="37" width="14.3916666666667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7"/>
      <c r="C1" s="171"/>
      <c r="D1" s="17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8"/>
      <c r="C2" s="172"/>
      <c r="D2" s="17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9"/>
      <c r="C3" s="173"/>
      <c r="D3" s="1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763</v>
      </c>
      <c r="B5" s="189"/>
      <c r="C5" s="175"/>
      <c r="D5" s="175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56" t="s">
        <v>5</v>
      </c>
      <c r="AE5" s="56"/>
      <c r="AF5" s="56"/>
      <c r="AG5" s="56"/>
      <c r="AH5" s="56"/>
      <c r="AI5" s="56"/>
      <c r="AJ5" s="56"/>
      <c r="AK5" s="56"/>
      <c r="AL5" s="70"/>
    </row>
    <row r="6" s="2" customFormat="1" ht="57.95" customHeight="1" spans="1:37">
      <c r="A6" s="13" t="s">
        <v>6</v>
      </c>
      <c r="B6" s="14" t="s">
        <v>7</v>
      </c>
      <c r="C6" s="29" t="s">
        <v>8</v>
      </c>
      <c r="D6" s="29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57" t="s">
        <v>70</v>
      </c>
    </row>
    <row r="7" s="3" customFormat="1" ht="12" customHeight="1" spans="1:45">
      <c r="A7" s="15" t="s">
        <v>39</v>
      </c>
      <c r="B7" s="16" t="s">
        <v>40</v>
      </c>
      <c r="C7" s="15" t="s">
        <v>41</v>
      </c>
      <c r="D7" s="15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8"/>
      <c r="C8" s="17"/>
      <c r="D8" s="17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5" customFormat="1" ht="21" customHeight="1" spans="1:45">
      <c r="A9" s="19">
        <v>1</v>
      </c>
      <c r="B9" s="75" t="s">
        <v>764</v>
      </c>
      <c r="C9" s="20" t="s">
        <v>765</v>
      </c>
      <c r="D9" s="20" t="s">
        <v>766</v>
      </c>
      <c r="E9" s="21">
        <v>44729</v>
      </c>
      <c r="F9" s="19" t="s">
        <v>108</v>
      </c>
      <c r="G9" s="19" t="s">
        <v>767</v>
      </c>
      <c r="H9" s="19" t="s">
        <v>223</v>
      </c>
      <c r="I9" s="19">
        <v>23</v>
      </c>
      <c r="J9" s="19">
        <f>26-I9</f>
        <v>3</v>
      </c>
      <c r="K9" s="19">
        <v>200</v>
      </c>
      <c r="L9" s="36">
        <f t="shared" ref="L9:L23" si="0">K9/26*I9</f>
        <v>176.923076923077</v>
      </c>
      <c r="M9" s="84">
        <f>K9/26*J9</f>
        <v>23.0769230769231</v>
      </c>
      <c r="N9" s="19">
        <v>1</v>
      </c>
      <c r="O9" s="19">
        <f t="shared" ref="O9:O23" si="1">K9/26/8*1.5*N9</f>
        <v>1.44230769230769</v>
      </c>
      <c r="P9" s="19">
        <v>0</v>
      </c>
      <c r="Q9" s="19">
        <f t="shared" ref="Q9:Q23" si="2">K9/26*2*P9</f>
        <v>0</v>
      </c>
      <c r="R9" s="19">
        <v>0</v>
      </c>
      <c r="S9" s="36">
        <f>10/26*I9</f>
        <v>8.84615384615385</v>
      </c>
      <c r="T9" s="19">
        <v>14.23</v>
      </c>
      <c r="U9" s="19">
        <v>30</v>
      </c>
      <c r="V9" s="19">
        <v>10</v>
      </c>
      <c r="W9" s="19">
        <v>0.5</v>
      </c>
      <c r="X9" s="19">
        <v>8</v>
      </c>
      <c r="Y9" s="19">
        <v>0</v>
      </c>
      <c r="Z9" s="19">
        <f>VLOOKUP(B9,'[3]Annual Leave '!$B$7:$Q$98,13,0)</f>
        <v>43.08</v>
      </c>
      <c r="AA9" s="19">
        <f>VLOOKUP(B9,'[3]Annual Leave '!$B$7:$Q$98,15,0)</f>
        <v>49.7040976331361</v>
      </c>
      <c r="AB9" s="36">
        <f>SUM(L9+O9+Q9+R9+S9+T9+U9+V9+X9+Y9+Z9+AA9+W9)</f>
        <v>342.725636094675</v>
      </c>
      <c r="AC9" s="19">
        <f>VLOOKUP(B9,[2]Sheet1!$B$2:$N$199,11,0)/4000</f>
        <v>6</v>
      </c>
      <c r="AD9" s="19">
        <v>0</v>
      </c>
      <c r="AE9" s="19">
        <f>VLOOKUP(B9,[1]烫组អ៊ុត!$E$7:$L$20,7,0)</f>
        <v>100</v>
      </c>
      <c r="AF9" s="19">
        <f>SUM(AC9:AE9)</f>
        <v>106</v>
      </c>
      <c r="AG9" s="36">
        <f t="shared" ref="AG9:AG23" si="3">AB9-AF9</f>
        <v>236.725636094675</v>
      </c>
      <c r="AH9" s="129"/>
      <c r="AI9" s="130"/>
      <c r="AJ9" s="61"/>
      <c r="AK9" s="34"/>
      <c r="AL9" s="72">
        <v>100940561</v>
      </c>
      <c r="AM9" s="73">
        <v>29417</v>
      </c>
      <c r="AN9" s="74" t="s">
        <v>768</v>
      </c>
      <c r="AO9" s="72">
        <v>2</v>
      </c>
      <c r="AP9" s="74" t="s">
        <v>101</v>
      </c>
      <c r="AQ9" s="74" t="s">
        <v>102</v>
      </c>
      <c r="AR9" s="74" t="s">
        <v>103</v>
      </c>
      <c r="AS9" s="92" t="s">
        <v>769</v>
      </c>
    </row>
    <row r="10" s="5" customFormat="1" ht="21" customHeight="1" spans="1:45">
      <c r="A10" s="19">
        <v>2</v>
      </c>
      <c r="B10" s="75" t="s">
        <v>770</v>
      </c>
      <c r="C10" s="20" t="s">
        <v>771</v>
      </c>
      <c r="D10" s="20" t="s">
        <v>772</v>
      </c>
      <c r="E10" s="21">
        <v>44726</v>
      </c>
      <c r="F10" s="19" t="s">
        <v>96</v>
      </c>
      <c r="G10" s="19" t="s">
        <v>767</v>
      </c>
      <c r="H10" s="22" t="s">
        <v>773</v>
      </c>
      <c r="I10" s="19">
        <v>23</v>
      </c>
      <c r="J10" s="19">
        <f t="shared" ref="J10:J23" si="4">26-I10</f>
        <v>3</v>
      </c>
      <c r="K10" s="19">
        <v>200</v>
      </c>
      <c r="L10" s="36">
        <f t="shared" si="0"/>
        <v>176.923076923077</v>
      </c>
      <c r="M10" s="84">
        <f t="shared" ref="M10:M23" si="5">K10/26*J10</f>
        <v>23.0769230769231</v>
      </c>
      <c r="N10" s="19">
        <v>4</v>
      </c>
      <c r="O10" s="19">
        <f t="shared" si="1"/>
        <v>5.76923076923077</v>
      </c>
      <c r="P10" s="19">
        <v>0</v>
      </c>
      <c r="Q10" s="19">
        <f t="shared" si="2"/>
        <v>0</v>
      </c>
      <c r="R10" s="19">
        <v>0</v>
      </c>
      <c r="S10" s="36">
        <f>10/26*I10</f>
        <v>8.84615384615385</v>
      </c>
      <c r="T10" s="19">
        <v>0</v>
      </c>
      <c r="U10" s="19">
        <v>0</v>
      </c>
      <c r="V10" s="19">
        <v>10</v>
      </c>
      <c r="W10" s="19">
        <v>1</v>
      </c>
      <c r="X10" s="19">
        <v>8</v>
      </c>
      <c r="Y10" s="19">
        <v>0</v>
      </c>
      <c r="Z10" s="19">
        <f>VLOOKUP(B10,'[3]Annual Leave '!$B$7:$Q$98,13,0)</f>
        <v>32.05</v>
      </c>
      <c r="AA10" s="19">
        <f>VLOOKUP(B10,'[3]Annual Leave '!$B$7:$Q$98,15,0)</f>
        <v>36.9810465976331</v>
      </c>
      <c r="AB10" s="36">
        <f t="shared" ref="AB10:AB23" si="6">SUM(L10+O10+Q10+R10+S10+T10+U10+V10+X10+Y10+Z10+AA10+W10)</f>
        <v>279.569508136095</v>
      </c>
      <c r="AC10" s="19">
        <f>VLOOKUP(B10,[2]Sheet1!$B$2:$N$199,11,0)/4000</f>
        <v>4.86525</v>
      </c>
      <c r="AD10" s="19">
        <v>0</v>
      </c>
      <c r="AE10" s="19">
        <f>VLOOKUP(B10,[1]烫组អ៊ុត!$E$7:$L$20,7,0)</f>
        <v>100</v>
      </c>
      <c r="AF10" s="19">
        <f t="shared" ref="AF10:AF23" si="7">SUM(AC10:AE10)</f>
        <v>104.86525</v>
      </c>
      <c r="AG10" s="36">
        <f t="shared" si="3"/>
        <v>174.704258136095</v>
      </c>
      <c r="AH10" s="129"/>
      <c r="AI10" s="130"/>
      <c r="AJ10" s="74"/>
      <c r="AK10" s="34"/>
      <c r="AL10" s="72">
        <v>100942458</v>
      </c>
      <c r="AM10" s="73">
        <v>34284</v>
      </c>
      <c r="AN10" s="74" t="s">
        <v>99</v>
      </c>
      <c r="AO10" s="72">
        <v>2</v>
      </c>
      <c r="AP10" s="74" t="s">
        <v>101</v>
      </c>
      <c r="AQ10" s="74" t="s">
        <v>102</v>
      </c>
      <c r="AR10" s="74" t="s">
        <v>103</v>
      </c>
      <c r="AS10" s="92" t="s">
        <v>774</v>
      </c>
    </row>
    <row r="11" s="5" customFormat="1" ht="21" customHeight="1" spans="1:45">
      <c r="A11" s="19">
        <v>3</v>
      </c>
      <c r="B11" s="75" t="s">
        <v>775</v>
      </c>
      <c r="C11" s="20" t="s">
        <v>776</v>
      </c>
      <c r="D11" s="20" t="s">
        <v>777</v>
      </c>
      <c r="E11" s="21">
        <v>44726</v>
      </c>
      <c r="F11" s="19" t="s">
        <v>96</v>
      </c>
      <c r="G11" s="19" t="s">
        <v>767</v>
      </c>
      <c r="H11" s="22" t="s">
        <v>773</v>
      </c>
      <c r="I11" s="19">
        <v>20.75</v>
      </c>
      <c r="J11" s="19">
        <f t="shared" si="4"/>
        <v>5.25</v>
      </c>
      <c r="K11" s="19">
        <v>200</v>
      </c>
      <c r="L11" s="36">
        <f t="shared" si="0"/>
        <v>159.615384615385</v>
      </c>
      <c r="M11" s="84">
        <f t="shared" si="5"/>
        <v>40.3846153846154</v>
      </c>
      <c r="N11" s="19">
        <v>0</v>
      </c>
      <c r="O11" s="19">
        <f t="shared" si="1"/>
        <v>0</v>
      </c>
      <c r="P11" s="19">
        <v>0</v>
      </c>
      <c r="Q11" s="19">
        <f t="shared" si="2"/>
        <v>0</v>
      </c>
      <c r="R11" s="19">
        <v>0</v>
      </c>
      <c r="S11" s="36">
        <f t="shared" ref="S11:S23" si="8">10/26*I11</f>
        <v>7.98076923076923</v>
      </c>
      <c r="T11" s="19">
        <v>0</v>
      </c>
      <c r="U11" s="19">
        <v>0</v>
      </c>
      <c r="V11" s="19">
        <v>10</v>
      </c>
      <c r="W11" s="19">
        <v>0</v>
      </c>
      <c r="X11" s="19">
        <v>8</v>
      </c>
      <c r="Y11" s="19">
        <v>0</v>
      </c>
      <c r="Z11" s="19">
        <f>VLOOKUP(B11,'[3]Annual Leave '!$B$7:$Q$98,13,0)</f>
        <v>34.44</v>
      </c>
      <c r="AA11" s="19">
        <f>VLOOKUP(B11,'[3]Annual Leave '!$B$7:$Q$98,15,0)</f>
        <v>39.735299556213</v>
      </c>
      <c r="AB11" s="36">
        <f t="shared" si="6"/>
        <v>259.771453402367</v>
      </c>
      <c r="AC11" s="19">
        <f>VLOOKUP(B11,[2]Sheet1!$B$2:$N$199,11,0)/4000</f>
        <v>5.1495</v>
      </c>
      <c r="AD11" s="19">
        <v>0</v>
      </c>
      <c r="AE11" s="19">
        <f>VLOOKUP(B11,[1]烫组អ៊ុត!$E$7:$L$20,7,0)</f>
        <v>50</v>
      </c>
      <c r="AF11" s="19">
        <f t="shared" si="7"/>
        <v>55.1495</v>
      </c>
      <c r="AG11" s="36">
        <f t="shared" si="3"/>
        <v>204.621953402367</v>
      </c>
      <c r="AH11" s="129"/>
      <c r="AI11" s="130"/>
      <c r="AJ11" s="61"/>
      <c r="AK11" s="34"/>
      <c r="AL11" s="72">
        <v>101464403</v>
      </c>
      <c r="AM11" s="73">
        <v>37865</v>
      </c>
      <c r="AN11" s="74" t="s">
        <v>141</v>
      </c>
      <c r="AO11" s="72"/>
      <c r="AP11" s="74" t="s">
        <v>101</v>
      </c>
      <c r="AQ11" s="74" t="s">
        <v>102</v>
      </c>
      <c r="AR11" s="74" t="s">
        <v>103</v>
      </c>
      <c r="AS11" s="92" t="s">
        <v>778</v>
      </c>
    </row>
    <row r="12" s="5" customFormat="1" ht="21" customHeight="1" spans="1:45">
      <c r="A12" s="19">
        <v>4</v>
      </c>
      <c r="B12" s="75" t="s">
        <v>779</v>
      </c>
      <c r="C12" s="20" t="s">
        <v>780</v>
      </c>
      <c r="D12" s="20" t="s">
        <v>781</v>
      </c>
      <c r="E12" s="21">
        <v>44726</v>
      </c>
      <c r="F12" s="19" t="s">
        <v>96</v>
      </c>
      <c r="G12" s="19" t="s">
        <v>767</v>
      </c>
      <c r="H12" s="22" t="s">
        <v>773</v>
      </c>
      <c r="I12" s="19">
        <v>19.75</v>
      </c>
      <c r="J12" s="19">
        <f t="shared" si="4"/>
        <v>6.25</v>
      </c>
      <c r="K12" s="19">
        <v>200</v>
      </c>
      <c r="L12" s="36">
        <f t="shared" si="0"/>
        <v>151.923076923077</v>
      </c>
      <c r="M12" s="84">
        <f t="shared" si="5"/>
        <v>48.0769230769231</v>
      </c>
      <c r="N12" s="19">
        <v>0</v>
      </c>
      <c r="O12" s="19">
        <f t="shared" si="1"/>
        <v>0</v>
      </c>
      <c r="P12" s="19">
        <v>0</v>
      </c>
      <c r="Q12" s="19">
        <f t="shared" si="2"/>
        <v>0</v>
      </c>
      <c r="R12" s="19">
        <v>0</v>
      </c>
      <c r="S12" s="36">
        <f t="shared" si="8"/>
        <v>7.59615384615385</v>
      </c>
      <c r="T12" s="19">
        <v>0</v>
      </c>
      <c r="U12" s="19">
        <v>0</v>
      </c>
      <c r="V12" s="19">
        <v>10</v>
      </c>
      <c r="W12" s="19">
        <v>0</v>
      </c>
      <c r="X12" s="19">
        <v>8</v>
      </c>
      <c r="Y12" s="19">
        <v>0</v>
      </c>
      <c r="Z12" s="19">
        <f>VLOOKUP(B12,'[3]Annual Leave '!$B$7:$Q$98,13,0)</f>
        <v>33.46</v>
      </c>
      <c r="AA12" s="19">
        <f>VLOOKUP(B12,'[3]Annual Leave '!$B$7:$Q$98,15,0)</f>
        <v>38.6022559171598</v>
      </c>
      <c r="AB12" s="36">
        <f t="shared" si="6"/>
        <v>249.581486686391</v>
      </c>
      <c r="AC12" s="19">
        <f>VLOOKUP(B12,[2]Sheet1!$B$2:$N$199,11,0)/4000</f>
        <v>4.66475</v>
      </c>
      <c r="AD12" s="19">
        <v>0</v>
      </c>
      <c r="AE12" s="19">
        <f>VLOOKUP(B12,[1]烫组អ៊ុត!$E$7:$L$20,7,0)</f>
        <v>100</v>
      </c>
      <c r="AF12" s="19">
        <f t="shared" si="7"/>
        <v>104.66475</v>
      </c>
      <c r="AG12" s="36">
        <f t="shared" si="3"/>
        <v>144.916736686391</v>
      </c>
      <c r="AH12" s="129"/>
      <c r="AI12" s="130"/>
      <c r="AJ12" s="61"/>
      <c r="AK12" s="34"/>
      <c r="AL12" s="72">
        <v>101169763</v>
      </c>
      <c r="AM12" s="73">
        <v>35492</v>
      </c>
      <c r="AN12" s="74" t="s">
        <v>141</v>
      </c>
      <c r="AO12" s="72"/>
      <c r="AP12" s="74" t="s">
        <v>101</v>
      </c>
      <c r="AQ12" s="74" t="s">
        <v>102</v>
      </c>
      <c r="AR12" s="74" t="s">
        <v>103</v>
      </c>
      <c r="AS12" s="92" t="s">
        <v>782</v>
      </c>
    </row>
    <row r="13" s="5" customFormat="1" ht="21" customHeight="1" spans="1:45">
      <c r="A13" s="19">
        <v>5</v>
      </c>
      <c r="B13" s="75" t="s">
        <v>783</v>
      </c>
      <c r="C13" s="20" t="s">
        <v>784</v>
      </c>
      <c r="D13" s="20" t="s">
        <v>785</v>
      </c>
      <c r="E13" s="21">
        <v>44726</v>
      </c>
      <c r="F13" s="19" t="s">
        <v>96</v>
      </c>
      <c r="G13" s="19" t="s">
        <v>767</v>
      </c>
      <c r="H13" s="22" t="s">
        <v>773</v>
      </c>
      <c r="I13" s="19">
        <v>20.5</v>
      </c>
      <c r="J13" s="19">
        <f t="shared" si="4"/>
        <v>5.5</v>
      </c>
      <c r="K13" s="19">
        <v>200</v>
      </c>
      <c r="L13" s="36">
        <f t="shared" si="0"/>
        <v>157.692307692308</v>
      </c>
      <c r="M13" s="84">
        <f t="shared" si="5"/>
        <v>42.3076923076923</v>
      </c>
      <c r="N13" s="19">
        <v>4</v>
      </c>
      <c r="O13" s="19">
        <f t="shared" si="1"/>
        <v>5.76923076923077</v>
      </c>
      <c r="P13" s="19">
        <v>0</v>
      </c>
      <c r="Q13" s="19">
        <f t="shared" si="2"/>
        <v>0</v>
      </c>
      <c r="R13" s="19">
        <v>0</v>
      </c>
      <c r="S13" s="36">
        <f t="shared" si="8"/>
        <v>7.88461538461539</v>
      </c>
      <c r="T13" s="19">
        <v>0</v>
      </c>
      <c r="U13" s="19">
        <v>0</v>
      </c>
      <c r="V13" s="19">
        <v>10</v>
      </c>
      <c r="W13" s="19">
        <v>1</v>
      </c>
      <c r="X13" s="19">
        <v>8</v>
      </c>
      <c r="Y13" s="19">
        <v>0</v>
      </c>
      <c r="Z13" s="19">
        <f>VLOOKUP(B13,'[3]Annual Leave '!$B$7:$Q$98,13,0)</f>
        <v>34.6</v>
      </c>
      <c r="AA13" s="19">
        <f>VLOOKUP(B13,'[3]Annual Leave '!$B$7:$Q$98,15,0)</f>
        <v>39.9212740384615</v>
      </c>
      <c r="AB13" s="36">
        <f t="shared" si="6"/>
        <v>264.867427884616</v>
      </c>
      <c r="AC13" s="19">
        <f>VLOOKUP(B13,[2]Sheet1!$B$2:$N$199,11,0)/4000</f>
        <v>5.203</v>
      </c>
      <c r="AD13" s="19">
        <v>0</v>
      </c>
      <c r="AE13" s="19">
        <f>VLOOKUP(B13,[1]烫组អ៊ុត!$E$7:$L$20,7,0)</f>
        <v>50</v>
      </c>
      <c r="AF13" s="19">
        <f t="shared" si="7"/>
        <v>55.203</v>
      </c>
      <c r="AG13" s="36">
        <f t="shared" si="3"/>
        <v>209.664427884616</v>
      </c>
      <c r="AH13" s="129"/>
      <c r="AI13" s="130"/>
      <c r="AJ13" s="61"/>
      <c r="AK13" s="34"/>
      <c r="AL13" s="72">
        <v>101368928</v>
      </c>
      <c r="AM13" s="73">
        <v>37288</v>
      </c>
      <c r="AN13" s="74" t="s">
        <v>141</v>
      </c>
      <c r="AO13" s="72"/>
      <c r="AP13" s="74" t="s">
        <v>101</v>
      </c>
      <c r="AQ13" s="74" t="s">
        <v>102</v>
      </c>
      <c r="AR13" s="74" t="s">
        <v>103</v>
      </c>
      <c r="AS13" s="92" t="s">
        <v>786</v>
      </c>
    </row>
    <row r="14" s="5" customFormat="1" ht="21" customHeight="1" spans="1:45">
      <c r="A14" s="19">
        <v>6</v>
      </c>
      <c r="B14" s="75" t="s">
        <v>787</v>
      </c>
      <c r="C14" s="81" t="s">
        <v>788</v>
      </c>
      <c r="D14" s="20" t="s">
        <v>789</v>
      </c>
      <c r="E14" s="21">
        <v>44727</v>
      </c>
      <c r="F14" s="19" t="s">
        <v>96</v>
      </c>
      <c r="G14" s="19" t="s">
        <v>767</v>
      </c>
      <c r="H14" s="22" t="s">
        <v>773</v>
      </c>
      <c r="I14" s="19">
        <v>21.75</v>
      </c>
      <c r="J14" s="19">
        <f t="shared" si="4"/>
        <v>4.25</v>
      </c>
      <c r="K14" s="19">
        <v>200</v>
      </c>
      <c r="L14" s="36">
        <f t="shared" si="0"/>
        <v>167.307692307692</v>
      </c>
      <c r="M14" s="84">
        <f t="shared" si="5"/>
        <v>32.6923076923077</v>
      </c>
      <c r="N14" s="19">
        <v>0</v>
      </c>
      <c r="O14" s="19">
        <f t="shared" si="1"/>
        <v>0</v>
      </c>
      <c r="P14" s="19">
        <v>0</v>
      </c>
      <c r="Q14" s="19">
        <f t="shared" si="2"/>
        <v>0</v>
      </c>
      <c r="R14" s="19">
        <v>0</v>
      </c>
      <c r="S14" s="36">
        <f t="shared" si="8"/>
        <v>8.36538461538461</v>
      </c>
      <c r="T14" s="19">
        <v>0</v>
      </c>
      <c r="U14" s="19">
        <v>0</v>
      </c>
      <c r="V14" s="19">
        <v>10</v>
      </c>
      <c r="W14" s="19">
        <v>0</v>
      </c>
      <c r="X14" s="19">
        <v>8</v>
      </c>
      <c r="Y14" s="19">
        <v>0</v>
      </c>
      <c r="Z14" s="19">
        <f>VLOOKUP(B14,'[3]Annual Leave '!$B$7:$Q$98,13,0)</f>
        <v>34.5</v>
      </c>
      <c r="AA14" s="19">
        <f>VLOOKUP(B14,'[3]Annual Leave '!$B$7:$Q$98,15,0)</f>
        <v>39.8088017751479</v>
      </c>
      <c r="AB14" s="36">
        <f t="shared" si="6"/>
        <v>267.981878698225</v>
      </c>
      <c r="AC14" s="19">
        <f>VLOOKUP(B14,[2]Sheet1!$B$2:$N$199,11,0)/4000</f>
        <v>5.095</v>
      </c>
      <c r="AD14" s="19">
        <v>0</v>
      </c>
      <c r="AE14" s="19">
        <f>VLOOKUP(B14,[1]烫组អ៊ុត!$E$7:$L$20,7,0)</f>
        <v>100</v>
      </c>
      <c r="AF14" s="19">
        <f t="shared" si="7"/>
        <v>105.095</v>
      </c>
      <c r="AG14" s="36">
        <f t="shared" si="3"/>
        <v>162.886878698225</v>
      </c>
      <c r="AH14" s="129"/>
      <c r="AI14" s="130"/>
      <c r="AJ14" s="61"/>
      <c r="AK14" s="34"/>
      <c r="AL14" s="72">
        <v>101001372</v>
      </c>
      <c r="AM14" s="73">
        <v>32436</v>
      </c>
      <c r="AN14" s="74" t="s">
        <v>99</v>
      </c>
      <c r="AO14" s="72">
        <v>1</v>
      </c>
      <c r="AP14" s="74" t="s">
        <v>101</v>
      </c>
      <c r="AQ14" s="74" t="s">
        <v>102</v>
      </c>
      <c r="AR14" s="74" t="s">
        <v>103</v>
      </c>
      <c r="AS14" s="92" t="s">
        <v>790</v>
      </c>
    </row>
    <row r="15" s="5" customFormat="1" ht="21" customHeight="1" spans="1:45">
      <c r="A15" s="19">
        <v>7</v>
      </c>
      <c r="B15" s="75" t="s">
        <v>791</v>
      </c>
      <c r="C15" s="20" t="s">
        <v>792</v>
      </c>
      <c r="D15" s="20" t="s">
        <v>793</v>
      </c>
      <c r="E15" s="21">
        <v>44727</v>
      </c>
      <c r="F15" s="19" t="s">
        <v>96</v>
      </c>
      <c r="G15" s="19" t="s">
        <v>767</v>
      </c>
      <c r="H15" s="22" t="s">
        <v>773</v>
      </c>
      <c r="I15" s="19">
        <v>22</v>
      </c>
      <c r="J15" s="19">
        <f t="shared" si="4"/>
        <v>4</v>
      </c>
      <c r="K15" s="19">
        <v>200</v>
      </c>
      <c r="L15" s="36">
        <f t="shared" si="0"/>
        <v>169.230769230769</v>
      </c>
      <c r="M15" s="84">
        <f t="shared" si="5"/>
        <v>30.7692307692308</v>
      </c>
      <c r="N15" s="19">
        <v>0</v>
      </c>
      <c r="O15" s="19">
        <f t="shared" si="1"/>
        <v>0</v>
      </c>
      <c r="P15" s="19">
        <v>0</v>
      </c>
      <c r="Q15" s="19">
        <f t="shared" si="2"/>
        <v>0</v>
      </c>
      <c r="R15" s="19">
        <v>0</v>
      </c>
      <c r="S15" s="36">
        <f t="shared" si="8"/>
        <v>8.46153846153846</v>
      </c>
      <c r="T15" s="19">
        <v>0</v>
      </c>
      <c r="U15" s="19">
        <v>0</v>
      </c>
      <c r="V15" s="19">
        <v>10</v>
      </c>
      <c r="W15" s="19">
        <v>0</v>
      </c>
      <c r="X15" s="19">
        <v>8</v>
      </c>
      <c r="Y15" s="19">
        <v>0</v>
      </c>
      <c r="Z15" s="19">
        <f>VLOOKUP(B15,'[3]Annual Leave '!$B$7:$Q$98,13,0)</f>
        <v>34.65</v>
      </c>
      <c r="AA15" s="19">
        <f>VLOOKUP(B15,'[3]Annual Leave '!$B$7:$Q$98,15,0)</f>
        <v>39.9828494822485</v>
      </c>
      <c r="AB15" s="36">
        <f t="shared" si="6"/>
        <v>270.325157174556</v>
      </c>
      <c r="AC15" s="19">
        <f>VLOOKUP(B15,[2]Sheet1!$B$2:$N$199,11,0)/4000</f>
        <v>5.203</v>
      </c>
      <c r="AD15" s="19">
        <v>0</v>
      </c>
      <c r="AE15" s="19">
        <f>VLOOKUP(B15,[1]烫组អ៊ុត!$E$7:$L$20,7,0)</f>
        <v>100</v>
      </c>
      <c r="AF15" s="19">
        <f t="shared" si="7"/>
        <v>105.203</v>
      </c>
      <c r="AG15" s="36">
        <f t="shared" si="3"/>
        <v>165.122157174556</v>
      </c>
      <c r="AH15" s="129"/>
      <c r="AI15" s="130"/>
      <c r="AJ15" s="61"/>
      <c r="AK15" s="34"/>
      <c r="AL15" s="72">
        <v>100715958</v>
      </c>
      <c r="AM15" s="73">
        <v>34571</v>
      </c>
      <c r="AN15" s="74" t="s">
        <v>99</v>
      </c>
      <c r="AO15" s="72">
        <v>2</v>
      </c>
      <c r="AP15" s="74" t="s">
        <v>101</v>
      </c>
      <c r="AQ15" s="74" t="s">
        <v>102</v>
      </c>
      <c r="AR15" s="74" t="s">
        <v>103</v>
      </c>
      <c r="AS15" s="92" t="s">
        <v>794</v>
      </c>
    </row>
    <row r="16" s="5" customFormat="1" ht="21" customHeight="1" spans="1:45">
      <c r="A16" s="19">
        <v>8</v>
      </c>
      <c r="B16" s="75" t="s">
        <v>795</v>
      </c>
      <c r="C16" s="20" t="s">
        <v>796</v>
      </c>
      <c r="D16" s="20" t="s">
        <v>797</v>
      </c>
      <c r="E16" s="21">
        <v>44727</v>
      </c>
      <c r="F16" s="19" t="s">
        <v>96</v>
      </c>
      <c r="G16" s="19" t="s">
        <v>767</v>
      </c>
      <c r="H16" s="22" t="s">
        <v>773</v>
      </c>
      <c r="I16" s="19">
        <v>21.25</v>
      </c>
      <c r="J16" s="19">
        <f t="shared" si="4"/>
        <v>4.75</v>
      </c>
      <c r="K16" s="19">
        <v>200</v>
      </c>
      <c r="L16" s="36">
        <f t="shared" si="0"/>
        <v>163.461538461538</v>
      </c>
      <c r="M16" s="84">
        <f t="shared" si="5"/>
        <v>36.5384615384615</v>
      </c>
      <c r="N16" s="19">
        <v>0</v>
      </c>
      <c r="O16" s="19">
        <f t="shared" si="1"/>
        <v>0</v>
      </c>
      <c r="P16" s="19">
        <v>0</v>
      </c>
      <c r="Q16" s="19">
        <f t="shared" si="2"/>
        <v>0</v>
      </c>
      <c r="R16" s="19">
        <v>0</v>
      </c>
      <c r="S16" s="36">
        <f t="shared" si="8"/>
        <v>8.17307692307692</v>
      </c>
      <c r="T16" s="19">
        <v>0</v>
      </c>
      <c r="U16" s="19">
        <v>0</v>
      </c>
      <c r="V16" s="19">
        <v>10</v>
      </c>
      <c r="W16" s="19">
        <v>0</v>
      </c>
      <c r="X16" s="19">
        <v>8</v>
      </c>
      <c r="Y16" s="19">
        <v>0</v>
      </c>
      <c r="Z16" s="19">
        <f>VLOOKUP(B16,'[3]Annual Leave '!$B$7:$Q$98,13,0)</f>
        <v>34.89</v>
      </c>
      <c r="AA16" s="19">
        <f>VLOOKUP(B16,'[3]Annual Leave '!$B$7:$Q$98,15,0)</f>
        <v>40.2614644970414</v>
      </c>
      <c r="AB16" s="36">
        <f t="shared" si="6"/>
        <v>264.786079881656</v>
      </c>
      <c r="AC16" s="19">
        <f>VLOOKUP(B16,[2]Sheet1!$B$2:$N$199,11,0)/4000</f>
        <v>5.2565</v>
      </c>
      <c r="AD16" s="19">
        <v>0</v>
      </c>
      <c r="AE16" s="19">
        <f>VLOOKUP(B16,[1]烫组អ៊ុត!$E$7:$L$20,7,0)</f>
        <v>100</v>
      </c>
      <c r="AF16" s="19">
        <f t="shared" si="7"/>
        <v>105.2565</v>
      </c>
      <c r="AG16" s="36">
        <f t="shared" si="3"/>
        <v>159.529579881656</v>
      </c>
      <c r="AH16" s="129"/>
      <c r="AI16" s="130"/>
      <c r="AJ16" s="61"/>
      <c r="AK16" s="34"/>
      <c r="AL16" s="72">
        <v>100831804</v>
      </c>
      <c r="AM16" s="73">
        <v>34627</v>
      </c>
      <c r="AN16" s="74" t="s">
        <v>99</v>
      </c>
      <c r="AO16" s="72">
        <v>3</v>
      </c>
      <c r="AP16" s="74" t="s">
        <v>101</v>
      </c>
      <c r="AQ16" s="74" t="s">
        <v>102</v>
      </c>
      <c r="AR16" s="74" t="s">
        <v>103</v>
      </c>
      <c r="AS16" s="92" t="s">
        <v>794</v>
      </c>
    </row>
    <row r="17" s="5" customFormat="1" ht="21" customHeight="1" spans="1:45">
      <c r="A17" s="19">
        <v>9</v>
      </c>
      <c r="B17" s="75" t="s">
        <v>798</v>
      </c>
      <c r="C17" s="81" t="s">
        <v>799</v>
      </c>
      <c r="D17" s="20" t="s">
        <v>800</v>
      </c>
      <c r="E17" s="21">
        <v>44727</v>
      </c>
      <c r="F17" s="19" t="s">
        <v>108</v>
      </c>
      <c r="G17" s="19" t="s">
        <v>767</v>
      </c>
      <c r="H17" s="19" t="s">
        <v>801</v>
      </c>
      <c r="I17" s="19">
        <v>20.75</v>
      </c>
      <c r="J17" s="19">
        <f t="shared" si="4"/>
        <v>5.25</v>
      </c>
      <c r="K17" s="19">
        <v>200</v>
      </c>
      <c r="L17" s="36">
        <f t="shared" si="0"/>
        <v>159.615384615385</v>
      </c>
      <c r="M17" s="84">
        <f t="shared" si="5"/>
        <v>40.3846153846154</v>
      </c>
      <c r="N17" s="19">
        <v>0</v>
      </c>
      <c r="O17" s="19">
        <f t="shared" si="1"/>
        <v>0</v>
      </c>
      <c r="P17" s="19">
        <v>0</v>
      </c>
      <c r="Q17" s="19">
        <f t="shared" si="2"/>
        <v>0</v>
      </c>
      <c r="R17" s="19">
        <v>0</v>
      </c>
      <c r="S17" s="36">
        <f t="shared" si="8"/>
        <v>7.98076923076923</v>
      </c>
      <c r="T17" s="19">
        <v>0</v>
      </c>
      <c r="U17" s="19">
        <v>0</v>
      </c>
      <c r="V17" s="19">
        <v>10</v>
      </c>
      <c r="W17" s="19">
        <v>0</v>
      </c>
      <c r="X17" s="19">
        <v>8</v>
      </c>
      <c r="Y17" s="19">
        <v>0</v>
      </c>
      <c r="Z17" s="19">
        <f>VLOOKUP(B17,'[3]Annual Leave '!$B$7:$Q$98,13,0)</f>
        <v>34.12</v>
      </c>
      <c r="AA17" s="19">
        <f>VLOOKUP(B17,'[3]Annual Leave '!$B$7:$Q$98,15,0)</f>
        <v>39.3705621301775</v>
      </c>
      <c r="AB17" s="36">
        <f t="shared" si="6"/>
        <v>259.086715976332</v>
      </c>
      <c r="AC17" s="19">
        <f>VLOOKUP(B17,[2]Sheet1!$B$2:$N$199,11,0)/4000</f>
        <v>4.93875</v>
      </c>
      <c r="AD17" s="19">
        <v>0</v>
      </c>
      <c r="AE17" s="19">
        <f>VLOOKUP(B17,[1]烫组អ៊ុត!$E$7:$L$20,7,0)</f>
        <v>100</v>
      </c>
      <c r="AF17" s="19">
        <f t="shared" si="7"/>
        <v>104.93875</v>
      </c>
      <c r="AG17" s="36">
        <f t="shared" si="3"/>
        <v>154.147965976332</v>
      </c>
      <c r="AH17" s="129"/>
      <c r="AI17" s="130"/>
      <c r="AJ17" s="61"/>
      <c r="AK17" s="34"/>
      <c r="AL17" s="72">
        <v>150802871</v>
      </c>
      <c r="AM17" s="73">
        <v>32356</v>
      </c>
      <c r="AN17" s="74" t="s">
        <v>768</v>
      </c>
      <c r="AO17" s="72">
        <v>1</v>
      </c>
      <c r="AP17" s="74" t="s">
        <v>101</v>
      </c>
      <c r="AQ17" s="74" t="s">
        <v>102</v>
      </c>
      <c r="AR17" s="74" t="s">
        <v>103</v>
      </c>
      <c r="AS17" s="92" t="s">
        <v>802</v>
      </c>
    </row>
    <row r="18" s="5" customFormat="1" ht="21" customHeight="1" spans="1:45">
      <c r="A18" s="19">
        <v>10</v>
      </c>
      <c r="B18" s="75" t="s">
        <v>803</v>
      </c>
      <c r="C18" s="81" t="s">
        <v>804</v>
      </c>
      <c r="D18" s="20" t="s">
        <v>805</v>
      </c>
      <c r="E18" s="21">
        <v>44727</v>
      </c>
      <c r="F18" s="19" t="s">
        <v>108</v>
      </c>
      <c r="G18" s="19" t="s">
        <v>767</v>
      </c>
      <c r="H18" s="19" t="s">
        <v>801</v>
      </c>
      <c r="I18" s="19">
        <v>22</v>
      </c>
      <c r="J18" s="19">
        <f t="shared" si="4"/>
        <v>4</v>
      </c>
      <c r="K18" s="19">
        <v>200</v>
      </c>
      <c r="L18" s="36">
        <f t="shared" si="0"/>
        <v>169.230769230769</v>
      </c>
      <c r="M18" s="84">
        <f t="shared" si="5"/>
        <v>30.7692307692308</v>
      </c>
      <c r="N18" s="19">
        <v>5</v>
      </c>
      <c r="O18" s="19">
        <f t="shared" si="1"/>
        <v>7.21153846153846</v>
      </c>
      <c r="P18" s="19">
        <v>0</v>
      </c>
      <c r="Q18" s="19">
        <f t="shared" si="2"/>
        <v>0</v>
      </c>
      <c r="R18" s="19">
        <v>0</v>
      </c>
      <c r="S18" s="36">
        <f t="shared" si="8"/>
        <v>8.46153846153846</v>
      </c>
      <c r="T18" s="19">
        <v>0</v>
      </c>
      <c r="U18" s="19">
        <v>0</v>
      </c>
      <c r="V18" s="19">
        <v>10</v>
      </c>
      <c r="W18" s="19">
        <v>2</v>
      </c>
      <c r="X18" s="19">
        <v>8</v>
      </c>
      <c r="Y18" s="19">
        <v>0</v>
      </c>
      <c r="Z18" s="19">
        <f>VLOOKUP(B18,'[3]Annual Leave '!$B$7:$Q$98,13,0)</f>
        <v>34.88</v>
      </c>
      <c r="AA18" s="19">
        <f>VLOOKUP(B18,'[3]Annual Leave '!$B$7:$Q$98,15,0)</f>
        <v>40.2505085059171</v>
      </c>
      <c r="AB18" s="36">
        <f t="shared" si="6"/>
        <v>280.034354659763</v>
      </c>
      <c r="AC18" s="19">
        <f>VLOOKUP(B18,[2]Sheet1!$B$2:$N$199,11,0)/4000</f>
        <v>5.096</v>
      </c>
      <c r="AD18" s="19">
        <v>0</v>
      </c>
      <c r="AE18" s="19">
        <f>VLOOKUP(B18,[1]烫组អ៊ុត!$E$7:$L$20,7,0)</f>
        <v>100</v>
      </c>
      <c r="AF18" s="19">
        <f t="shared" si="7"/>
        <v>105.096</v>
      </c>
      <c r="AG18" s="36">
        <f t="shared" si="3"/>
        <v>174.938354659763</v>
      </c>
      <c r="AH18" s="129"/>
      <c r="AI18" s="130"/>
      <c r="AJ18" s="61"/>
      <c r="AK18" s="34"/>
      <c r="AL18" s="72">
        <v>100821417</v>
      </c>
      <c r="AM18" s="73">
        <v>30441</v>
      </c>
      <c r="AN18" s="74" t="s">
        <v>768</v>
      </c>
      <c r="AO18" s="72">
        <v>2</v>
      </c>
      <c r="AP18" s="74" t="s">
        <v>101</v>
      </c>
      <c r="AQ18" s="74" t="s">
        <v>102</v>
      </c>
      <c r="AR18" s="74" t="s">
        <v>103</v>
      </c>
      <c r="AS18" s="193" t="s">
        <v>806</v>
      </c>
    </row>
    <row r="19" s="5" customFormat="1" ht="21" customHeight="1" spans="1:45">
      <c r="A19" s="19">
        <v>11</v>
      </c>
      <c r="B19" s="75" t="s">
        <v>807</v>
      </c>
      <c r="C19" s="20" t="s">
        <v>808</v>
      </c>
      <c r="D19" s="20" t="s">
        <v>809</v>
      </c>
      <c r="E19" s="21">
        <v>44727</v>
      </c>
      <c r="F19" s="19" t="s">
        <v>108</v>
      </c>
      <c r="G19" s="19" t="s">
        <v>767</v>
      </c>
      <c r="H19" s="19" t="s">
        <v>801</v>
      </c>
      <c r="I19" s="19">
        <v>20.5</v>
      </c>
      <c r="J19" s="19">
        <f t="shared" si="4"/>
        <v>5.5</v>
      </c>
      <c r="K19" s="19">
        <v>200</v>
      </c>
      <c r="L19" s="36">
        <f t="shared" si="0"/>
        <v>157.692307692308</v>
      </c>
      <c r="M19" s="84">
        <f t="shared" si="5"/>
        <v>42.3076923076923</v>
      </c>
      <c r="N19" s="19">
        <v>5</v>
      </c>
      <c r="O19" s="19">
        <f t="shared" si="1"/>
        <v>7.21153846153846</v>
      </c>
      <c r="P19" s="19">
        <v>0</v>
      </c>
      <c r="Q19" s="19">
        <f t="shared" si="2"/>
        <v>0</v>
      </c>
      <c r="R19" s="19">
        <v>0</v>
      </c>
      <c r="S19" s="36">
        <f t="shared" si="8"/>
        <v>7.88461538461539</v>
      </c>
      <c r="T19" s="19">
        <v>0</v>
      </c>
      <c r="U19" s="19">
        <v>0</v>
      </c>
      <c r="V19" s="19">
        <v>10</v>
      </c>
      <c r="W19" s="19">
        <v>2</v>
      </c>
      <c r="X19" s="19">
        <v>8</v>
      </c>
      <c r="Y19" s="19">
        <v>0</v>
      </c>
      <c r="Z19" s="19">
        <f>VLOOKUP(B19,'[3]Annual Leave '!$B$7:$Q$98,13,0)</f>
        <v>34.93</v>
      </c>
      <c r="AA19" s="19">
        <f>VLOOKUP(B19,'[3]Annual Leave '!$B$7:$Q$98,15,0)</f>
        <v>40.3018213757396</v>
      </c>
      <c r="AB19" s="36">
        <f t="shared" si="6"/>
        <v>268.020282914201</v>
      </c>
      <c r="AC19" s="19">
        <f>VLOOKUP(B19,[2]Sheet1!$B$2:$N$199,11,0)/4000</f>
        <v>5.271</v>
      </c>
      <c r="AD19" s="19">
        <v>0</v>
      </c>
      <c r="AE19" s="19">
        <f>VLOOKUP(B19,[1]烫组អ៊ុត!$E$7:$L$20,7,0)</f>
        <v>50</v>
      </c>
      <c r="AF19" s="19">
        <f t="shared" si="7"/>
        <v>55.271</v>
      </c>
      <c r="AG19" s="36">
        <f t="shared" si="3"/>
        <v>212.749282914201</v>
      </c>
      <c r="AH19" s="129"/>
      <c r="AI19" s="130"/>
      <c r="AJ19" s="61"/>
      <c r="AK19" s="34"/>
      <c r="AL19" s="72">
        <v>101381544</v>
      </c>
      <c r="AM19" s="73">
        <v>33428</v>
      </c>
      <c r="AN19" s="74" t="s">
        <v>768</v>
      </c>
      <c r="AO19" s="72">
        <v>2</v>
      </c>
      <c r="AP19" s="74" t="s">
        <v>101</v>
      </c>
      <c r="AQ19" s="74" t="s">
        <v>102</v>
      </c>
      <c r="AR19" s="74" t="s">
        <v>103</v>
      </c>
      <c r="AS19" s="92" t="s">
        <v>810</v>
      </c>
    </row>
    <row r="20" s="5" customFormat="1" ht="21" customHeight="1" spans="1:45">
      <c r="A20" s="19">
        <v>12</v>
      </c>
      <c r="B20" s="75" t="s">
        <v>811</v>
      </c>
      <c r="C20" s="20" t="s">
        <v>812</v>
      </c>
      <c r="D20" s="20" t="s">
        <v>813</v>
      </c>
      <c r="E20" s="21">
        <v>44907</v>
      </c>
      <c r="F20" s="19" t="s">
        <v>108</v>
      </c>
      <c r="G20" s="19" t="s">
        <v>767</v>
      </c>
      <c r="H20" s="19" t="s">
        <v>801</v>
      </c>
      <c r="I20" s="19">
        <v>20.25</v>
      </c>
      <c r="J20" s="19">
        <f t="shared" si="4"/>
        <v>5.75</v>
      </c>
      <c r="K20" s="19">
        <v>200</v>
      </c>
      <c r="L20" s="36">
        <f t="shared" si="0"/>
        <v>155.769230769231</v>
      </c>
      <c r="M20" s="84">
        <f t="shared" si="5"/>
        <v>44.2307692307692</v>
      </c>
      <c r="N20" s="19">
        <v>0</v>
      </c>
      <c r="O20" s="19">
        <f t="shared" si="1"/>
        <v>0</v>
      </c>
      <c r="P20" s="19">
        <v>0</v>
      </c>
      <c r="Q20" s="19">
        <f t="shared" si="2"/>
        <v>0</v>
      </c>
      <c r="R20" s="19">
        <v>0</v>
      </c>
      <c r="S20" s="36">
        <f t="shared" si="8"/>
        <v>7.78846153846154</v>
      </c>
      <c r="T20" s="19">
        <v>0</v>
      </c>
      <c r="U20" s="19">
        <v>0</v>
      </c>
      <c r="V20" s="19">
        <v>10</v>
      </c>
      <c r="W20" s="19">
        <v>0</v>
      </c>
      <c r="X20" s="19">
        <v>8</v>
      </c>
      <c r="Y20" s="19">
        <v>0</v>
      </c>
      <c r="Z20" s="19">
        <v>0</v>
      </c>
      <c r="AA20" s="19">
        <v>0</v>
      </c>
      <c r="AB20" s="36">
        <f t="shared" si="6"/>
        <v>181.557692307693</v>
      </c>
      <c r="AC20" s="19">
        <v>0</v>
      </c>
      <c r="AD20" s="19">
        <v>0</v>
      </c>
      <c r="AE20" s="19">
        <f>VLOOKUP(B20,[1]烫组អ៊ុត!$E$7:$L$20,7,0)</f>
        <v>50</v>
      </c>
      <c r="AF20" s="19">
        <f t="shared" si="7"/>
        <v>50</v>
      </c>
      <c r="AG20" s="36">
        <f t="shared" si="3"/>
        <v>131.557692307693</v>
      </c>
      <c r="AH20" s="129"/>
      <c r="AI20" s="130"/>
      <c r="AJ20" s="61"/>
      <c r="AK20" s="34"/>
      <c r="AL20" s="72">
        <v>100710880</v>
      </c>
      <c r="AM20" s="73">
        <v>30605</v>
      </c>
      <c r="AN20" s="74" t="s">
        <v>768</v>
      </c>
      <c r="AO20" s="72">
        <v>3</v>
      </c>
      <c r="AP20" s="74" t="s">
        <v>102</v>
      </c>
      <c r="AQ20" s="74" t="s">
        <v>102</v>
      </c>
      <c r="AR20" s="74" t="s">
        <v>103</v>
      </c>
      <c r="AS20" s="92"/>
    </row>
    <row r="21" s="5" customFormat="1" ht="21" customHeight="1" spans="1:45">
      <c r="A21" s="19">
        <v>13</v>
      </c>
      <c r="B21" s="75" t="s">
        <v>814</v>
      </c>
      <c r="C21" s="20" t="s">
        <v>815</v>
      </c>
      <c r="D21" s="20" t="s">
        <v>816</v>
      </c>
      <c r="E21" s="21">
        <v>44910</v>
      </c>
      <c r="F21" s="19" t="s">
        <v>108</v>
      </c>
      <c r="G21" s="19" t="s">
        <v>767</v>
      </c>
      <c r="H21" s="19" t="s">
        <v>801</v>
      </c>
      <c r="I21" s="19">
        <v>19.25</v>
      </c>
      <c r="J21" s="19">
        <f t="shared" si="4"/>
        <v>6.75</v>
      </c>
      <c r="K21" s="19">
        <v>200</v>
      </c>
      <c r="L21" s="36">
        <f t="shared" si="0"/>
        <v>148.076923076923</v>
      </c>
      <c r="M21" s="84">
        <f t="shared" si="5"/>
        <v>51.9230769230769</v>
      </c>
      <c r="N21" s="19">
        <v>0</v>
      </c>
      <c r="O21" s="19">
        <f t="shared" si="1"/>
        <v>0</v>
      </c>
      <c r="P21" s="19">
        <v>0</v>
      </c>
      <c r="Q21" s="19">
        <f t="shared" si="2"/>
        <v>0</v>
      </c>
      <c r="R21" s="19">
        <v>0</v>
      </c>
      <c r="S21" s="36">
        <f t="shared" si="8"/>
        <v>7.40384615384615</v>
      </c>
      <c r="T21" s="19">
        <v>0</v>
      </c>
      <c r="U21" s="19">
        <v>0</v>
      </c>
      <c r="V21" s="19">
        <v>10</v>
      </c>
      <c r="W21" s="19">
        <v>0</v>
      </c>
      <c r="X21" s="19">
        <v>8</v>
      </c>
      <c r="Y21" s="19">
        <v>0</v>
      </c>
      <c r="Z21" s="19">
        <v>0</v>
      </c>
      <c r="AA21" s="19">
        <v>0</v>
      </c>
      <c r="AB21" s="36">
        <f t="shared" si="6"/>
        <v>173.480769230769</v>
      </c>
      <c r="AC21" s="19">
        <v>0</v>
      </c>
      <c r="AD21" s="19">
        <v>0</v>
      </c>
      <c r="AE21" s="19">
        <f>VLOOKUP(B21,[1]烫组អ៊ុត!$E$7:$L$20,7,0)</f>
        <v>50</v>
      </c>
      <c r="AF21" s="19">
        <f t="shared" si="7"/>
        <v>50</v>
      </c>
      <c r="AG21" s="36">
        <f t="shared" si="3"/>
        <v>123.480769230769</v>
      </c>
      <c r="AH21" s="129"/>
      <c r="AI21" s="130"/>
      <c r="AJ21" s="61"/>
      <c r="AK21" s="34"/>
      <c r="AL21" s="72">
        <v>100902674</v>
      </c>
      <c r="AM21" s="73">
        <v>29230</v>
      </c>
      <c r="AN21" s="74" t="s">
        <v>768</v>
      </c>
      <c r="AO21" s="72">
        <v>2</v>
      </c>
      <c r="AP21" s="74" t="s">
        <v>102</v>
      </c>
      <c r="AQ21" s="74" t="s">
        <v>102</v>
      </c>
      <c r="AR21" s="74" t="s">
        <v>103</v>
      </c>
      <c r="AS21" s="193" t="s">
        <v>817</v>
      </c>
    </row>
    <row r="22" s="5" customFormat="1" ht="24" customHeight="1" spans="1:45">
      <c r="A22" s="19">
        <v>14</v>
      </c>
      <c r="B22" s="75" t="s">
        <v>818</v>
      </c>
      <c r="C22" s="20" t="s">
        <v>819</v>
      </c>
      <c r="D22" s="20" t="s">
        <v>820</v>
      </c>
      <c r="E22" s="21">
        <v>44910</v>
      </c>
      <c r="F22" s="19" t="s">
        <v>108</v>
      </c>
      <c r="G22" s="19" t="s">
        <v>767</v>
      </c>
      <c r="H22" s="19" t="s">
        <v>801</v>
      </c>
      <c r="I22" s="19">
        <v>19.5</v>
      </c>
      <c r="J22" s="19">
        <f t="shared" si="4"/>
        <v>6.5</v>
      </c>
      <c r="K22" s="19">
        <v>200</v>
      </c>
      <c r="L22" s="36">
        <f t="shared" si="0"/>
        <v>150</v>
      </c>
      <c r="M22" s="84">
        <f t="shared" si="5"/>
        <v>50</v>
      </c>
      <c r="N22" s="19">
        <v>4</v>
      </c>
      <c r="O22" s="19">
        <f t="shared" si="1"/>
        <v>5.76923076923077</v>
      </c>
      <c r="P22" s="19">
        <v>0</v>
      </c>
      <c r="Q22" s="19">
        <f t="shared" si="2"/>
        <v>0</v>
      </c>
      <c r="R22" s="19">
        <v>0</v>
      </c>
      <c r="S22" s="36">
        <f t="shared" si="8"/>
        <v>7.5</v>
      </c>
      <c r="T22" s="19">
        <v>0</v>
      </c>
      <c r="U22" s="19">
        <v>0</v>
      </c>
      <c r="V22" s="19">
        <v>10</v>
      </c>
      <c r="W22" s="19">
        <v>1</v>
      </c>
      <c r="X22" s="19">
        <v>8</v>
      </c>
      <c r="Y22" s="19">
        <v>0</v>
      </c>
      <c r="Z22" s="19">
        <v>0</v>
      </c>
      <c r="AA22" s="19">
        <v>0</v>
      </c>
      <c r="AB22" s="36">
        <f t="shared" si="6"/>
        <v>182.269230769231</v>
      </c>
      <c r="AC22" s="19">
        <v>0</v>
      </c>
      <c r="AD22" s="19">
        <v>0</v>
      </c>
      <c r="AE22" s="19">
        <f>VLOOKUP(B22,[1]烫组អ៊ុត!$E$7:$L$20,7,0)</f>
        <v>50</v>
      </c>
      <c r="AF22" s="19">
        <f t="shared" si="7"/>
        <v>50</v>
      </c>
      <c r="AG22" s="36">
        <f t="shared" si="3"/>
        <v>132.269230769231</v>
      </c>
      <c r="AH22" s="129"/>
      <c r="AI22" s="130"/>
      <c r="AJ22" s="61"/>
      <c r="AK22" s="34"/>
      <c r="AL22" s="72">
        <v>101170041</v>
      </c>
      <c r="AM22" s="73">
        <v>36728</v>
      </c>
      <c r="AN22" s="74" t="s">
        <v>768</v>
      </c>
      <c r="AO22" s="72">
        <v>0</v>
      </c>
      <c r="AP22" s="74" t="s">
        <v>102</v>
      </c>
      <c r="AQ22" s="74" t="s">
        <v>102</v>
      </c>
      <c r="AR22" s="74" t="s">
        <v>103</v>
      </c>
      <c r="AS22" s="92" t="s">
        <v>821</v>
      </c>
    </row>
    <row r="23" ht="23" customHeight="1" spans="1:37">
      <c r="A23" s="176" t="s">
        <v>557</v>
      </c>
      <c r="B23" s="177"/>
      <c r="C23" s="24"/>
      <c r="D23" s="24"/>
      <c r="E23" s="177"/>
      <c r="F23" s="177"/>
      <c r="G23" s="177"/>
      <c r="H23" s="177"/>
      <c r="I23" s="177"/>
      <c r="J23" s="177"/>
      <c r="K23" s="178"/>
      <c r="L23" s="190">
        <f>SUM(L9:L22)</f>
        <v>2263.46153846154</v>
      </c>
      <c r="M23" s="190"/>
      <c r="N23" s="191">
        <f t="shared" ref="N23:V23" si="9">SUM(N9:N22)</f>
        <v>23</v>
      </c>
      <c r="O23" s="191">
        <f t="shared" si="9"/>
        <v>33.1730769230769</v>
      </c>
      <c r="P23" s="190">
        <f t="shared" si="9"/>
        <v>0</v>
      </c>
      <c r="Q23" s="190">
        <f t="shared" si="9"/>
        <v>0</v>
      </c>
      <c r="R23" s="190">
        <f t="shared" si="9"/>
        <v>0</v>
      </c>
      <c r="S23" s="190">
        <f t="shared" si="9"/>
        <v>113.173076923077</v>
      </c>
      <c r="T23" s="191">
        <f t="shared" si="9"/>
        <v>14.23</v>
      </c>
      <c r="U23" s="191">
        <f t="shared" si="9"/>
        <v>30</v>
      </c>
      <c r="V23" s="192">
        <f t="shared" si="9"/>
        <v>140</v>
      </c>
      <c r="W23" s="191"/>
      <c r="X23" s="192">
        <f t="shared" ref="X23:AG23" si="10">SUM(X9:X22)</f>
        <v>112</v>
      </c>
      <c r="Y23" s="191">
        <f t="shared" si="10"/>
        <v>0</v>
      </c>
      <c r="Z23" s="191">
        <f t="shared" si="10"/>
        <v>385.6</v>
      </c>
      <c r="AA23" s="191">
        <f t="shared" si="10"/>
        <v>444.919981508876</v>
      </c>
      <c r="AB23" s="190">
        <f t="shared" si="10"/>
        <v>3544.05767381657</v>
      </c>
      <c r="AC23" s="190">
        <f t="shared" si="10"/>
        <v>56.74275</v>
      </c>
      <c r="AD23" s="190">
        <f t="shared" si="10"/>
        <v>0</v>
      </c>
      <c r="AE23" s="192">
        <f t="shared" si="10"/>
        <v>1100</v>
      </c>
      <c r="AF23" s="192">
        <f t="shared" si="10"/>
        <v>1156.74275</v>
      </c>
      <c r="AG23" s="190">
        <f t="shared" si="10"/>
        <v>2387.31492381657</v>
      </c>
      <c r="AH23" s="180"/>
      <c r="AI23" s="180"/>
      <c r="AJ23" s="180"/>
      <c r="AK23" s="181"/>
    </row>
  </sheetData>
  <mergeCells count="32">
    <mergeCell ref="A1:AJ1"/>
    <mergeCell ref="A2:AJ2"/>
    <mergeCell ref="A3:AJ3"/>
    <mergeCell ref="A4:AJ4"/>
    <mergeCell ref="A5:C5"/>
    <mergeCell ref="F5:L5"/>
    <mergeCell ref="AD5:AJ5"/>
    <mergeCell ref="N7:Q7"/>
    <mergeCell ref="A23:K2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S11"/>
  <sheetViews>
    <sheetView zoomScale="130" zoomScaleNormal="130" workbookViewId="0">
      <selection activeCell="P11" sqref="P11"/>
    </sheetView>
  </sheetViews>
  <sheetFormatPr defaultColWidth="9" defaultRowHeight="13.5"/>
  <cols>
    <col min="1" max="1" width="3.94166666666667" style="6" customWidth="1"/>
    <col min="2" max="2" width="5.38333333333333" style="170" customWidth="1"/>
    <col min="3" max="3" width="6.625" style="170" customWidth="1"/>
    <col min="4" max="4" width="7.10833333333333" style="170" customWidth="1"/>
    <col min="5" max="5" width="6.825" style="6" customWidth="1"/>
    <col min="6" max="7" width="2.79166666666667" style="6" customWidth="1"/>
    <col min="8" max="8" width="3.66666666666667" style="6" customWidth="1"/>
    <col min="9" max="9" width="3.6" style="6" customWidth="1"/>
    <col min="10" max="10" width="3.26666666666667" style="6" customWidth="1"/>
    <col min="11" max="11" width="3.875" style="6" customWidth="1"/>
    <col min="12" max="12" width="5.675" customWidth="1"/>
    <col min="13" max="13" width="4.13333333333333" customWidth="1"/>
    <col min="14" max="14" width="3.35833333333333" customWidth="1"/>
    <col min="15" max="15" width="3.5" customWidth="1"/>
    <col min="16" max="18" width="3.275" customWidth="1"/>
    <col min="19" max="19" width="3.36666666666667" customWidth="1"/>
    <col min="20" max="21" width="3.75" customWidth="1"/>
    <col min="22" max="27" width="3.375" customWidth="1"/>
    <col min="28" max="28" width="5.775" customWidth="1"/>
    <col min="29" max="29" width="4.08333333333333" customWidth="1"/>
    <col min="30" max="30" width="3.94166666666667" customWidth="1"/>
    <col min="31" max="31" width="4.25" customWidth="1"/>
    <col min="32" max="32" width="4.375" customWidth="1"/>
    <col min="33" max="33" width="7.6" customWidth="1"/>
    <col min="34" max="34" width="6.25" hidden="1" customWidth="1"/>
    <col min="35" max="35" width="8.75" hidden="1" customWidth="1"/>
    <col min="36" max="36" width="8.8" customWidth="1"/>
    <col min="37" max="37" width="13.7416666666667" customWidth="1"/>
    <col min="38" max="38" width="16.875" style="6" customWidth="1"/>
    <col min="39" max="39" width="12.625" customWidth="1"/>
    <col min="40" max="40" width="12" customWidth="1"/>
    <col min="41" max="41" width="12.75" customWidth="1"/>
    <col min="42" max="42" width="10.5" customWidth="1"/>
    <col min="43" max="43" width="15.75" customWidth="1"/>
    <col min="45" max="45" width="16.5" customWidth="1"/>
  </cols>
  <sheetData>
    <row r="1" ht="27.95" customHeight="1" spans="1:37">
      <c r="A1" s="7" t="s">
        <v>0</v>
      </c>
      <c r="B1" s="171"/>
      <c r="C1" s="171"/>
      <c r="D1" s="17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8.95" customHeight="1" spans="1:37">
      <c r="A2" s="8" t="s">
        <v>1</v>
      </c>
      <c r="B2" s="172"/>
      <c r="C2" s="172"/>
      <c r="D2" s="17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ht="15.95" customHeight="1" spans="1:37">
      <c r="A3" s="9" t="s">
        <v>2</v>
      </c>
      <c r="B3" s="173"/>
      <c r="C3" s="173"/>
      <c r="D3" s="1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ht="15.95" customHeight="1" spans="1:3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1" ht="14.1" customHeight="1" spans="1:38">
      <c r="A5" s="10" t="s">
        <v>822</v>
      </c>
      <c r="B5" s="174"/>
      <c r="C5" s="175"/>
      <c r="D5" s="175"/>
      <c r="E5" s="56"/>
      <c r="F5" s="56"/>
      <c r="G5" s="56"/>
      <c r="H5" s="56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1" t="s">
        <v>5</v>
      </c>
      <c r="AH5" s="11"/>
      <c r="AI5" s="11"/>
      <c r="AJ5" s="11"/>
      <c r="AK5" s="11"/>
      <c r="AL5" s="70"/>
    </row>
    <row r="6" s="2" customFormat="1" ht="57.95" customHeight="1" spans="1:37">
      <c r="A6" s="13" t="s">
        <v>6</v>
      </c>
      <c r="B6" s="29" t="s">
        <v>7</v>
      </c>
      <c r="C6" s="29" t="s">
        <v>8</v>
      </c>
      <c r="D6" s="29" t="s">
        <v>8</v>
      </c>
      <c r="E6" s="14" t="s">
        <v>9</v>
      </c>
      <c r="F6" s="14" t="s">
        <v>10</v>
      </c>
      <c r="G6" s="14"/>
      <c r="H6" s="14" t="s">
        <v>11</v>
      </c>
      <c r="I6" s="29" t="s">
        <v>12</v>
      </c>
      <c r="J6" s="29" t="s">
        <v>13</v>
      </c>
      <c r="K6" s="29" t="s">
        <v>14</v>
      </c>
      <c r="L6" s="29" t="s">
        <v>15</v>
      </c>
      <c r="M6" s="29" t="s">
        <v>16</v>
      </c>
      <c r="N6" s="29" t="s">
        <v>17</v>
      </c>
      <c r="O6" s="14" t="s">
        <v>18</v>
      </c>
      <c r="P6" s="29" t="s">
        <v>19</v>
      </c>
      <c r="Q6" s="14" t="s">
        <v>18</v>
      </c>
      <c r="R6" s="29" t="s">
        <v>20</v>
      </c>
      <c r="S6" s="29" t="s">
        <v>21</v>
      </c>
      <c r="T6" s="48" t="s">
        <v>22</v>
      </c>
      <c r="U6" s="48" t="s">
        <v>23</v>
      </c>
      <c r="V6" s="29" t="s">
        <v>24</v>
      </c>
      <c r="W6" s="29" t="s">
        <v>25</v>
      </c>
      <c r="X6" s="29" t="s">
        <v>26</v>
      </c>
      <c r="Y6" s="29" t="s">
        <v>27</v>
      </c>
      <c r="Z6" s="29" t="s">
        <v>28</v>
      </c>
      <c r="AA6" s="29" t="s">
        <v>29</v>
      </c>
      <c r="AB6" s="29" t="s">
        <v>30</v>
      </c>
      <c r="AC6" s="29" t="s">
        <v>31</v>
      </c>
      <c r="AD6" s="29" t="s">
        <v>32</v>
      </c>
      <c r="AE6" s="29" t="s">
        <v>33</v>
      </c>
      <c r="AF6" s="29" t="s">
        <v>34</v>
      </c>
      <c r="AG6" s="29" t="s">
        <v>35</v>
      </c>
      <c r="AH6" s="29" t="s">
        <v>36</v>
      </c>
      <c r="AI6" s="14" t="s">
        <v>37</v>
      </c>
      <c r="AJ6" s="29" t="s">
        <v>38</v>
      </c>
      <c r="AK6" s="29" t="s">
        <v>70</v>
      </c>
    </row>
    <row r="7" s="3" customFormat="1" ht="12" customHeight="1" spans="1:45">
      <c r="A7" s="15" t="s">
        <v>39</v>
      </c>
      <c r="B7" s="15" t="s">
        <v>40</v>
      </c>
      <c r="C7" s="15" t="s">
        <v>41</v>
      </c>
      <c r="D7" s="15" t="s">
        <v>42</v>
      </c>
      <c r="E7" s="15" t="s">
        <v>43</v>
      </c>
      <c r="F7" s="16" t="s">
        <v>44</v>
      </c>
      <c r="G7" s="16"/>
      <c r="H7" s="16" t="s">
        <v>45</v>
      </c>
      <c r="I7" s="15" t="s">
        <v>46</v>
      </c>
      <c r="J7" s="15" t="s">
        <v>47</v>
      </c>
      <c r="K7" s="30" t="s">
        <v>48</v>
      </c>
      <c r="L7" s="30" t="s">
        <v>49</v>
      </c>
      <c r="M7" s="31" t="s">
        <v>50</v>
      </c>
      <c r="N7" s="32" t="s">
        <v>51</v>
      </c>
      <c r="O7" s="33"/>
      <c r="P7" s="33"/>
      <c r="Q7" s="49"/>
      <c r="R7" s="50" t="s">
        <v>52</v>
      </c>
      <c r="S7" s="51" t="s">
        <v>53</v>
      </c>
      <c r="T7" s="51" t="s">
        <v>54</v>
      </c>
      <c r="U7" s="50" t="s">
        <v>55</v>
      </c>
      <c r="V7" s="50" t="s">
        <v>56</v>
      </c>
      <c r="W7" s="50"/>
      <c r="X7" s="50" t="s">
        <v>57</v>
      </c>
      <c r="Y7" s="50" t="s">
        <v>58</v>
      </c>
      <c r="Z7" s="50" t="s">
        <v>59</v>
      </c>
      <c r="AA7" s="53" t="s">
        <v>60</v>
      </c>
      <c r="AB7" s="53" t="s">
        <v>61</v>
      </c>
      <c r="AC7" s="53" t="s">
        <v>62</v>
      </c>
      <c r="AD7" s="30" t="s">
        <v>63</v>
      </c>
      <c r="AE7" s="53" t="s">
        <v>201</v>
      </c>
      <c r="AF7" s="53" t="s">
        <v>65</v>
      </c>
      <c r="AG7" s="53" t="s">
        <v>66</v>
      </c>
      <c r="AH7" s="53" t="s">
        <v>67</v>
      </c>
      <c r="AI7" s="53" t="s">
        <v>68</v>
      </c>
      <c r="AJ7" s="53" t="s">
        <v>69</v>
      </c>
      <c r="AK7" s="53"/>
      <c r="AL7" s="71" t="s">
        <v>71</v>
      </c>
      <c r="AM7" s="71" t="s">
        <v>72</v>
      </c>
      <c r="AN7" s="71" t="s">
        <v>73</v>
      </c>
      <c r="AO7" s="71" t="s">
        <v>74</v>
      </c>
      <c r="AP7" s="71" t="s">
        <v>75</v>
      </c>
      <c r="AQ7" s="71" t="s">
        <v>76</v>
      </c>
      <c r="AR7" s="71" t="s">
        <v>77</v>
      </c>
      <c r="AS7" s="71" t="s">
        <v>78</v>
      </c>
    </row>
    <row r="8" s="4" customFormat="1" ht="21.95" customHeight="1" spans="1:45">
      <c r="A8" s="17"/>
      <c r="B8" s="17"/>
      <c r="C8" s="17"/>
      <c r="D8" s="17"/>
      <c r="E8" s="17"/>
      <c r="F8" s="18"/>
      <c r="G8" s="18"/>
      <c r="H8" s="18"/>
      <c r="I8" s="17"/>
      <c r="J8" s="17"/>
      <c r="K8" s="34"/>
      <c r="L8" s="34"/>
      <c r="M8" s="35"/>
      <c r="N8" s="31" t="s">
        <v>79</v>
      </c>
      <c r="O8" s="31" t="s">
        <v>80</v>
      </c>
      <c r="P8" s="31" t="s">
        <v>81</v>
      </c>
      <c r="Q8" s="31" t="s">
        <v>80</v>
      </c>
      <c r="R8" s="31" t="s">
        <v>82</v>
      </c>
      <c r="S8" s="52" t="s">
        <v>82</v>
      </c>
      <c r="T8" s="52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83</v>
      </c>
      <c r="Z8" s="31" t="s">
        <v>84</v>
      </c>
      <c r="AA8" s="52"/>
      <c r="AB8" s="52"/>
      <c r="AC8" s="52"/>
      <c r="AD8" s="34"/>
      <c r="AE8" s="52"/>
      <c r="AF8" s="52"/>
      <c r="AG8" s="52"/>
      <c r="AH8" s="52"/>
      <c r="AI8" s="52"/>
      <c r="AJ8" s="34"/>
      <c r="AK8" s="34"/>
      <c r="AL8" s="72" t="s">
        <v>85</v>
      </c>
      <c r="AM8" s="72" t="s">
        <v>86</v>
      </c>
      <c r="AN8" s="72" t="s">
        <v>87</v>
      </c>
      <c r="AO8" s="72" t="s">
        <v>88</v>
      </c>
      <c r="AP8" s="72" t="s">
        <v>89</v>
      </c>
      <c r="AQ8" s="72" t="s">
        <v>90</v>
      </c>
      <c r="AR8" s="72" t="s">
        <v>91</v>
      </c>
      <c r="AS8" s="74" t="s">
        <v>92</v>
      </c>
    </row>
    <row r="9" s="5" customFormat="1" ht="21" customHeight="1" spans="1:45">
      <c r="A9" s="19">
        <v>1</v>
      </c>
      <c r="B9" s="128" t="s">
        <v>823</v>
      </c>
      <c r="C9" s="20" t="s">
        <v>824</v>
      </c>
      <c r="D9" s="20" t="s">
        <v>825</v>
      </c>
      <c r="E9" s="21">
        <v>44760</v>
      </c>
      <c r="F9" s="19" t="s">
        <v>96</v>
      </c>
      <c r="G9" s="19" t="s">
        <v>826</v>
      </c>
      <c r="H9" s="19" t="s">
        <v>773</v>
      </c>
      <c r="I9" s="19">
        <v>25</v>
      </c>
      <c r="J9" s="19">
        <f>26-I9</f>
        <v>1</v>
      </c>
      <c r="K9" s="19">
        <v>200</v>
      </c>
      <c r="L9" s="36">
        <f>K9/26*I9</f>
        <v>192.307692307692</v>
      </c>
      <c r="M9" s="36">
        <f>K9/26*J9</f>
        <v>7.69230769230769</v>
      </c>
      <c r="N9" s="19">
        <v>6</v>
      </c>
      <c r="O9" s="19">
        <f>K9/26/8*1.5*N9</f>
        <v>8.65384615384615</v>
      </c>
      <c r="P9" s="19">
        <v>0</v>
      </c>
      <c r="Q9" s="19">
        <f>K9/26*2*P9</f>
        <v>0</v>
      </c>
      <c r="R9" s="19">
        <v>0</v>
      </c>
      <c r="S9" s="36">
        <f>10/26*I9</f>
        <v>9.61538461538462</v>
      </c>
      <c r="T9" s="19">
        <v>38.46</v>
      </c>
      <c r="U9" s="19">
        <v>0</v>
      </c>
      <c r="V9" s="19">
        <v>10</v>
      </c>
      <c r="W9" s="19">
        <v>1.5</v>
      </c>
      <c r="X9" s="19">
        <v>8</v>
      </c>
      <c r="Y9" s="19">
        <v>0</v>
      </c>
      <c r="Z9" s="19">
        <v>0</v>
      </c>
      <c r="AA9" s="19">
        <v>0</v>
      </c>
      <c r="AB9" s="36">
        <f>SUM(L9+O9+Q9+R9+S9+T9+U9+V9+X9+Y9+Z9+AA9+W9)</f>
        <v>268.536923076923</v>
      </c>
      <c r="AC9" s="19">
        <f>VLOOKUP(B9,[2]Sheet1!$B$2:$N$199,11,0)/4000</f>
        <v>5.29075</v>
      </c>
      <c r="AD9" s="19">
        <v>0</v>
      </c>
      <c r="AE9" s="19">
        <f>VLOOKUP(B9,[1]QC!$E$7:$L$8,7,0)</f>
        <v>100</v>
      </c>
      <c r="AF9" s="19">
        <f>SUM(AC9:AE9)</f>
        <v>105.29075</v>
      </c>
      <c r="AG9" s="36">
        <f>AB9-AF9</f>
        <v>163.246173076923</v>
      </c>
      <c r="AH9" s="19"/>
      <c r="AI9" s="60"/>
      <c r="AJ9" s="61"/>
      <c r="AK9" s="34"/>
      <c r="AL9" s="72" t="s">
        <v>827</v>
      </c>
      <c r="AM9" s="73">
        <v>27900</v>
      </c>
      <c r="AN9" s="74" t="s">
        <v>99</v>
      </c>
      <c r="AO9" s="72" t="s">
        <v>234</v>
      </c>
      <c r="AP9" s="74" t="s">
        <v>101</v>
      </c>
      <c r="AQ9" s="74" t="s">
        <v>102</v>
      </c>
      <c r="AR9" s="74" t="s">
        <v>103</v>
      </c>
      <c r="AS9" s="92"/>
    </row>
    <row r="10" s="5" customFormat="1" ht="21" customHeight="1" spans="1:45">
      <c r="A10" s="19">
        <v>2</v>
      </c>
      <c r="B10" s="128" t="s">
        <v>828</v>
      </c>
      <c r="C10" s="20" t="s">
        <v>829</v>
      </c>
      <c r="D10" s="20" t="s">
        <v>830</v>
      </c>
      <c r="E10" s="21">
        <v>44846</v>
      </c>
      <c r="F10" s="19" t="s">
        <v>96</v>
      </c>
      <c r="G10" s="19" t="s">
        <v>826</v>
      </c>
      <c r="H10" s="19" t="s">
        <v>773</v>
      </c>
      <c r="I10" s="19">
        <v>26</v>
      </c>
      <c r="J10" s="19">
        <f>26-I10</f>
        <v>0</v>
      </c>
      <c r="K10" s="19">
        <v>200</v>
      </c>
      <c r="L10" s="36">
        <f>K10/26*I10</f>
        <v>200</v>
      </c>
      <c r="M10" s="36">
        <f>K10/26*J10</f>
        <v>0</v>
      </c>
      <c r="N10" s="19">
        <v>6</v>
      </c>
      <c r="O10" s="19">
        <f>K10/26/8*1.5*N10</f>
        <v>8.65384615384615</v>
      </c>
      <c r="P10" s="19">
        <v>0</v>
      </c>
      <c r="Q10" s="19">
        <f>K10/26*2*P10</f>
        <v>0</v>
      </c>
      <c r="R10" s="19">
        <v>0</v>
      </c>
      <c r="S10" s="84">
        <f>10/26*I10</f>
        <v>10</v>
      </c>
      <c r="T10" s="19">
        <v>0</v>
      </c>
      <c r="U10" s="19">
        <v>0</v>
      </c>
      <c r="V10" s="19">
        <v>10</v>
      </c>
      <c r="W10" s="19">
        <v>1.5</v>
      </c>
      <c r="X10" s="19">
        <v>8</v>
      </c>
      <c r="Y10" s="19">
        <v>0</v>
      </c>
      <c r="Z10" s="19">
        <v>0</v>
      </c>
      <c r="AA10" s="19">
        <v>0</v>
      </c>
      <c r="AB10" s="36">
        <f>SUM(L10+O10+Q10+R10+S10+T10+U10+V10+X10+Y10+Z10+AA10+W10)</f>
        <v>238.153846153846</v>
      </c>
      <c r="AC10" s="19">
        <f>VLOOKUP(B10,[2]Sheet1!$B$2:$N$199,11,0)/4000</f>
        <v>4.77125</v>
      </c>
      <c r="AD10" s="19">
        <v>0</v>
      </c>
      <c r="AE10" s="19">
        <f>VLOOKUP(B10,[1]QC!$E$7:$L$8,7,0)</f>
        <v>100</v>
      </c>
      <c r="AF10" s="19">
        <f>SUM(AC10:AE10)</f>
        <v>104.77125</v>
      </c>
      <c r="AG10" s="36">
        <f>AB10-AF10</f>
        <v>133.382596153846</v>
      </c>
      <c r="AH10" s="19"/>
      <c r="AI10" s="60"/>
      <c r="AJ10" s="61"/>
      <c r="AK10" s="34"/>
      <c r="AL10" s="72" t="s">
        <v>831</v>
      </c>
      <c r="AM10" s="73">
        <v>30107</v>
      </c>
      <c r="AN10" s="74" t="s">
        <v>99</v>
      </c>
      <c r="AO10" s="72" t="s">
        <v>224</v>
      </c>
      <c r="AP10" s="74" t="s">
        <v>102</v>
      </c>
      <c r="AQ10" s="74" t="s">
        <v>102</v>
      </c>
      <c r="AR10" s="74" t="s">
        <v>103</v>
      </c>
      <c r="AS10" s="92" t="s">
        <v>294</v>
      </c>
    </row>
    <row r="11" ht="29" customHeight="1" spans="1:37">
      <c r="A11" s="176" t="s">
        <v>557</v>
      </c>
      <c r="B11" s="24"/>
      <c r="C11" s="24"/>
      <c r="D11" s="24"/>
      <c r="E11" s="177"/>
      <c r="F11" s="177"/>
      <c r="G11" s="177"/>
      <c r="H11" s="177"/>
      <c r="I11" s="177"/>
      <c r="J11" s="177"/>
      <c r="K11" s="178"/>
      <c r="L11" s="179">
        <f>SUM(L9:L10)</f>
        <v>392.307692307692</v>
      </c>
      <c r="M11" s="179"/>
      <c r="N11" s="179">
        <f t="shared" ref="N11:V11" si="0">SUM(N9:N10)</f>
        <v>12</v>
      </c>
      <c r="O11" s="179">
        <f t="shared" si="0"/>
        <v>17.3076923076923</v>
      </c>
      <c r="P11" s="179">
        <f t="shared" si="0"/>
        <v>0</v>
      </c>
      <c r="Q11" s="179">
        <f t="shared" si="0"/>
        <v>0</v>
      </c>
      <c r="R11" s="179">
        <f t="shared" si="0"/>
        <v>0</v>
      </c>
      <c r="S11" s="179">
        <f t="shared" si="0"/>
        <v>19.6153846153846</v>
      </c>
      <c r="T11" s="179">
        <f t="shared" si="0"/>
        <v>38.46</v>
      </c>
      <c r="U11" s="179">
        <f t="shared" si="0"/>
        <v>0</v>
      </c>
      <c r="V11" s="179">
        <f t="shared" si="0"/>
        <v>20</v>
      </c>
      <c r="W11" s="179"/>
      <c r="X11" s="179">
        <f t="shared" ref="X11:AG11" si="1">SUM(X9:X10)</f>
        <v>16</v>
      </c>
      <c r="Y11" s="179">
        <f t="shared" si="1"/>
        <v>0</v>
      </c>
      <c r="Z11" s="179">
        <f t="shared" si="1"/>
        <v>0</v>
      </c>
      <c r="AA11" s="179">
        <f t="shared" si="1"/>
        <v>0</v>
      </c>
      <c r="AB11" s="183">
        <f t="shared" si="1"/>
        <v>506.690769230769</v>
      </c>
      <c r="AC11" s="179">
        <f t="shared" si="1"/>
        <v>10.062</v>
      </c>
      <c r="AD11" s="179">
        <f t="shared" si="1"/>
        <v>0</v>
      </c>
      <c r="AE11" s="179">
        <f t="shared" si="1"/>
        <v>200</v>
      </c>
      <c r="AF11" s="179">
        <f t="shared" si="1"/>
        <v>210.062</v>
      </c>
      <c r="AG11" s="183">
        <f t="shared" si="1"/>
        <v>296.628769230769</v>
      </c>
      <c r="AH11" s="180"/>
      <c r="AI11" s="180"/>
      <c r="AJ11" s="180"/>
      <c r="AK11" s="180"/>
    </row>
  </sheetData>
  <autoFilter ref="A8:AY11">
    <extLst/>
  </autoFilter>
  <mergeCells count="32">
    <mergeCell ref="A1:AJ1"/>
    <mergeCell ref="A2:AJ2"/>
    <mergeCell ref="A3:AJ3"/>
    <mergeCell ref="A4:AJ4"/>
    <mergeCell ref="A5:C5"/>
    <mergeCell ref="F5:L5"/>
    <mergeCell ref="AG5:AJ5"/>
    <mergeCell ref="N7:Q7"/>
    <mergeCell ref="A11:K11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</mergeCells>
  <pageMargins left="0.118055555555556" right="0.156944444444444" top="0.236111111111111" bottom="0.236111111111111" header="0.118055555555556" footer="0.118055555555556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5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6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7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8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9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0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1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2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3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4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5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6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7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8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2 0 " > < c o m m e n t   s : r e f = " A K 7 "   r g b C l r = " 4 0 B 9 1 C " / > < c o m m e n t   s : r e f = " A L 7 "   r g b C l r = " 4 0 B 9 1 C " / > < c o m m e n t   s : r e f = " A M 7 "   r g b C l r = " 4 0 B 9 1 C " / > < / c o m m e n t L i s t > < c o m m e n t L i s t   s h e e t S t i d = " 1 9 " > < c o m m e n t   s : r e f = " A K 7 "   r g b C l r = " 4 0 B 9 1 C " / > < c o m m e n t   s : r e f = " A L 7 "   r g b C l r = " 4 0 B 9 1 C " / > < c o m m e n t   s : r e f = " A M 7 "   r g b C l r = " 4 0 B 9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OF</vt:lpstr>
      <vt:lpstr>烫标អ៊ុតផ្លាក</vt:lpstr>
      <vt:lpstr>A01</vt:lpstr>
      <vt:lpstr>A02</vt:lpstr>
      <vt:lpstr>A03</vt:lpstr>
      <vt:lpstr>A04</vt:lpstr>
      <vt:lpstr>A05</vt:lpstr>
      <vt:lpstr>整烫组អ៊ុត</vt:lpstr>
      <vt:lpstr>QC</vt:lpstr>
      <vt:lpstr>PK</vt:lpstr>
      <vt:lpstr>CUT</vt:lpstr>
      <vt:lpstr>打纽扣</vt:lpstr>
      <vt:lpstr>QA</vt:lpstr>
      <vt:lpstr>合计</vt:lpstr>
      <vt:lpstr>By Cash</vt:lpstr>
      <vt:lpstr>By Bank ACLEDA</vt:lpstr>
      <vt:lpstr>សរុប</vt:lpstr>
      <vt:lpstr>chinese</vt:lpstr>
      <vt:lpstr>Resigned workers</vt:lpstr>
      <vt:lpstr>Total resignd</vt:lpstr>
      <vt:lpstr>នាក់មិនបន្តកុងត្រា</vt:lpstr>
      <vt:lpstr>for guest</vt:lpstr>
      <vt:lpstr>Security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HPW</cp:lastModifiedBy>
  <dcterms:created xsi:type="dcterms:W3CDTF">2022-08-13T01:52:00Z</dcterms:created>
  <dcterms:modified xsi:type="dcterms:W3CDTF">2023-02-21T06:21:47Z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4D7CF22DDBD24B958E688C230FA1A72E</vt:lpwstr>
  </property>
  <property fmtid="{D5CDD505-2E9C-101B-9397-08002B2CF9AE}" pid="3" name="KSOProductBuildVer">
    <vt:lpwstr>2052-11.1.0.13703</vt:lpwstr>
  </property>
</Properties>
</file>