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90" yWindow="-240" windowWidth="15600" windowHeight="3555" firstSheet="1" activeTab="1"/>
  </bookViews>
  <sheets>
    <sheet name="考勤" sheetId="98" state="hidden" r:id="rId1"/>
    <sheet name="working staff" sheetId="128" r:id="rId2"/>
    <sheet name="离职" sheetId="122" r:id="rId3"/>
  </sheets>
  <definedNames>
    <definedName name="_xlnm._FilterDatabase" localSheetId="1" hidden="1">'working staff'!$A$8:$BE$84</definedName>
    <definedName name="_xlnm._FilterDatabase" localSheetId="0" hidden="1">考勤!$A$6:$Z$75</definedName>
    <definedName name="_xlnm._FilterDatabase" localSheetId="2" hidden="1">离职!$A$8:$BE$12</definedName>
    <definedName name="ailee" localSheetId="1">#REF!</definedName>
    <definedName name="ailee" localSheetId="2">#REF!</definedName>
    <definedName name="ailee">#REF!</definedName>
    <definedName name="_xlnm.Print_Area" localSheetId="1">'working staff'!$A$1:$BM$86</definedName>
    <definedName name="_xlnm.Print_Area" localSheetId="2">离职!$A$1:$BM$10</definedName>
    <definedName name="_xlnm.Print_Titles" localSheetId="1">'working staff'!$2:$8</definedName>
    <definedName name="_xlnm.Print_Titles" localSheetId="2">离职!$2:$8</definedName>
  </definedNames>
  <calcPr calcId="144525"/>
</workbook>
</file>

<file path=xl/calcChain.xml><?xml version="1.0" encoding="utf-8"?>
<calcChain xmlns="http://schemas.openxmlformats.org/spreadsheetml/2006/main">
  <c r="AL9" i="122" l="1"/>
  <c r="F34" i="98" l="1"/>
  <c r="BF82" i="128" l="1"/>
  <c r="AW82" i="128"/>
  <c r="AV82" i="128"/>
  <c r="AR82" i="128"/>
  <c r="AX81" i="128"/>
  <c r="AG81" i="128"/>
  <c r="AF81" i="128"/>
  <c r="AE81" i="128"/>
  <c r="AD81" i="128"/>
  <c r="AB81" i="128"/>
  <c r="AC81" i="128" s="1"/>
  <c r="Z81" i="128"/>
  <c r="AA81" i="128" s="1"/>
  <c r="S81" i="128"/>
  <c r="Q81" i="128"/>
  <c r="P81" i="128"/>
  <c r="O81" i="128"/>
  <c r="N81" i="128"/>
  <c r="AX80" i="128"/>
  <c r="AG80" i="128"/>
  <c r="AF80" i="128"/>
  <c r="AE80" i="128"/>
  <c r="AD80" i="128"/>
  <c r="AB80" i="128"/>
  <c r="AC80" i="128" s="1"/>
  <c r="Z80" i="128"/>
  <c r="AA80" i="128" s="1"/>
  <c r="S80" i="128"/>
  <c r="Q80" i="128"/>
  <c r="P80" i="128"/>
  <c r="O80" i="128"/>
  <c r="N80" i="128"/>
  <c r="AX79" i="128"/>
  <c r="AG79" i="128"/>
  <c r="AF79" i="128"/>
  <c r="AE79" i="128"/>
  <c r="AD79" i="128"/>
  <c r="AC79" i="128"/>
  <c r="AB79" i="128"/>
  <c r="AA79" i="128"/>
  <c r="Z79" i="128"/>
  <c r="T79" i="128"/>
  <c r="S79" i="128"/>
  <c r="Q79" i="128"/>
  <c r="P79" i="128"/>
  <c r="O79" i="128"/>
  <c r="N79" i="128"/>
  <c r="AX78" i="128"/>
  <c r="AG78" i="128"/>
  <c r="AF78" i="128"/>
  <c r="AE78" i="128"/>
  <c r="AD78" i="128"/>
  <c r="AB78" i="128"/>
  <c r="AC78" i="128" s="1"/>
  <c r="Z78" i="128"/>
  <c r="AA78" i="128" s="1"/>
  <c r="S78" i="128"/>
  <c r="Q78" i="128"/>
  <c r="P78" i="128"/>
  <c r="O78" i="128"/>
  <c r="N78" i="128"/>
  <c r="AX77" i="128"/>
  <c r="AG77" i="128"/>
  <c r="AF77" i="128"/>
  <c r="AE77" i="128"/>
  <c r="AD77" i="128"/>
  <c r="AB77" i="128"/>
  <c r="AC77" i="128" s="1"/>
  <c r="Z77" i="128"/>
  <c r="AA77" i="128" s="1"/>
  <c r="S77" i="128"/>
  <c r="Q77" i="128"/>
  <c r="P77" i="128"/>
  <c r="O77" i="128"/>
  <c r="N77" i="128"/>
  <c r="AX76" i="128"/>
  <c r="AG76" i="128"/>
  <c r="AF76" i="128"/>
  <c r="AE76" i="128"/>
  <c r="AD76" i="128"/>
  <c r="AB76" i="128"/>
  <c r="AC76" i="128" s="1"/>
  <c r="Z76" i="128"/>
  <c r="AA76" i="128" s="1"/>
  <c r="S76" i="128"/>
  <c r="Q76" i="128"/>
  <c r="P76" i="128"/>
  <c r="O76" i="128"/>
  <c r="N76" i="128"/>
  <c r="AX75" i="128"/>
  <c r="AG75" i="128"/>
  <c r="AF75" i="128"/>
  <c r="AE75" i="128"/>
  <c r="AD75" i="128"/>
  <c r="AB75" i="128"/>
  <c r="AC75" i="128" s="1"/>
  <c r="Z75" i="128"/>
  <c r="AA75" i="128" s="1"/>
  <c r="S75" i="128"/>
  <c r="Q75" i="128"/>
  <c r="P75" i="128"/>
  <c r="O75" i="128"/>
  <c r="N75" i="128"/>
  <c r="AX74" i="128"/>
  <c r="AG74" i="128"/>
  <c r="AF74" i="128"/>
  <c r="AE74" i="128"/>
  <c r="AD74" i="128"/>
  <c r="AB74" i="128"/>
  <c r="AC74" i="128" s="1"/>
  <c r="Z74" i="128"/>
  <c r="AA74" i="128" s="1"/>
  <c r="T74" i="128"/>
  <c r="S74" i="128"/>
  <c r="Q74" i="128"/>
  <c r="P74" i="128"/>
  <c r="O74" i="128"/>
  <c r="N74" i="128"/>
  <c r="AX73" i="128"/>
  <c r="AG73" i="128"/>
  <c r="AF73" i="128"/>
  <c r="AE73" i="128"/>
  <c r="AD73" i="128"/>
  <c r="AB73" i="128"/>
  <c r="AC73" i="128" s="1"/>
  <c r="Z73" i="128"/>
  <c r="AA73" i="128" s="1"/>
  <c r="T73" i="128"/>
  <c r="S73" i="128"/>
  <c r="Q73" i="128"/>
  <c r="P73" i="128"/>
  <c r="O73" i="128"/>
  <c r="N73" i="128"/>
  <c r="AX72" i="128"/>
  <c r="AG72" i="128"/>
  <c r="AF72" i="128"/>
  <c r="AE72" i="128"/>
  <c r="AD72" i="128"/>
  <c r="AC72" i="128"/>
  <c r="AB72" i="128"/>
  <c r="AA72" i="128"/>
  <c r="Z72" i="128"/>
  <c r="S72" i="128"/>
  <c r="Q72" i="128"/>
  <c r="P72" i="128"/>
  <c r="O72" i="128"/>
  <c r="N72" i="128"/>
  <c r="AX71" i="128"/>
  <c r="AG71" i="128"/>
  <c r="AF71" i="128"/>
  <c r="AE71" i="128"/>
  <c r="AD71" i="128"/>
  <c r="AB71" i="128"/>
  <c r="AC71" i="128" s="1"/>
  <c r="Z71" i="128"/>
  <c r="AA71" i="128" s="1"/>
  <c r="S71" i="128"/>
  <c r="Q71" i="128"/>
  <c r="P71" i="128"/>
  <c r="O71" i="128"/>
  <c r="N71" i="128"/>
  <c r="AX70" i="128"/>
  <c r="AG70" i="128"/>
  <c r="AF70" i="128"/>
  <c r="AE70" i="128"/>
  <c r="AD70" i="128"/>
  <c r="AC70" i="128"/>
  <c r="AB70" i="128"/>
  <c r="AA70" i="128"/>
  <c r="Z70" i="128"/>
  <c r="S70" i="128"/>
  <c r="Q70" i="128"/>
  <c r="P70" i="128"/>
  <c r="O70" i="128"/>
  <c r="N70" i="128"/>
  <c r="AX69" i="128"/>
  <c r="AG69" i="128"/>
  <c r="AF69" i="128"/>
  <c r="AE69" i="128"/>
  <c r="AD69" i="128"/>
  <c r="AB69" i="128"/>
  <c r="AC69" i="128" s="1"/>
  <c r="Z69" i="128"/>
  <c r="AA69" i="128" s="1"/>
  <c r="S69" i="128"/>
  <c r="Q69" i="128"/>
  <c r="P69" i="128"/>
  <c r="O69" i="128"/>
  <c r="N69" i="128"/>
  <c r="AX68" i="128"/>
  <c r="AG68" i="128"/>
  <c r="AF68" i="128"/>
  <c r="AE68" i="128"/>
  <c r="AD68" i="128"/>
  <c r="AB68" i="128"/>
  <c r="AC68" i="128" s="1"/>
  <c r="Z68" i="128"/>
  <c r="AA68" i="128" s="1"/>
  <c r="S68" i="128"/>
  <c r="Q68" i="128"/>
  <c r="P68" i="128"/>
  <c r="O68" i="128"/>
  <c r="N68" i="128"/>
  <c r="AX67" i="128"/>
  <c r="AX82" i="128" s="1"/>
  <c r="AG67" i="128"/>
  <c r="AF67" i="128"/>
  <c r="AE67" i="128"/>
  <c r="AD67" i="128"/>
  <c r="AC67" i="128"/>
  <c r="AB67" i="128"/>
  <c r="AA67" i="128"/>
  <c r="Z67" i="128"/>
  <c r="S67" i="128"/>
  <c r="Q67" i="128"/>
  <c r="P67" i="128"/>
  <c r="O67" i="128"/>
  <c r="N67" i="128"/>
  <c r="BF66" i="128"/>
  <c r="AW66" i="128"/>
  <c r="AV66" i="128"/>
  <c r="AR66" i="128"/>
  <c r="AX65" i="128"/>
  <c r="AG65" i="128"/>
  <c r="AF65" i="128"/>
  <c r="AE65" i="128"/>
  <c r="AD65" i="128"/>
  <c r="AB65" i="128"/>
  <c r="AC65" i="128" s="1"/>
  <c r="Z65" i="128"/>
  <c r="AA65" i="128" s="1"/>
  <c r="S65" i="128"/>
  <c r="Q65" i="128"/>
  <c r="P65" i="128"/>
  <c r="O65" i="128"/>
  <c r="N65" i="128"/>
  <c r="M65" i="128"/>
  <c r="AX64" i="128"/>
  <c r="AG64" i="128"/>
  <c r="AF64" i="128"/>
  <c r="AE64" i="128"/>
  <c r="AD64" i="128"/>
  <c r="AB64" i="128"/>
  <c r="AC64" i="128" s="1"/>
  <c r="Z64" i="128"/>
  <c r="AA64" i="128" s="1"/>
  <c r="S64" i="128"/>
  <c r="Q64" i="128"/>
  <c r="P64" i="128"/>
  <c r="O64" i="128"/>
  <c r="N64" i="128"/>
  <c r="AX63" i="128"/>
  <c r="AG63" i="128"/>
  <c r="AF63" i="128"/>
  <c r="AE63" i="128"/>
  <c r="AD63" i="128"/>
  <c r="AB63" i="128"/>
  <c r="AC63" i="128" s="1"/>
  <c r="Z63" i="128"/>
  <c r="AA63" i="128" s="1"/>
  <c r="S63" i="128"/>
  <c r="Q63" i="128"/>
  <c r="P63" i="128"/>
  <c r="O63" i="128"/>
  <c r="N63" i="128"/>
  <c r="AX62" i="128"/>
  <c r="AG62" i="128"/>
  <c r="AF62" i="128"/>
  <c r="AE62" i="128"/>
  <c r="AD62" i="128"/>
  <c r="AB62" i="128"/>
  <c r="AC62" i="128" s="1"/>
  <c r="Z62" i="128"/>
  <c r="AA62" i="128" s="1"/>
  <c r="S62" i="128"/>
  <c r="Q62" i="128"/>
  <c r="P62" i="128"/>
  <c r="O62" i="128"/>
  <c r="N62" i="128"/>
  <c r="AX61" i="128"/>
  <c r="AG61" i="128"/>
  <c r="AF61" i="128"/>
  <c r="AE61" i="128"/>
  <c r="AD61" i="128"/>
  <c r="AB61" i="128"/>
  <c r="AC61" i="128" s="1"/>
  <c r="Z61" i="128"/>
  <c r="AA61" i="128" s="1"/>
  <c r="S61" i="128"/>
  <c r="Q61" i="128"/>
  <c r="P61" i="128"/>
  <c r="O61" i="128"/>
  <c r="N61" i="128"/>
  <c r="AX60" i="128"/>
  <c r="AG60" i="128"/>
  <c r="AF60" i="128"/>
  <c r="AE60" i="128"/>
  <c r="AD60" i="128"/>
  <c r="AB60" i="128"/>
  <c r="AC60" i="128" s="1"/>
  <c r="Z60" i="128"/>
  <c r="AA60" i="128" s="1"/>
  <c r="S60" i="128"/>
  <c r="Q60" i="128"/>
  <c r="P60" i="128"/>
  <c r="O60" i="128"/>
  <c r="N60" i="128"/>
  <c r="AX59" i="128"/>
  <c r="AG59" i="128"/>
  <c r="AF59" i="128"/>
  <c r="AE59" i="128"/>
  <c r="AD59" i="128"/>
  <c r="AB59" i="128"/>
  <c r="AC59" i="128" s="1"/>
  <c r="Z59" i="128"/>
  <c r="AA59" i="128" s="1"/>
  <c r="S59" i="128"/>
  <c r="Q59" i="128"/>
  <c r="P59" i="128"/>
  <c r="O59" i="128"/>
  <c r="N59" i="128"/>
  <c r="AX58" i="128"/>
  <c r="AG58" i="128"/>
  <c r="AF58" i="128"/>
  <c r="AE58" i="128"/>
  <c r="AD58" i="128"/>
  <c r="AB58" i="128"/>
  <c r="AC58" i="128" s="1"/>
  <c r="Z58" i="128"/>
  <c r="AA58" i="128" s="1"/>
  <c r="S58" i="128"/>
  <c r="Q58" i="128"/>
  <c r="P58" i="128"/>
  <c r="O58" i="128"/>
  <c r="N58" i="128"/>
  <c r="AX57" i="128"/>
  <c r="AG57" i="128"/>
  <c r="AF57" i="128"/>
  <c r="AE57" i="128"/>
  <c r="AD57" i="128"/>
  <c r="AB57" i="128"/>
  <c r="AC57" i="128" s="1"/>
  <c r="Z57" i="128"/>
  <c r="AA57" i="128" s="1"/>
  <c r="S57" i="128"/>
  <c r="Q57" i="128"/>
  <c r="P57" i="128"/>
  <c r="O57" i="128"/>
  <c r="N57" i="128"/>
  <c r="AX56" i="128"/>
  <c r="AG56" i="128"/>
  <c r="AF56" i="128"/>
  <c r="AE56" i="128"/>
  <c r="AD56" i="128"/>
  <c r="AB56" i="128"/>
  <c r="AC56" i="128" s="1"/>
  <c r="Z56" i="128"/>
  <c r="AA56" i="128" s="1"/>
  <c r="S56" i="128"/>
  <c r="Q56" i="128"/>
  <c r="P56" i="128"/>
  <c r="O56" i="128"/>
  <c r="N56" i="128"/>
  <c r="AX55" i="128"/>
  <c r="AG55" i="128"/>
  <c r="AF55" i="128"/>
  <c r="AE55" i="128"/>
  <c r="AD55" i="128"/>
  <c r="AB55" i="128"/>
  <c r="AC55" i="128" s="1"/>
  <c r="Z55" i="128"/>
  <c r="AA55" i="128" s="1"/>
  <c r="S55" i="128"/>
  <c r="Q55" i="128"/>
  <c r="P55" i="128"/>
  <c r="O55" i="128"/>
  <c r="N55" i="128"/>
  <c r="AX54" i="128"/>
  <c r="AG54" i="128"/>
  <c r="AF54" i="128"/>
  <c r="AE54" i="128"/>
  <c r="AD54" i="128"/>
  <c r="AB54" i="128"/>
  <c r="AC54" i="128" s="1"/>
  <c r="Z54" i="128"/>
  <c r="AA54" i="128" s="1"/>
  <c r="S54" i="128"/>
  <c r="Q54" i="128"/>
  <c r="P54" i="128"/>
  <c r="O54" i="128"/>
  <c r="N54" i="128"/>
  <c r="AX53" i="128"/>
  <c r="AG53" i="128"/>
  <c r="AF53" i="128"/>
  <c r="AE53" i="128"/>
  <c r="AD53" i="128"/>
  <c r="AB53" i="128"/>
  <c r="AC53" i="128" s="1"/>
  <c r="Z53" i="128"/>
  <c r="AA53" i="128" s="1"/>
  <c r="S53" i="128"/>
  <c r="Q53" i="128"/>
  <c r="P53" i="128"/>
  <c r="O53" i="128"/>
  <c r="N53" i="128"/>
  <c r="AX52" i="128"/>
  <c r="AG52" i="128"/>
  <c r="AF52" i="128"/>
  <c r="AE52" i="128"/>
  <c r="AD52" i="128"/>
  <c r="AB52" i="128"/>
  <c r="AC52" i="128" s="1"/>
  <c r="Z52" i="128"/>
  <c r="AA52" i="128" s="1"/>
  <c r="S52" i="128"/>
  <c r="Q52" i="128"/>
  <c r="P52" i="128"/>
  <c r="O52" i="128"/>
  <c r="N52" i="128"/>
  <c r="AX51" i="128"/>
  <c r="AG51" i="128"/>
  <c r="AF51" i="128"/>
  <c r="AE51" i="128"/>
  <c r="AD51" i="128"/>
  <c r="AB51" i="128"/>
  <c r="AC51" i="128" s="1"/>
  <c r="Z51" i="128"/>
  <c r="AA51" i="128" s="1"/>
  <c r="S51" i="128"/>
  <c r="Q51" i="128"/>
  <c r="P51" i="128"/>
  <c r="O51" i="128"/>
  <c r="N51" i="128"/>
  <c r="AX50" i="128"/>
  <c r="AG50" i="128"/>
  <c r="AF50" i="128"/>
  <c r="AE50" i="128"/>
  <c r="AD50" i="128"/>
  <c r="AB50" i="128"/>
  <c r="AC50" i="128" s="1"/>
  <c r="Z50" i="128"/>
  <c r="AA50" i="128" s="1"/>
  <c r="S50" i="128"/>
  <c r="Q50" i="128"/>
  <c r="P50" i="128"/>
  <c r="O50" i="128"/>
  <c r="N50" i="128"/>
  <c r="AX49" i="128"/>
  <c r="AX66" i="128" s="1"/>
  <c r="AG49" i="128"/>
  <c r="AF49" i="128"/>
  <c r="AE49" i="128"/>
  <c r="AD49" i="128"/>
  <c r="AB49" i="128"/>
  <c r="AC49" i="128" s="1"/>
  <c r="Z49" i="128"/>
  <c r="AA49" i="128" s="1"/>
  <c r="S49" i="128"/>
  <c r="Q49" i="128"/>
  <c r="P49" i="128"/>
  <c r="O49" i="128"/>
  <c r="N49" i="128"/>
  <c r="BF48" i="128"/>
  <c r="AW48" i="128"/>
  <c r="AV48" i="128"/>
  <c r="AR48" i="128"/>
  <c r="AX47" i="128"/>
  <c r="AG47" i="128"/>
  <c r="AF47" i="128"/>
  <c r="AE47" i="128"/>
  <c r="AD47" i="128"/>
  <c r="AB47" i="128"/>
  <c r="AC47" i="128" s="1"/>
  <c r="Z47" i="128"/>
  <c r="AA47" i="128" s="1"/>
  <c r="S47" i="128"/>
  <c r="Q47" i="128"/>
  <c r="P47" i="128"/>
  <c r="O47" i="128"/>
  <c r="N47" i="128"/>
  <c r="AX46" i="128"/>
  <c r="AG46" i="128"/>
  <c r="AF46" i="128"/>
  <c r="AE46" i="128"/>
  <c r="AD46" i="128"/>
  <c r="AB46" i="128"/>
  <c r="AC46" i="128" s="1"/>
  <c r="Z46" i="128"/>
  <c r="AA46" i="128" s="1"/>
  <c r="S46" i="128"/>
  <c r="Q46" i="128"/>
  <c r="P46" i="128"/>
  <c r="O46" i="128"/>
  <c r="N46" i="128"/>
  <c r="AX45" i="128"/>
  <c r="AG45" i="128"/>
  <c r="AF45" i="128"/>
  <c r="AE45" i="128"/>
  <c r="AD45" i="128"/>
  <c r="AB45" i="128"/>
  <c r="AC45" i="128" s="1"/>
  <c r="Z45" i="128"/>
  <c r="AA45" i="128" s="1"/>
  <c r="S45" i="128"/>
  <c r="Q45" i="128"/>
  <c r="P45" i="128"/>
  <c r="O45" i="128"/>
  <c r="N45" i="128"/>
  <c r="AX44" i="128"/>
  <c r="AG44" i="128"/>
  <c r="AF44" i="128"/>
  <c r="AE44" i="128"/>
  <c r="AD44" i="128"/>
  <c r="AB44" i="128"/>
  <c r="AC44" i="128" s="1"/>
  <c r="Z44" i="128"/>
  <c r="AA44" i="128" s="1"/>
  <c r="S44" i="128"/>
  <c r="Q44" i="128"/>
  <c r="P44" i="128"/>
  <c r="O44" i="128"/>
  <c r="N44" i="128"/>
  <c r="AX43" i="128"/>
  <c r="AG43" i="128"/>
  <c r="AF43" i="128"/>
  <c r="AE43" i="128"/>
  <c r="AD43" i="128"/>
  <c r="AB43" i="128"/>
  <c r="AC43" i="128" s="1"/>
  <c r="Z43" i="128"/>
  <c r="AA43" i="128" s="1"/>
  <c r="S43" i="128"/>
  <c r="Q43" i="128"/>
  <c r="P43" i="128"/>
  <c r="O43" i="128"/>
  <c r="N43" i="128"/>
  <c r="AX42" i="128"/>
  <c r="AG42" i="128"/>
  <c r="AF42" i="128"/>
  <c r="AE42" i="128"/>
  <c r="AD42" i="128"/>
  <c r="AB42" i="128"/>
  <c r="AC42" i="128" s="1"/>
  <c r="Z42" i="128"/>
  <c r="AA42" i="128" s="1"/>
  <c r="S42" i="128"/>
  <c r="Q42" i="128"/>
  <c r="P42" i="128"/>
  <c r="O42" i="128"/>
  <c r="N42" i="128"/>
  <c r="AX41" i="128"/>
  <c r="AG41" i="128"/>
  <c r="AF41" i="128"/>
  <c r="AE41" i="128"/>
  <c r="AD41" i="128"/>
  <c r="AB41" i="128"/>
  <c r="AC41" i="128" s="1"/>
  <c r="Z41" i="128"/>
  <c r="AA41" i="128" s="1"/>
  <c r="S41" i="128"/>
  <c r="Q41" i="128"/>
  <c r="P41" i="128"/>
  <c r="O41" i="128"/>
  <c r="N41" i="128"/>
  <c r="AX40" i="128"/>
  <c r="AG40" i="128"/>
  <c r="AF40" i="128"/>
  <c r="AE40" i="128"/>
  <c r="AD40" i="128"/>
  <c r="AB40" i="128"/>
  <c r="AC40" i="128" s="1"/>
  <c r="Z40" i="128"/>
  <c r="AA40" i="128" s="1"/>
  <c r="S40" i="128"/>
  <c r="Q40" i="128"/>
  <c r="P40" i="128"/>
  <c r="O40" i="128"/>
  <c r="N40" i="128"/>
  <c r="AX39" i="128"/>
  <c r="AX48" i="128" s="1"/>
  <c r="AG39" i="128"/>
  <c r="AF39" i="128"/>
  <c r="AE39" i="128"/>
  <c r="AD39" i="128"/>
  <c r="AB39" i="128"/>
  <c r="AC39" i="128" s="1"/>
  <c r="Z39" i="128"/>
  <c r="AA39" i="128" s="1"/>
  <c r="S39" i="128"/>
  <c r="Q39" i="128"/>
  <c r="P39" i="128"/>
  <c r="O39" i="128"/>
  <c r="N39" i="128"/>
  <c r="BF38" i="128"/>
  <c r="AW38" i="128"/>
  <c r="AV38" i="128"/>
  <c r="AR38" i="128"/>
  <c r="AX37" i="128"/>
  <c r="AG37" i="128"/>
  <c r="AF37" i="128"/>
  <c r="AE37" i="128"/>
  <c r="AD37" i="128"/>
  <c r="AB37" i="128"/>
  <c r="AC37" i="128" s="1"/>
  <c r="Z37" i="128"/>
  <c r="AA37" i="128" s="1"/>
  <c r="S37" i="128"/>
  <c r="Q37" i="128"/>
  <c r="P37" i="128"/>
  <c r="O37" i="128"/>
  <c r="N37" i="128"/>
  <c r="M37" i="128"/>
  <c r="R37" i="128" s="1"/>
  <c r="AX36" i="128"/>
  <c r="AG36" i="128"/>
  <c r="AF36" i="128"/>
  <c r="AE36" i="128"/>
  <c r="AD36" i="128"/>
  <c r="AB36" i="128"/>
  <c r="AC36" i="128" s="1"/>
  <c r="Z36" i="128"/>
  <c r="AA36" i="128" s="1"/>
  <c r="S36" i="128"/>
  <c r="Q36" i="128"/>
  <c r="P36" i="128"/>
  <c r="O36" i="128"/>
  <c r="N36" i="128"/>
  <c r="AX35" i="128"/>
  <c r="AG35" i="128"/>
  <c r="AE35" i="128"/>
  <c r="AD35" i="128"/>
  <c r="AB35" i="128"/>
  <c r="AC35" i="128" s="1"/>
  <c r="Z35" i="128"/>
  <c r="AA35" i="128" s="1"/>
  <c r="S35" i="128"/>
  <c r="Q35" i="128"/>
  <c r="P35" i="128"/>
  <c r="O35" i="128"/>
  <c r="N35" i="128"/>
  <c r="AX34" i="128"/>
  <c r="AG34" i="128"/>
  <c r="AF34" i="128"/>
  <c r="AE34" i="128"/>
  <c r="AD34" i="128"/>
  <c r="AB34" i="128"/>
  <c r="AC34" i="128" s="1"/>
  <c r="Z34" i="128"/>
  <c r="AA34" i="128" s="1"/>
  <c r="S34" i="128"/>
  <c r="Q34" i="128"/>
  <c r="P34" i="128"/>
  <c r="O34" i="128"/>
  <c r="N34" i="128"/>
  <c r="AX33" i="128"/>
  <c r="AG33" i="128"/>
  <c r="AF33" i="128"/>
  <c r="AE33" i="128"/>
  <c r="AD33" i="128"/>
  <c r="AB33" i="128"/>
  <c r="AC33" i="128" s="1"/>
  <c r="Z33" i="128"/>
  <c r="AA33" i="128" s="1"/>
  <c r="S33" i="128"/>
  <c r="Q33" i="128"/>
  <c r="P33" i="128"/>
  <c r="O33" i="128"/>
  <c r="N33" i="128"/>
  <c r="AX32" i="128"/>
  <c r="AG32" i="128"/>
  <c r="AF32" i="128"/>
  <c r="AE32" i="128"/>
  <c r="AD32" i="128"/>
  <c r="AB32" i="128"/>
  <c r="AC32" i="128" s="1"/>
  <c r="Z32" i="128"/>
  <c r="AA32" i="128" s="1"/>
  <c r="S32" i="128"/>
  <c r="Q32" i="128"/>
  <c r="P32" i="128"/>
  <c r="O32" i="128"/>
  <c r="N32" i="128"/>
  <c r="AX31" i="128"/>
  <c r="AG31" i="128"/>
  <c r="AF31" i="128"/>
  <c r="AE31" i="128"/>
  <c r="AD31" i="128"/>
  <c r="AB31" i="128"/>
  <c r="AC31" i="128" s="1"/>
  <c r="Z31" i="128"/>
  <c r="AA31" i="128" s="1"/>
  <c r="S31" i="128"/>
  <c r="Q31" i="128"/>
  <c r="P31" i="128"/>
  <c r="O31" i="128"/>
  <c r="N31" i="128"/>
  <c r="AX30" i="128"/>
  <c r="AG30" i="128"/>
  <c r="AF30" i="128"/>
  <c r="AE30" i="128"/>
  <c r="AD30" i="128"/>
  <c r="AB30" i="128"/>
  <c r="AC30" i="128" s="1"/>
  <c r="Z30" i="128"/>
  <c r="AA30" i="128" s="1"/>
  <c r="S30" i="128"/>
  <c r="Q30" i="128"/>
  <c r="P30" i="128"/>
  <c r="O30" i="128"/>
  <c r="N30" i="128"/>
  <c r="AX29" i="128"/>
  <c r="AG29" i="128"/>
  <c r="AF29" i="128"/>
  <c r="AE29" i="128"/>
  <c r="AD29" i="128"/>
  <c r="AC29" i="128"/>
  <c r="AB29" i="128"/>
  <c r="AA29" i="128"/>
  <c r="Z29" i="128"/>
  <c r="S29" i="128"/>
  <c r="Q29" i="128"/>
  <c r="P29" i="128"/>
  <c r="O29" i="128"/>
  <c r="N29" i="128"/>
  <c r="AX28" i="128"/>
  <c r="AX38" i="128" s="1"/>
  <c r="AG28" i="128"/>
  <c r="AF28" i="128"/>
  <c r="AE28" i="128"/>
  <c r="AD28" i="128"/>
  <c r="AB28" i="128"/>
  <c r="AC28" i="128" s="1"/>
  <c r="Z28" i="128"/>
  <c r="AA28" i="128" s="1"/>
  <c r="S28" i="128"/>
  <c r="Q28" i="128"/>
  <c r="P28" i="128"/>
  <c r="O28" i="128"/>
  <c r="N28" i="128"/>
  <c r="BF27" i="128"/>
  <c r="AW27" i="128"/>
  <c r="AV27" i="128"/>
  <c r="AR27" i="128"/>
  <c r="AX26" i="128"/>
  <c r="AG26" i="128"/>
  <c r="AF26" i="128"/>
  <c r="AE26" i="128"/>
  <c r="AD26" i="128"/>
  <c r="AB26" i="128"/>
  <c r="AC26" i="128" s="1"/>
  <c r="Z26" i="128"/>
  <c r="AA26" i="128" s="1"/>
  <c r="S26" i="128"/>
  <c r="Q26" i="128"/>
  <c r="P26" i="128"/>
  <c r="O26" i="128"/>
  <c r="N26" i="128"/>
  <c r="M26" i="128"/>
  <c r="AP26" i="128" s="1"/>
  <c r="AX25" i="128"/>
  <c r="AG25" i="128"/>
  <c r="AF25" i="128"/>
  <c r="AE25" i="128"/>
  <c r="AD25" i="128"/>
  <c r="AC25" i="128"/>
  <c r="AB25" i="128"/>
  <c r="AA25" i="128"/>
  <c r="Z25" i="128"/>
  <c r="S25" i="128"/>
  <c r="Q25" i="128"/>
  <c r="P25" i="128"/>
  <c r="O25" i="128"/>
  <c r="N25" i="128"/>
  <c r="AX24" i="128"/>
  <c r="AG24" i="128"/>
  <c r="AF24" i="128"/>
  <c r="AE24" i="128"/>
  <c r="AD24" i="128"/>
  <c r="AB24" i="128"/>
  <c r="AC24" i="128" s="1"/>
  <c r="Z24" i="128"/>
  <c r="AA24" i="128" s="1"/>
  <c r="S24" i="128"/>
  <c r="Q24" i="128"/>
  <c r="P24" i="128"/>
  <c r="O24" i="128"/>
  <c r="N24" i="128"/>
  <c r="AX23" i="128"/>
  <c r="AG23" i="128"/>
  <c r="AE23" i="128"/>
  <c r="AD23" i="128"/>
  <c r="AB23" i="128"/>
  <c r="AC23" i="128" s="1"/>
  <c r="Z23" i="128"/>
  <c r="AA23" i="128" s="1"/>
  <c r="S23" i="128"/>
  <c r="Q23" i="128"/>
  <c r="P23" i="128"/>
  <c r="O23" i="128"/>
  <c r="N23" i="128"/>
  <c r="AX22" i="128"/>
  <c r="AG22" i="128"/>
  <c r="AF22" i="128"/>
  <c r="AE22" i="128"/>
  <c r="AD22" i="128"/>
  <c r="AB22" i="128"/>
  <c r="AC22" i="128" s="1"/>
  <c r="Z22" i="128"/>
  <c r="AA22" i="128" s="1"/>
  <c r="S22" i="128"/>
  <c r="Q22" i="128"/>
  <c r="P22" i="128"/>
  <c r="O22" i="128"/>
  <c r="N22" i="128"/>
  <c r="AX21" i="128"/>
  <c r="AG21" i="128"/>
  <c r="AF21" i="128"/>
  <c r="AE21" i="128"/>
  <c r="AD21" i="128"/>
  <c r="AB21" i="128"/>
  <c r="AC21" i="128" s="1"/>
  <c r="Z21" i="128"/>
  <c r="AA21" i="128" s="1"/>
  <c r="S21" i="128"/>
  <c r="Q21" i="128"/>
  <c r="P21" i="128"/>
  <c r="O21" i="128"/>
  <c r="N21" i="128"/>
  <c r="AX20" i="128"/>
  <c r="AG20" i="128"/>
  <c r="AF20" i="128"/>
  <c r="AE20" i="128"/>
  <c r="AD20" i="128"/>
  <c r="AB20" i="128"/>
  <c r="AC20" i="128" s="1"/>
  <c r="Z20" i="128"/>
  <c r="AA20" i="128" s="1"/>
  <c r="S20" i="128"/>
  <c r="Q20" i="128"/>
  <c r="P20" i="128"/>
  <c r="O20" i="128"/>
  <c r="N20" i="128"/>
  <c r="AX19" i="128"/>
  <c r="AG19" i="128"/>
  <c r="AF19" i="128"/>
  <c r="AE19" i="128"/>
  <c r="AD19" i="128"/>
  <c r="AB19" i="128"/>
  <c r="AC19" i="128" s="1"/>
  <c r="Z19" i="128"/>
  <c r="AA19" i="128" s="1"/>
  <c r="S19" i="128"/>
  <c r="Q19" i="128"/>
  <c r="P19" i="128"/>
  <c r="O19" i="128"/>
  <c r="N19" i="128"/>
  <c r="AX18" i="128"/>
  <c r="AG18" i="128"/>
  <c r="AF18" i="128"/>
  <c r="AE18" i="128"/>
  <c r="AD18" i="128"/>
  <c r="AB18" i="128"/>
  <c r="AC18" i="128" s="1"/>
  <c r="Z18" i="128"/>
  <c r="AA18" i="128" s="1"/>
  <c r="S18" i="128"/>
  <c r="Q18" i="128"/>
  <c r="P18" i="128"/>
  <c r="O18" i="128"/>
  <c r="N18" i="128"/>
  <c r="AX17" i="128"/>
  <c r="AG17" i="128"/>
  <c r="AF17" i="128"/>
  <c r="AE17" i="128"/>
  <c r="AD17" i="128"/>
  <c r="AB17" i="128"/>
  <c r="AC17" i="128" s="1"/>
  <c r="Z17" i="128"/>
  <c r="AA17" i="128" s="1"/>
  <c r="S17" i="128"/>
  <c r="Q17" i="128"/>
  <c r="P17" i="128"/>
  <c r="O17" i="128"/>
  <c r="N17" i="128"/>
  <c r="AX16" i="128"/>
  <c r="AG16" i="128"/>
  <c r="AF16" i="128"/>
  <c r="AE16" i="128"/>
  <c r="AD16" i="128"/>
  <c r="AB16" i="128"/>
  <c r="AC16" i="128" s="1"/>
  <c r="Z16" i="128"/>
  <c r="AA16" i="128" s="1"/>
  <c r="S16" i="128"/>
  <c r="Q16" i="128"/>
  <c r="P16" i="128"/>
  <c r="O16" i="128"/>
  <c r="N16" i="128"/>
  <c r="AX15" i="128"/>
  <c r="AG15" i="128"/>
  <c r="AF15" i="128"/>
  <c r="AE15" i="128"/>
  <c r="AD15" i="128"/>
  <c r="AB15" i="128"/>
  <c r="AC15" i="128" s="1"/>
  <c r="Z15" i="128"/>
  <c r="AA15" i="128" s="1"/>
  <c r="S15" i="128"/>
  <c r="Q15" i="128"/>
  <c r="P15" i="128"/>
  <c r="O15" i="128"/>
  <c r="N15" i="128"/>
  <c r="AX14" i="128"/>
  <c r="AG14" i="128"/>
  <c r="AF14" i="128"/>
  <c r="AE14" i="128"/>
  <c r="AD14" i="128"/>
  <c r="AB14" i="128"/>
  <c r="AC14" i="128" s="1"/>
  <c r="Z14" i="128"/>
  <c r="AA14" i="128" s="1"/>
  <c r="S14" i="128"/>
  <c r="Q14" i="128"/>
  <c r="P14" i="128"/>
  <c r="O14" i="128"/>
  <c r="N14" i="128"/>
  <c r="AX13" i="128"/>
  <c r="AX27" i="128" s="1"/>
  <c r="AG13" i="128"/>
  <c r="AF13" i="128"/>
  <c r="AE13" i="128"/>
  <c r="AD13" i="128"/>
  <c r="AB13" i="128"/>
  <c r="AC13" i="128" s="1"/>
  <c r="Z13" i="128"/>
  <c r="AA13" i="128" s="1"/>
  <c r="S13" i="128"/>
  <c r="Q13" i="128"/>
  <c r="P13" i="128"/>
  <c r="O13" i="128"/>
  <c r="N13" i="128"/>
  <c r="BF12" i="128"/>
  <c r="AW12" i="128"/>
  <c r="AV12" i="128"/>
  <c r="AR12" i="128"/>
  <c r="AX11" i="128"/>
  <c r="AS11" i="128"/>
  <c r="AG11" i="128"/>
  <c r="AF11" i="128"/>
  <c r="AE11" i="128"/>
  <c r="AD11" i="128"/>
  <c r="AB11" i="128"/>
  <c r="AC11" i="128" s="1"/>
  <c r="Z11" i="128"/>
  <c r="AA11" i="128" s="1"/>
  <c r="S11" i="128"/>
  <c r="Q11" i="128"/>
  <c r="P11" i="128"/>
  <c r="O11" i="128"/>
  <c r="N11" i="128"/>
  <c r="AX10" i="128"/>
  <c r="AG10" i="128"/>
  <c r="AF10" i="128"/>
  <c r="AE10" i="128"/>
  <c r="AD10" i="128"/>
  <c r="AB10" i="128"/>
  <c r="AC10" i="128" s="1"/>
  <c r="Z10" i="128"/>
  <c r="AA10" i="128" s="1"/>
  <c r="S10" i="128"/>
  <c r="Q10" i="128"/>
  <c r="P10" i="128"/>
  <c r="O10" i="128"/>
  <c r="N10" i="128"/>
  <c r="AX9" i="128"/>
  <c r="AX12" i="128" s="1"/>
  <c r="AG9" i="128"/>
  <c r="AF9" i="128"/>
  <c r="AE9" i="128"/>
  <c r="AD9" i="128"/>
  <c r="AB9" i="128"/>
  <c r="AC9" i="128" s="1"/>
  <c r="Z9" i="128"/>
  <c r="AA9" i="128" s="1"/>
  <c r="S9" i="128"/>
  <c r="Q9" i="128"/>
  <c r="P9" i="128"/>
  <c r="O9" i="128"/>
  <c r="N9" i="128"/>
  <c r="BH6" i="128"/>
  <c r="BH4" i="128"/>
  <c r="BI4" i="128" s="1"/>
  <c r="AP37" i="128" l="1"/>
  <c r="AP65" i="128"/>
  <c r="U26" i="128"/>
  <c r="AJ37" i="128"/>
  <c r="U65" i="128"/>
  <c r="R65" i="128"/>
  <c r="AJ26" i="128"/>
  <c r="U37" i="128"/>
  <c r="R26" i="128"/>
  <c r="AJ65" i="128"/>
  <c r="AR10" i="122"/>
  <c r="AV10" i="122"/>
  <c r="AW10" i="122"/>
  <c r="BF10" i="122"/>
  <c r="Y21" i="98" l="1"/>
  <c r="AF23" i="128" s="1"/>
  <c r="Y32" i="98"/>
  <c r="AF35" i="128" s="1"/>
  <c r="N24" i="98" l="1"/>
  <c r="V26" i="128" s="1"/>
  <c r="W26" i="128" l="1"/>
  <c r="Y26" i="128" s="1"/>
  <c r="X26" i="128"/>
  <c r="AQ26" i="128" s="1"/>
  <c r="F33" i="98"/>
  <c r="M36" i="128" s="1"/>
  <c r="F25" i="98"/>
  <c r="M28" i="128" s="1"/>
  <c r="F8" i="98"/>
  <c r="M10" i="128" s="1"/>
  <c r="U36" i="128" l="1"/>
  <c r="AP36" i="128"/>
  <c r="AJ36" i="128"/>
  <c r="R36" i="128"/>
  <c r="AS26" i="128"/>
  <c r="AT26" i="128" s="1"/>
  <c r="AU26" i="128" s="1"/>
  <c r="AY26" i="128" s="1"/>
  <c r="AJ10" i="128"/>
  <c r="U10" i="128"/>
  <c r="R10" i="128"/>
  <c r="AP10" i="128"/>
  <c r="AP28" i="128"/>
  <c r="U28" i="128"/>
  <c r="AJ28" i="128"/>
  <c r="R28" i="128"/>
  <c r="N34" i="98"/>
  <c r="V37" i="128" s="1"/>
  <c r="BA26" i="128" l="1"/>
  <c r="BB26" i="128" s="1"/>
  <c r="BC26" i="128" s="1"/>
  <c r="BD26" i="128" s="1"/>
  <c r="BE26" i="128" s="1"/>
  <c r="AZ26" i="128"/>
  <c r="X37" i="128"/>
  <c r="W37" i="128"/>
  <c r="Y37" i="128" s="1"/>
  <c r="AQ37" i="128" l="1"/>
  <c r="AS37" i="128" s="1"/>
  <c r="AT37" i="128" s="1"/>
  <c r="AU37" i="128" s="1"/>
  <c r="AY37" i="128" s="1"/>
  <c r="BJ26" i="128"/>
  <c r="BK26" i="128"/>
  <c r="BG26" i="128"/>
  <c r="BL26" i="128"/>
  <c r="BH26" i="128"/>
  <c r="BI26" i="128"/>
  <c r="N33" i="98"/>
  <c r="V36" i="128" s="1"/>
  <c r="W36" i="128" l="1"/>
  <c r="Y36" i="128" s="1"/>
  <c r="X36" i="128"/>
  <c r="AQ36" i="128" s="1"/>
  <c r="BM26" i="128"/>
  <c r="AZ37" i="128"/>
  <c r="BA37" i="128"/>
  <c r="BB37" i="128" s="1"/>
  <c r="BC37" i="128" s="1"/>
  <c r="BD37" i="128" s="1"/>
  <c r="BE37" i="128" s="1"/>
  <c r="AS36" i="128" l="1"/>
  <c r="AT36" i="128" s="1"/>
  <c r="AU36" i="128" s="1"/>
  <c r="AY36" i="128" s="1"/>
  <c r="BK37" i="128"/>
  <c r="BG37" i="128"/>
  <c r="BJ37" i="128"/>
  <c r="BI37" i="128"/>
  <c r="BL37" i="128"/>
  <c r="BH37" i="128"/>
  <c r="BA36" i="128" l="1"/>
  <c r="BB36" i="128" s="1"/>
  <c r="BC36" i="128" s="1"/>
  <c r="BD36" i="128" s="1"/>
  <c r="BE36" i="128" s="1"/>
  <c r="AZ36" i="128"/>
  <c r="BM37" i="128"/>
  <c r="BJ36" i="128" l="1"/>
  <c r="BK36" i="128"/>
  <c r="BG36" i="128"/>
  <c r="BL36" i="128"/>
  <c r="BH36" i="128"/>
  <c r="BI36" i="128"/>
  <c r="BM36" i="128" l="1"/>
  <c r="F9" i="98" l="1"/>
  <c r="M11" i="128" s="1"/>
  <c r="F11" i="98"/>
  <c r="M13" i="128" s="1"/>
  <c r="F12" i="98"/>
  <c r="M14" i="128" s="1"/>
  <c r="F13" i="98"/>
  <c r="M15" i="128" s="1"/>
  <c r="F14" i="98"/>
  <c r="M16" i="128" s="1"/>
  <c r="F15" i="98"/>
  <c r="M17" i="128" s="1"/>
  <c r="F16" i="98"/>
  <c r="M18" i="128" s="1"/>
  <c r="F17" i="98"/>
  <c r="M19" i="128" s="1"/>
  <c r="F18" i="98"/>
  <c r="M20" i="128" s="1"/>
  <c r="F19" i="98"/>
  <c r="M21" i="128" s="1"/>
  <c r="F20" i="98"/>
  <c r="M22" i="128" s="1"/>
  <c r="F21" i="98"/>
  <c r="M23" i="128" s="1"/>
  <c r="F22" i="98"/>
  <c r="M24" i="128" s="1"/>
  <c r="F23" i="98"/>
  <c r="M25" i="128" s="1"/>
  <c r="F26" i="98"/>
  <c r="M29" i="128" s="1"/>
  <c r="F27" i="98"/>
  <c r="M30" i="128" s="1"/>
  <c r="F28" i="98"/>
  <c r="M31" i="128" s="1"/>
  <c r="F29" i="98"/>
  <c r="M32" i="128" s="1"/>
  <c r="F30" i="98"/>
  <c r="M33" i="128" s="1"/>
  <c r="F31" i="98"/>
  <c r="M34" i="128" s="1"/>
  <c r="F32" i="98"/>
  <c r="M35" i="128" s="1"/>
  <c r="F35" i="98"/>
  <c r="M39" i="128" s="1"/>
  <c r="F36" i="98"/>
  <c r="M40" i="128" s="1"/>
  <c r="F37" i="98"/>
  <c r="M41" i="128" s="1"/>
  <c r="F38" i="98"/>
  <c r="M42" i="128" s="1"/>
  <c r="F39" i="98"/>
  <c r="M43" i="128" s="1"/>
  <c r="F40" i="98"/>
  <c r="M44" i="128" s="1"/>
  <c r="F41" i="98"/>
  <c r="M45" i="128" s="1"/>
  <c r="F42" i="98"/>
  <c r="M46" i="128" s="1"/>
  <c r="F43" i="98"/>
  <c r="M47" i="128" s="1"/>
  <c r="F44" i="98"/>
  <c r="M49" i="128" s="1"/>
  <c r="F45" i="98"/>
  <c r="M50" i="128" s="1"/>
  <c r="F46" i="98"/>
  <c r="M51" i="128" s="1"/>
  <c r="F47" i="98"/>
  <c r="M52" i="128" s="1"/>
  <c r="F48" i="98"/>
  <c r="M53" i="128" s="1"/>
  <c r="F49" i="98"/>
  <c r="M54" i="128" s="1"/>
  <c r="F50" i="98"/>
  <c r="M55" i="128" s="1"/>
  <c r="F51" i="98"/>
  <c r="M56" i="128" s="1"/>
  <c r="F52" i="98"/>
  <c r="M57" i="128" s="1"/>
  <c r="F53" i="98"/>
  <c r="M58" i="128" s="1"/>
  <c r="F54" i="98"/>
  <c r="M59" i="128" s="1"/>
  <c r="F55" i="98"/>
  <c r="M60" i="128" s="1"/>
  <c r="F56" i="98"/>
  <c r="M61" i="128" s="1"/>
  <c r="F57" i="98"/>
  <c r="M62" i="128" s="1"/>
  <c r="F58" i="98"/>
  <c r="M63" i="128" s="1"/>
  <c r="F59" i="98"/>
  <c r="M64" i="128" s="1"/>
  <c r="F61" i="98"/>
  <c r="M67" i="128" s="1"/>
  <c r="F62" i="98"/>
  <c r="M68" i="128" s="1"/>
  <c r="F63" i="98"/>
  <c r="M69" i="128" s="1"/>
  <c r="F64" i="98"/>
  <c r="M70" i="128" s="1"/>
  <c r="F65" i="98"/>
  <c r="M71" i="128" s="1"/>
  <c r="F66" i="98"/>
  <c r="M72" i="128" s="1"/>
  <c r="F67" i="98"/>
  <c r="M73" i="128" s="1"/>
  <c r="F68" i="98"/>
  <c r="M74" i="128" s="1"/>
  <c r="F69" i="98"/>
  <c r="M75" i="128" s="1"/>
  <c r="F70" i="98"/>
  <c r="M76" i="128" s="1"/>
  <c r="F71" i="98"/>
  <c r="M77" i="128" s="1"/>
  <c r="F72" i="98"/>
  <c r="M78" i="128" s="1"/>
  <c r="F73" i="98"/>
  <c r="M79" i="128" s="1"/>
  <c r="F74" i="98"/>
  <c r="M80" i="128" s="1"/>
  <c r="F75" i="98"/>
  <c r="M81" i="128" s="1"/>
  <c r="AP80" i="128" l="1"/>
  <c r="U80" i="128"/>
  <c r="AJ80" i="128"/>
  <c r="R80" i="128"/>
  <c r="AJ78" i="128"/>
  <c r="R78" i="128"/>
  <c r="AP78" i="128"/>
  <c r="U78" i="128"/>
  <c r="AP76" i="128"/>
  <c r="AJ76" i="128"/>
  <c r="R76" i="128"/>
  <c r="U76" i="128"/>
  <c r="AJ74" i="128"/>
  <c r="U74" i="128"/>
  <c r="R74" i="128"/>
  <c r="AP74" i="128"/>
  <c r="AJ72" i="128"/>
  <c r="R72" i="128"/>
  <c r="AP72" i="128"/>
  <c r="U72" i="128"/>
  <c r="R70" i="128"/>
  <c r="AP70" i="128"/>
  <c r="U70" i="128"/>
  <c r="AJ70" i="128"/>
  <c r="AJ68" i="128"/>
  <c r="U68" i="128"/>
  <c r="R68" i="128"/>
  <c r="AP68" i="128"/>
  <c r="AJ64" i="128"/>
  <c r="U64" i="128"/>
  <c r="R64" i="128"/>
  <c r="AP64" i="128"/>
  <c r="AJ62" i="128"/>
  <c r="U62" i="128"/>
  <c r="R62" i="128"/>
  <c r="AP62" i="128"/>
  <c r="AJ60" i="128"/>
  <c r="U60" i="128"/>
  <c r="R60" i="128"/>
  <c r="AP60" i="128"/>
  <c r="AJ58" i="128"/>
  <c r="U58" i="128"/>
  <c r="R58" i="128"/>
  <c r="AP58" i="128"/>
  <c r="AJ56" i="128"/>
  <c r="R56" i="128"/>
  <c r="AP56" i="128"/>
  <c r="U56" i="128"/>
  <c r="AJ54" i="128"/>
  <c r="AP54" i="128"/>
  <c r="R54" i="128"/>
  <c r="U54" i="128"/>
  <c r="AJ52" i="128"/>
  <c r="R52" i="128"/>
  <c r="AP52" i="128"/>
  <c r="U52" i="128"/>
  <c r="AP50" i="128"/>
  <c r="AJ50" i="128"/>
  <c r="R50" i="128"/>
  <c r="U50" i="128"/>
  <c r="AJ47" i="128"/>
  <c r="U47" i="128"/>
  <c r="R47" i="128"/>
  <c r="AP47" i="128"/>
  <c r="AJ45" i="128"/>
  <c r="U45" i="128"/>
  <c r="R45" i="128"/>
  <c r="AP45" i="128"/>
  <c r="AJ43" i="128"/>
  <c r="U43" i="128"/>
  <c r="R43" i="128"/>
  <c r="AP43" i="128"/>
  <c r="U41" i="128"/>
  <c r="AP41" i="128"/>
  <c r="R41" i="128"/>
  <c r="AJ41" i="128"/>
  <c r="AJ39" i="128"/>
  <c r="U39" i="128"/>
  <c r="R39" i="128"/>
  <c r="AP39" i="128"/>
  <c r="U34" i="128"/>
  <c r="AP34" i="128"/>
  <c r="AJ34" i="128"/>
  <c r="R34" i="128"/>
  <c r="U32" i="128"/>
  <c r="AP32" i="128"/>
  <c r="AJ32" i="128"/>
  <c r="R32" i="128"/>
  <c r="AP30" i="128"/>
  <c r="U30" i="128"/>
  <c r="AJ30" i="128"/>
  <c r="R30" i="128"/>
  <c r="R25" i="128"/>
  <c r="AJ25" i="128"/>
  <c r="AP25" i="128"/>
  <c r="U25" i="128"/>
  <c r="R23" i="128"/>
  <c r="AP23" i="128"/>
  <c r="AJ23" i="128"/>
  <c r="U23" i="128"/>
  <c r="R21" i="128"/>
  <c r="AJ21" i="128"/>
  <c r="AP21" i="128"/>
  <c r="U21" i="128"/>
  <c r="R19" i="128"/>
  <c r="AP19" i="128"/>
  <c r="AJ19" i="128"/>
  <c r="U19" i="128"/>
  <c r="R17" i="128"/>
  <c r="AP17" i="128"/>
  <c r="AJ17" i="128"/>
  <c r="U17" i="128"/>
  <c r="AJ15" i="128"/>
  <c r="U15" i="128"/>
  <c r="R15" i="128"/>
  <c r="AP15" i="128"/>
  <c r="AJ13" i="128"/>
  <c r="R13" i="128"/>
  <c r="U13" i="128"/>
  <c r="AP13" i="128"/>
  <c r="AJ81" i="128"/>
  <c r="AP81" i="128"/>
  <c r="R81" i="128"/>
  <c r="U81" i="128"/>
  <c r="U79" i="128"/>
  <c r="R79" i="128"/>
  <c r="AP79" i="128"/>
  <c r="AJ79" i="128"/>
  <c r="AP77" i="128"/>
  <c r="U77" i="128"/>
  <c r="AJ77" i="128"/>
  <c r="R77" i="128"/>
  <c r="AP75" i="128"/>
  <c r="U75" i="128"/>
  <c r="AJ75" i="128"/>
  <c r="R75" i="128"/>
  <c r="AJ73" i="128"/>
  <c r="U73" i="128"/>
  <c r="AP73" i="128"/>
  <c r="R73" i="128"/>
  <c r="U71" i="128"/>
  <c r="AP71" i="128"/>
  <c r="AJ71" i="128"/>
  <c r="R71" i="128"/>
  <c r="AJ69" i="128"/>
  <c r="R69" i="128"/>
  <c r="AP69" i="128"/>
  <c r="U69" i="128"/>
  <c r="U67" i="128"/>
  <c r="AP67" i="128"/>
  <c r="R67" i="128"/>
  <c r="AJ67" i="128"/>
  <c r="AP63" i="128"/>
  <c r="R63" i="128"/>
  <c r="U63" i="128"/>
  <c r="AJ63" i="128"/>
  <c r="AP61" i="128"/>
  <c r="U61" i="128"/>
  <c r="R61" i="128"/>
  <c r="AJ61" i="128"/>
  <c r="R59" i="128"/>
  <c r="AP59" i="128"/>
  <c r="U59" i="128"/>
  <c r="AJ59" i="128"/>
  <c r="R57" i="128"/>
  <c r="U57" i="128"/>
  <c r="AJ57" i="128"/>
  <c r="AP57" i="128"/>
  <c r="AJ55" i="128"/>
  <c r="U55" i="128"/>
  <c r="R55" i="128"/>
  <c r="AP55" i="128"/>
  <c r="AJ53" i="128"/>
  <c r="U53" i="128"/>
  <c r="R53" i="128"/>
  <c r="AP53" i="128"/>
  <c r="AJ51" i="128"/>
  <c r="U51" i="128"/>
  <c r="R51" i="128"/>
  <c r="AP51" i="128"/>
  <c r="AJ49" i="128"/>
  <c r="U49" i="128"/>
  <c r="R49" i="128"/>
  <c r="AP49" i="128"/>
  <c r="AP46" i="128"/>
  <c r="AJ46" i="128"/>
  <c r="R46" i="128"/>
  <c r="U46" i="128"/>
  <c r="AJ44" i="128"/>
  <c r="R44" i="128"/>
  <c r="AP44" i="128"/>
  <c r="U44" i="128"/>
  <c r="R42" i="128"/>
  <c r="AP42" i="128"/>
  <c r="AJ42" i="128"/>
  <c r="U42" i="128"/>
  <c r="R40" i="128"/>
  <c r="AP40" i="128"/>
  <c r="AJ40" i="128"/>
  <c r="U40" i="128"/>
  <c r="R35" i="128"/>
  <c r="AP35" i="128"/>
  <c r="AJ35" i="128"/>
  <c r="U35" i="128"/>
  <c r="R33" i="128"/>
  <c r="AJ33" i="128"/>
  <c r="AP33" i="128"/>
  <c r="U33" i="128"/>
  <c r="R31" i="128"/>
  <c r="AP31" i="128"/>
  <c r="AJ31" i="128"/>
  <c r="U31" i="128"/>
  <c r="AJ29" i="128"/>
  <c r="AP29" i="128"/>
  <c r="R29" i="128"/>
  <c r="U29" i="128"/>
  <c r="U24" i="128"/>
  <c r="AP24" i="128"/>
  <c r="AJ24" i="128"/>
  <c r="R24" i="128"/>
  <c r="U22" i="128"/>
  <c r="R22" i="128"/>
  <c r="AP22" i="128"/>
  <c r="AJ22" i="128"/>
  <c r="U20" i="128"/>
  <c r="AP20" i="128"/>
  <c r="AJ20" i="128"/>
  <c r="R20" i="128"/>
  <c r="U18" i="128"/>
  <c r="R18" i="128"/>
  <c r="AP18" i="128"/>
  <c r="AJ18" i="128"/>
  <c r="AP16" i="128"/>
  <c r="U16" i="128"/>
  <c r="AJ16" i="128"/>
  <c r="R16" i="128"/>
  <c r="AP14" i="128"/>
  <c r="U14" i="128"/>
  <c r="AJ14" i="128"/>
  <c r="R14" i="128"/>
  <c r="R11" i="128"/>
  <c r="AP11" i="128"/>
  <c r="AJ11" i="128"/>
  <c r="U11" i="128"/>
  <c r="BH6" i="122"/>
  <c r="BH4" i="122"/>
  <c r="N60" i="98" l="1"/>
  <c r="V65" i="128" s="1"/>
  <c r="X65" i="128" l="1"/>
  <c r="AQ65" i="128" s="1"/>
  <c r="W65" i="128"/>
  <c r="Y65" i="128" s="1"/>
  <c r="AS65" i="128" l="1"/>
  <c r="AT65" i="128" s="1"/>
  <c r="AU65" i="128" s="1"/>
  <c r="AY65" i="128" s="1"/>
  <c r="BA65" i="128" l="1"/>
  <c r="BB65" i="128" s="1"/>
  <c r="BC65" i="128" s="1"/>
  <c r="BD65" i="128" s="1"/>
  <c r="BE65" i="128" s="1"/>
  <c r="AZ65" i="128"/>
  <c r="BJ65" i="128" l="1"/>
  <c r="BK65" i="128"/>
  <c r="BG65" i="128"/>
  <c r="BL65" i="128"/>
  <c r="BH65" i="128"/>
  <c r="BI65" i="128"/>
  <c r="N32" i="98"/>
  <c r="V35" i="128" s="1"/>
  <c r="X35" i="128" l="1"/>
  <c r="AQ35" i="128" s="1"/>
  <c r="W35" i="128"/>
  <c r="Y35" i="128" s="1"/>
  <c r="BM65" i="128"/>
  <c r="AS35" i="128" l="1"/>
  <c r="AT35" i="128" s="1"/>
  <c r="AU35" i="128" s="1"/>
  <c r="AY35" i="128" s="1"/>
  <c r="AZ35" i="128" l="1"/>
  <c r="BA35" i="128"/>
  <c r="BB35" i="128" s="1"/>
  <c r="BC35" i="128" s="1"/>
  <c r="BD35" i="128" s="1"/>
  <c r="BE35" i="128" s="1"/>
  <c r="N59" i="98"/>
  <c r="V64" i="128" s="1"/>
  <c r="X64" i="128" l="1"/>
  <c r="W64" i="128"/>
  <c r="Y64" i="128" s="1"/>
  <c r="BK35" i="128"/>
  <c r="BG35" i="128"/>
  <c r="BJ35" i="128"/>
  <c r="BI35" i="128"/>
  <c r="BL35" i="128"/>
  <c r="BH35" i="128"/>
  <c r="N23" i="98"/>
  <c r="V25" i="128" s="1"/>
  <c r="N22" i="98"/>
  <c r="V24" i="128" s="1"/>
  <c r="AQ64" i="128" l="1"/>
  <c r="W24" i="128"/>
  <c r="Y24" i="128" s="1"/>
  <c r="X24" i="128"/>
  <c r="AQ24" i="128" s="1"/>
  <c r="X25" i="128"/>
  <c r="W25" i="128"/>
  <c r="Y25" i="128" s="1"/>
  <c r="BM35" i="128"/>
  <c r="AS64" i="128"/>
  <c r="AT64" i="128" s="1"/>
  <c r="AU64" i="128" s="1"/>
  <c r="AY64" i="128" s="1"/>
  <c r="N8" i="98"/>
  <c r="V10" i="128" s="1"/>
  <c r="N9" i="98"/>
  <c r="V11" i="128" s="1"/>
  <c r="N10" i="98"/>
  <c r="N11" i="98"/>
  <c r="V13" i="128" s="1"/>
  <c r="N12" i="98"/>
  <c r="V14" i="128" s="1"/>
  <c r="N13" i="98"/>
  <c r="V15" i="128" s="1"/>
  <c r="N14" i="98"/>
  <c r="V16" i="128" s="1"/>
  <c r="N15" i="98"/>
  <c r="V17" i="128" s="1"/>
  <c r="N16" i="98"/>
  <c r="V18" i="128" s="1"/>
  <c r="N17" i="98"/>
  <c r="V19" i="128" s="1"/>
  <c r="N18" i="98"/>
  <c r="V20" i="128" s="1"/>
  <c r="N19" i="98"/>
  <c r="V21" i="128" s="1"/>
  <c r="N20" i="98"/>
  <c r="V22" i="128" s="1"/>
  <c r="N21" i="98"/>
  <c r="V23" i="128" s="1"/>
  <c r="N25" i="98"/>
  <c r="V28" i="128" s="1"/>
  <c r="N26" i="98"/>
  <c r="V29" i="128" s="1"/>
  <c r="N27" i="98"/>
  <c r="V30" i="128" s="1"/>
  <c r="N28" i="98"/>
  <c r="V31" i="128" s="1"/>
  <c r="N29" i="98"/>
  <c r="V32" i="128" s="1"/>
  <c r="N30" i="98"/>
  <c r="V33" i="128" s="1"/>
  <c r="N31" i="98"/>
  <c r="V34" i="128" s="1"/>
  <c r="N35" i="98"/>
  <c r="V39" i="128" s="1"/>
  <c r="N36" i="98"/>
  <c r="V40" i="128" s="1"/>
  <c r="N37" i="98"/>
  <c r="V41" i="128" s="1"/>
  <c r="N38" i="98"/>
  <c r="V42" i="128" s="1"/>
  <c r="N39" i="98"/>
  <c r="V43" i="128" s="1"/>
  <c r="N40" i="98"/>
  <c r="V44" i="128" s="1"/>
  <c r="N41" i="98"/>
  <c r="V45" i="128" s="1"/>
  <c r="N42" i="98"/>
  <c r="V46" i="128" s="1"/>
  <c r="N43" i="98"/>
  <c r="V47" i="128" s="1"/>
  <c r="N44" i="98"/>
  <c r="V49" i="128" s="1"/>
  <c r="N45" i="98"/>
  <c r="V50" i="128" s="1"/>
  <c r="N46" i="98"/>
  <c r="V51" i="128" s="1"/>
  <c r="N47" i="98"/>
  <c r="V52" i="128" s="1"/>
  <c r="N48" i="98"/>
  <c r="V53" i="128" s="1"/>
  <c r="N49" i="98"/>
  <c r="V54" i="128" s="1"/>
  <c r="N50" i="98"/>
  <c r="V55" i="128" s="1"/>
  <c r="N51" i="98"/>
  <c r="V56" i="128" s="1"/>
  <c r="N52" i="98"/>
  <c r="V57" i="128" s="1"/>
  <c r="N53" i="98"/>
  <c r="V58" i="128" s="1"/>
  <c r="N54" i="98"/>
  <c r="V59" i="128" s="1"/>
  <c r="N55" i="98"/>
  <c r="V60" i="128" s="1"/>
  <c r="N56" i="98"/>
  <c r="V61" i="128" s="1"/>
  <c r="N57" i="98"/>
  <c r="V62" i="128" s="1"/>
  <c r="N58" i="98"/>
  <c r="V63" i="128" s="1"/>
  <c r="N61" i="98"/>
  <c r="V67" i="128" s="1"/>
  <c r="N62" i="98"/>
  <c r="V68" i="128" s="1"/>
  <c r="N63" i="98"/>
  <c r="V69" i="128" s="1"/>
  <c r="N64" i="98"/>
  <c r="V70" i="128" s="1"/>
  <c r="N65" i="98"/>
  <c r="V71" i="128" s="1"/>
  <c r="N66" i="98"/>
  <c r="V72" i="128" s="1"/>
  <c r="N67" i="98"/>
  <c r="V73" i="128" s="1"/>
  <c r="N68" i="98"/>
  <c r="V74" i="128" s="1"/>
  <c r="N69" i="98"/>
  <c r="V75" i="128" s="1"/>
  <c r="N70" i="98"/>
  <c r="V76" i="128" s="1"/>
  <c r="N71" i="98"/>
  <c r="V77" i="128" s="1"/>
  <c r="N72" i="98"/>
  <c r="V78" i="128" s="1"/>
  <c r="N73" i="98"/>
  <c r="V79" i="128" s="1"/>
  <c r="N74" i="98"/>
  <c r="V80" i="128" s="1"/>
  <c r="N75" i="98"/>
  <c r="V81" i="128" s="1"/>
  <c r="BA64" i="128" l="1"/>
  <c r="BB64" i="128" s="1"/>
  <c r="BC64" i="128" s="1"/>
  <c r="BD64" i="128" s="1"/>
  <c r="BE64" i="128" s="1"/>
  <c r="AZ64" i="128"/>
  <c r="X81" i="128"/>
  <c r="AQ81" i="128" s="1"/>
  <c r="AS81" i="128" s="1"/>
  <c r="AT81" i="128" s="1"/>
  <c r="AU81" i="128" s="1"/>
  <c r="AY81" i="128" s="1"/>
  <c r="W81" i="128"/>
  <c r="Y81" i="128" s="1"/>
  <c r="W77" i="128"/>
  <c r="Y77" i="128" s="1"/>
  <c r="X77" i="128"/>
  <c r="X73" i="128"/>
  <c r="AQ73" i="128" s="1"/>
  <c r="W73" i="128"/>
  <c r="Y73" i="128" s="1"/>
  <c r="X71" i="128"/>
  <c r="AQ71" i="128" s="1"/>
  <c r="AS71" i="128" s="1"/>
  <c r="AT71" i="128" s="1"/>
  <c r="AU71" i="128" s="1"/>
  <c r="AY71" i="128" s="1"/>
  <c r="W71" i="128"/>
  <c r="Y71" i="128" s="1"/>
  <c r="X69" i="128"/>
  <c r="AQ69" i="128" s="1"/>
  <c r="W69" i="128"/>
  <c r="Y69" i="128" s="1"/>
  <c r="X67" i="128"/>
  <c r="AQ67" i="128" s="1"/>
  <c r="W67" i="128"/>
  <c r="Y67" i="128" s="1"/>
  <c r="X62" i="128"/>
  <c r="W62" i="128"/>
  <c r="Y62" i="128" s="1"/>
  <c r="X60" i="128"/>
  <c r="W60" i="128"/>
  <c r="Y60" i="128" s="1"/>
  <c r="X58" i="128"/>
  <c r="W58" i="128"/>
  <c r="Y58" i="128" s="1"/>
  <c r="X56" i="128"/>
  <c r="AQ56" i="128" s="1"/>
  <c r="W56" i="128"/>
  <c r="Y56" i="128" s="1"/>
  <c r="X54" i="128"/>
  <c r="AQ54" i="128" s="1"/>
  <c r="W54" i="128"/>
  <c r="Y54" i="128" s="1"/>
  <c r="X52" i="128"/>
  <c r="AQ52" i="128" s="1"/>
  <c r="W52" i="128"/>
  <c r="Y52" i="128" s="1"/>
  <c r="X50" i="128"/>
  <c r="AQ50" i="128" s="1"/>
  <c r="W50" i="128"/>
  <c r="Y50" i="128" s="1"/>
  <c r="X47" i="128"/>
  <c r="AQ47" i="128" s="1"/>
  <c r="W47" i="128"/>
  <c r="Y47" i="128" s="1"/>
  <c r="X45" i="128"/>
  <c r="W45" i="128"/>
  <c r="Y45" i="128" s="1"/>
  <c r="X43" i="128"/>
  <c r="AQ43" i="128" s="1"/>
  <c r="AS43" i="128" s="1"/>
  <c r="AT43" i="128" s="1"/>
  <c r="AU43" i="128" s="1"/>
  <c r="AY43" i="128" s="1"/>
  <c r="W43" i="128"/>
  <c r="Y43" i="128" s="1"/>
  <c r="X41" i="128"/>
  <c r="W41" i="128"/>
  <c r="Y41" i="128" s="1"/>
  <c r="X39" i="128"/>
  <c r="AQ39" i="128" s="1"/>
  <c r="W39" i="128"/>
  <c r="Y39" i="128" s="1"/>
  <c r="X33" i="128"/>
  <c r="AQ33" i="128" s="1"/>
  <c r="W33" i="128"/>
  <c r="Y33" i="128" s="1"/>
  <c r="W31" i="128"/>
  <c r="Y31" i="128" s="1"/>
  <c r="X31" i="128"/>
  <c r="X29" i="128"/>
  <c r="AQ29" i="128" s="1"/>
  <c r="AS29" i="128" s="1"/>
  <c r="AT29" i="128" s="1"/>
  <c r="AU29" i="128" s="1"/>
  <c r="AY29" i="128" s="1"/>
  <c r="W29" i="128"/>
  <c r="Y29" i="128" s="1"/>
  <c r="X23" i="128"/>
  <c r="AQ23" i="128" s="1"/>
  <c r="W23" i="128"/>
  <c r="Y23" i="128" s="1"/>
  <c r="X21" i="128"/>
  <c r="AQ21" i="128" s="1"/>
  <c r="W21" i="128"/>
  <c r="Y21" i="128" s="1"/>
  <c r="X19" i="128"/>
  <c r="AQ19" i="128" s="1"/>
  <c r="AS19" i="128" s="1"/>
  <c r="AT19" i="128" s="1"/>
  <c r="AU19" i="128" s="1"/>
  <c r="AY19" i="128" s="1"/>
  <c r="W19" i="128"/>
  <c r="Y19" i="128" s="1"/>
  <c r="X17" i="128"/>
  <c r="AQ17" i="128" s="1"/>
  <c r="AS17" i="128" s="1"/>
  <c r="AT17" i="128" s="1"/>
  <c r="AU17" i="128" s="1"/>
  <c r="AY17" i="128" s="1"/>
  <c r="W17" i="128"/>
  <c r="Y17" i="128" s="1"/>
  <c r="X15" i="128"/>
  <c r="AQ15" i="128" s="1"/>
  <c r="W15" i="128"/>
  <c r="Y15" i="128" s="1"/>
  <c r="X13" i="128"/>
  <c r="AQ13" i="128" s="1"/>
  <c r="W13" i="128"/>
  <c r="Y13" i="128" s="1"/>
  <c r="X10" i="128"/>
  <c r="W10" i="128"/>
  <c r="Y10" i="128" s="1"/>
  <c r="AS24" i="128"/>
  <c r="AT24" i="128" s="1"/>
  <c r="AU24" i="128" s="1"/>
  <c r="AY24" i="128" s="1"/>
  <c r="X79" i="128"/>
  <c r="W79" i="128"/>
  <c r="Y79" i="128" s="1"/>
  <c r="W75" i="128"/>
  <c r="Y75" i="128" s="1"/>
  <c r="X75" i="128"/>
  <c r="W80" i="128"/>
  <c r="Y80" i="128" s="1"/>
  <c r="X80" i="128"/>
  <c r="X78" i="128"/>
  <c r="W78" i="128"/>
  <c r="Y78" i="128" s="1"/>
  <c r="X76" i="128"/>
  <c r="W76" i="128"/>
  <c r="Y76" i="128" s="1"/>
  <c r="X74" i="128"/>
  <c r="W74" i="128"/>
  <c r="Y74" i="128" s="1"/>
  <c r="X72" i="128"/>
  <c r="W72" i="128"/>
  <c r="Y72" i="128" s="1"/>
  <c r="X70" i="128"/>
  <c r="W70" i="128"/>
  <c r="Y70" i="128" s="1"/>
  <c r="X68" i="128"/>
  <c r="W68" i="128"/>
  <c r="Y68" i="128" s="1"/>
  <c r="X63" i="128"/>
  <c r="W63" i="128"/>
  <c r="Y63" i="128" s="1"/>
  <c r="X61" i="128"/>
  <c r="W61" i="128"/>
  <c r="Y61" i="128" s="1"/>
  <c r="X59" i="128"/>
  <c r="W59" i="128"/>
  <c r="Y59" i="128" s="1"/>
  <c r="X57" i="128"/>
  <c r="W57" i="128"/>
  <c r="Y57" i="128" s="1"/>
  <c r="X55" i="128"/>
  <c r="W55" i="128"/>
  <c r="Y55" i="128" s="1"/>
  <c r="X53" i="128"/>
  <c r="W53" i="128"/>
  <c r="Y53" i="128" s="1"/>
  <c r="X51" i="128"/>
  <c r="W51" i="128"/>
  <c r="Y51" i="128" s="1"/>
  <c r="X49" i="128"/>
  <c r="W49" i="128"/>
  <c r="Y49" i="128" s="1"/>
  <c r="X46" i="128"/>
  <c r="W46" i="128"/>
  <c r="Y46" i="128" s="1"/>
  <c r="X44" i="128"/>
  <c r="W44" i="128"/>
  <c r="Y44" i="128" s="1"/>
  <c r="X42" i="128"/>
  <c r="W42" i="128"/>
  <c r="Y42" i="128" s="1"/>
  <c r="X40" i="128"/>
  <c r="W40" i="128"/>
  <c r="Y40" i="128" s="1"/>
  <c r="W34" i="128"/>
  <c r="Y34" i="128" s="1"/>
  <c r="X34" i="128"/>
  <c r="W32" i="128"/>
  <c r="Y32" i="128" s="1"/>
  <c r="X32" i="128"/>
  <c r="W30" i="128"/>
  <c r="Y30" i="128" s="1"/>
  <c r="X30" i="128"/>
  <c r="W28" i="128"/>
  <c r="Y28" i="128" s="1"/>
  <c r="X28" i="128"/>
  <c r="W22" i="128"/>
  <c r="Y22" i="128" s="1"/>
  <c r="X22" i="128"/>
  <c r="W20" i="128"/>
  <c r="Y20" i="128" s="1"/>
  <c r="X20" i="128"/>
  <c r="W18" i="128"/>
  <c r="Y18" i="128" s="1"/>
  <c r="X18" i="128"/>
  <c r="W16" i="128"/>
  <c r="Y16" i="128" s="1"/>
  <c r="X16" i="128"/>
  <c r="W14" i="128"/>
  <c r="Y14" i="128" s="1"/>
  <c r="X14" i="128"/>
  <c r="X11" i="128"/>
  <c r="W11" i="128"/>
  <c r="Y11" i="128" s="1"/>
  <c r="AQ25" i="128"/>
  <c r="AX9" i="122"/>
  <c r="AQ11" i="128" l="1"/>
  <c r="AQ40" i="128"/>
  <c r="AS40" i="128" s="1"/>
  <c r="AT40" i="128" s="1"/>
  <c r="AU40" i="128" s="1"/>
  <c r="AY40" i="128" s="1"/>
  <c r="AQ42" i="128"/>
  <c r="AQ44" i="128"/>
  <c r="AQ46" i="128"/>
  <c r="AS46" i="128" s="1"/>
  <c r="AT46" i="128" s="1"/>
  <c r="AU46" i="128" s="1"/>
  <c r="AY46" i="128" s="1"/>
  <c r="AQ51" i="128"/>
  <c r="AS51" i="128" s="1"/>
  <c r="AT51" i="128" s="1"/>
  <c r="AU51" i="128" s="1"/>
  <c r="AY51" i="128" s="1"/>
  <c r="AQ55" i="128"/>
  <c r="AQ57" i="128"/>
  <c r="AQ59" i="128"/>
  <c r="AQ61" i="128"/>
  <c r="AQ63" i="128"/>
  <c r="AQ68" i="128"/>
  <c r="AS68" i="128" s="1"/>
  <c r="AT68" i="128" s="1"/>
  <c r="AU68" i="128" s="1"/>
  <c r="AY68" i="128" s="1"/>
  <c r="AQ70" i="128"/>
  <c r="AQ72" i="128"/>
  <c r="AS72" i="128" s="1"/>
  <c r="AT72" i="128" s="1"/>
  <c r="AU72" i="128" s="1"/>
  <c r="AY72" i="128" s="1"/>
  <c r="AQ74" i="128"/>
  <c r="AQ76" i="128"/>
  <c r="AS76" i="128" s="1"/>
  <c r="AT76" i="128" s="1"/>
  <c r="AU76" i="128" s="1"/>
  <c r="AY76" i="128" s="1"/>
  <c r="AQ78" i="128"/>
  <c r="AQ79" i="128"/>
  <c r="BA24" i="128"/>
  <c r="BB24" i="128" s="1"/>
  <c r="BC24" i="128" s="1"/>
  <c r="BD24" i="128" s="1"/>
  <c r="BE24" i="128" s="1"/>
  <c r="AZ24" i="128"/>
  <c r="AT11" i="128"/>
  <c r="AU11" i="128" s="1"/>
  <c r="AY11" i="128" s="1"/>
  <c r="AZ40" i="128"/>
  <c r="BA40" i="128"/>
  <c r="BB40" i="128" s="1"/>
  <c r="BC40" i="128" s="1"/>
  <c r="BD40" i="128" s="1"/>
  <c r="BE40" i="128" s="1"/>
  <c r="AS44" i="128"/>
  <c r="AT44" i="128" s="1"/>
  <c r="AU44" i="128" s="1"/>
  <c r="AY44" i="128" s="1"/>
  <c r="AZ51" i="128"/>
  <c r="BA51" i="128"/>
  <c r="BB51" i="128" s="1"/>
  <c r="BC51" i="128" s="1"/>
  <c r="BD51" i="128" s="1"/>
  <c r="BE51" i="128" s="1"/>
  <c r="AS57" i="128"/>
  <c r="AT57" i="128" s="1"/>
  <c r="AU57" i="128" s="1"/>
  <c r="AY57" i="128" s="1"/>
  <c r="AZ68" i="128"/>
  <c r="BA68" i="128"/>
  <c r="BB68" i="128" s="1"/>
  <c r="BC68" i="128" s="1"/>
  <c r="BD68" i="128" s="1"/>
  <c r="BE68" i="128" s="1"/>
  <c r="AS70" i="128"/>
  <c r="AT70" i="128" s="1"/>
  <c r="AU70" i="128" s="1"/>
  <c r="AY70" i="128" s="1"/>
  <c r="AZ76" i="128"/>
  <c r="BA76" i="128"/>
  <c r="BB76" i="128" s="1"/>
  <c r="BC76" i="128" s="1"/>
  <c r="BD76" i="128" s="1"/>
  <c r="BE76" i="128" s="1"/>
  <c r="AZ17" i="128"/>
  <c r="BA17" i="128"/>
  <c r="BB17" i="128" s="1"/>
  <c r="BC17" i="128" s="1"/>
  <c r="BD17" i="128" s="1"/>
  <c r="BE17" i="128" s="1"/>
  <c r="AS21" i="128"/>
  <c r="AT21" i="128" s="1"/>
  <c r="AU21" i="128" s="1"/>
  <c r="AY21" i="128" s="1"/>
  <c r="AQ14" i="128"/>
  <c r="AQ16" i="128"/>
  <c r="AQ18" i="128"/>
  <c r="AS18" i="128" s="1"/>
  <c r="AT18" i="128" s="1"/>
  <c r="AU18" i="128" s="1"/>
  <c r="AY18" i="128" s="1"/>
  <c r="AQ20" i="128"/>
  <c r="AS20" i="128" s="1"/>
  <c r="AT20" i="128" s="1"/>
  <c r="AU20" i="128" s="1"/>
  <c r="AY20" i="128" s="1"/>
  <c r="AQ22" i="128"/>
  <c r="AQ28" i="128"/>
  <c r="AQ30" i="128"/>
  <c r="AS30" i="128" s="1"/>
  <c r="AT30" i="128" s="1"/>
  <c r="AU30" i="128" s="1"/>
  <c r="AY30" i="128" s="1"/>
  <c r="AQ32" i="128"/>
  <c r="AQ34" i="128"/>
  <c r="AQ49" i="128"/>
  <c r="AQ53" i="128"/>
  <c r="AQ80" i="128"/>
  <c r="AQ75" i="128"/>
  <c r="AQ10" i="128"/>
  <c r="AQ31" i="128"/>
  <c r="AS31" i="128" s="1"/>
  <c r="AT31" i="128" s="1"/>
  <c r="AU31" i="128" s="1"/>
  <c r="AY31" i="128" s="1"/>
  <c r="AQ41" i="128"/>
  <c r="AS41" i="128" s="1"/>
  <c r="AT41" i="128" s="1"/>
  <c r="AU41" i="128" s="1"/>
  <c r="AY41" i="128" s="1"/>
  <c r="AQ45" i="128"/>
  <c r="AS45" i="128" s="1"/>
  <c r="AT45" i="128" s="1"/>
  <c r="AU45" i="128" s="1"/>
  <c r="AY45" i="128" s="1"/>
  <c r="AQ58" i="128"/>
  <c r="AQ60" i="128"/>
  <c r="AQ62" i="128"/>
  <c r="AQ77" i="128"/>
  <c r="AS25" i="128"/>
  <c r="AT25" i="128" s="1"/>
  <c r="AU25" i="128" s="1"/>
  <c r="AY25" i="128" s="1"/>
  <c r="AS42" i="128"/>
  <c r="AT42" i="128" s="1"/>
  <c r="AU42" i="128" s="1"/>
  <c r="AY42" i="128" s="1"/>
  <c r="AZ46" i="128"/>
  <c r="BA46" i="128"/>
  <c r="BB46" i="128" s="1"/>
  <c r="BC46" i="128" s="1"/>
  <c r="BD46" i="128" s="1"/>
  <c r="BE46" i="128" s="1"/>
  <c r="AS55" i="128"/>
  <c r="AT55" i="128"/>
  <c r="AU55" i="128" s="1"/>
  <c r="AY55" i="128" s="1"/>
  <c r="AS59" i="128"/>
  <c r="AT59" i="128"/>
  <c r="AU59" i="128" s="1"/>
  <c r="AY59" i="128" s="1"/>
  <c r="AS61" i="128"/>
  <c r="AT61" i="128"/>
  <c r="AU61" i="128" s="1"/>
  <c r="AY61" i="128" s="1"/>
  <c r="AS63" i="128"/>
  <c r="AT63" i="128" s="1"/>
  <c r="AU63" i="128" s="1"/>
  <c r="AY63" i="128" s="1"/>
  <c r="AZ72" i="128"/>
  <c r="BA72" i="128"/>
  <c r="BB72" i="128" s="1"/>
  <c r="BC72" i="128" s="1"/>
  <c r="BD72" i="128" s="1"/>
  <c r="BE72" i="128" s="1"/>
  <c r="AS74" i="128"/>
  <c r="AT74" i="128" s="1"/>
  <c r="AU74" i="128" s="1"/>
  <c r="AY74" i="128" s="1"/>
  <c r="AS78" i="128"/>
  <c r="AT78" i="128" s="1"/>
  <c r="AU78" i="128" s="1"/>
  <c r="AY78" i="128" s="1"/>
  <c r="AS79" i="128"/>
  <c r="AT79" i="128" s="1"/>
  <c r="AU79" i="128" s="1"/>
  <c r="AY79" i="128" s="1"/>
  <c r="AS13" i="128"/>
  <c r="AQ27" i="128"/>
  <c r="AT13" i="128"/>
  <c r="AS15" i="128"/>
  <c r="AT15" i="128" s="1"/>
  <c r="AU15" i="128" s="1"/>
  <c r="AY15" i="128" s="1"/>
  <c r="AZ19" i="128"/>
  <c r="BA19" i="128"/>
  <c r="BB19" i="128" s="1"/>
  <c r="BC19" i="128" s="1"/>
  <c r="BD19" i="128" s="1"/>
  <c r="BE19" i="128" s="1"/>
  <c r="AS23" i="128"/>
  <c r="AT23" i="128" s="1"/>
  <c r="AU23" i="128" s="1"/>
  <c r="AY23" i="128" s="1"/>
  <c r="AZ29" i="128"/>
  <c r="BA29" i="128"/>
  <c r="BB29" i="128" s="1"/>
  <c r="BC29" i="128" s="1"/>
  <c r="BD29" i="128" s="1"/>
  <c r="BE29" i="128" s="1"/>
  <c r="AS33" i="128"/>
  <c r="AT33" i="128" s="1"/>
  <c r="AU33" i="128" s="1"/>
  <c r="AY33" i="128" s="1"/>
  <c r="AS39" i="128"/>
  <c r="AQ48" i="128"/>
  <c r="AT39" i="128"/>
  <c r="AZ43" i="128"/>
  <c r="BA43" i="128"/>
  <c r="BB43" i="128" s="1"/>
  <c r="BC43" i="128" s="1"/>
  <c r="BD43" i="128" s="1"/>
  <c r="BE43" i="128" s="1"/>
  <c r="AS47" i="128"/>
  <c r="AT47" i="128" s="1"/>
  <c r="AU47" i="128" s="1"/>
  <c r="AY47" i="128" s="1"/>
  <c r="AS50" i="128"/>
  <c r="AT50" i="128" s="1"/>
  <c r="AU50" i="128" s="1"/>
  <c r="AY50" i="128" s="1"/>
  <c r="AS52" i="128"/>
  <c r="AT52" i="128" s="1"/>
  <c r="AU52" i="128" s="1"/>
  <c r="AY52" i="128" s="1"/>
  <c r="AS54" i="128"/>
  <c r="AT54" i="128" s="1"/>
  <c r="AU54" i="128" s="1"/>
  <c r="AY54" i="128" s="1"/>
  <c r="AS56" i="128"/>
  <c r="AT56" i="128" s="1"/>
  <c r="AU56" i="128" s="1"/>
  <c r="AY56" i="128" s="1"/>
  <c r="AS67" i="128"/>
  <c r="AQ82" i="128"/>
  <c r="AT67" i="128"/>
  <c r="AS69" i="128"/>
  <c r="AT69" i="128" s="1"/>
  <c r="AU69" i="128" s="1"/>
  <c r="AY69" i="128" s="1"/>
  <c r="AZ71" i="128"/>
  <c r="BA71" i="128"/>
  <c r="BB71" i="128" s="1"/>
  <c r="BC71" i="128" s="1"/>
  <c r="BD71" i="128" s="1"/>
  <c r="BE71" i="128" s="1"/>
  <c r="AS73" i="128"/>
  <c r="AT73" i="128" s="1"/>
  <c r="AU73" i="128" s="1"/>
  <c r="AY73" i="128" s="1"/>
  <c r="AZ81" i="128"/>
  <c r="BA81" i="128"/>
  <c r="BB81" i="128" s="1"/>
  <c r="BC81" i="128" s="1"/>
  <c r="BD81" i="128" s="1"/>
  <c r="BE81" i="128" s="1"/>
  <c r="BI64" i="128"/>
  <c r="BL64" i="128"/>
  <c r="BH64" i="128"/>
  <c r="BK64" i="128"/>
  <c r="BG64" i="128"/>
  <c r="BJ64" i="128"/>
  <c r="AX10" i="122"/>
  <c r="BM64" i="128" l="1"/>
  <c r="BA69" i="128"/>
  <c r="BB69" i="128" s="1"/>
  <c r="BC69" i="128" s="1"/>
  <c r="BD69" i="128" s="1"/>
  <c r="BE69" i="128" s="1"/>
  <c r="AZ69" i="128"/>
  <c r="AZ56" i="128"/>
  <c r="BA56" i="128"/>
  <c r="BB56" i="128" s="1"/>
  <c r="BC56" i="128" s="1"/>
  <c r="BD56" i="128" s="1"/>
  <c r="BE56" i="128" s="1"/>
  <c r="AZ73" i="128"/>
  <c r="BA73" i="128"/>
  <c r="BB73" i="128" s="1"/>
  <c r="BC73" i="128" s="1"/>
  <c r="BD73" i="128" s="1"/>
  <c r="BE73" i="128" s="1"/>
  <c r="BA54" i="128"/>
  <c r="BB54" i="128" s="1"/>
  <c r="BC54" i="128" s="1"/>
  <c r="BD54" i="128" s="1"/>
  <c r="BE54" i="128" s="1"/>
  <c r="AZ54" i="128"/>
  <c r="BA47" i="128"/>
  <c r="BB47" i="128" s="1"/>
  <c r="BC47" i="128" s="1"/>
  <c r="BD47" i="128" s="1"/>
  <c r="BE47" i="128" s="1"/>
  <c r="AZ47" i="128"/>
  <c r="AZ33" i="128"/>
  <c r="BA33" i="128"/>
  <c r="BB33" i="128" s="1"/>
  <c r="BC33" i="128" s="1"/>
  <c r="BD33" i="128" s="1"/>
  <c r="BE33" i="128" s="1"/>
  <c r="AZ15" i="128"/>
  <c r="BA15" i="128"/>
  <c r="BB15" i="128" s="1"/>
  <c r="BC15" i="128" s="1"/>
  <c r="BD15" i="128" s="1"/>
  <c r="BE15" i="128" s="1"/>
  <c r="BA79" i="128"/>
  <c r="BB79" i="128" s="1"/>
  <c r="BC79" i="128" s="1"/>
  <c r="BD79" i="128" s="1"/>
  <c r="BE79" i="128" s="1"/>
  <c r="AZ79" i="128"/>
  <c r="AZ44" i="128"/>
  <c r="BA44" i="128"/>
  <c r="BB44" i="128" s="1"/>
  <c r="BC44" i="128" s="1"/>
  <c r="BD44" i="128" s="1"/>
  <c r="BE44" i="128" s="1"/>
  <c r="BA52" i="128"/>
  <c r="BB52" i="128" s="1"/>
  <c r="BC52" i="128" s="1"/>
  <c r="BD52" i="128" s="1"/>
  <c r="BE52" i="128" s="1"/>
  <c r="AZ52" i="128"/>
  <c r="AZ23" i="128"/>
  <c r="BA23" i="128"/>
  <c r="BB23" i="128" s="1"/>
  <c r="BC23" i="128" s="1"/>
  <c r="BD23" i="128" s="1"/>
  <c r="BE23" i="128" s="1"/>
  <c r="BA57" i="128"/>
  <c r="BB57" i="128" s="1"/>
  <c r="BC57" i="128" s="1"/>
  <c r="BD57" i="128" s="1"/>
  <c r="BE57" i="128" s="1"/>
  <c r="AZ57" i="128"/>
  <c r="AU67" i="128"/>
  <c r="BK81" i="128"/>
  <c r="BG81" i="128"/>
  <c r="BJ81" i="128"/>
  <c r="BI81" i="128"/>
  <c r="BL81" i="128"/>
  <c r="BH81" i="128"/>
  <c r="BL71" i="128"/>
  <c r="BH71" i="128"/>
  <c r="BI71" i="128"/>
  <c r="BJ71" i="128"/>
  <c r="BK71" i="128"/>
  <c r="BG71" i="128"/>
  <c r="BK43" i="128"/>
  <c r="BG43" i="128"/>
  <c r="BJ43" i="128"/>
  <c r="BI43" i="128"/>
  <c r="BL43" i="128"/>
  <c r="BH43" i="128"/>
  <c r="BK29" i="128"/>
  <c r="BG29" i="128"/>
  <c r="BJ29" i="128"/>
  <c r="BI29" i="128"/>
  <c r="BL29" i="128"/>
  <c r="BH29" i="128"/>
  <c r="BI19" i="128"/>
  <c r="BL19" i="128"/>
  <c r="BJ19" i="128"/>
  <c r="BK19" i="128"/>
  <c r="BG19" i="128"/>
  <c r="BM19" i="128" s="1"/>
  <c r="BH19" i="128"/>
  <c r="AZ78" i="128"/>
  <c r="BA78" i="128"/>
  <c r="BB78" i="128" s="1"/>
  <c r="BC78" i="128" s="1"/>
  <c r="BD78" i="128" s="1"/>
  <c r="BE78" i="128" s="1"/>
  <c r="AZ74" i="128"/>
  <c r="BA74" i="128"/>
  <c r="BB74" i="128" s="1"/>
  <c r="BC74" i="128" s="1"/>
  <c r="BD74" i="128" s="1"/>
  <c r="BE74" i="128" s="1"/>
  <c r="BK72" i="128"/>
  <c r="BG72" i="128"/>
  <c r="BJ72" i="128"/>
  <c r="BI72" i="128"/>
  <c r="BL72" i="128"/>
  <c r="BH72" i="128"/>
  <c r="BA63" i="128"/>
  <c r="BB63" i="128" s="1"/>
  <c r="BC63" i="128" s="1"/>
  <c r="BD63" i="128" s="1"/>
  <c r="BE63" i="128" s="1"/>
  <c r="AZ63" i="128"/>
  <c r="BA61" i="128"/>
  <c r="BB61" i="128" s="1"/>
  <c r="BC61" i="128" s="1"/>
  <c r="BD61" i="128" s="1"/>
  <c r="BE61" i="128" s="1"/>
  <c r="AZ61" i="128"/>
  <c r="BA59" i="128"/>
  <c r="BB59" i="128" s="1"/>
  <c r="BC59" i="128" s="1"/>
  <c r="BD59" i="128" s="1"/>
  <c r="BE59" i="128" s="1"/>
  <c r="AZ59" i="128"/>
  <c r="AZ55" i="128"/>
  <c r="BA55" i="128"/>
  <c r="BB55" i="128" s="1"/>
  <c r="BC55" i="128" s="1"/>
  <c r="BD55" i="128" s="1"/>
  <c r="BE55" i="128" s="1"/>
  <c r="BL46" i="128"/>
  <c r="BH46" i="128"/>
  <c r="BI46" i="128"/>
  <c r="BJ46" i="128"/>
  <c r="BK46" i="128"/>
  <c r="BG46" i="128"/>
  <c r="AZ25" i="128"/>
  <c r="BA25" i="128"/>
  <c r="BB25" i="128" s="1"/>
  <c r="BC25" i="128" s="1"/>
  <c r="BD25" i="128" s="1"/>
  <c r="BE25" i="128" s="1"/>
  <c r="AS77" i="128"/>
  <c r="AT77" i="128" s="1"/>
  <c r="AU77" i="128" s="1"/>
  <c r="AY77" i="128" s="1"/>
  <c r="AS60" i="128"/>
  <c r="AT60" i="128" s="1"/>
  <c r="AU60" i="128" s="1"/>
  <c r="AY60" i="128" s="1"/>
  <c r="AZ45" i="128"/>
  <c r="BA45" i="128"/>
  <c r="BB45" i="128" s="1"/>
  <c r="BC45" i="128" s="1"/>
  <c r="BD45" i="128" s="1"/>
  <c r="BE45" i="128" s="1"/>
  <c r="AZ31" i="128"/>
  <c r="BA31" i="128"/>
  <c r="BB31" i="128" s="1"/>
  <c r="BC31" i="128" s="1"/>
  <c r="BD31" i="128" s="1"/>
  <c r="BE31" i="128" s="1"/>
  <c r="AS75" i="128"/>
  <c r="AT75" i="128" s="1"/>
  <c r="AS53" i="128"/>
  <c r="AT53" i="128" s="1"/>
  <c r="AU53" i="128" s="1"/>
  <c r="AY53" i="128" s="1"/>
  <c r="AS34" i="128"/>
  <c r="AT34" i="128" s="1"/>
  <c r="AU34" i="128" s="1"/>
  <c r="AY34" i="128" s="1"/>
  <c r="BA30" i="128"/>
  <c r="BB30" i="128" s="1"/>
  <c r="BC30" i="128" s="1"/>
  <c r="BD30" i="128" s="1"/>
  <c r="BE30" i="128" s="1"/>
  <c r="AZ30" i="128"/>
  <c r="AS22" i="128"/>
  <c r="AT22" i="128" s="1"/>
  <c r="AU22" i="128" s="1"/>
  <c r="AY22" i="128" s="1"/>
  <c r="BA18" i="128"/>
  <c r="BB18" i="128" s="1"/>
  <c r="BC18" i="128" s="1"/>
  <c r="BD18" i="128" s="1"/>
  <c r="BE18" i="128" s="1"/>
  <c r="AZ18" i="128"/>
  <c r="AS14" i="128"/>
  <c r="AT14" i="128" s="1"/>
  <c r="BI17" i="128"/>
  <c r="BJ17" i="128"/>
  <c r="BH17" i="128"/>
  <c r="BK17" i="128"/>
  <c r="BG17" i="128"/>
  <c r="BL17" i="128"/>
  <c r="BK76" i="128"/>
  <c r="BG76" i="128"/>
  <c r="BJ76" i="128"/>
  <c r="BI76" i="128"/>
  <c r="BL76" i="128"/>
  <c r="BH76" i="128"/>
  <c r="AZ70" i="128"/>
  <c r="BA70" i="128"/>
  <c r="BB70" i="128" s="1"/>
  <c r="BC70" i="128" s="1"/>
  <c r="BD70" i="128" s="1"/>
  <c r="BE70" i="128" s="1"/>
  <c r="BK68" i="128"/>
  <c r="BG68" i="128"/>
  <c r="BJ68" i="128"/>
  <c r="BI68" i="128"/>
  <c r="BL68" i="128"/>
  <c r="BH68" i="128"/>
  <c r="BK51" i="128"/>
  <c r="BG51" i="128"/>
  <c r="BJ51" i="128"/>
  <c r="BI51" i="128"/>
  <c r="BL51" i="128"/>
  <c r="BH51" i="128"/>
  <c r="BL40" i="128"/>
  <c r="BH40" i="128"/>
  <c r="BI40" i="128"/>
  <c r="BJ40" i="128"/>
  <c r="BK40" i="128"/>
  <c r="BG40" i="128"/>
  <c r="AZ50" i="128"/>
  <c r="BA50" i="128"/>
  <c r="BB50" i="128" s="1"/>
  <c r="BC50" i="128" s="1"/>
  <c r="BD50" i="128" s="1"/>
  <c r="BE50" i="128" s="1"/>
  <c r="AT48" i="128"/>
  <c r="AU39" i="128"/>
  <c r="AS48" i="128"/>
  <c r="AU13" i="128"/>
  <c r="AZ42" i="128"/>
  <c r="BA42" i="128"/>
  <c r="BB42" i="128" s="1"/>
  <c r="BC42" i="128" s="1"/>
  <c r="BD42" i="128" s="1"/>
  <c r="BE42" i="128" s="1"/>
  <c r="AS62" i="128"/>
  <c r="AT62" i="128"/>
  <c r="AU62" i="128" s="1"/>
  <c r="AY62" i="128" s="1"/>
  <c r="AS58" i="128"/>
  <c r="AT58" i="128" s="1"/>
  <c r="AU58" i="128" s="1"/>
  <c r="AY58" i="128" s="1"/>
  <c r="BA41" i="128"/>
  <c r="BB41" i="128" s="1"/>
  <c r="BC41" i="128" s="1"/>
  <c r="BD41" i="128" s="1"/>
  <c r="BE41" i="128" s="1"/>
  <c r="AZ41" i="128"/>
  <c r="AS10" i="128"/>
  <c r="BC10" i="128" s="1"/>
  <c r="BD10" i="128" s="1"/>
  <c r="BE10" i="128" s="1"/>
  <c r="AS80" i="128"/>
  <c r="AS82" i="128" s="1"/>
  <c r="AQ66" i="128"/>
  <c r="AS49" i="128"/>
  <c r="AS66" i="128" s="1"/>
  <c r="AS32" i="128"/>
  <c r="AT32" i="128" s="1"/>
  <c r="AU32" i="128" s="1"/>
  <c r="AY32" i="128" s="1"/>
  <c r="AS28" i="128"/>
  <c r="AQ38" i="128"/>
  <c r="BA20" i="128"/>
  <c r="BB20" i="128" s="1"/>
  <c r="BC20" i="128" s="1"/>
  <c r="BD20" i="128" s="1"/>
  <c r="BE20" i="128" s="1"/>
  <c r="AZ20" i="128"/>
  <c r="AS16" i="128"/>
  <c r="AS27" i="128" s="1"/>
  <c r="AZ21" i="128"/>
  <c r="BA21" i="128"/>
  <c r="BB21" i="128" s="1"/>
  <c r="BC21" i="128" s="1"/>
  <c r="BD21" i="128" s="1"/>
  <c r="BE21" i="128" s="1"/>
  <c r="BA11" i="128"/>
  <c r="BB11" i="128" s="1"/>
  <c r="BC11" i="128" s="1"/>
  <c r="BD11" i="128" s="1"/>
  <c r="BE11" i="128" s="1"/>
  <c r="AZ11" i="128"/>
  <c r="BL24" i="128"/>
  <c r="BH24" i="128"/>
  <c r="BG24" i="128"/>
  <c r="BJ24" i="128"/>
  <c r="BK24" i="128"/>
  <c r="BI24" i="128"/>
  <c r="F7" i="98"/>
  <c r="M9" i="128" s="1"/>
  <c r="AS38" i="128" l="1"/>
  <c r="AT16" i="128"/>
  <c r="AU16" i="128" s="1"/>
  <c r="AY16" i="128" s="1"/>
  <c r="AT28" i="128"/>
  <c r="AT80" i="128"/>
  <c r="AU80" i="128" s="1"/>
  <c r="AY80" i="128" s="1"/>
  <c r="AT10" i="128"/>
  <c r="AU10" i="128" s="1"/>
  <c r="AY10" i="128" s="1"/>
  <c r="AZ10" i="128" s="1"/>
  <c r="BM17" i="128"/>
  <c r="AU14" i="128"/>
  <c r="AY14" i="128" s="1"/>
  <c r="AT27" i="128"/>
  <c r="BA34" i="128"/>
  <c r="BB34" i="128" s="1"/>
  <c r="BC34" i="128" s="1"/>
  <c r="BD34" i="128" s="1"/>
  <c r="BE34" i="128" s="1"/>
  <c r="AZ34" i="128"/>
  <c r="AU75" i="128"/>
  <c r="AY75" i="128" s="1"/>
  <c r="AT82" i="128"/>
  <c r="BA77" i="128"/>
  <c r="BB77" i="128" s="1"/>
  <c r="BC77" i="128" s="1"/>
  <c r="BD77" i="128" s="1"/>
  <c r="BE77" i="128" s="1"/>
  <c r="AZ77" i="128"/>
  <c r="BA22" i="128"/>
  <c r="BB22" i="128" s="1"/>
  <c r="BC22" i="128" s="1"/>
  <c r="BD22" i="128" s="1"/>
  <c r="BE22" i="128" s="1"/>
  <c r="AZ22" i="128"/>
  <c r="BA53" i="128"/>
  <c r="BB53" i="128" s="1"/>
  <c r="BC53" i="128" s="1"/>
  <c r="BD53" i="128" s="1"/>
  <c r="BE53" i="128" s="1"/>
  <c r="AZ53" i="128"/>
  <c r="BA60" i="128"/>
  <c r="BB60" i="128" s="1"/>
  <c r="BC60" i="128" s="1"/>
  <c r="BD60" i="128" s="1"/>
  <c r="BE60" i="128" s="1"/>
  <c r="AZ60" i="128"/>
  <c r="BK21" i="128"/>
  <c r="BG21" i="128"/>
  <c r="BL21" i="128"/>
  <c r="BI21" i="128"/>
  <c r="BJ21" i="128"/>
  <c r="BH21" i="128"/>
  <c r="AZ16" i="128"/>
  <c r="BA16" i="128"/>
  <c r="BB16" i="128" s="1"/>
  <c r="BC16" i="128" s="1"/>
  <c r="BD16" i="128" s="1"/>
  <c r="BE16" i="128" s="1"/>
  <c r="BA32" i="128"/>
  <c r="BB32" i="128" s="1"/>
  <c r="BC32" i="128" s="1"/>
  <c r="BD32" i="128" s="1"/>
  <c r="BE32" i="128" s="1"/>
  <c r="AZ32" i="128"/>
  <c r="BA80" i="128"/>
  <c r="BB80" i="128" s="1"/>
  <c r="BC80" i="128" s="1"/>
  <c r="BD80" i="128" s="1"/>
  <c r="BE80" i="128" s="1"/>
  <c r="AZ80" i="128"/>
  <c r="AZ58" i="128"/>
  <c r="BA58" i="128"/>
  <c r="BB58" i="128" s="1"/>
  <c r="BC58" i="128" s="1"/>
  <c r="BD58" i="128" s="1"/>
  <c r="BE58" i="128" s="1"/>
  <c r="AZ62" i="128"/>
  <c r="BA62" i="128"/>
  <c r="BB62" i="128" s="1"/>
  <c r="BC62" i="128" s="1"/>
  <c r="BD62" i="128" s="1"/>
  <c r="BE62" i="128" s="1"/>
  <c r="BL42" i="128"/>
  <c r="BH42" i="128"/>
  <c r="BI42" i="128"/>
  <c r="BJ42" i="128"/>
  <c r="BK42" i="128"/>
  <c r="BG42" i="128"/>
  <c r="AU48" i="128"/>
  <c r="AY39" i="128"/>
  <c r="BL50" i="128"/>
  <c r="BH50" i="128"/>
  <c r="BI50" i="128"/>
  <c r="BJ50" i="128"/>
  <c r="BK50" i="128"/>
  <c r="BG50" i="128"/>
  <c r="BJ18" i="128"/>
  <c r="BI18" i="128"/>
  <c r="BG18" i="128"/>
  <c r="BL18" i="128"/>
  <c r="BH18" i="128"/>
  <c r="BK18" i="128"/>
  <c r="BJ30" i="128"/>
  <c r="BK30" i="128"/>
  <c r="BG30" i="128"/>
  <c r="BL30" i="128"/>
  <c r="BH30" i="128"/>
  <c r="BI30" i="128"/>
  <c r="BL59" i="128"/>
  <c r="BH59" i="128"/>
  <c r="BI59" i="128"/>
  <c r="BJ59" i="128"/>
  <c r="BK59" i="128"/>
  <c r="BG59" i="128"/>
  <c r="BL61" i="128"/>
  <c r="BH61" i="128"/>
  <c r="BI61" i="128"/>
  <c r="BJ61" i="128"/>
  <c r="BK61" i="128"/>
  <c r="BG61" i="128"/>
  <c r="BL63" i="128"/>
  <c r="BH63" i="128"/>
  <c r="BI63" i="128"/>
  <c r="BJ63" i="128"/>
  <c r="BK63" i="128"/>
  <c r="BG63" i="128"/>
  <c r="BL57" i="128"/>
  <c r="BH57" i="128"/>
  <c r="BI57" i="128"/>
  <c r="BJ57" i="128"/>
  <c r="BK57" i="128"/>
  <c r="BG57" i="128"/>
  <c r="BK23" i="128"/>
  <c r="BG23" i="128"/>
  <c r="BH23" i="128"/>
  <c r="BI23" i="128"/>
  <c r="BL23" i="128"/>
  <c r="BJ23" i="128"/>
  <c r="BL52" i="128"/>
  <c r="BH52" i="128"/>
  <c r="BI52" i="128"/>
  <c r="BJ52" i="128"/>
  <c r="BK52" i="128"/>
  <c r="BG52" i="128"/>
  <c r="BI79" i="128"/>
  <c r="BL79" i="128"/>
  <c r="BH79" i="128"/>
  <c r="BK79" i="128"/>
  <c r="BG79" i="128"/>
  <c r="BM79" i="128" s="1"/>
  <c r="BJ79" i="128"/>
  <c r="BK47" i="128"/>
  <c r="BG47" i="128"/>
  <c r="BJ47" i="128"/>
  <c r="BI47" i="128"/>
  <c r="BL47" i="128"/>
  <c r="BH47" i="128"/>
  <c r="BL54" i="128"/>
  <c r="BH54" i="128"/>
  <c r="BI54" i="128"/>
  <c r="BJ54" i="128"/>
  <c r="BK54" i="128"/>
  <c r="BG54" i="128"/>
  <c r="BI73" i="128"/>
  <c r="BL73" i="128"/>
  <c r="BH73" i="128"/>
  <c r="BK73" i="128"/>
  <c r="BG73" i="128"/>
  <c r="BM73" i="128" s="1"/>
  <c r="BJ73" i="128"/>
  <c r="BL56" i="128"/>
  <c r="BH56" i="128"/>
  <c r="BK56" i="128"/>
  <c r="BJ56" i="128"/>
  <c r="BI56" i="128"/>
  <c r="BG56" i="128"/>
  <c r="R9" i="128"/>
  <c r="U9" i="128"/>
  <c r="AJ9" i="128"/>
  <c r="AP9" i="128"/>
  <c r="AU28" i="128"/>
  <c r="AT38" i="128"/>
  <c r="BM24" i="128"/>
  <c r="BJ11" i="128"/>
  <c r="BK11" i="128"/>
  <c r="BG11" i="128"/>
  <c r="BL11" i="128"/>
  <c r="BH11" i="128"/>
  <c r="BI11" i="128"/>
  <c r="BJ20" i="128"/>
  <c r="BK20" i="128"/>
  <c r="BI20" i="128"/>
  <c r="BL20" i="128"/>
  <c r="BH20" i="128"/>
  <c r="BG20" i="128"/>
  <c r="BM20" i="128" s="1"/>
  <c r="AT49" i="128"/>
  <c r="BK10" i="128"/>
  <c r="BG10" i="128"/>
  <c r="BJ10" i="128"/>
  <c r="BI10" i="128"/>
  <c r="BL10" i="128"/>
  <c r="BH10" i="128"/>
  <c r="BJ41" i="128"/>
  <c r="BK41" i="128"/>
  <c r="BI41" i="128"/>
  <c r="BL41" i="128"/>
  <c r="BH41" i="128"/>
  <c r="BG41" i="128"/>
  <c r="AY13" i="128"/>
  <c r="AU27" i="128"/>
  <c r="BM40" i="128"/>
  <c r="BM51" i="128"/>
  <c r="BM68" i="128"/>
  <c r="BK70" i="128"/>
  <c r="BG70" i="128"/>
  <c r="BH70" i="128"/>
  <c r="BI70" i="128"/>
  <c r="BL70" i="128"/>
  <c r="BJ70" i="128"/>
  <c r="BM76" i="128"/>
  <c r="BI31" i="128"/>
  <c r="BL31" i="128"/>
  <c r="BH31" i="128"/>
  <c r="BK31" i="128"/>
  <c r="BG31" i="128"/>
  <c r="BJ31" i="128"/>
  <c r="BK45" i="128"/>
  <c r="BG45" i="128"/>
  <c r="BJ45" i="128"/>
  <c r="BI45" i="128"/>
  <c r="BL45" i="128"/>
  <c r="BH45" i="128"/>
  <c r="BI25" i="128"/>
  <c r="BL25" i="128"/>
  <c r="BH25" i="128"/>
  <c r="BK25" i="128"/>
  <c r="BG25" i="128"/>
  <c r="BJ25" i="128"/>
  <c r="BM46" i="128"/>
  <c r="BI55" i="128"/>
  <c r="BL55" i="128"/>
  <c r="BH55" i="128"/>
  <c r="BK55" i="128"/>
  <c r="BG55" i="128"/>
  <c r="BJ55" i="128"/>
  <c r="BM72" i="128"/>
  <c r="BI74" i="128"/>
  <c r="BL74" i="128"/>
  <c r="BH74" i="128"/>
  <c r="BK74" i="128"/>
  <c r="BG74" i="128"/>
  <c r="BJ74" i="128"/>
  <c r="BI78" i="128"/>
  <c r="BL78" i="128"/>
  <c r="BJ78" i="128"/>
  <c r="BK78" i="128"/>
  <c r="BG78" i="128"/>
  <c r="BH78" i="128"/>
  <c r="BM29" i="128"/>
  <c r="BM43" i="128"/>
  <c r="BM71" i="128"/>
  <c r="BM81" i="128"/>
  <c r="AU82" i="128"/>
  <c r="AY67" i="128"/>
  <c r="BJ44" i="128"/>
  <c r="BK44" i="128"/>
  <c r="BG44" i="128"/>
  <c r="BL44" i="128"/>
  <c r="BH44" i="128"/>
  <c r="BI44" i="128"/>
  <c r="BI15" i="128"/>
  <c r="BL15" i="128"/>
  <c r="BH15" i="128"/>
  <c r="BK15" i="128"/>
  <c r="BG15" i="128"/>
  <c r="BJ15" i="128"/>
  <c r="BI33" i="128"/>
  <c r="BL33" i="128"/>
  <c r="BH33" i="128"/>
  <c r="BK33" i="128"/>
  <c r="BG33" i="128"/>
  <c r="BJ33" i="128"/>
  <c r="BJ69" i="128"/>
  <c r="BI69" i="128"/>
  <c r="BG69" i="128"/>
  <c r="BL69" i="128"/>
  <c r="BH69" i="128"/>
  <c r="BK69" i="128"/>
  <c r="M9" i="122"/>
  <c r="Z9" i="122"/>
  <c r="AA9" i="122" s="1"/>
  <c r="AB9" i="122"/>
  <c r="AC9" i="122" s="1"/>
  <c r="AD9" i="122"/>
  <c r="AE9" i="122"/>
  <c r="AF9" i="122"/>
  <c r="AG9" i="122"/>
  <c r="N9" i="122"/>
  <c r="O9" i="122"/>
  <c r="P9" i="122"/>
  <c r="Q9" i="122"/>
  <c r="BM55" i="128" l="1"/>
  <c r="BM69" i="128"/>
  <c r="BM33" i="128"/>
  <c r="BM15" i="128"/>
  <c r="BM44" i="128"/>
  <c r="BM78" i="128"/>
  <c r="BM74" i="128"/>
  <c r="BM25" i="128"/>
  <c r="BM31" i="128"/>
  <c r="BM70" i="128"/>
  <c r="AZ13" i="128"/>
  <c r="AY27" i="128"/>
  <c r="BA13" i="128"/>
  <c r="BM41" i="128"/>
  <c r="BM10" i="128"/>
  <c r="AT66" i="128"/>
  <c r="AU49" i="128"/>
  <c r="BM11" i="128"/>
  <c r="BM56" i="128"/>
  <c r="BM54" i="128"/>
  <c r="BM47" i="128"/>
  <c r="BM52" i="128"/>
  <c r="BM23" i="128"/>
  <c r="BM57" i="128"/>
  <c r="BM63" i="128"/>
  <c r="BM61" i="128"/>
  <c r="BM59" i="128"/>
  <c r="BM50" i="128"/>
  <c r="AZ39" i="128"/>
  <c r="AZ48" i="128" s="1"/>
  <c r="AY48" i="128"/>
  <c r="BA39" i="128"/>
  <c r="BM42" i="128"/>
  <c r="BI62" i="128"/>
  <c r="BL62" i="128"/>
  <c r="BH62" i="128"/>
  <c r="BK62" i="128"/>
  <c r="BG62" i="128"/>
  <c r="BJ62" i="128"/>
  <c r="BI58" i="128"/>
  <c r="BL58" i="128"/>
  <c r="BH58" i="128"/>
  <c r="BK58" i="128"/>
  <c r="BG58" i="128"/>
  <c r="BJ58" i="128"/>
  <c r="BJ16" i="128"/>
  <c r="BK16" i="128"/>
  <c r="BI16" i="128"/>
  <c r="BL16" i="128"/>
  <c r="BH16" i="128"/>
  <c r="BG16" i="128"/>
  <c r="BM16" i="128" s="1"/>
  <c r="BM21" i="128"/>
  <c r="AY82" i="128"/>
  <c r="AZ67" i="128"/>
  <c r="BA67" i="128"/>
  <c r="BM45" i="128"/>
  <c r="AY28" i="128"/>
  <c r="AU38" i="128"/>
  <c r="BM30" i="128"/>
  <c r="BM18" i="128"/>
  <c r="BL80" i="128"/>
  <c r="BH80" i="128"/>
  <c r="BI80" i="128"/>
  <c r="BJ80" i="128"/>
  <c r="BK80" i="128"/>
  <c r="BG80" i="128"/>
  <c r="BL32" i="128"/>
  <c r="BH32" i="128"/>
  <c r="BI32" i="128"/>
  <c r="BJ32" i="128"/>
  <c r="BK32" i="128"/>
  <c r="BG32" i="128"/>
  <c r="BI60" i="128"/>
  <c r="BL60" i="128"/>
  <c r="BH60" i="128"/>
  <c r="BK60" i="128"/>
  <c r="BG60" i="128"/>
  <c r="BM60" i="128" s="1"/>
  <c r="BJ60" i="128"/>
  <c r="BI53" i="128"/>
  <c r="BL53" i="128"/>
  <c r="BH53" i="128"/>
  <c r="BK53" i="128"/>
  <c r="BG53" i="128"/>
  <c r="BM53" i="128" s="1"/>
  <c r="BJ53" i="128"/>
  <c r="BJ22" i="128"/>
  <c r="BI22" i="128"/>
  <c r="BG22" i="128"/>
  <c r="BL22" i="128"/>
  <c r="BH22" i="128"/>
  <c r="BK22" i="128"/>
  <c r="BL77" i="128"/>
  <c r="BH77" i="128"/>
  <c r="BI77" i="128"/>
  <c r="BJ77" i="128"/>
  <c r="BK77" i="128"/>
  <c r="BG77" i="128"/>
  <c r="BA75" i="128"/>
  <c r="BB75" i="128" s="1"/>
  <c r="BC75" i="128" s="1"/>
  <c r="BD75" i="128" s="1"/>
  <c r="BE75" i="128" s="1"/>
  <c r="AZ75" i="128"/>
  <c r="BL34" i="128"/>
  <c r="BH34" i="128"/>
  <c r="BI34" i="128"/>
  <c r="BJ34" i="128"/>
  <c r="BK34" i="128"/>
  <c r="BG34" i="128"/>
  <c r="BA14" i="128"/>
  <c r="BB14" i="128" s="1"/>
  <c r="BC14" i="128" s="1"/>
  <c r="BD14" i="128" s="1"/>
  <c r="BE14" i="128" s="1"/>
  <c r="AZ14" i="128"/>
  <c r="R9" i="122"/>
  <c r="AP9" i="122"/>
  <c r="AJ9" i="122"/>
  <c r="BJ14" i="128" l="1"/>
  <c r="BK14" i="128"/>
  <c r="BG14" i="128"/>
  <c r="BL14" i="128"/>
  <c r="BH14" i="128"/>
  <c r="BI14" i="128"/>
  <c r="BL75" i="128"/>
  <c r="BH75" i="128"/>
  <c r="BI75" i="128"/>
  <c r="BJ75" i="128"/>
  <c r="BK75" i="128"/>
  <c r="BG75" i="128"/>
  <c r="BM22" i="128"/>
  <c r="AY38" i="128"/>
  <c r="BA28" i="128"/>
  <c r="AZ28" i="128"/>
  <c r="AZ38" i="128" s="1"/>
  <c r="BA82" i="128"/>
  <c r="BB67" i="128"/>
  <c r="AY49" i="128"/>
  <c r="AU66" i="128"/>
  <c r="BB13" i="128"/>
  <c r="BA27" i="128"/>
  <c r="AZ27" i="128"/>
  <c r="BM34" i="128"/>
  <c r="BM77" i="128"/>
  <c r="BM32" i="128"/>
  <c r="BM80" i="128"/>
  <c r="AZ82" i="128"/>
  <c r="BM58" i="128"/>
  <c r="BM62" i="128"/>
  <c r="BA48" i="128"/>
  <c r="BB39" i="128"/>
  <c r="V9" i="122"/>
  <c r="BM75" i="128" l="1"/>
  <c r="BB48" i="128"/>
  <c r="BC39" i="128"/>
  <c r="BB82" i="128"/>
  <c r="BC67" i="128"/>
  <c r="BB27" i="128"/>
  <c r="BC13" i="128"/>
  <c r="AY66" i="128"/>
  <c r="BA49" i="128"/>
  <c r="AZ49" i="128"/>
  <c r="AZ66" i="128" s="1"/>
  <c r="BB28" i="128"/>
  <c r="BA38" i="128"/>
  <c r="BM14" i="128"/>
  <c r="BA12" i="128"/>
  <c r="W9" i="122"/>
  <c r="Y9" i="122" s="1"/>
  <c r="X9" i="122"/>
  <c r="BB38" i="128" l="1"/>
  <c r="BC28" i="128"/>
  <c r="BA66" i="128"/>
  <c r="BB49" i="128"/>
  <c r="BD13" i="128"/>
  <c r="BC27" i="128"/>
  <c r="BC82" i="128"/>
  <c r="BD67" i="128"/>
  <c r="BD39" i="128"/>
  <c r="BC48" i="128"/>
  <c r="BB12" i="128"/>
  <c r="BD48" i="128" l="1"/>
  <c r="BE39" i="128"/>
  <c r="BE67" i="128"/>
  <c r="BD82" i="128"/>
  <c r="BB66" i="128"/>
  <c r="BC49" i="128"/>
  <c r="BD28" i="128"/>
  <c r="BC38" i="128"/>
  <c r="BE13" i="128"/>
  <c r="BD27" i="128"/>
  <c r="BK13" i="128" l="1"/>
  <c r="BK27" i="128" s="1"/>
  <c r="BG13" i="128"/>
  <c r="BJ13" i="128"/>
  <c r="BJ27" i="128" s="1"/>
  <c r="BE27" i="128"/>
  <c r="BI13" i="128"/>
  <c r="BI27" i="128" s="1"/>
  <c r="BL13" i="128"/>
  <c r="BL27" i="128" s="1"/>
  <c r="BH13" i="128"/>
  <c r="BH27" i="128" s="1"/>
  <c r="BD49" i="128"/>
  <c r="BC66" i="128"/>
  <c r="BE48" i="128"/>
  <c r="BI39" i="128"/>
  <c r="BI48" i="128" s="1"/>
  <c r="BL39" i="128"/>
  <c r="BL48" i="128" s="1"/>
  <c r="BH39" i="128"/>
  <c r="BH48" i="128" s="1"/>
  <c r="BK39" i="128"/>
  <c r="BK48" i="128" s="1"/>
  <c r="BG39" i="128"/>
  <c r="BJ39" i="128"/>
  <c r="BJ48" i="128" s="1"/>
  <c r="BD38" i="128"/>
  <c r="BE28" i="128"/>
  <c r="BL67" i="128"/>
  <c r="BL82" i="128" s="1"/>
  <c r="BH67" i="128"/>
  <c r="BH82" i="128" s="1"/>
  <c r="BI67" i="128"/>
  <c r="BI82" i="128" s="1"/>
  <c r="BE82" i="128"/>
  <c r="BJ67" i="128"/>
  <c r="BJ82" i="128" s="1"/>
  <c r="BK67" i="128"/>
  <c r="BK82" i="128" s="1"/>
  <c r="BG67" i="128"/>
  <c r="BL28" i="128" l="1"/>
  <c r="BL38" i="128" s="1"/>
  <c r="BH28" i="128"/>
  <c r="BH38" i="128" s="1"/>
  <c r="BK28" i="128"/>
  <c r="BK38" i="128" s="1"/>
  <c r="BG28" i="128"/>
  <c r="BJ28" i="128"/>
  <c r="BJ38" i="128" s="1"/>
  <c r="BE38" i="128"/>
  <c r="BI28" i="128"/>
  <c r="BI38" i="128" s="1"/>
  <c r="BE49" i="128"/>
  <c r="BD66" i="128"/>
  <c r="BM13" i="128"/>
  <c r="BM27" i="128" s="1"/>
  <c r="BG27" i="128"/>
  <c r="BM67" i="128"/>
  <c r="BM82" i="128" s="1"/>
  <c r="BG82" i="128"/>
  <c r="BM39" i="128"/>
  <c r="BM48" i="128" s="1"/>
  <c r="BG48" i="128"/>
  <c r="BE66" i="128" l="1"/>
  <c r="BI49" i="128"/>
  <c r="BI66" i="128" s="1"/>
  <c r="BL49" i="128"/>
  <c r="BL66" i="128" s="1"/>
  <c r="BH49" i="128"/>
  <c r="BH66" i="128" s="1"/>
  <c r="BK49" i="128"/>
  <c r="BK66" i="128" s="1"/>
  <c r="BG49" i="128"/>
  <c r="BJ49" i="128"/>
  <c r="BJ66" i="128" s="1"/>
  <c r="BM28" i="128"/>
  <c r="BM38" i="128" s="1"/>
  <c r="BG38" i="128"/>
  <c r="N7" i="98"/>
  <c r="V9" i="128" s="1"/>
  <c r="X9" i="128" l="1"/>
  <c r="AQ9" i="128" s="1"/>
  <c r="W9" i="128"/>
  <c r="Y9" i="128" s="1"/>
  <c r="BM49" i="128"/>
  <c r="BM66" i="128" s="1"/>
  <c r="BG66" i="128"/>
  <c r="S9" i="122"/>
  <c r="AS9" i="128" l="1"/>
  <c r="BC9" i="128" s="1"/>
  <c r="AQ12" i="128"/>
  <c r="U9" i="122"/>
  <c r="AQ9" i="122" s="1"/>
  <c r="BD9" i="128" l="1"/>
  <c r="BC12" i="128"/>
  <c r="AT9" i="128"/>
  <c r="AS12" i="128"/>
  <c r="AQ10" i="122"/>
  <c r="AS9" i="122"/>
  <c r="AU9" i="128" l="1"/>
  <c r="AT12" i="128"/>
  <c r="BE9" i="128"/>
  <c r="BD12" i="128"/>
  <c r="AT9" i="122"/>
  <c r="AT10" i="122" s="1"/>
  <c r="AS10" i="122"/>
  <c r="AU9" i="122"/>
  <c r="AU10" i="122" s="1"/>
  <c r="BL9" i="128" l="1"/>
  <c r="BL12" i="128" s="1"/>
  <c r="BH9" i="128"/>
  <c r="BH12" i="128" s="1"/>
  <c r="BI9" i="128"/>
  <c r="BI12" i="128" s="1"/>
  <c r="BJ9" i="128"/>
  <c r="BJ12" i="128" s="1"/>
  <c r="BK9" i="128"/>
  <c r="BK12" i="128" s="1"/>
  <c r="BG9" i="128"/>
  <c r="BE12" i="128"/>
  <c r="AY9" i="128"/>
  <c r="AU12" i="128"/>
  <c r="AY9" i="122"/>
  <c r="AY10" i="122" s="1"/>
  <c r="AZ9" i="128" l="1"/>
  <c r="AZ12" i="128" s="1"/>
  <c r="AY12" i="128"/>
  <c r="BM9" i="128"/>
  <c r="BM12" i="128" s="1"/>
  <c r="BG12" i="128"/>
  <c r="AZ9" i="122"/>
  <c r="AZ10" i="122" s="1"/>
  <c r="BA9" i="122"/>
  <c r="BA10" i="122" s="1"/>
  <c r="BB9" i="122" l="1"/>
  <c r="BB10" i="122" l="1"/>
  <c r="BC9" i="122"/>
  <c r="BC10" i="122" s="1"/>
  <c r="BI4" i="122" l="1"/>
  <c r="BD9" i="122" l="1"/>
  <c r="BE9" i="122" l="1"/>
  <c r="BG9" i="122" l="1"/>
  <c r="BH9" i="122"/>
  <c r="BL9" i="122"/>
  <c r="BJ9" i="122"/>
  <c r="BK9" i="122"/>
  <c r="BI9" i="122"/>
  <c r="BM9" i="122" l="1"/>
  <c r="BE10" i="122" l="1"/>
  <c r="BD10" i="122" l="1"/>
  <c r="BH10" i="122"/>
  <c r="BJ10" i="122"/>
  <c r="BI10" i="122"/>
  <c r="BK10" i="122"/>
  <c r="BL10" i="122" l="1"/>
  <c r="BG10" i="122"/>
  <c r="BM10" i="122" l="1"/>
</calcChain>
</file>

<file path=xl/sharedStrings.xml><?xml version="1.0" encoding="utf-8"?>
<sst xmlns="http://schemas.openxmlformats.org/spreadsheetml/2006/main" count="954" uniqueCount="485">
  <si>
    <t>工号</t>
  </si>
  <si>
    <t>进厂日期</t>
  </si>
  <si>
    <t>总经理：</t>
  </si>
  <si>
    <t>部门管理：</t>
  </si>
  <si>
    <t>កម្មករ</t>
  </si>
  <si>
    <t>លេខកាត</t>
  </si>
  <si>
    <t>ផ្នែក</t>
  </si>
  <si>
    <t>មុខងារ</t>
  </si>
  <si>
    <t>ភេទ</t>
  </si>
  <si>
    <t>ថ្ងៃខែឆ្នាំចូលធ្វើការ</t>
  </si>
  <si>
    <t>ប្រាក់ខែគោល</t>
  </si>
  <si>
    <t>shipping</t>
  </si>
  <si>
    <t>ប្រាក់អតីតភាព</t>
  </si>
  <si>
    <t>cleaner</t>
  </si>
  <si>
    <t>F</t>
  </si>
  <si>
    <t>M</t>
  </si>
  <si>
    <t>USD</t>
  </si>
  <si>
    <t>ល·រ</t>
  </si>
  <si>
    <t>ប្រាក់50%</t>
  </si>
  <si>
    <t>织造</t>
  </si>
  <si>
    <t>缝头</t>
  </si>
  <si>
    <t>定型</t>
  </si>
  <si>
    <t>包装</t>
  </si>
  <si>
    <t>主任</t>
  </si>
  <si>
    <t>ចំនួនថ្ងៃធ្វើការក្នុងមួយខែ</t>
  </si>
  <si>
    <t>ច្បាប់ឈឺ</t>
  </si>
  <si>
    <t>ចំនួនថ្ងៃ50%</t>
  </si>
  <si>
    <t>ប្រាក់រង្វាន់ទៀងទាត់</t>
  </si>
  <si>
    <t>ប្រាក់តំណែង</t>
  </si>
  <si>
    <t>ប្រាក់ស៊ីបុង</t>
  </si>
  <si>
    <t>ចំនួនម៉ោងថែម</t>
  </si>
  <si>
    <t>ចំនួនថ្ងៃថែមម៉ោង</t>
  </si>
  <si>
    <t>ទឹកប្រាក់ថែមម៉ោង</t>
  </si>
  <si>
    <t>ថ្លៃបាយ</t>
  </si>
  <si>
    <t>ប្រាក់បាយថែមម៉ោង</t>
  </si>
  <si>
    <t>ប្រាក់ទទួលបាន</t>
  </si>
  <si>
    <t>ប្រាក់កាត់ពន្ធ</t>
  </si>
  <si>
    <t>ប្រាក់៥%</t>
  </si>
  <si>
    <t>ចំនួនម៉ោងធ្វើការ</t>
  </si>
  <si>
    <t>អត្រាកាត់ពន្ធ</t>
  </si>
  <si>
    <t>ច្បាប់ទូទៅ</t>
  </si>
  <si>
    <t>ចំនួនថ្ងៃធ្វើការជាក់ស្តែង</t>
  </si>
  <si>
    <t>ចំនួនថ្ងៃប្រចាំឆ្នាំ</t>
  </si>
  <si>
    <t>ថ្ងៃសម្រាកបុណ្យ</t>
  </si>
  <si>
    <t>ប្រធានរដ្ឋបាល</t>
  </si>
  <si>
    <t>人事管理</t>
  </si>
  <si>
    <t>ស្នាមមេដៃ</t>
    <phoneticPr fontId="5" type="noConversion"/>
  </si>
  <si>
    <t>ឈ្មោះខ្មែរ</t>
    <phoneticPr fontId="5" type="noConversion"/>
  </si>
  <si>
    <t>序号</t>
    <phoneticPr fontId="5" type="noConversion" alignment="distributed"/>
  </si>
  <si>
    <t>工号</t>
    <phoneticPr fontId="5" type="noConversion" alignment="distributed"/>
  </si>
  <si>
    <t>部门</t>
    <phoneticPr fontId="5" type="noConversion" alignment="distributed"/>
  </si>
  <si>
    <t>职务</t>
    <phoneticPr fontId="5" type="noConversion" alignment="distributed"/>
  </si>
  <si>
    <t>性别</t>
    <phoneticPr fontId="5" type="noConversion" alignment="distributed"/>
  </si>
  <si>
    <t>基本工资</t>
    <phoneticPr fontId="5" type="noConversion" alignment="distributed"/>
  </si>
  <si>
    <t>进厂日期</t>
    <phoneticPr fontId="5" type="noConversion" alignment="distributed"/>
  </si>
  <si>
    <t>每月上班天数</t>
    <phoneticPr fontId="5" type="noConversion" alignment="distributed"/>
  </si>
  <si>
    <t>出勤天数</t>
    <phoneticPr fontId="5" type="noConversion" alignment="distributed"/>
  </si>
  <si>
    <t>国定节日</t>
    <phoneticPr fontId="5" type="noConversion" alignment="distributed"/>
  </si>
  <si>
    <t>无薪天数</t>
    <phoneticPr fontId="5" type="noConversion" alignment="distributed"/>
  </si>
  <si>
    <t>病假</t>
    <phoneticPr fontId="5" type="noConversion" alignment="distributed"/>
  </si>
  <si>
    <t>工作时间数</t>
    <phoneticPr fontId="5" type="noConversion" alignment="distributed"/>
  </si>
  <si>
    <t>平日加班时间数</t>
    <phoneticPr fontId="5" type="noConversion" alignment="distributed"/>
  </si>
  <si>
    <t>平日加班天数</t>
    <phoneticPr fontId="5" type="noConversion" alignment="distributed"/>
  </si>
  <si>
    <t>平日加班餐费</t>
    <phoneticPr fontId="5" type="noConversion" alignment="distributed"/>
  </si>
  <si>
    <t>50%天数</t>
    <phoneticPr fontId="5" type="noConversion" alignment="distributed"/>
  </si>
  <si>
    <t>50%工资</t>
    <phoneticPr fontId="5" type="noConversion" alignment="distributed"/>
  </si>
  <si>
    <t>国定假日天数</t>
    <phoneticPr fontId="5" type="noConversion" alignment="distributed"/>
  </si>
  <si>
    <t>年龄工资</t>
    <phoneticPr fontId="5" type="noConversion" alignment="distributed"/>
  </si>
  <si>
    <t>产量工资</t>
    <phoneticPr fontId="5" type="noConversion" alignment="distributed"/>
  </si>
  <si>
    <t>车贴</t>
    <phoneticPr fontId="5" type="noConversion" alignment="distributed"/>
  </si>
  <si>
    <t>餐贴</t>
    <phoneticPr fontId="5" type="noConversion" alignment="distributed"/>
  </si>
  <si>
    <t>交税工资</t>
    <phoneticPr fontId="5" type="noConversion" alignment="distributed"/>
  </si>
  <si>
    <t>合计工资</t>
    <phoneticPr fontId="5" type="noConversion" alignment="distributed"/>
  </si>
  <si>
    <t>应发工资</t>
    <phoneticPr fontId="5" type="noConversion" alignment="distributed"/>
  </si>
  <si>
    <t>美金</t>
    <phoneticPr fontId="5" type="noConversion" alignment="distributed"/>
  </si>
  <si>
    <t>员工手印</t>
    <phoneticPr fontId="5" type="noConversion" alignment="distributed"/>
  </si>
  <si>
    <t xml:space="preserve">平日加班工资 </t>
    <phoneticPr fontId="5" type="noConversion" alignment="distributed"/>
  </si>
  <si>
    <t>ប្រាក់បំណាច់ឆ្នាំ</t>
    <phoneticPr fontId="5" type="noConversion" alignment="distributed"/>
  </si>
  <si>
    <t>នាយកគ្រប់គ្រង</t>
    <phoneticPr fontId="5" type="noConversion" alignment="distributed"/>
  </si>
  <si>
    <r>
      <rPr>
        <sz val="14"/>
        <color indexed="8"/>
        <rFont val="宋体"/>
        <family val="3"/>
        <charset val="134"/>
      </rPr>
      <t>织造</t>
    </r>
    <r>
      <rPr>
        <sz val="14"/>
        <color indexed="8"/>
        <rFont val="Khmer OS Content"/>
      </rPr>
      <t>2</t>
    </r>
    <phoneticPr fontId="25" type="noConversion"/>
  </si>
  <si>
    <t xml:space="preserve">                                        </t>
    <phoneticPr fontId="5" type="noConversion"/>
  </si>
  <si>
    <t>ថ្លៃឡាន</t>
    <phoneticPr fontId="25" type="noConversion"/>
  </si>
  <si>
    <t>ប្រាក់ខែធ្វើការក្នុង១ថ្ងៃ</t>
  </si>
  <si>
    <t>ប្រាក់ធ្វើការក្នុង១ខែ</t>
  </si>
  <si>
    <t>一天上班工资</t>
    <phoneticPr fontId="5" type="noConversion" alignment="distributed"/>
  </si>
  <si>
    <t>应得上班工资</t>
    <phoneticPr fontId="5" type="noConversion" alignment="distributed"/>
  </si>
  <si>
    <t>定型</t>
    <phoneticPr fontId="26" type="noConversion"/>
  </si>
  <si>
    <t>F</t>
    <phoneticPr fontId="26" type="noConversion"/>
  </si>
  <si>
    <t>缝头</t>
    <phoneticPr fontId="26" type="noConversion"/>
  </si>
  <si>
    <t>加班时数</t>
  </si>
  <si>
    <t>病假天数</t>
  </si>
  <si>
    <t>事假</t>
  </si>
  <si>
    <t>Nº</t>
  </si>
  <si>
    <t>9点加班</t>
    <phoneticPr fontId="28" type="noConversion"/>
  </si>
  <si>
    <t>M</t>
    <phoneticPr fontId="26" type="noConversion"/>
  </si>
  <si>
    <t>织造2</t>
  </si>
  <si>
    <t>មី មុយហ៊ួង</t>
    <phoneticPr fontId="25" type="noConversion"/>
  </si>
  <si>
    <t>តូច អ៊ិត</t>
    <phoneticPr fontId="25" type="noConversion"/>
  </si>
  <si>
    <t>ទេស លីម៉ា</t>
    <phoneticPr fontId="25" type="noConversion"/>
  </si>
  <si>
    <t>ម៉ៅ ចន្ធី</t>
    <phoneticPr fontId="25" type="noConversion"/>
  </si>
  <si>
    <t>សែម ពុទ្រា</t>
    <phoneticPr fontId="25" type="noConversion"/>
  </si>
  <si>
    <t>គៀង ចាន់ថន</t>
    <phoneticPr fontId="25" type="noConversion"/>
  </si>
  <si>
    <t>អូន ស៊ីណាត</t>
    <phoneticPr fontId="25" type="noConversion"/>
  </si>
  <si>
    <t>ភិន ភ័ក្រ្តលី</t>
    <phoneticPr fontId="25" type="noConversion"/>
  </si>
  <si>
    <t>អូន ភក្តី</t>
    <phoneticPr fontId="25" type="noConversion"/>
  </si>
  <si>
    <t>កើត យូរី</t>
    <phoneticPr fontId="25" type="noConversion"/>
  </si>
  <si>
    <t>អ៊ិត ម៉ារី</t>
    <phoneticPr fontId="25" type="noConversion"/>
  </si>
  <si>
    <t>មីន សរ៉នីយ៉ាស់</t>
    <phoneticPr fontId="25" type="noConversion"/>
  </si>
  <si>
    <t>អ៊ុង ហ្វារី</t>
    <phoneticPr fontId="25" type="noConversion"/>
  </si>
  <si>
    <t>ខ្មៅ អាស៊ីយ៉ះ</t>
    <phoneticPr fontId="25" type="noConversion"/>
  </si>
  <si>
    <t>ទាត ច្រឹប</t>
    <phoneticPr fontId="25" type="noConversion"/>
  </si>
  <si>
    <t>សុង ចំរើន</t>
    <phoneticPr fontId="25" type="noConversion"/>
  </si>
  <si>
    <t>លិន សុភាស់</t>
    <phoneticPr fontId="25" type="noConversion"/>
  </si>
  <si>
    <t>វ៉ាន ហ៊ុនស្រីពៅ</t>
    <phoneticPr fontId="25" type="noConversion"/>
  </si>
  <si>
    <t>លិន សុនឿន</t>
    <phoneticPr fontId="25" type="noConversion"/>
  </si>
  <si>
    <t>វ៉ង់ ម៉ៃ</t>
    <phoneticPr fontId="25" type="noConversion"/>
  </si>
  <si>
    <t>ជិន កប</t>
    <phoneticPr fontId="25" type="noConversion"/>
  </si>
  <si>
    <t>ហាប់ ទី</t>
    <phoneticPr fontId="25" type="noConversion"/>
  </si>
  <si>
    <t>织造</t>
    <phoneticPr fontId="28" type="noConversion"/>
  </si>
  <si>
    <t>翻译</t>
    <phoneticPr fontId="28" type="noConversion"/>
  </si>
  <si>
    <t>人事</t>
    <phoneticPr fontId="28" type="noConversion"/>
  </si>
  <si>
    <t>翻译</t>
    <phoneticPr fontId="28" type="noConversion"/>
  </si>
  <si>
    <t>清洁工</t>
    <phoneticPr fontId="28" type="noConversion"/>
  </si>
  <si>
    <t>包装</t>
    <phoneticPr fontId="28" type="noConversion"/>
  </si>
  <si>
    <t>包装</t>
    <phoneticPr fontId="28" type="noConversion"/>
  </si>
  <si>
    <t>定型</t>
    <phoneticPr fontId="28" type="noConversion"/>
  </si>
  <si>
    <t>定型</t>
    <phoneticPr fontId="28" type="noConversion"/>
  </si>
  <si>
    <t>缝头</t>
    <phoneticPr fontId="28" type="noConversion"/>
  </si>
  <si>
    <t>织造</t>
    <phoneticPr fontId="28" type="noConversion"/>
  </si>
  <si>
    <t>织造</t>
    <phoneticPr fontId="28" type="noConversion"/>
  </si>
  <si>
    <r>
      <rPr>
        <sz val="14"/>
        <color indexed="8"/>
        <rFont val="宋体"/>
        <family val="3"/>
        <charset val="134"/>
      </rPr>
      <t>织造</t>
    </r>
    <r>
      <rPr>
        <sz val="14"/>
        <color indexed="8"/>
        <rFont val="Khmer OS Content"/>
      </rPr>
      <t>2</t>
    </r>
    <phoneticPr fontId="28" type="noConversion"/>
  </si>
  <si>
    <t>F</t>
    <phoneticPr fontId="32" type="noConversion"/>
  </si>
  <si>
    <t>ជឹម មិនា</t>
    <phoneticPr fontId="25" type="noConversion"/>
  </si>
  <si>
    <t>អ៊ុន ម៉ាស៊ីតោះ</t>
    <phoneticPr fontId="25" type="noConversion"/>
  </si>
  <si>
    <t>អ៊ិត ម៉ៃសរ៉ស់</t>
    <phoneticPr fontId="25" type="noConversion"/>
  </si>
  <si>
    <t>គីន ស្រីអូន</t>
    <phoneticPr fontId="25" type="noConversion"/>
  </si>
  <si>
    <t>ហាន ស្រីណា</t>
    <phoneticPr fontId="25" type="noConversion"/>
  </si>
  <si>
    <t>礼拜天加班</t>
    <phoneticPr fontId="28" type="noConversion"/>
  </si>
  <si>
    <t>礼拜天加班</t>
    <phoneticPr fontId="28" type="noConversion"/>
  </si>
  <si>
    <t>假期</t>
    <phoneticPr fontId="28" type="noConversion"/>
  </si>
  <si>
    <r>
      <rPr>
        <sz val="14"/>
        <color indexed="8"/>
        <rFont val="宋体"/>
        <family val="3"/>
        <charset val="134"/>
      </rPr>
      <t>织造</t>
    </r>
    <r>
      <rPr>
        <sz val="14"/>
        <color indexed="8"/>
        <rFont val="Khmer OS Content"/>
      </rPr>
      <t>2</t>
    </r>
    <phoneticPr fontId="25" type="noConversion"/>
  </si>
  <si>
    <t>គីន ស្រីអូន</t>
    <phoneticPr fontId="25" type="noConversion"/>
  </si>
  <si>
    <t>姓名</t>
    <phoneticPr fontId="28" type="noConversion"/>
  </si>
  <si>
    <t>部门</t>
    <phoneticPr fontId="28" type="noConversion"/>
  </si>
  <si>
    <t>事假天数/小时</t>
    <phoneticPr fontId="28" type="noConversion"/>
  </si>
  <si>
    <t>工龄</t>
    <phoneticPr fontId="28" type="noConversion"/>
  </si>
  <si>
    <t>年假工资</t>
    <phoneticPr fontId="28" type="noConversion"/>
  </si>
  <si>
    <t>សៅ ស៊ន</t>
  </si>
  <si>
    <t>合计加班</t>
    <phoneticPr fontId="28" type="noConversion"/>
  </si>
  <si>
    <r>
      <t>O</t>
    </r>
    <r>
      <rPr>
        <sz val="11"/>
        <color theme="1"/>
        <rFont val="宋体"/>
        <family val="2"/>
        <scheme val="minor"/>
      </rPr>
      <t>vertime</t>
    </r>
    <phoneticPr fontId="25" type="noConversion"/>
  </si>
  <si>
    <r>
      <t>n</t>
    </r>
    <r>
      <rPr>
        <sz val="11"/>
        <color theme="1"/>
        <rFont val="宋体"/>
        <family val="2"/>
        <scheme val="minor"/>
      </rPr>
      <t>ational holiday</t>
    </r>
    <phoneticPr fontId="25" type="noConversion"/>
  </si>
  <si>
    <t>ស៊ុន ពន្លឺ</t>
    <phoneticPr fontId="25" type="noConversion"/>
  </si>
  <si>
    <t>សៅ ស៊ន</t>
    <phoneticPr fontId="25" type="noConversion"/>
  </si>
  <si>
    <t>ផេត​ ណាន់</t>
    <phoneticPr fontId="28" type="noConversion"/>
  </si>
  <si>
    <t>រដ្ឋបាល</t>
    <phoneticPr fontId="5" type="noConversion"/>
  </si>
  <si>
    <t>F</t>
    <phoneticPr fontId="45" type="noConversion"/>
  </si>
  <si>
    <t>ថ្ងៃធ្វើការពិត</t>
    <phoneticPr fontId="25" type="noConversion"/>
  </si>
  <si>
    <t>ធ្វើការលើសម៉ោង</t>
    <phoneticPr fontId="25" type="noConversion"/>
  </si>
  <si>
    <t>ធ្វើការថ្ងៃអាទិត្យ</t>
    <phoneticPr fontId="25" type="noConversion"/>
  </si>
  <si>
    <t>ច្បាប់ឈឺ</t>
    <phoneticPr fontId="25" type="noConversion"/>
  </si>
  <si>
    <t>中午加班</t>
    <phoneticPr fontId="25" type="noConversion"/>
  </si>
  <si>
    <t>ធ្វើការលើសម៉ោងថ្ងៃត្រង់</t>
    <phoneticPr fontId="25" type="noConversion"/>
  </si>
  <si>
    <t>ធ្វើការថែមម៉ោងថ្ងៃអាទិត្យ</t>
    <phoneticPr fontId="25" type="noConversion"/>
  </si>
  <si>
    <t>ម៉ោងធ្វើការលើសម៉ោង</t>
    <phoneticPr fontId="25" type="noConversion"/>
  </si>
  <si>
    <t>ចំនួនម៉ោងចាកចេញ</t>
    <phoneticPr fontId="25" type="noConversion"/>
  </si>
  <si>
    <t>លុយអតីត
ភាព</t>
    <phoneticPr fontId="25" type="noConversion"/>
  </si>
  <si>
    <t>លុយ៥%</t>
    <phoneticPr fontId="25" type="noConversion"/>
  </si>
  <si>
    <t>F</t>
    <phoneticPr fontId="25" type="noConversion"/>
  </si>
  <si>
    <t>ប្រធានគ្រប់គ្រងទូទៅ</t>
    <phoneticPr fontId="5" type="noConversion" alignment="distributed"/>
  </si>
  <si>
    <t>ធ្វើការថ្ងៃបុណ្យ</t>
    <phoneticPr fontId="37" type="noConversion"/>
  </si>
  <si>
    <t>ឆែម វ៉ៃ</t>
    <phoneticPr fontId="25" type="noConversion"/>
  </si>
  <si>
    <t>កៅ ហ៊ីវ</t>
    <phoneticPr fontId="5" type="noConversion"/>
  </si>
  <si>
    <t>ផេត​ ណាន់</t>
    <phoneticPr fontId="25" type="noConversion"/>
  </si>
  <si>
    <t>អ៊ិន​ សុបយ៉ាន</t>
    <phoneticPr fontId="28" type="noConversion"/>
  </si>
  <si>
    <t>leave person</t>
    <phoneticPr fontId="25" type="noConversion"/>
  </si>
  <si>
    <t>5%工资</t>
    <phoneticPr fontId="28" type="noConversion"/>
  </si>
  <si>
    <t>ប្រាក់បំណាច់អតីតភាពការងារ</t>
    <phoneticPr fontId="25" type="noConversion"/>
  </si>
  <si>
    <t>អ៊ុន កាសវើ</t>
    <phoneticPr fontId="28" type="noConversion"/>
  </si>
  <si>
    <t>អ៊ិន​ សុបយ៉ាន</t>
    <phoneticPr fontId="25" type="noConversion"/>
  </si>
  <si>
    <t>ចំនួនថ្ងៃ៥០%</t>
    <phoneticPr fontId="5" type="noConversion"/>
  </si>
  <si>
    <t>បំណាចឆ្នាំ</t>
    <phoneticPr fontId="5" type="noConversion"/>
  </si>
  <si>
    <t>50%天数</t>
  </si>
  <si>
    <t>年假</t>
    <phoneticPr fontId="5" type="noConversion"/>
  </si>
  <si>
    <t>ចៅ វ៉ាន់នី</t>
  </si>
  <si>
    <t>កៅ ហ៊ីវ</t>
    <phoneticPr fontId="28" type="noConversion"/>
  </si>
  <si>
    <t>កើត យូរី</t>
    <phoneticPr fontId="25" type="noConversion"/>
  </si>
  <si>
    <t>គៀង ចាន់ថន</t>
    <phoneticPr fontId="25" type="noConversion"/>
  </si>
  <si>
    <t>amount of annuleave day</t>
    <phoneticPr fontId="37" type="noConversion"/>
  </si>
  <si>
    <t>ម៉ោងធ្វើការថែមម៉ោង</t>
    <phoneticPr fontId="25" type="noConversion"/>
  </si>
  <si>
    <t>អ៊ុន ម៉ាស៊ីតោះ</t>
    <phoneticPr fontId="25" type="noConversion"/>
  </si>
  <si>
    <t>翻译</t>
    <phoneticPr fontId="45" type="noConversion"/>
  </si>
  <si>
    <t>年假</t>
    <phoneticPr fontId="5" type="noConversion" alignment="distributed"/>
  </si>
  <si>
    <t>បំណាចឆ្នាំ</t>
    <phoneticPr fontId="45" type="noConversion"/>
  </si>
  <si>
    <t>缝头</t>
    <phoneticPr fontId="28" type="noConversion"/>
  </si>
  <si>
    <t>ហឺយ សាត</t>
  </si>
  <si>
    <t>ហឺយ សាត</t>
    <phoneticPr fontId="37" type="noConversion"/>
  </si>
  <si>
    <t>ហឹម ហាំ ម៉ាត់</t>
    <phoneticPr fontId="25" type="noConversion"/>
  </si>
  <si>
    <t>តូង ម៉ាប់</t>
  </si>
  <si>
    <t>តូង ម៉ាប់</t>
    <phoneticPr fontId="37" type="noConversion"/>
  </si>
  <si>
    <t>សរុបជា$</t>
    <phoneticPr fontId="45" type="noConversion"/>
  </si>
  <si>
    <t>​</t>
    <phoneticPr fontId="26" type="noConversion"/>
  </si>
  <si>
    <t>លេខអត្តសញ្ញាណបណ្ឌ</t>
    <phoneticPr fontId="5" type="noConversion"/>
  </si>
  <si>
    <t>ថ្ងៃខែឆ្នាំកំណើត</t>
    <phoneticPr fontId="5" type="noConversion"/>
  </si>
  <si>
    <t>NATIONAL ID</t>
    <phoneticPr fontId="5" type="noConversion"/>
  </si>
  <si>
    <t>DATE OF BIRTH</t>
    <phoneticPr fontId="5" type="noConversion"/>
  </si>
  <si>
    <t>130051495(01)</t>
    <phoneticPr fontId="26" type="noConversion"/>
  </si>
  <si>
    <t>130069289(01)</t>
    <phoneticPr fontId="26" type="noConversion"/>
  </si>
  <si>
    <t>130089281(01)</t>
    <phoneticPr fontId="26" type="noConversion"/>
  </si>
  <si>
    <t>110407578(01)</t>
    <phoneticPr fontId="26" type="noConversion"/>
  </si>
  <si>
    <t>ប្រាក់ខែសរុបទាំងអស់</t>
  </si>
  <si>
    <t>ប្រាក់បើកហើយលើកទី១</t>
  </si>
  <si>
    <t>រ៉េម ម៉ៃអ៉ាះ</t>
  </si>
  <si>
    <t>អ៊ិន ប៊ុនលី</t>
  </si>
  <si>
    <t>salary not yet pay last month</t>
    <phoneticPr fontId="26" type="noConversion"/>
  </si>
  <si>
    <t>130122649</t>
  </si>
  <si>
    <t>130122620</t>
  </si>
  <si>
    <t>សោម ថយ</t>
    <phoneticPr fontId="25" type="noConversion"/>
  </si>
  <si>
    <t>ប្រាក់ច្បាប់សម្រាល៣ខែ</t>
    <phoneticPr fontId="45" type="noConversion"/>
  </si>
  <si>
    <t>អ៊ិត ឡើសូម</t>
  </si>
  <si>
    <t>M</t>
    <phoneticPr fontId="26" type="noConversion"/>
  </si>
  <si>
    <t>国定假日带薪</t>
    <phoneticPr fontId="5" type="noConversion" alignment="distributed"/>
  </si>
  <si>
    <t>salary of maternity leave</t>
    <phoneticPr fontId="45" type="noConversion"/>
  </si>
  <si>
    <t>合同工资</t>
    <phoneticPr fontId="5" type="noConversion" alignment="distributed"/>
  </si>
  <si>
    <t>工龄补偿金</t>
    <phoneticPr fontId="37" type="noConversion"/>
  </si>
  <si>
    <t>工龄补偿金</t>
    <phoneticPr fontId="5" type="noConversion" alignment="distributed"/>
  </si>
  <si>
    <t>អ៊ី សាលីម</t>
  </si>
  <si>
    <t>M</t>
    <phoneticPr fontId="25" type="noConversion"/>
  </si>
  <si>
    <t>130122346</t>
    <phoneticPr fontId="45" type="noConversion"/>
  </si>
  <si>
    <t>ប្រាក់ជំពាក់ខែមុន</t>
    <phoneticPr fontId="26" type="noConversion"/>
  </si>
  <si>
    <t>annul leave</t>
    <phoneticPr fontId="37" type="noConversion"/>
  </si>
  <si>
    <t>ហ៊ីម ហាំ ម៉ាត់</t>
    <phoneticPr fontId="28" type="noConversion"/>
  </si>
  <si>
    <t>ចំនួនថ្ងៃ80%</t>
    <phoneticPr fontId="26" type="noConversion"/>
  </si>
  <si>
    <t>ប្រាក់80%</t>
    <phoneticPr fontId="26" type="noConversion"/>
  </si>
  <si>
    <t>80%天数</t>
    <phoneticPr fontId="5" type="noConversion" alignment="distributed"/>
  </si>
  <si>
    <t>80%工资</t>
    <phoneticPr fontId="5" type="noConversion" alignment="distributed"/>
  </si>
  <si>
    <t>80%天数</t>
    <phoneticPr fontId="37" type="noConversion"/>
  </si>
  <si>
    <t>ចំនួនថ្ងៃ៨០%</t>
    <phoneticPr fontId="37" type="noConversion"/>
  </si>
  <si>
    <t>第一工资</t>
    <phoneticPr fontId="26" type="noConversion"/>
  </si>
  <si>
    <t>主任</t>
    <phoneticPr fontId="25" type="noConversion"/>
  </si>
  <si>
    <t>អ៊ី សារីម</t>
  </si>
  <si>
    <t>អ៊ុន ម៉ៃសារ៉ោះ</t>
  </si>
  <si>
    <t>ម៉ាត់ ប៊ះ</t>
  </si>
  <si>
    <t>ម៉ែន ស្រីនាង</t>
  </si>
  <si>
    <t>M</t>
    <phoneticPr fontId="26" type="noConversion"/>
  </si>
  <si>
    <t>F</t>
    <phoneticPr fontId="26" type="noConversion"/>
  </si>
  <si>
    <t>ចាន់ ស្រីរ័ត្ន</t>
  </si>
  <si>
    <t>វូត ម៉ៃសើរ៉ោះ</t>
  </si>
  <si>
    <t>ហ៊ តាក់</t>
  </si>
  <si>
    <t>សាត ទូច</t>
  </si>
  <si>
    <t>F</t>
    <phoneticPr fontId="26" type="noConversion"/>
  </si>
  <si>
    <t>M</t>
    <phoneticPr fontId="26" type="noConversion"/>
  </si>
  <si>
    <t>130122606</t>
  </si>
  <si>
    <t>130207623</t>
  </si>
  <si>
    <t>130088892(01)</t>
  </si>
  <si>
    <t>130089140(01)</t>
  </si>
  <si>
    <t>130201418</t>
  </si>
  <si>
    <t>110586548</t>
  </si>
  <si>
    <t>110400019(01)</t>
  </si>
  <si>
    <t>110407367(01)</t>
  </si>
  <si>
    <t>សូ សុខល័ក្ខ</t>
  </si>
  <si>
    <t>translator</t>
  </si>
  <si>
    <t>ជន ម៉ៅ</t>
  </si>
  <si>
    <t>110661222</t>
  </si>
  <si>
    <t>M</t>
    <phoneticPr fontId="26" type="noConversion"/>
  </si>
  <si>
    <t>ឈឺន ដារ៉ា</t>
    <phoneticPr fontId="26" type="noConversion"/>
  </si>
  <si>
    <t>翻译</t>
    <phoneticPr fontId="26" type="noConversion"/>
  </si>
  <si>
    <t>ឈឺន ដារ៉ា</t>
    <phoneticPr fontId="37" type="noConversion"/>
  </si>
  <si>
    <t>ប្រាក់រង្វាន់</t>
    <phoneticPr fontId="5" type="noConversion"/>
  </si>
  <si>
    <t>好工作奖励</t>
    <phoneticPr fontId="5" type="noConversion" alignment="distributed"/>
  </si>
  <si>
    <t>មេង លីស្រ៊ា</t>
    <phoneticPr fontId="26" type="noConversion"/>
  </si>
  <si>
    <t>មេង​ លីតា</t>
    <phoneticPr fontId="37" type="noConversion"/>
  </si>
  <si>
    <t>មេង​ លីតា</t>
    <phoneticPr fontId="26" type="noConversion"/>
  </si>
  <si>
    <t>មេង លីស្រ៊ា</t>
    <phoneticPr fontId="37" type="noConversion"/>
  </si>
  <si>
    <r>
      <t xml:space="preserve"> </t>
    </r>
    <r>
      <rPr>
        <sz val="11"/>
        <color theme="1"/>
        <rFont val="宋体"/>
        <scheme val="minor"/>
      </rPr>
      <t xml:space="preserve">                     </t>
    </r>
    <phoneticPr fontId="26" type="noConversion"/>
  </si>
  <si>
    <t>ឆ្លាត ពិដោមាលា</t>
  </si>
  <si>
    <t>ស៊ុន ខ្លឹង</t>
  </si>
  <si>
    <t>清洁工</t>
    <phoneticPr fontId="26" type="noConversion"/>
  </si>
  <si>
    <t>វ៉ាន​ប៊ុន្លី</t>
  </si>
  <si>
    <t>វ៉ាន ​ប៊ុន្លី</t>
    <phoneticPr fontId="26" type="noConversion"/>
  </si>
  <si>
    <t>ដាញ់ ប៉ុកលី</t>
  </si>
  <si>
    <t>130153863</t>
  </si>
  <si>
    <t>130153445</t>
  </si>
  <si>
    <t>110582442</t>
  </si>
  <si>
    <t>វ៉ាន រត្ត័នា</t>
  </si>
  <si>
    <t>កម្មករ</t>
    <phoneticPr fontId="26" type="noConversion"/>
  </si>
  <si>
    <t>អ៊ិត រ៉យ៉ា</t>
  </si>
  <si>
    <t>130231919</t>
  </si>
  <si>
    <t>130159005</t>
  </si>
  <si>
    <t>110665539</t>
  </si>
  <si>
    <t>070327645</t>
    <phoneticPr fontId="28" type="noConversion"/>
  </si>
  <si>
    <t>130104637(01)</t>
    <phoneticPr fontId="28" type="noConversion"/>
  </si>
  <si>
    <t>岗位补贴</t>
    <phoneticPr fontId="5" type="noConversion" alignment="distributed"/>
  </si>
  <si>
    <t>全勤奖</t>
    <phoneticPr fontId="5" type="noConversion" alignment="distributed"/>
  </si>
  <si>
    <t>总工资(Gross salary permonth）</t>
    <phoneticPr fontId="28" type="noConversion"/>
  </si>
  <si>
    <t>税费率</t>
  </si>
  <si>
    <t>ប្រាក់បៀវត្សជាប់ពន្ធ (ដុល្លារ)</t>
  </si>
  <si>
    <t>ប្រាក់បៀវត្សជាប់ពន្ធ (រឿល)</t>
  </si>
  <si>
    <t>សហព័ន្ធ</t>
  </si>
  <si>
    <t>កូនក្នុងបន្ទុក</t>
  </si>
  <si>
    <t>ទឹកប្រាក់កាត់បន្ថយ</t>
  </si>
  <si>
    <t>មូលដ្ឋានគិតពន្ធ បវ</t>
  </si>
  <si>
    <t>Salary to be paid($)</t>
  </si>
  <si>
    <t>Salary to be paid(R)</t>
  </si>
  <si>
    <t>Spouse</t>
  </si>
  <si>
    <t>Minor Children</t>
  </si>
  <si>
    <t>Allowance</t>
  </si>
  <si>
    <t>Salary Tax Calculation Base</t>
  </si>
  <si>
    <t>交税工资</t>
  </si>
  <si>
    <t>柬姓名</t>
    <phoneticPr fontId="5" type="noConversion" alignment="distributed"/>
  </si>
  <si>
    <t>អ៊ុក​​ ប៊ុនថង</t>
  </si>
  <si>
    <t>សៀង ម៉ាដា</t>
  </si>
  <si>
    <t>110532659</t>
  </si>
  <si>
    <t>130174053</t>
  </si>
  <si>
    <t>វ៉ែន នឿន</t>
  </si>
  <si>
    <t>031116899</t>
  </si>
  <si>
    <t>លុយបំណាច់
ឆ្នាំ</t>
    <phoneticPr fontId="25" type="noConversion"/>
  </si>
  <si>
    <t>ប្រាក់កាត់បង់សោធន</t>
  </si>
  <si>
    <t>养老金(pension payment)</t>
  </si>
  <si>
    <t>ប្រាក់សរុបទាំងអស់</t>
    <phoneticPr fontId="28" type="noConversion"/>
  </si>
  <si>
    <t>M</t>
    <phoneticPr fontId="28" type="noConversion"/>
  </si>
  <si>
    <t>M</t>
    <phoneticPr fontId="28" type="noConversion"/>
  </si>
  <si>
    <t>យ៉ុន ម៉េងយ៉ាង</t>
  </si>
  <si>
    <t>250392015</t>
  </si>
  <si>
    <t>នី សុខណេ</t>
  </si>
  <si>
    <t>聚海宝舜（柬埔寨）有限公司</t>
  </si>
  <si>
    <t>真实上班天数</t>
    <phoneticPr fontId="29" type="noConversion"/>
  </si>
  <si>
    <t>JHBS-F0253</t>
    <phoneticPr fontId="26" type="noConversion"/>
  </si>
  <si>
    <t>JHBS-F0027</t>
    <phoneticPr fontId="26" type="noConversion"/>
  </si>
  <si>
    <t>JHBS-F0170</t>
    <phoneticPr fontId="26" type="noConversion"/>
  </si>
  <si>
    <t>JHBS-F0463</t>
    <phoneticPr fontId="26" type="noConversion"/>
  </si>
  <si>
    <t>JHBS-P0093</t>
    <phoneticPr fontId="28" type="noConversion"/>
  </si>
  <si>
    <t>JHBS-P0177</t>
    <phoneticPr fontId="28" type="noConversion"/>
  </si>
  <si>
    <t>JHBS-P0046</t>
    <phoneticPr fontId="28" type="noConversion"/>
  </si>
  <si>
    <t>JHBS-P0167</t>
    <phoneticPr fontId="28" type="noConversion"/>
  </si>
  <si>
    <t>JHBS-P0418</t>
    <phoneticPr fontId="26" type="noConversion"/>
  </si>
  <si>
    <t>JHBS-P0389</t>
    <phoneticPr fontId="28" type="noConversion"/>
  </si>
  <si>
    <t>JHBS-P0446</t>
    <phoneticPr fontId="28" type="noConversion"/>
  </si>
  <si>
    <t>JHBS-P0457</t>
    <phoneticPr fontId="28" type="noConversion"/>
  </si>
  <si>
    <t>JHBS-P0466</t>
    <phoneticPr fontId="28" type="noConversion"/>
  </si>
  <si>
    <t>JHBS-P0484</t>
    <phoneticPr fontId="28" type="noConversion"/>
  </si>
  <si>
    <t>JHBS-P0489</t>
    <phoneticPr fontId="28" type="noConversion"/>
  </si>
  <si>
    <t>JHBS-P0517</t>
    <phoneticPr fontId="28" type="noConversion"/>
  </si>
  <si>
    <t>JHBS-P0521</t>
    <phoneticPr fontId="28" type="noConversion"/>
  </si>
  <si>
    <t>JHBS-I0065</t>
    <phoneticPr fontId="28" type="noConversion"/>
  </si>
  <si>
    <t>JHBS-I0141</t>
    <phoneticPr fontId="28" type="noConversion"/>
  </si>
  <si>
    <t>JHBS-I0176</t>
    <phoneticPr fontId="28" type="noConversion"/>
  </si>
  <si>
    <t>JHBS-I0054</t>
    <phoneticPr fontId="28" type="noConversion"/>
  </si>
  <si>
    <t>JHBS-I0109</t>
    <phoneticPr fontId="28" type="noConversion"/>
  </si>
  <si>
    <t>JHBS-I0229</t>
    <phoneticPr fontId="34" type="noConversion"/>
  </si>
  <si>
    <t>JHBS-I0387</t>
    <phoneticPr fontId="28" type="noConversion"/>
  </si>
  <si>
    <t>JHBS-I0529</t>
    <phoneticPr fontId="28" type="noConversion"/>
  </si>
  <si>
    <t>JHBS-L0038</t>
    <phoneticPr fontId="28" type="noConversion"/>
  </si>
  <si>
    <t>JHBS-L0147</t>
    <phoneticPr fontId="28" type="noConversion"/>
  </si>
  <si>
    <t>JHBS-L0060</t>
    <phoneticPr fontId="28" type="noConversion"/>
  </si>
  <si>
    <t>JHBS-L0214</t>
    <phoneticPr fontId="26" type="noConversion"/>
  </si>
  <si>
    <t>JHBS-L0251</t>
    <phoneticPr fontId="29" type="noConversion"/>
  </si>
  <si>
    <t>JHBS-L0349</t>
    <phoneticPr fontId="25" type="noConversion"/>
  </si>
  <si>
    <t>JHBS-L0311</t>
    <phoneticPr fontId="29" type="noConversion"/>
  </si>
  <si>
    <t>JHBS-L0345</t>
    <phoneticPr fontId="29" type="noConversion"/>
  </si>
  <si>
    <t>JHBS-L0397</t>
    <phoneticPr fontId="28" type="noConversion"/>
  </si>
  <si>
    <t>JHBS-K0019</t>
    <phoneticPr fontId="28" type="noConversion"/>
  </si>
  <si>
    <t>JHBS-K0134</t>
    <phoneticPr fontId="28" type="noConversion"/>
  </si>
  <si>
    <t>JHBS-K0090</t>
    <phoneticPr fontId="28" type="noConversion"/>
  </si>
  <si>
    <t>JHBS-K0158</t>
    <phoneticPr fontId="28" type="noConversion"/>
  </si>
  <si>
    <t>JHBS-K0024</t>
    <phoneticPr fontId="28" type="noConversion"/>
  </si>
  <si>
    <t>JHBS-K0314</t>
    <phoneticPr fontId="45" type="noConversion"/>
  </si>
  <si>
    <t>JHBS-K0355</t>
    <phoneticPr fontId="28" type="noConversion"/>
  </si>
  <si>
    <t>JHBS-K0422</t>
    <phoneticPr fontId="28" type="noConversion"/>
  </si>
  <si>
    <t>JHBS-K0424</t>
    <phoneticPr fontId="28" type="noConversion"/>
  </si>
  <si>
    <t>JHBS-K0428</t>
    <phoneticPr fontId="28" type="noConversion"/>
  </si>
  <si>
    <t>JHBS-K0432</t>
    <phoneticPr fontId="28" type="noConversion"/>
  </si>
  <si>
    <t>JHBS-K0434</t>
    <phoneticPr fontId="28" type="noConversion"/>
  </si>
  <si>
    <t>JHBS-K0441</t>
    <phoneticPr fontId="28" type="noConversion"/>
  </si>
  <si>
    <t>JHBS-K0442</t>
    <phoneticPr fontId="28" type="noConversion"/>
  </si>
  <si>
    <t>JHBS-K0460</t>
    <phoneticPr fontId="28" type="noConversion"/>
  </si>
  <si>
    <t>JHBS-K0522</t>
    <phoneticPr fontId="28" type="noConversion"/>
  </si>
  <si>
    <t>JHBS-K0531</t>
    <phoneticPr fontId="28" type="noConversion"/>
  </si>
  <si>
    <t>JHBS-K0023</t>
    <phoneticPr fontId="28" type="noConversion"/>
  </si>
  <si>
    <t>JHBS-K0045</t>
    <phoneticPr fontId="28" type="noConversion"/>
  </si>
  <si>
    <t>JHBS-K0040</t>
    <phoneticPr fontId="28" type="noConversion"/>
  </si>
  <si>
    <t>JHBS-K0105</t>
    <phoneticPr fontId="28" type="noConversion"/>
  </si>
  <si>
    <t>JHBS-K0036</t>
    <phoneticPr fontId="28" type="noConversion"/>
  </si>
  <si>
    <t>JHBS-K0017</t>
    <phoneticPr fontId="28" type="noConversion"/>
  </si>
  <si>
    <t>JHBS-K0076</t>
    <phoneticPr fontId="28" type="noConversion"/>
  </si>
  <si>
    <t>JHBS-K0209</t>
    <phoneticPr fontId="24" type="noConversion"/>
  </si>
  <si>
    <t>JHBS-K0296</t>
    <phoneticPr fontId="29" type="noConversion"/>
  </si>
  <si>
    <t>JHBS-K0440</t>
    <phoneticPr fontId="28" type="noConversion"/>
  </si>
  <si>
    <t>JHBS-K0443</t>
    <phoneticPr fontId="28" type="noConversion"/>
  </si>
  <si>
    <t>JHBS-K0444</t>
    <phoneticPr fontId="28" type="noConversion"/>
  </si>
  <si>
    <t>JHBS-K0445</t>
    <phoneticPr fontId="28" type="noConversion"/>
  </si>
  <si>
    <t>JHBS-K0481</t>
    <phoneticPr fontId="28" type="noConversion"/>
  </si>
  <si>
    <t>JHBS-K0487</t>
    <phoneticPr fontId="28" type="noConversion"/>
  </si>
  <si>
    <t>JHBS-F0253</t>
    <phoneticPr fontId="28" type="noConversion"/>
  </si>
  <si>
    <t>JHBS-F0027</t>
    <phoneticPr fontId="28" type="noConversion"/>
  </si>
  <si>
    <t>JHBS-F0170</t>
    <phoneticPr fontId="28" type="noConversion"/>
  </si>
  <si>
    <t>JHBS-F0463</t>
    <phoneticPr fontId="37" type="noConversion"/>
  </si>
  <si>
    <t>JHBS-P0093</t>
    <phoneticPr fontId="37" type="noConversion"/>
  </si>
  <si>
    <t>JHBS-P0177</t>
    <phoneticPr fontId="37" type="noConversion"/>
  </si>
  <si>
    <t>JHBS-P0046</t>
    <phoneticPr fontId="37" type="noConversion"/>
  </si>
  <si>
    <t>JHBS-P0167</t>
    <phoneticPr fontId="37" type="noConversion"/>
  </si>
  <si>
    <t>JHBS-P0418</t>
    <phoneticPr fontId="37" type="noConversion"/>
  </si>
  <si>
    <t>JHBS-P0389</t>
    <phoneticPr fontId="37" type="noConversion"/>
  </si>
  <si>
    <t>JHBS-P0446</t>
    <phoneticPr fontId="37" type="noConversion"/>
  </si>
  <si>
    <t>JHBS-P0457</t>
    <phoneticPr fontId="37" type="noConversion"/>
  </si>
  <si>
    <t>JHBS-P0466</t>
    <phoneticPr fontId="37" type="noConversion"/>
  </si>
  <si>
    <t>JHBS-P0484</t>
    <phoneticPr fontId="37" type="noConversion"/>
  </si>
  <si>
    <t>JHBS-P0489</t>
    <phoneticPr fontId="37" type="noConversion"/>
  </si>
  <si>
    <t>JHBS-P0517</t>
    <phoneticPr fontId="37" type="noConversion"/>
  </si>
  <si>
    <t>JHBS-P0521</t>
    <phoneticPr fontId="37" type="noConversion"/>
  </si>
  <si>
    <t>JHBS-I0065</t>
    <phoneticPr fontId="37" type="noConversion"/>
  </si>
  <si>
    <t>JHBS-I0141</t>
    <phoneticPr fontId="37" type="noConversion"/>
  </si>
  <si>
    <t>JHBS-I0176</t>
    <phoneticPr fontId="37" type="noConversion"/>
  </si>
  <si>
    <t>JHBS-I0054</t>
    <phoneticPr fontId="37" type="noConversion"/>
  </si>
  <si>
    <t>JHBS-I0109</t>
    <phoneticPr fontId="37" type="noConversion"/>
  </si>
  <si>
    <t>JHBS-I0229</t>
    <phoneticPr fontId="34" type="noConversion"/>
  </si>
  <si>
    <t>JHBS-I0387</t>
    <phoneticPr fontId="37" type="noConversion"/>
  </si>
  <si>
    <t>JHBS-I0529</t>
    <phoneticPr fontId="37" type="noConversion"/>
  </si>
  <si>
    <t>JHBS-L0038</t>
    <phoneticPr fontId="37" type="noConversion"/>
  </si>
  <si>
    <t>JHBS-L0147</t>
    <phoneticPr fontId="37" type="noConversion"/>
  </si>
  <si>
    <t>JHBS-L0060</t>
    <phoneticPr fontId="37" type="noConversion"/>
  </si>
  <si>
    <t>JHBS-L0214</t>
    <phoneticPr fontId="29" type="noConversion"/>
  </si>
  <si>
    <t>JHBS-L0251</t>
    <phoneticPr fontId="29" type="noConversion"/>
  </si>
  <si>
    <t>JHBS-L0349</t>
    <phoneticPr fontId="37" type="noConversion"/>
  </si>
  <si>
    <t>JHBS-L0311</t>
    <phoneticPr fontId="29" type="noConversion"/>
  </si>
  <si>
    <t>JHBS-L0345</t>
    <phoneticPr fontId="45" type="noConversion"/>
  </si>
  <si>
    <t>JHBS-L0397</t>
    <phoneticPr fontId="37" type="noConversion"/>
  </si>
  <si>
    <t>JHBS-K0019</t>
    <phoneticPr fontId="37" type="noConversion"/>
  </si>
  <si>
    <t>JHBS-K0134</t>
    <phoneticPr fontId="37" type="noConversion"/>
  </si>
  <si>
    <t>JHBS-K0090</t>
    <phoneticPr fontId="37" type="noConversion"/>
  </si>
  <si>
    <t>JHBS-K0158</t>
    <phoneticPr fontId="37" type="noConversion"/>
  </si>
  <si>
    <t>JHBS-K0024</t>
    <phoneticPr fontId="37" type="noConversion"/>
  </si>
  <si>
    <t>JHBS-K0314</t>
    <phoneticPr fontId="37" type="noConversion"/>
  </si>
  <si>
    <t>JHBS-K0355</t>
    <phoneticPr fontId="37" type="noConversion"/>
  </si>
  <si>
    <t>JHBS-K0422</t>
    <phoneticPr fontId="37" type="noConversion"/>
  </si>
  <si>
    <t>JHBS-K0424</t>
    <phoneticPr fontId="37" type="noConversion"/>
  </si>
  <si>
    <t>JHBS-K0428</t>
    <phoneticPr fontId="37" type="noConversion"/>
  </si>
  <si>
    <t>JHBS-K0432</t>
    <phoneticPr fontId="37" type="noConversion"/>
  </si>
  <si>
    <t>JHBS-K0434</t>
    <phoneticPr fontId="37" type="noConversion"/>
  </si>
  <si>
    <t>JHBS-K0441</t>
    <phoneticPr fontId="37" type="noConversion"/>
  </si>
  <si>
    <t>JHBS-K0442</t>
    <phoneticPr fontId="37" type="noConversion"/>
  </si>
  <si>
    <t>JHBS-K0460</t>
    <phoneticPr fontId="37" type="noConversion"/>
  </si>
  <si>
    <t>JHBS-K0522</t>
    <phoneticPr fontId="37" type="noConversion"/>
  </si>
  <si>
    <t>JHBS-K0531</t>
    <phoneticPr fontId="37" type="noConversion"/>
  </si>
  <si>
    <t>JHBS-K0023</t>
    <phoneticPr fontId="37" type="noConversion"/>
  </si>
  <si>
    <t>JHBS-K0045</t>
    <phoneticPr fontId="37" type="noConversion"/>
  </si>
  <si>
    <t>JHBS-K0040</t>
    <phoneticPr fontId="37" type="noConversion"/>
  </si>
  <si>
    <t>JHBS-K0105</t>
    <phoneticPr fontId="37" type="noConversion"/>
  </si>
  <si>
    <t>JHBS-K0036</t>
    <phoneticPr fontId="37" type="noConversion"/>
  </si>
  <si>
    <t>JHBS-K0017</t>
    <phoneticPr fontId="37" type="noConversion"/>
  </si>
  <si>
    <t>JHBS-K0076</t>
    <phoneticPr fontId="37" type="noConversion"/>
  </si>
  <si>
    <t>JHBS-K0209</t>
    <phoneticPr fontId="24" type="noConversion"/>
  </si>
  <si>
    <t>JHBS-K0296</t>
    <phoneticPr fontId="29" type="noConversion"/>
  </si>
  <si>
    <t>JHBS-K0440</t>
    <phoneticPr fontId="37" type="noConversion"/>
  </si>
  <si>
    <t>JHBS-K0443</t>
    <phoneticPr fontId="37" type="noConversion"/>
  </si>
  <si>
    <t>JHBS-K0444</t>
    <phoneticPr fontId="37" type="noConversion"/>
  </si>
  <si>
    <t>JHBS-K0445</t>
    <phoneticPr fontId="37" type="noConversion"/>
  </si>
  <si>
    <t>JHBS-K0481</t>
    <phoneticPr fontId="37" type="noConversion"/>
  </si>
  <si>
    <t>JHBS-K0487</t>
    <phoneticPr fontId="37" type="noConversion"/>
  </si>
  <si>
    <t>សោម ផយ</t>
    <phoneticPr fontId="25" type="noConversion"/>
  </si>
  <si>
    <t>130105399(01)</t>
    <phoneticPr fontId="28" type="noConversion"/>
  </si>
  <si>
    <t>F</t>
    <phoneticPr fontId="28" type="noConversion"/>
  </si>
  <si>
    <t>JHBS-I0535</t>
  </si>
  <si>
    <t>ឃឹម សោភ័ន</t>
  </si>
  <si>
    <t>130122481(01)</t>
    <phoneticPr fontId="28" type="noConversion"/>
  </si>
  <si>
    <t>130130223(01)</t>
    <phoneticPr fontId="28" type="noConversion"/>
  </si>
  <si>
    <t>110331760(01)</t>
    <phoneticPr fontId="28" type="noConversion"/>
  </si>
  <si>
    <t>130122425(01)</t>
    <phoneticPr fontId="28" type="noConversion"/>
  </si>
  <si>
    <t>130059967(01)</t>
    <phoneticPr fontId="28" type="noConversion"/>
  </si>
  <si>
    <t>110407223(01)</t>
    <phoneticPr fontId="28" type="noConversion"/>
  </si>
  <si>
    <t>110072313(01)</t>
    <phoneticPr fontId="28" type="noConversion"/>
  </si>
  <si>
    <t>សញ្ជាត្តិ</t>
  </si>
  <si>
    <t>National</t>
  </si>
  <si>
    <t>cambodia</t>
  </si>
  <si>
    <t>cambodia</t>
    <phoneticPr fontId="28" type="noConversion"/>
  </si>
  <si>
    <t>JHBS-I0536</t>
  </si>
  <si>
    <t>អ៊ាង ម៉ាប់</t>
  </si>
  <si>
    <t>110603898</t>
  </si>
  <si>
    <t>18-09-1993</t>
  </si>
  <si>
    <t>07-08-2024</t>
  </si>
  <si>
    <t>JHBS-P0474</t>
  </si>
  <si>
    <t>09月份考勤</t>
    <phoneticPr fontId="29" type="noConversion"/>
  </si>
  <si>
    <t>JHBS-P0489</t>
  </si>
  <si>
    <t>JHBS-I0529</t>
  </si>
  <si>
    <r>
      <rPr>
        <sz val="16"/>
        <color indexed="8"/>
        <rFont val="宋体"/>
        <family val="3"/>
        <charset val="134"/>
      </rPr>
      <t>织造</t>
    </r>
    <r>
      <rPr>
        <sz val="16"/>
        <color indexed="8"/>
        <rFont val="Khmer OS Content"/>
      </rPr>
      <t>2</t>
    </r>
    <phoneticPr fontId="25" type="noConversion"/>
  </si>
  <si>
    <r>
      <rPr>
        <sz val="16"/>
        <color indexed="8"/>
        <rFont val="FangSong"/>
        <family val="3"/>
        <charset val="134"/>
      </rPr>
      <t>织造</t>
    </r>
    <r>
      <rPr>
        <sz val="16"/>
        <color indexed="8"/>
        <rFont val="Khmer OS"/>
      </rPr>
      <t>2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</si>
</sst>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24" formatCode="\$#,##0_);[Red]\(\$#,##0\)"/>
    <numFmt numFmtId="176" formatCode="&quot;$&quot;#,##0_);\(&quot;$&quot;#,##0\)"/>
    <numFmt numFmtId="177" formatCode="&quot;$&quot;#,##0.00_);\(&quot;$&quot;#,##0.00\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2" formatCode="&quot;$&quot;#,##0.00"/>
    <numFmt numFmtId="183" formatCode="00"/>
    <numFmt numFmtId="184" formatCode="0000"/>
    <numFmt numFmtId="186" formatCode="&quot;$&quot;###0.00"/>
    <numFmt numFmtId="188" formatCode="&quot;$&quot;00"/>
    <numFmt numFmtId="191" formatCode="\K0000"/>
    <numFmt numFmtId="192" formatCode="\L0000"/>
    <numFmt numFmtId="193" formatCode="\I0000"/>
    <numFmt numFmtId="194" formatCode="\P0000"/>
    <numFmt numFmtId="196" formatCode="yyyy\-mm\-dd;@"/>
    <numFmt numFmtId="197" formatCode="&quot;$&quot;#,##0"/>
    <numFmt numFmtId="198" formatCode="_-[$$-409]* #,##0.00_ ;_-[$$-409]* \-#,##0.00\ ;_-[$$-409]* &quot;-&quot;??_ ;_-@_ "/>
    <numFmt numFmtId="199" formatCode="[$$-409]#,##0"/>
    <numFmt numFmtId="202" formatCode="dd\-mm\-yyyy"/>
    <numFmt numFmtId="203" formatCode="&quot;$&quot;\ 0"/>
    <numFmt numFmtId="205" formatCode="0.00_ "/>
    <numFmt numFmtId="206" formatCode="dd\-mm\-yyyy;@"/>
    <numFmt numFmtId="207" formatCode="0.00_);[Red]\(0.00\)"/>
    <numFmt numFmtId="208" formatCode="#,##0_ "/>
    <numFmt numFmtId="210" formatCode="#,##0.00_);\(#,##0.00\)"/>
    <numFmt numFmtId="211" formatCode="\R\ #,##0"/>
    <numFmt numFmtId="212" formatCode="_(* #,##0_);_(* \(#,##0\);_(* &quot;-&quot;??_);_(@_)"/>
  </numFmts>
  <fonts count="79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4"/>
      <color indexed="8"/>
      <name val="宋体"/>
      <family val="3"/>
      <charset val="134"/>
    </font>
    <font>
      <sz val="14"/>
      <color indexed="8"/>
      <name val="Times New Roman"/>
      <family val="1"/>
    </font>
    <font>
      <sz val="9"/>
      <name val="宋体"/>
      <family val="3"/>
      <charset val="134"/>
    </font>
    <font>
      <sz val="16"/>
      <color indexed="8"/>
      <name val="Times New Roman"/>
      <family val="1"/>
    </font>
    <font>
      <sz val="20"/>
      <color indexed="8"/>
      <name val="Times New Roman"/>
      <family val="1"/>
    </font>
    <font>
      <b/>
      <sz val="22"/>
      <color indexed="8"/>
      <name val="宋二体"/>
      <family val="3"/>
      <charset val="134"/>
    </font>
    <font>
      <sz val="24"/>
      <color indexed="8"/>
      <name val="Times New Roman"/>
      <family val="1"/>
    </font>
    <font>
      <sz val="20"/>
      <color indexed="8"/>
      <name val="宋体"/>
      <family val="3"/>
      <charset val="134"/>
    </font>
    <font>
      <sz val="12"/>
      <color indexed="8"/>
      <name val="Khmer OS Bokor"/>
    </font>
    <font>
      <sz val="8"/>
      <color indexed="8"/>
      <name val="Times New Roman"/>
      <family val="1"/>
    </font>
    <font>
      <sz val="15"/>
      <color indexed="8"/>
      <name val="Khmer OS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Times New Roman"/>
      <family val="1"/>
    </font>
    <font>
      <sz val="10"/>
      <color indexed="8"/>
      <name val="Times New Roman"/>
      <family val="1"/>
    </font>
    <font>
      <sz val="14"/>
      <color indexed="8"/>
      <name val="Khmer OS Content"/>
    </font>
    <font>
      <sz val="18"/>
      <name val="Khmer OS Muol Light"/>
    </font>
    <font>
      <sz val="18"/>
      <name val="Times New Roman"/>
      <family val="1"/>
    </font>
    <font>
      <b/>
      <sz val="15"/>
      <color indexed="8"/>
      <name val="Calibri"/>
      <family val="2"/>
    </font>
    <font>
      <sz val="15"/>
      <color indexed="8"/>
      <name val="Times New Roman"/>
      <family val="1"/>
    </font>
    <font>
      <sz val="16"/>
      <color indexed="8"/>
      <name val="Khmer OS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楷体"/>
      <family val="3"/>
      <charset val="134"/>
    </font>
    <font>
      <sz val="16"/>
      <name val="楷体"/>
      <family val="3"/>
      <charset val="134"/>
    </font>
    <font>
      <sz val="9"/>
      <name val="宋体"/>
      <family val="3"/>
      <charset val="134"/>
    </font>
    <font>
      <sz val="15"/>
      <color indexed="8"/>
      <name val="宋体"/>
      <family val="3"/>
      <charset val="134"/>
    </font>
    <font>
      <sz val="9"/>
      <name val="宋体"/>
      <family val="3"/>
      <charset val="134"/>
    </font>
    <font>
      <sz val="15"/>
      <color indexed="8"/>
      <name val="Kh Preyveng"/>
    </font>
    <font>
      <b/>
      <sz val="15"/>
      <color indexed="8"/>
      <name val="Kh Preyveng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6"/>
      <color theme="1"/>
      <name val="Khmer OS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Kh Bokor"/>
    </font>
    <font>
      <b/>
      <sz val="11"/>
      <name val="楷体"/>
      <family val="3"/>
      <charset val="134"/>
    </font>
    <font>
      <sz val="9"/>
      <name val="宋体"/>
      <scheme val="minor"/>
    </font>
    <font>
      <b/>
      <sz val="10"/>
      <name val="楷体"/>
      <family val="3"/>
      <charset val="134"/>
    </font>
    <font>
      <sz val="11"/>
      <color theme="1"/>
      <name val="宋体"/>
      <scheme val="minor"/>
    </font>
    <font>
      <sz val="14"/>
      <color rgb="FFFF0000"/>
      <name val="宋体"/>
      <family val="3"/>
      <charset val="134"/>
    </font>
    <font>
      <sz val="14"/>
      <color rgb="FFFF0000"/>
      <name val="Khmer OS"/>
    </font>
    <font>
      <sz val="16"/>
      <color indexed="8"/>
      <name val="宋体"/>
      <family val="3"/>
      <charset val="134"/>
    </font>
    <font>
      <b/>
      <sz val="16"/>
      <color indexed="8"/>
      <name val="Khmer OS"/>
    </font>
    <font>
      <sz val="11"/>
      <color theme="1"/>
      <name val="宋体"/>
      <scheme val="minor"/>
    </font>
    <font>
      <sz val="10"/>
      <color theme="1"/>
      <name val="宋体"/>
      <family val="2"/>
      <charset val="134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Tahoma"/>
      <family val="2"/>
    </font>
    <font>
      <b/>
      <sz val="14"/>
      <color indexed="8"/>
      <name val="Khmer OS"/>
    </font>
    <font>
      <sz val="18"/>
      <color theme="1"/>
      <name val="SimSun"/>
      <family val="3"/>
      <charset val="134"/>
    </font>
    <font>
      <b/>
      <sz val="16"/>
      <color indexed="8"/>
      <name val="Kh Preyveng"/>
    </font>
    <font>
      <sz val="16"/>
      <color indexed="8"/>
      <name val="FangSong"/>
      <family val="3"/>
      <charset val="134"/>
    </font>
    <font>
      <sz val="16"/>
      <name val="Tahoma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</font>
    <font>
      <b/>
      <sz val="18"/>
      <color indexed="8"/>
      <name val="Kh Preyveng"/>
    </font>
    <font>
      <sz val="18"/>
      <color indexed="8"/>
      <name val="FangSong"/>
      <family val="3"/>
      <charset val="134"/>
    </font>
    <font>
      <sz val="18"/>
      <color indexed="8"/>
      <name val="Khmer OS"/>
    </font>
    <font>
      <sz val="18"/>
      <name val="Tahoma"/>
      <family val="2"/>
    </font>
    <font>
      <b/>
      <sz val="18"/>
      <color indexed="8"/>
      <name val="Times New Roman"/>
      <family val="1"/>
    </font>
    <font>
      <b/>
      <sz val="18"/>
      <color indexed="8"/>
      <name val="Calibri"/>
      <family val="2"/>
    </font>
    <font>
      <b/>
      <sz val="16"/>
      <name val="Tahoma"/>
      <family val="2"/>
    </font>
    <font>
      <sz val="16"/>
      <color indexed="8"/>
      <name val="Kh Preyveng"/>
    </font>
    <font>
      <sz val="16"/>
      <color indexed="8"/>
      <name val="Khmer OS Content"/>
    </font>
    <font>
      <sz val="16"/>
      <color rgb="FFFF0000"/>
      <name val="宋体"/>
      <family val="3"/>
      <charset val="134"/>
    </font>
    <font>
      <sz val="16"/>
      <color rgb="FFFF0000"/>
      <name val="Khmer OS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38" fillId="0" borderId="0"/>
    <xf numFmtId="0" fontId="27" fillId="0" borderId="0"/>
    <xf numFmtId="9" fontId="56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59" fillId="0" borderId="0"/>
  </cellStyleXfs>
  <cellXfs count="328">
    <xf numFmtId="0" fontId="0" fillId="0" borderId="0" xfId="0"/>
    <xf numFmtId="0" fontId="0" fillId="0" borderId="0" xfId="0" applyBorder="1"/>
    <xf numFmtId="0" fontId="1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9" fillId="0" borderId="0" xfId="0" applyFont="1" applyBorder="1" applyAlignment="1">
      <alignment vertical="top"/>
    </xf>
    <xf numFmtId="182" fontId="17" fillId="0" borderId="3" xfId="0" applyNumberFormat="1" applyFont="1" applyFill="1" applyBorder="1" applyAlignment="1">
      <alignment horizontal="center" vertical="center"/>
    </xf>
    <xf numFmtId="191" fontId="4" fillId="0" borderId="3" xfId="0" applyNumberFormat="1" applyFont="1" applyFill="1" applyBorder="1" applyAlignment="1">
      <alignment horizontal="center" vertical="center"/>
    </xf>
    <xf numFmtId="183" fontId="13" fillId="0" borderId="3" xfId="0" applyNumberFormat="1" applyFont="1" applyFill="1" applyBorder="1" applyAlignment="1">
      <alignment horizontal="center" vertical="center"/>
    </xf>
    <xf numFmtId="191" fontId="4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6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9" fillId="0" borderId="0" xfId="0" applyFont="1" applyBorder="1" applyAlignment="1"/>
    <xf numFmtId="0" fontId="20" fillId="0" borderId="0" xfId="0" applyFont="1" applyBorder="1" applyAlignment="1"/>
    <xf numFmtId="0" fontId="2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3" xfId="0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 vertical="top"/>
    </xf>
    <xf numFmtId="183" fontId="33" fillId="0" borderId="3" xfId="0" applyNumberFormat="1" applyFont="1" applyFill="1" applyBorder="1" applyAlignment="1">
      <alignment horizontal="center" vertical="center"/>
    </xf>
    <xf numFmtId="202" fontId="41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6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7" fillId="0" borderId="0" xfId="0" applyFont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 wrapText="1"/>
    </xf>
    <xf numFmtId="202" fontId="41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6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82" fontId="6" fillId="4" borderId="7" xfId="0" applyNumberFormat="1" applyFont="1" applyFill="1" applyBorder="1" applyAlignment="1">
      <alignment horizontal="center" vertical="center"/>
    </xf>
    <xf numFmtId="183" fontId="33" fillId="0" borderId="2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 vertical="top"/>
    </xf>
    <xf numFmtId="0" fontId="40" fillId="4" borderId="3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31" fillId="0" borderId="4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left" vertical="top"/>
    </xf>
    <xf numFmtId="183" fontId="33" fillId="0" borderId="4" xfId="0" applyNumberFormat="1" applyFont="1" applyFill="1" applyBorder="1" applyAlignment="1">
      <alignment horizontal="center" vertical="center"/>
    </xf>
    <xf numFmtId="202" fontId="41" fillId="0" borderId="4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left" vertical="top"/>
    </xf>
    <xf numFmtId="0" fontId="0" fillId="0" borderId="3" xfId="0" applyFill="1" applyBorder="1"/>
    <xf numFmtId="0" fontId="47" fillId="0" borderId="0" xfId="0" applyFont="1" applyFill="1" applyAlignment="1">
      <alignment wrapText="1"/>
    </xf>
    <xf numFmtId="199" fontId="10" fillId="0" borderId="0" xfId="0" applyNumberFormat="1" applyFont="1" applyFill="1" applyBorder="1" applyAlignment="1">
      <alignment vertical="top"/>
    </xf>
    <xf numFmtId="199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99" fontId="20" fillId="0" borderId="0" xfId="0" applyNumberFormat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center"/>
    </xf>
    <xf numFmtId="198" fontId="22" fillId="0" borderId="0" xfId="0" applyNumberFormat="1" applyFont="1" applyFill="1" applyBorder="1" applyAlignment="1">
      <alignment horizontal="center" vertical="center"/>
    </xf>
    <xf numFmtId="199" fontId="0" fillId="0" borderId="0" xfId="0" applyNumberFormat="1" applyFill="1"/>
    <xf numFmtId="0" fontId="10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/>
    </xf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top"/>
    </xf>
    <xf numFmtId="0" fontId="0" fillId="0" borderId="0" xfId="0" applyNumberFormat="1" applyFill="1"/>
    <xf numFmtId="203" fontId="22" fillId="0" borderId="0" xfId="0" applyNumberFormat="1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0" xfId="0" applyFont="1"/>
    <xf numFmtId="0" fontId="53" fillId="0" borderId="0" xfId="0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191" fontId="4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Border="1" applyAlignment="1"/>
    <xf numFmtId="182" fontId="1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Alignment="1">
      <alignment wrapText="1"/>
    </xf>
    <xf numFmtId="0" fontId="51" fillId="0" borderId="0" xfId="0" applyFont="1" applyAlignment="1">
      <alignment wrapText="1"/>
    </xf>
    <xf numFmtId="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51" fillId="0" borderId="0" xfId="0" applyFont="1" applyFill="1" applyBorder="1" applyAlignment="1">
      <alignment horizontal="center" vertical="center"/>
    </xf>
    <xf numFmtId="207" fontId="31" fillId="0" borderId="3" xfId="0" applyNumberFormat="1" applyFont="1" applyFill="1" applyBorder="1" applyAlignment="1">
      <alignment horizontal="center" vertical="center"/>
    </xf>
    <xf numFmtId="207" fontId="31" fillId="0" borderId="4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198" fontId="5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9" xfId="0" applyBorder="1" applyAlignment="1"/>
    <xf numFmtId="0" fontId="0" fillId="0" borderId="9" xfId="0" applyFill="1" applyBorder="1" applyAlignment="1"/>
    <xf numFmtId="0" fontId="2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/>
    <xf numFmtId="0" fontId="44" fillId="0" borderId="0" xfId="0" applyFont="1" applyFill="1" applyAlignment="1">
      <alignment vertical="center"/>
    </xf>
    <xf numFmtId="0" fontId="57" fillId="0" borderId="3" xfId="0" applyFont="1" applyFill="1" applyBorder="1" applyAlignment="1">
      <alignment horizontal="center" vertical="center"/>
    </xf>
    <xf numFmtId="24" fontId="10" fillId="0" borderId="0" xfId="0" applyNumberFormat="1" applyFont="1" applyFill="1" applyBorder="1" applyAlignment="1">
      <alignment vertical="top"/>
    </xf>
    <xf numFmtId="24" fontId="7" fillId="0" borderId="0" xfId="0" applyNumberFormat="1" applyFont="1" applyFill="1" applyBorder="1" applyAlignment="1">
      <alignment vertical="top"/>
    </xf>
    <xf numFmtId="24" fontId="9" fillId="0" borderId="0" xfId="0" applyNumberFormat="1" applyFont="1" applyFill="1" applyBorder="1" applyAlignment="1">
      <alignment vertical="top"/>
    </xf>
    <xf numFmtId="24" fontId="0" fillId="0" borderId="0" xfId="0" applyNumberFormat="1" applyFill="1"/>
    <xf numFmtId="0" fontId="23" fillId="0" borderId="0" xfId="0" applyFont="1" applyFill="1" applyBorder="1" applyAlignment="1"/>
    <xf numFmtId="0" fontId="44" fillId="0" borderId="0" xfId="0" applyFont="1" applyFill="1" applyBorder="1" applyAlignment="1">
      <alignment vertical="center"/>
    </xf>
    <xf numFmtId="182" fontId="16" fillId="4" borderId="2" xfId="0" applyNumberFormat="1" applyFont="1" applyFill="1" applyBorder="1" applyAlignment="1">
      <alignment horizontal="center" vertical="center"/>
    </xf>
    <xf numFmtId="208" fontId="22" fillId="0" borderId="0" xfId="0" applyNumberFormat="1" applyFont="1" applyFill="1" applyBorder="1" applyAlignment="1">
      <alignment horizontal="center" vertical="center"/>
    </xf>
    <xf numFmtId="203" fontId="22" fillId="0" borderId="0" xfId="0" applyNumberFormat="1" applyFont="1" applyFill="1" applyBorder="1" applyAlignment="1">
      <alignment vertical="center"/>
    </xf>
    <xf numFmtId="205" fontId="22" fillId="0" borderId="0" xfId="2" applyNumberFormat="1" applyFont="1" applyFill="1" applyBorder="1" applyAlignment="1">
      <alignment horizontal="center" vertical="center"/>
    </xf>
    <xf numFmtId="24" fontId="22" fillId="0" borderId="0" xfId="0" applyNumberFormat="1" applyFont="1" applyFill="1" applyBorder="1" applyAlignment="1">
      <alignment vertical="center"/>
    </xf>
    <xf numFmtId="0" fontId="52" fillId="7" borderId="3" xfId="0" applyFont="1" applyFill="1" applyBorder="1" applyAlignment="1">
      <alignment horizontal="center" vertical="center" textRotation="90"/>
    </xf>
    <xf numFmtId="0" fontId="52" fillId="7" borderId="3" xfId="0" applyFont="1" applyFill="1" applyBorder="1" applyAlignment="1">
      <alignment horizontal="center" vertical="center" textRotation="90" wrapText="1"/>
    </xf>
    <xf numFmtId="0" fontId="52" fillId="7" borderId="3" xfId="0" applyNumberFormat="1" applyFont="1" applyFill="1" applyBorder="1" applyAlignment="1">
      <alignment horizontal="center" vertical="center" textRotation="90" wrapText="1"/>
    </xf>
    <xf numFmtId="24" fontId="52" fillId="7" borderId="3" xfId="0" applyNumberFormat="1" applyFont="1" applyFill="1" applyBorder="1" applyAlignment="1">
      <alignment horizontal="center" vertical="center" textRotation="90" wrapText="1"/>
    </xf>
    <xf numFmtId="188" fontId="53" fillId="7" borderId="3" xfId="0" applyNumberFormat="1" applyFont="1" applyFill="1" applyBorder="1" applyAlignment="1">
      <alignment horizontal="center" vertical="center" textRotation="90"/>
    </xf>
    <xf numFmtId="14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182" fontId="21" fillId="0" borderId="0" xfId="0" applyNumberFormat="1" applyFont="1" applyFill="1" applyAlignment="1">
      <alignment horizontal="center"/>
    </xf>
    <xf numFmtId="198" fontId="21" fillId="0" borderId="0" xfId="0" applyNumberFormat="1" applyFont="1" applyFill="1" applyAlignment="1">
      <alignment horizontal="center"/>
    </xf>
    <xf numFmtId="9" fontId="53" fillId="0" borderId="0" xfId="0" applyNumberFormat="1" applyFont="1" applyFill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/>
    </xf>
    <xf numFmtId="198" fontId="2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top"/>
    </xf>
    <xf numFmtId="0" fontId="60" fillId="3" borderId="0" xfId="7" applyFont="1" applyFill="1" applyBorder="1"/>
    <xf numFmtId="182" fontId="6" fillId="4" borderId="3" xfId="0" applyNumberFormat="1" applyFont="1" applyFill="1" applyBorder="1" applyAlignment="1">
      <alignment horizontal="center" vertical="center"/>
    </xf>
    <xf numFmtId="0" fontId="55" fillId="0" borderId="4" xfId="0" applyFont="1" applyFill="1" applyBorder="1" applyAlignment="1">
      <alignment horizontal="center" vertical="center" textRotation="90" wrapText="1"/>
    </xf>
    <xf numFmtId="0" fontId="55" fillId="0" borderId="4" xfId="0" applyFont="1" applyFill="1" applyBorder="1" applyAlignment="1">
      <alignment vertical="center" textRotation="90" wrapText="1"/>
    </xf>
    <xf numFmtId="0" fontId="55" fillId="0" borderId="4" xfId="0" applyNumberFormat="1" applyFont="1" applyFill="1" applyBorder="1" applyAlignment="1">
      <alignment vertical="center" textRotation="90" wrapText="1"/>
    </xf>
    <xf numFmtId="24" fontId="55" fillId="0" borderId="4" xfId="0" applyNumberFormat="1" applyFont="1" applyFill="1" applyBorder="1" applyAlignment="1">
      <alignment vertical="center" textRotation="90" wrapText="1"/>
    </xf>
    <xf numFmtId="0" fontId="61" fillId="0" borderId="4" xfId="0" applyFont="1" applyFill="1" applyBorder="1" applyAlignment="1">
      <alignment vertical="center" textRotation="90" wrapText="1"/>
    </xf>
    <xf numFmtId="0" fontId="0" fillId="0" borderId="4" xfId="0" applyFill="1" applyBorder="1"/>
    <xf numFmtId="0" fontId="0" fillId="0" borderId="9" xfId="0" applyFill="1" applyBorder="1"/>
    <xf numFmtId="0" fontId="0" fillId="0" borderId="3" xfId="0" applyNumberFormat="1" applyFill="1" applyBorder="1"/>
    <xf numFmtId="0" fontId="31" fillId="0" borderId="0" xfId="0" applyFont="1" applyFill="1" applyBorder="1" applyAlignment="1">
      <alignment horizontal="center" vertical="center"/>
    </xf>
    <xf numFmtId="207" fontId="22" fillId="0" borderId="0" xfId="0" applyNumberFormat="1" applyFont="1" applyFill="1" applyBorder="1" applyAlignment="1">
      <alignment horizontal="center" vertical="center"/>
    </xf>
    <xf numFmtId="210" fontId="22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84" fontId="6" fillId="0" borderId="3" xfId="0" applyNumberFormat="1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left" vertical="center"/>
    </xf>
    <xf numFmtId="14" fontId="63" fillId="0" borderId="2" xfId="0" applyNumberFormat="1" applyFont="1" applyFill="1" applyBorder="1" applyAlignment="1">
      <alignment horizontal="left" vertical="center"/>
    </xf>
    <xf numFmtId="183" fontId="23" fillId="0" borderId="3" xfId="0" applyNumberFormat="1" applyFont="1" applyFill="1" applyBorder="1" applyAlignment="1">
      <alignment horizontal="center" vertical="center"/>
    </xf>
    <xf numFmtId="197" fontId="6" fillId="0" borderId="2" xfId="0" applyNumberFormat="1" applyFont="1" applyFill="1" applyBorder="1" applyAlignment="1">
      <alignment horizontal="center" vertical="center"/>
    </xf>
    <xf numFmtId="196" fontId="6" fillId="0" borderId="3" xfId="0" applyNumberFormat="1" applyFont="1" applyFill="1" applyBorder="1" applyAlignment="1">
      <alignment horizontal="center" vertical="center"/>
    </xf>
    <xf numFmtId="183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98" fontId="6" fillId="0" borderId="3" xfId="0" applyNumberFormat="1" applyFont="1" applyFill="1" applyBorder="1" applyAlignment="1">
      <alignment horizontal="center" vertical="center"/>
    </xf>
    <xf numFmtId="198" fontId="6" fillId="0" borderId="3" xfId="2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208" fontId="6" fillId="0" borderId="3" xfId="0" applyNumberFormat="1" applyFont="1" applyFill="1" applyBorder="1" applyAlignment="1">
      <alignment horizontal="center" vertical="center"/>
    </xf>
    <xf numFmtId="203" fontId="6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24" fontId="6" fillId="0" borderId="3" xfId="0" applyNumberFormat="1" applyFont="1" applyFill="1" applyBorder="1" applyAlignment="1">
      <alignment horizontal="center" vertical="center"/>
    </xf>
    <xf numFmtId="207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207" fontId="6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/>
    </xf>
    <xf numFmtId="208" fontId="65" fillId="0" borderId="2" xfId="6" quotePrefix="1" applyNumberFormat="1" applyFont="1" applyFill="1" applyBorder="1" applyAlignment="1">
      <alignment vertical="center"/>
    </xf>
    <xf numFmtId="198" fontId="6" fillId="0" borderId="2" xfId="0" applyNumberFormat="1" applyFont="1" applyFill="1" applyBorder="1" applyAlignment="1">
      <alignment horizontal="center" vertical="center"/>
    </xf>
    <xf numFmtId="186" fontId="6" fillId="0" borderId="2" xfId="0" applyNumberFormat="1" applyFont="1" applyFill="1" applyBorder="1" applyAlignment="1">
      <alignment horizontal="center" vertical="center"/>
    </xf>
    <xf numFmtId="0" fontId="66" fillId="0" borderId="2" xfId="0" applyNumberFormat="1" applyFont="1" applyFill="1" applyBorder="1" applyAlignment="1">
      <alignment horizontal="center" vertical="center"/>
    </xf>
    <xf numFmtId="182" fontId="67" fillId="0" borderId="0" xfId="0" applyNumberFormat="1" applyFont="1" applyFill="1" applyAlignment="1">
      <alignment horizontal="center"/>
    </xf>
    <xf numFmtId="0" fontId="67" fillId="0" borderId="0" xfId="0" applyFont="1" applyFill="1" applyBorder="1" applyAlignment="1">
      <alignment horizontal="center"/>
    </xf>
    <xf numFmtId="212" fontId="65" fillId="0" borderId="0" xfId="1" applyNumberFormat="1" applyFont="1" applyFill="1" applyBorder="1"/>
    <xf numFmtId="9" fontId="65" fillId="0" borderId="0" xfId="5" applyFont="1" applyFill="1" applyBorder="1" applyAlignment="1"/>
    <xf numFmtId="0" fontId="67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184" fontId="16" fillId="0" borderId="3" xfId="0" applyNumberFormat="1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left" vertical="center"/>
    </xf>
    <xf numFmtId="49" fontId="68" fillId="0" borderId="2" xfId="0" applyNumberFormat="1" applyFont="1" applyFill="1" applyBorder="1" applyAlignment="1">
      <alignment horizontal="left" vertical="center"/>
    </xf>
    <xf numFmtId="14" fontId="68" fillId="0" borderId="2" xfId="0" applyNumberFormat="1" applyFont="1" applyFill="1" applyBorder="1" applyAlignment="1">
      <alignment horizontal="left" vertical="center"/>
    </xf>
    <xf numFmtId="0" fontId="69" fillId="0" borderId="2" xfId="0" applyFont="1" applyFill="1" applyBorder="1" applyAlignment="1">
      <alignment horizontal="center" vertical="center"/>
    </xf>
    <xf numFmtId="183" fontId="70" fillId="0" borderId="3" xfId="0" applyNumberFormat="1" applyFont="1" applyFill="1" applyBorder="1" applyAlignment="1">
      <alignment horizontal="center" vertical="center"/>
    </xf>
    <xf numFmtId="197" fontId="16" fillId="0" borderId="2" xfId="0" applyNumberFormat="1" applyFont="1" applyFill="1" applyBorder="1" applyAlignment="1">
      <alignment horizontal="center" vertical="center"/>
    </xf>
    <xf numFmtId="196" fontId="16" fillId="0" borderId="3" xfId="0" applyNumberFormat="1" applyFont="1" applyFill="1" applyBorder="1" applyAlignment="1">
      <alignment horizontal="center" vertical="center"/>
    </xf>
    <xf numFmtId="183" fontId="16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198" fontId="16" fillId="0" borderId="3" xfId="0" applyNumberFormat="1" applyFont="1" applyFill="1" applyBorder="1" applyAlignment="1">
      <alignment horizontal="center" vertical="center"/>
    </xf>
    <xf numFmtId="198" fontId="16" fillId="0" borderId="3" xfId="2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208" fontId="16" fillId="0" borderId="3" xfId="0" applyNumberFormat="1" applyFont="1" applyFill="1" applyBorder="1" applyAlignment="1">
      <alignment horizontal="center" vertical="center"/>
    </xf>
    <xf numFmtId="203" fontId="16" fillId="0" borderId="3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24" fontId="16" fillId="0" borderId="3" xfId="0" applyNumberFormat="1" applyFont="1" applyFill="1" applyBorder="1" applyAlignment="1">
      <alignment horizontal="center" vertical="center"/>
    </xf>
    <xf numFmtId="207" fontId="16" fillId="0" borderId="3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210" fontId="16" fillId="0" borderId="3" xfId="0" applyNumberFormat="1" applyFont="1" applyFill="1" applyBorder="1" applyAlignment="1">
      <alignment horizontal="center" vertical="center"/>
    </xf>
    <xf numFmtId="182" fontId="16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207" fontId="16" fillId="0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/>
    </xf>
    <xf numFmtId="208" fontId="71" fillId="0" borderId="2" xfId="6" quotePrefix="1" applyNumberFormat="1" applyFont="1" applyFill="1" applyBorder="1" applyAlignment="1">
      <alignment vertical="center"/>
    </xf>
    <xf numFmtId="198" fontId="16" fillId="0" borderId="2" xfId="0" applyNumberFormat="1" applyFont="1" applyFill="1" applyBorder="1" applyAlignment="1">
      <alignment horizontal="center" vertical="center"/>
    </xf>
    <xf numFmtId="186" fontId="16" fillId="0" borderId="2" xfId="0" applyNumberFormat="1" applyFont="1" applyFill="1" applyBorder="1" applyAlignment="1">
      <alignment horizontal="center" vertical="center"/>
    </xf>
    <xf numFmtId="0" fontId="72" fillId="0" borderId="2" xfId="0" applyNumberFormat="1" applyFont="1" applyFill="1" applyBorder="1" applyAlignment="1">
      <alignment horizontal="center" vertical="center"/>
    </xf>
    <xf numFmtId="182" fontId="73" fillId="0" borderId="0" xfId="0" applyNumberFormat="1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212" fontId="71" fillId="0" borderId="0" xfId="1" applyNumberFormat="1" applyFont="1" applyFill="1" applyBorder="1"/>
    <xf numFmtId="9" fontId="71" fillId="0" borderId="0" xfId="5" applyFont="1" applyFill="1" applyBorder="1" applyAlignment="1"/>
    <xf numFmtId="0" fontId="71" fillId="0" borderId="0" xfId="7" applyFont="1" applyFill="1" applyBorder="1"/>
    <xf numFmtId="0" fontId="73" fillId="0" borderId="0" xfId="0" applyFont="1" applyFill="1" applyAlignment="1">
      <alignment horizontal="center"/>
    </xf>
    <xf numFmtId="184" fontId="6" fillId="0" borderId="2" xfId="0" applyNumberFormat="1" applyFont="1" applyFill="1" applyBorder="1" applyAlignment="1">
      <alignment horizontal="center" vertical="center"/>
    </xf>
    <xf numFmtId="183" fontId="54" fillId="0" borderId="3" xfId="0" applyNumberFormat="1" applyFont="1" applyFill="1" applyBorder="1" applyAlignment="1">
      <alignment horizontal="center" vertical="center"/>
    </xf>
    <xf numFmtId="183" fontId="23" fillId="0" borderId="2" xfId="0" applyNumberFormat="1" applyFont="1" applyFill="1" applyBorder="1" applyAlignment="1">
      <alignment horizontal="center" vertical="center"/>
    </xf>
    <xf numFmtId="196" fontId="6" fillId="0" borderId="2" xfId="0" applyNumberFormat="1" applyFont="1" applyFill="1" applyBorder="1" applyAlignment="1">
      <alignment horizontal="center" vertical="center"/>
    </xf>
    <xf numFmtId="183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198" fontId="6" fillId="0" borderId="2" xfId="2" applyNumberFormat="1" applyFont="1" applyFill="1" applyBorder="1" applyAlignment="1">
      <alignment horizontal="center" vertical="center"/>
    </xf>
    <xf numFmtId="208" fontId="6" fillId="0" borderId="2" xfId="0" applyNumberFormat="1" applyFont="1" applyFill="1" applyBorder="1" applyAlignment="1">
      <alignment horizontal="center" vertical="center"/>
    </xf>
    <xf numFmtId="203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24" fontId="6" fillId="0" borderId="2" xfId="0" applyNumberFormat="1" applyFont="1" applyFill="1" applyBorder="1" applyAlignment="1">
      <alignment horizontal="center" vertical="center"/>
    </xf>
    <xf numFmtId="210" fontId="6" fillId="0" borderId="2" xfId="0" applyNumberFormat="1" applyFont="1" applyFill="1" applyBorder="1" applyAlignment="1">
      <alignment horizontal="center" vertical="center"/>
    </xf>
    <xf numFmtId="208" fontId="65" fillId="0" borderId="2" xfId="6" quotePrefix="1" applyNumberFormat="1" applyFont="1" applyBorder="1" applyAlignment="1">
      <alignment vertical="center"/>
    </xf>
    <xf numFmtId="211" fontId="65" fillId="0" borderId="2" xfId="6" quotePrefix="1" applyNumberFormat="1" applyFont="1" applyBorder="1" applyAlignment="1"/>
    <xf numFmtId="198" fontId="67" fillId="0" borderId="0" xfId="0" applyNumberFormat="1" applyFont="1" applyFill="1" applyBorder="1" applyAlignment="1">
      <alignment horizontal="center"/>
    </xf>
    <xf numFmtId="198" fontId="67" fillId="0" borderId="0" xfId="0" applyNumberFormat="1" applyFont="1" applyFill="1" applyAlignment="1">
      <alignment horizontal="center"/>
    </xf>
    <xf numFmtId="0" fontId="64" fillId="0" borderId="3" xfId="0" applyFont="1" applyFill="1" applyBorder="1" applyAlignment="1">
      <alignment horizontal="center" vertical="center"/>
    </xf>
    <xf numFmtId="198" fontId="6" fillId="0" borderId="0" xfId="0" applyNumberFormat="1" applyFont="1" applyFill="1" applyBorder="1" applyAlignment="1">
      <alignment horizontal="center" vertical="center"/>
    </xf>
    <xf numFmtId="0" fontId="65" fillId="3" borderId="0" xfId="7" applyFont="1" applyFill="1" applyBorder="1" applyAlignment="1">
      <alignment horizontal="center"/>
    </xf>
    <xf numFmtId="203" fontId="6" fillId="0" borderId="0" xfId="0" applyNumberFormat="1" applyFont="1" applyFill="1" applyBorder="1" applyAlignment="1">
      <alignment vertical="center"/>
    </xf>
    <xf numFmtId="198" fontId="6" fillId="0" borderId="8" xfId="0" applyNumberFormat="1" applyFont="1" applyFill="1" applyBorder="1" applyAlignment="1">
      <alignment horizontal="center" vertical="center"/>
    </xf>
    <xf numFmtId="205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08" fontId="6" fillId="0" borderId="8" xfId="0" applyNumberFormat="1" applyFont="1" applyFill="1" applyBorder="1" applyAlignment="1">
      <alignment horizontal="center" vertical="center"/>
    </xf>
    <xf numFmtId="24" fontId="6" fillId="0" borderId="0" xfId="0" applyNumberFormat="1" applyFont="1" applyFill="1" applyBorder="1" applyAlignment="1">
      <alignment vertical="center"/>
    </xf>
    <xf numFmtId="0" fontId="65" fillId="3" borderId="0" xfId="7" applyFont="1" applyFill="1" applyBorder="1"/>
    <xf numFmtId="194" fontId="6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 applyAlignment="1">
      <alignment horizontal="left" vertical="center"/>
    </xf>
    <xf numFmtId="14" fontId="63" fillId="0" borderId="3" xfId="0" applyNumberFormat="1" applyFont="1" applyFill="1" applyBorder="1" applyAlignment="1">
      <alignment horizontal="left" vertical="center"/>
    </xf>
    <xf numFmtId="206" fontId="63" fillId="0" borderId="3" xfId="0" applyNumberFormat="1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197" fontId="6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212" fontId="65" fillId="3" borderId="0" xfId="1" applyNumberFormat="1" applyFont="1" applyFill="1" applyBorder="1"/>
    <xf numFmtId="9" fontId="65" fillId="3" borderId="0" xfId="5" applyFont="1" applyFill="1" applyBorder="1" applyAlignment="1"/>
    <xf numFmtId="206" fontId="63" fillId="0" borderId="2" xfId="0" applyNumberFormat="1" applyFont="1" applyFill="1" applyBorder="1" applyAlignment="1">
      <alignment horizontal="left" vertical="center"/>
    </xf>
    <xf numFmtId="212" fontId="74" fillId="3" borderId="0" xfId="1" applyNumberFormat="1" applyFont="1" applyFill="1" applyBorder="1"/>
    <xf numFmtId="0" fontId="65" fillId="3" borderId="0" xfId="7" applyFont="1" applyFill="1"/>
    <xf numFmtId="0" fontId="15" fillId="0" borderId="0" xfId="0" applyFont="1" applyFill="1" applyBorder="1" applyAlignment="1">
      <alignment horizontal="center" vertical="center"/>
    </xf>
    <xf numFmtId="193" fontId="6" fillId="0" borderId="3" xfId="0" applyNumberFormat="1" applyFont="1" applyFill="1" applyBorder="1" applyAlignment="1">
      <alignment horizontal="center" vertical="center"/>
    </xf>
    <xf numFmtId="212" fontId="74" fillId="0" borderId="0" xfId="1" applyNumberFormat="1" applyFont="1" applyFill="1" applyBorder="1"/>
    <xf numFmtId="0" fontId="65" fillId="0" borderId="0" xfId="7" applyFont="1" applyFill="1"/>
    <xf numFmtId="0" fontId="15" fillId="0" borderId="0" xfId="0" applyFont="1" applyFill="1"/>
    <xf numFmtId="0" fontId="6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198" fontId="6" fillId="0" borderId="0" xfId="2" applyNumberFormat="1" applyFont="1" applyFill="1" applyBorder="1" applyAlignment="1">
      <alignment horizontal="center" vertical="center"/>
    </xf>
    <xf numFmtId="208" fontId="6" fillId="0" borderId="0" xfId="0" applyNumberFormat="1" applyFont="1" applyFill="1" applyBorder="1" applyAlignment="1">
      <alignment horizontal="center" vertical="center"/>
    </xf>
    <xf numFmtId="203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24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82" fontId="6" fillId="0" borderId="3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93" fontId="6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/>
    </xf>
    <xf numFmtId="183" fontId="23" fillId="0" borderId="0" xfId="0" applyNumberFormat="1" applyFont="1" applyFill="1" applyBorder="1" applyAlignment="1">
      <alignment horizontal="center" vertical="center"/>
    </xf>
    <xf numFmtId="197" fontId="6" fillId="0" borderId="0" xfId="0" applyNumberFormat="1" applyFont="1" applyFill="1" applyBorder="1" applyAlignment="1">
      <alignment horizontal="center" vertical="center"/>
    </xf>
    <xf numFmtId="196" fontId="6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/>
    </xf>
    <xf numFmtId="210" fontId="6" fillId="4" borderId="2" xfId="0" applyNumberFormat="1" applyFont="1" applyFill="1" applyBorder="1" applyAlignment="1">
      <alignment horizontal="center" vertical="center"/>
    </xf>
    <xf numFmtId="192" fontId="6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191" fontId="6" fillId="0" borderId="3" xfId="0" applyNumberFormat="1" applyFont="1" applyFill="1" applyBorder="1" applyAlignment="1">
      <alignment horizontal="center" vertical="center"/>
    </xf>
    <xf numFmtId="0" fontId="75" fillId="0" borderId="2" xfId="0" applyFont="1" applyFill="1" applyBorder="1" applyAlignment="1">
      <alignment horizontal="left" vertical="top"/>
    </xf>
    <xf numFmtId="191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208" fontId="65" fillId="0" borderId="3" xfId="6" quotePrefix="1" applyNumberFormat="1" applyFont="1" applyBorder="1" applyAlignment="1">
      <alignment vertical="center"/>
    </xf>
    <xf numFmtId="0" fontId="66" fillId="0" borderId="3" xfId="0" applyNumberFormat="1" applyFont="1" applyFill="1" applyBorder="1" applyAlignment="1">
      <alignment horizontal="center" vertical="center"/>
    </xf>
    <xf numFmtId="182" fontId="67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208" fontId="65" fillId="0" borderId="3" xfId="6" quotePrefix="1" applyNumberFormat="1" applyFont="1" applyFill="1" applyBorder="1" applyAlignment="1">
      <alignment vertical="center"/>
    </xf>
    <xf numFmtId="182" fontId="6" fillId="4" borderId="5" xfId="0" applyNumberFormat="1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horizontal="center" vertical="center"/>
    </xf>
    <xf numFmtId="0" fontId="77" fillId="7" borderId="3" xfId="0" applyFont="1" applyFill="1" applyBorder="1" applyAlignment="1">
      <alignment horizontal="center" vertical="center" textRotation="90"/>
    </xf>
    <xf numFmtId="0" fontId="77" fillId="7" borderId="3" xfId="0" applyFont="1" applyFill="1" applyBorder="1" applyAlignment="1">
      <alignment horizontal="center" vertical="center" textRotation="90" wrapText="1"/>
    </xf>
    <xf numFmtId="0" fontId="77" fillId="7" borderId="3" xfId="0" applyNumberFormat="1" applyFont="1" applyFill="1" applyBorder="1" applyAlignment="1">
      <alignment horizontal="center" vertical="center" textRotation="90" wrapText="1"/>
    </xf>
    <xf numFmtId="24" fontId="77" fillId="7" borderId="3" xfId="0" applyNumberFormat="1" applyFont="1" applyFill="1" applyBorder="1" applyAlignment="1">
      <alignment horizontal="center" vertical="center" textRotation="90" wrapText="1"/>
    </xf>
    <xf numFmtId="188" fontId="78" fillId="7" borderId="3" xfId="0" applyNumberFormat="1" applyFont="1" applyFill="1" applyBorder="1" applyAlignment="1">
      <alignment horizontal="center" vertical="center" textRotation="90"/>
    </xf>
    <xf numFmtId="0" fontId="78" fillId="0" borderId="0" xfId="0" applyFont="1" applyFill="1" applyBorder="1" applyAlignment="1">
      <alignment horizontal="center" vertical="center" textRotation="90" wrapText="1"/>
    </xf>
    <xf numFmtId="9" fontId="78" fillId="0" borderId="0" xfId="0" applyNumberFormat="1" applyFont="1" applyFill="1" applyBorder="1" applyAlignment="1">
      <alignment horizontal="center" vertical="center" textRotation="90" wrapText="1"/>
    </xf>
    <xf numFmtId="0" fontId="62" fillId="0" borderId="0" xfId="0" applyFont="1" applyAlignment="1">
      <alignment horizontal="center" vertical="center"/>
    </xf>
    <xf numFmtId="0" fontId="48" fillId="2" borderId="4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50" fillId="4" borderId="4" xfId="0" applyFont="1" applyFill="1" applyBorder="1" applyAlignment="1">
      <alignment horizontal="center" vertical="center" wrapText="1"/>
    </xf>
    <xf numFmtId="0" fontId="50" fillId="4" borderId="8" xfId="0" applyFont="1" applyFill="1" applyBorder="1" applyAlignment="1">
      <alignment horizontal="center" vertical="center" wrapText="1"/>
    </xf>
    <xf numFmtId="0" fontId="50" fillId="4" borderId="2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</cellXfs>
  <cellStyles count="8">
    <cellStyle name="Comma" xfId="1" builtinId="3"/>
    <cellStyle name="Comma 2" xfId="6"/>
    <cellStyle name="Currency" xfId="2" builtinId="4"/>
    <cellStyle name="Normal" xfId="0" builtinId="0"/>
    <cellStyle name="Normal 2" xfId="3"/>
    <cellStyle name="Normal 2 2" xfId="7"/>
    <cellStyle name="Percent" xfId="5" builtinId="5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207818</xdr:colOff>
      <xdr:row>0</xdr:row>
      <xdr:rowOff>0</xdr:rowOff>
    </xdr:from>
    <xdr:to>
      <xdr:col>38</xdr:col>
      <xdr:colOff>0</xdr:colOff>
      <xdr:row>5</xdr:row>
      <xdr:rowOff>536864</xdr:rowOff>
    </xdr:to>
    <xdr:sp macro="" textlink="">
      <xdr:nvSpPr>
        <xdr:cNvPr id="2" name="TextBox 1"/>
        <xdr:cNvSpPr txBox="1"/>
      </xdr:nvSpPr>
      <xdr:spPr>
        <a:xfrm>
          <a:off x="2160443" y="0"/>
          <a:ext cx="26271682" cy="2565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ជូហៃ</a:t>
          </a:r>
          <a:r>
            <a:rPr kumimoji="0" lang="ca-E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​ 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បាវស៊ុន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(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ខេមបូឌា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)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ឯ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.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ក</a:t>
          </a:r>
          <a:endParaRPr kumimoji="0" lang="zh-CN" altLang="zh-CN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zh-CN" altLang="zh-CN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Khmer OS Muol Light"/>
            </a:rPr>
            <a:t>聚海宝舜（柬埔寨）有限公司</a:t>
          </a:r>
          <a:endParaRPr kumimoji="0" lang="zh-CN" altLang="zh-CN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J</a:t>
          </a:r>
          <a:r>
            <a:rPr kumimoji="0" lang="en-GB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UHAI BAOSHUN</a:t>
          </a:r>
          <a:r>
            <a:rPr kumimoji="0" lang="zh-CN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Khmer OS Muol Light"/>
            </a:rPr>
            <a:t>（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CAMBODIA)CO.,LTD</a:t>
          </a:r>
          <a:endParaRPr kumimoji="0" lang="zh-CN" altLang="zh-CN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zh-CN" sz="2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r>
            <a:rPr lang="km-KH" sz="2400">
              <a:solidFill>
                <a:sysClr val="windowText" lastClr="000000"/>
              </a:solidFill>
              <a:latin typeface="Khmer OS Battambang" pitchFamily="2" charset="0"/>
              <a:cs typeface="Khmer OS Battambang" pitchFamily="2" charset="0"/>
            </a:rPr>
            <a:t>តារាងបើកប្រាក់បៀវត្សប្រចាំខែ</a:t>
          </a:r>
          <a:r>
            <a:rPr lang="en-US" sz="2400">
              <a:solidFill>
                <a:sysClr val="windowText" lastClr="000000"/>
              </a:solidFill>
              <a:latin typeface="Khmer OS Battambang" pitchFamily="2" charset="0"/>
              <a:cs typeface="Khmer OS Battambang" pitchFamily="2" charset="0"/>
            </a:rPr>
            <a:t>09/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员工的工资表</a:t>
          </a:r>
          <a:r>
            <a:rPr lang="en-US" altLang="zh-CN" sz="2400">
              <a:solidFill>
                <a:sysClr val="windowText" lastClr="000000"/>
              </a:solidFill>
              <a:latin typeface="+mn-lt"/>
            </a:rPr>
            <a:t>09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月</a:t>
          </a:r>
          <a:r>
            <a:rPr lang="en-US" altLang="zh-CN" sz="2400">
              <a:solidFill>
                <a:sysClr val="windowText" lastClr="000000"/>
              </a:solidFill>
              <a:latin typeface="+mn-lt"/>
            </a:rPr>
            <a:t>2024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年</a:t>
          </a:r>
          <a:endParaRPr lang="en-US" sz="2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207818</xdr:colOff>
      <xdr:row>0</xdr:row>
      <xdr:rowOff>0</xdr:rowOff>
    </xdr:from>
    <xdr:to>
      <xdr:col>38</xdr:col>
      <xdr:colOff>0</xdr:colOff>
      <xdr:row>5</xdr:row>
      <xdr:rowOff>536864</xdr:rowOff>
    </xdr:to>
    <xdr:sp macro="" textlink="">
      <xdr:nvSpPr>
        <xdr:cNvPr id="2" name="TextBox 1"/>
        <xdr:cNvSpPr txBox="1"/>
      </xdr:nvSpPr>
      <xdr:spPr>
        <a:xfrm>
          <a:off x="2164773" y="0"/>
          <a:ext cx="34099500" cy="2545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ជូហៃ</a:t>
          </a:r>
          <a:r>
            <a:rPr kumimoji="0" lang="ca-E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​ 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បាវស៊ុន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(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ខេមបូឌា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)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ឯ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.</a:t>
          </a:r>
          <a:r>
            <a:rPr kumimoji="0" lang="km-KH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SimSun"/>
              <a:cs typeface="Khmer OS Muol Light"/>
            </a:rPr>
            <a:t>ក</a:t>
          </a:r>
          <a:endParaRPr kumimoji="0" lang="zh-CN" altLang="zh-CN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zh-CN" altLang="zh-CN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Khmer OS Muol Light"/>
            </a:rPr>
            <a:t>聚海宝舜（柬埔寨）有限公司</a:t>
          </a:r>
          <a:endParaRPr kumimoji="0" lang="zh-CN" altLang="zh-CN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71800" algn="ctr"/>
              <a:tab pos="5943600" algn="r"/>
            </a:tabLst>
            <a:defRPr/>
          </a:pP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J</a:t>
          </a:r>
          <a:r>
            <a:rPr kumimoji="0" lang="en-GB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UHAI BAOSHUN</a:t>
          </a:r>
          <a:r>
            <a:rPr kumimoji="0" lang="zh-CN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Khmer OS Muol Light"/>
            </a:rPr>
            <a:t>（</a:t>
          </a:r>
          <a:r>
            <a:rPr kumimoji="0" lang="en-US" altLang="zh-CN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Khmer OS Muol Light"/>
              <a:ea typeface="SimSun"/>
              <a:cs typeface="DaunPenh"/>
            </a:rPr>
            <a:t>CAMBODIA)CO.,LTD</a:t>
          </a:r>
          <a:endParaRPr kumimoji="0" lang="zh-CN" altLang="zh-CN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SimSun"/>
            <a:cs typeface="DaunPenh"/>
          </a:endParaRPr>
        </a:p>
        <a:p>
          <a:pPr marL="0" marR="0" lvl="0" indent="0" algn="ctr" defTabSz="91440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zh-CN" sz="2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r>
            <a:rPr lang="km-KH" sz="2400">
              <a:solidFill>
                <a:sysClr val="windowText" lastClr="000000"/>
              </a:solidFill>
              <a:latin typeface="Khmer OS Battambang" pitchFamily="2" charset="0"/>
              <a:cs typeface="Khmer OS Battambang" pitchFamily="2" charset="0"/>
            </a:rPr>
            <a:t>តារាងបើកប្រាក់បៀវត្សប្រចាំខែ</a:t>
          </a:r>
          <a:r>
            <a:rPr lang="en-US" sz="2400">
              <a:solidFill>
                <a:sysClr val="windowText" lastClr="000000"/>
              </a:solidFill>
              <a:latin typeface="Khmer OS Battambang" pitchFamily="2" charset="0"/>
              <a:cs typeface="Khmer OS Battambang" pitchFamily="2" charset="0"/>
            </a:rPr>
            <a:t>09/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员工的工资表</a:t>
          </a:r>
          <a:r>
            <a:rPr lang="en-US" altLang="zh-CN" sz="2400">
              <a:solidFill>
                <a:sysClr val="windowText" lastClr="000000"/>
              </a:solidFill>
              <a:latin typeface="+mn-lt"/>
            </a:rPr>
            <a:t>09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月</a:t>
          </a:r>
          <a:r>
            <a:rPr lang="en-US" altLang="zh-CN" sz="2400">
              <a:solidFill>
                <a:sysClr val="windowText" lastClr="000000"/>
              </a:solidFill>
              <a:latin typeface="+mn-lt"/>
            </a:rPr>
            <a:t>2024</a:t>
          </a:r>
          <a:r>
            <a:rPr lang="zh-CN" altLang="en-US" sz="2400">
              <a:solidFill>
                <a:sysClr val="windowText" lastClr="000000"/>
              </a:solidFill>
              <a:latin typeface="+mn-lt"/>
            </a:rPr>
            <a:t>年</a:t>
          </a:r>
          <a:endParaRPr lang="en-US" sz="2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2"/>
  <sheetViews>
    <sheetView zoomScale="70" zoomScaleNormal="70" workbookViewId="0">
      <pane xSplit="5" topLeftCell="F1" activePane="topRight" state="frozen"/>
      <selection pane="topRight" activeCell="B7" sqref="B7"/>
    </sheetView>
  </sheetViews>
  <sheetFormatPr defaultRowHeight="13.5"/>
  <cols>
    <col min="1" max="1" width="6.875" customWidth="1"/>
    <col min="2" max="2" width="13.375" customWidth="1"/>
    <col min="3" max="3" width="18.25" customWidth="1"/>
    <col min="4" max="4" width="10.625" customWidth="1"/>
    <col min="5" max="5" width="17" customWidth="1"/>
    <col min="6" max="6" width="9" style="22" customWidth="1"/>
    <col min="7" max="7" width="9" customWidth="1"/>
    <col min="8" max="8" width="8.125" customWidth="1"/>
    <col min="9" max="10" width="8.75" customWidth="1"/>
    <col min="11" max="12" width="9" style="22" customWidth="1"/>
    <col min="13" max="14" width="9" customWidth="1"/>
    <col min="15" max="16" width="7.625" customWidth="1"/>
    <col min="17" max="17" width="7.875" customWidth="1"/>
    <col min="18" max="20" width="9" customWidth="1"/>
    <col min="21" max="21" width="11.625" style="3" customWidth="1"/>
    <col min="22" max="22" width="7.75" style="20" customWidth="1"/>
    <col min="23" max="23" width="8.125" style="20" customWidth="1"/>
    <col min="24" max="24" width="12.25" style="20" customWidth="1"/>
    <col min="25" max="25" width="10.75" style="20" customWidth="1"/>
    <col min="26" max="26" width="12.5" style="20" customWidth="1"/>
    <col min="28" max="28" width="9" customWidth="1"/>
    <col min="29" max="32" width="9" hidden="1" customWidth="1"/>
    <col min="33" max="33" width="11" hidden="1" customWidth="1"/>
    <col min="34" max="34" width="9" hidden="1" customWidth="1"/>
    <col min="35" max="37" width="9" customWidth="1"/>
  </cols>
  <sheetData>
    <row r="1" spans="1:35" s="23" customFormat="1" ht="30.75" customHeight="1">
      <c r="A1" s="306" t="s">
        <v>324</v>
      </c>
      <c r="B1" s="306"/>
      <c r="C1" s="306"/>
      <c r="D1" s="306"/>
      <c r="E1" s="33"/>
      <c r="F1" s="31"/>
      <c r="K1" s="31"/>
      <c r="L1" s="31"/>
      <c r="U1" s="3"/>
      <c r="V1" s="20"/>
      <c r="W1" s="20"/>
      <c r="X1" s="20"/>
      <c r="Y1" s="20"/>
      <c r="Z1" s="20"/>
    </row>
    <row r="2" spans="1:35" s="23" customFormat="1" ht="69.75">
      <c r="A2" s="32" t="s">
        <v>480</v>
      </c>
      <c r="B2" s="32"/>
      <c r="C2" s="32"/>
      <c r="D2" s="32"/>
      <c r="E2" s="32"/>
      <c r="F2" s="64" t="s">
        <v>156</v>
      </c>
      <c r="G2" s="35" t="s">
        <v>188</v>
      </c>
      <c r="H2" s="35" t="s">
        <v>157</v>
      </c>
      <c r="I2" s="35" t="s">
        <v>158</v>
      </c>
      <c r="J2" s="35" t="s">
        <v>169</v>
      </c>
      <c r="K2" s="83" t="s">
        <v>174</v>
      </c>
      <c r="L2" s="64" t="s">
        <v>159</v>
      </c>
      <c r="M2" s="35" t="s">
        <v>161</v>
      </c>
      <c r="N2" s="34" t="s">
        <v>149</v>
      </c>
      <c r="O2" s="35" t="s">
        <v>179</v>
      </c>
      <c r="P2" s="35" t="s">
        <v>236</v>
      </c>
      <c r="Q2" s="35" t="s">
        <v>180</v>
      </c>
      <c r="R2" s="35" t="s">
        <v>162</v>
      </c>
      <c r="S2" s="35" t="s">
        <v>163</v>
      </c>
      <c r="T2" s="34" t="s">
        <v>150</v>
      </c>
      <c r="U2" s="36" t="s">
        <v>164</v>
      </c>
      <c r="V2" s="38" t="s">
        <v>165</v>
      </c>
      <c r="W2" s="38"/>
      <c r="X2" s="38" t="s">
        <v>315</v>
      </c>
      <c r="Y2" s="37" t="s">
        <v>166</v>
      </c>
      <c r="Z2" s="37"/>
      <c r="AC2" s="91"/>
      <c r="AD2" s="92"/>
      <c r="AE2" s="90" t="s">
        <v>229</v>
      </c>
      <c r="AG2" s="89">
        <v>0.05</v>
      </c>
      <c r="AI2" s="90"/>
    </row>
    <row r="3" spans="1:35" s="23" customFormat="1" ht="22.15" customHeight="1">
      <c r="F3" s="322" t="s">
        <v>325</v>
      </c>
      <c r="G3" s="325" t="s">
        <v>89</v>
      </c>
      <c r="H3" s="325" t="s">
        <v>93</v>
      </c>
      <c r="I3" s="310" t="s">
        <v>137</v>
      </c>
      <c r="J3" s="48"/>
      <c r="K3" s="313" t="s">
        <v>91</v>
      </c>
      <c r="L3" s="313" t="s">
        <v>90</v>
      </c>
      <c r="M3" s="325" t="s">
        <v>160</v>
      </c>
      <c r="N3" s="313" t="s">
        <v>148</v>
      </c>
      <c r="O3" s="313" t="s">
        <v>181</v>
      </c>
      <c r="P3" s="313" t="s">
        <v>235</v>
      </c>
      <c r="Q3" s="325" t="s">
        <v>182</v>
      </c>
      <c r="R3" s="310" t="s">
        <v>138</v>
      </c>
      <c r="S3" s="325" t="s">
        <v>89</v>
      </c>
      <c r="T3" s="313" t="s">
        <v>139</v>
      </c>
      <c r="U3" s="310" t="s">
        <v>144</v>
      </c>
      <c r="V3" s="310" t="s">
        <v>145</v>
      </c>
      <c r="W3" s="319" t="s">
        <v>187</v>
      </c>
      <c r="X3" s="313" t="s">
        <v>146</v>
      </c>
      <c r="Y3" s="316" t="s">
        <v>175</v>
      </c>
      <c r="Z3" s="307" t="s">
        <v>223</v>
      </c>
      <c r="AC3" s="93"/>
      <c r="AD3" s="87"/>
      <c r="AE3" s="24"/>
      <c r="AF3" s="97"/>
      <c r="AG3" s="79"/>
      <c r="AH3" s="6"/>
    </row>
    <row r="4" spans="1:35" s="23" customFormat="1" ht="22.15" customHeight="1">
      <c r="F4" s="323"/>
      <c r="G4" s="326"/>
      <c r="H4" s="326"/>
      <c r="I4" s="311"/>
      <c r="J4" s="49"/>
      <c r="K4" s="314"/>
      <c r="L4" s="314"/>
      <c r="M4" s="326"/>
      <c r="N4" s="314"/>
      <c r="O4" s="314"/>
      <c r="P4" s="314"/>
      <c r="Q4" s="326"/>
      <c r="R4" s="311"/>
      <c r="S4" s="326"/>
      <c r="T4" s="314"/>
      <c r="U4" s="311"/>
      <c r="V4" s="311"/>
      <c r="W4" s="320"/>
      <c r="X4" s="314"/>
      <c r="Y4" s="317"/>
      <c r="Z4" s="308"/>
      <c r="AC4" s="88"/>
      <c r="AD4" s="87"/>
      <c r="AE4" s="24"/>
      <c r="AF4" s="97"/>
      <c r="AG4" s="24"/>
      <c r="AH4" s="6"/>
    </row>
    <row r="5" spans="1:35" s="23" customFormat="1" ht="22.5" customHeight="1">
      <c r="F5" s="323"/>
      <c r="G5" s="326"/>
      <c r="H5" s="326"/>
      <c r="I5" s="311"/>
      <c r="J5" s="49"/>
      <c r="K5" s="314"/>
      <c r="L5" s="314"/>
      <c r="M5" s="326"/>
      <c r="N5" s="314"/>
      <c r="O5" s="314"/>
      <c r="P5" s="314"/>
      <c r="Q5" s="326"/>
      <c r="R5" s="311"/>
      <c r="S5" s="326"/>
      <c r="T5" s="314"/>
      <c r="U5" s="311"/>
      <c r="V5" s="311"/>
      <c r="W5" s="320"/>
      <c r="X5" s="314"/>
      <c r="Y5" s="317"/>
      <c r="Z5" s="308"/>
      <c r="AC5" s="88"/>
      <c r="AD5" s="87"/>
      <c r="AE5" s="24"/>
      <c r="AF5" s="98"/>
      <c r="AG5" s="24"/>
      <c r="AH5" s="6"/>
    </row>
    <row r="6" spans="1:35" s="56" customFormat="1" ht="21" customHeight="1">
      <c r="A6" s="52" t="s">
        <v>92</v>
      </c>
      <c r="B6" s="52" t="s">
        <v>0</v>
      </c>
      <c r="C6" s="53" t="s">
        <v>142</v>
      </c>
      <c r="D6" s="53" t="s">
        <v>143</v>
      </c>
      <c r="E6" s="52" t="s">
        <v>1</v>
      </c>
      <c r="F6" s="324"/>
      <c r="G6" s="327"/>
      <c r="H6" s="327"/>
      <c r="I6" s="312"/>
      <c r="J6" s="54"/>
      <c r="K6" s="315"/>
      <c r="L6" s="315"/>
      <c r="M6" s="327"/>
      <c r="N6" s="315"/>
      <c r="O6" s="315"/>
      <c r="P6" s="315"/>
      <c r="Q6" s="327"/>
      <c r="R6" s="312"/>
      <c r="S6" s="327"/>
      <c r="T6" s="315"/>
      <c r="U6" s="312"/>
      <c r="V6" s="312"/>
      <c r="W6" s="321"/>
      <c r="X6" s="315"/>
      <c r="Y6" s="318"/>
      <c r="Z6" s="309"/>
      <c r="AC6" s="88"/>
      <c r="AD6" s="87"/>
      <c r="AE6" s="24"/>
      <c r="AF6" s="99"/>
      <c r="AG6" s="24"/>
      <c r="AH6" s="6"/>
    </row>
    <row r="7" spans="1:35" s="55" customFormat="1" ht="24.75" customHeight="1">
      <c r="A7" s="25">
        <v>1</v>
      </c>
      <c r="B7" s="7" t="s">
        <v>392</v>
      </c>
      <c r="C7" s="26" t="s">
        <v>151</v>
      </c>
      <c r="D7" s="27" t="s">
        <v>120</v>
      </c>
      <c r="E7" s="28">
        <v>43451</v>
      </c>
      <c r="F7" s="57">
        <f>26-(L7+K7+O7)-T7-AA7-Q7-P7</f>
        <v>23.5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f t="shared" ref="N7:N47" si="0">G7</f>
        <v>0</v>
      </c>
      <c r="O7" s="57"/>
      <c r="P7" s="57"/>
      <c r="Q7" s="58">
        <v>1.5</v>
      </c>
      <c r="R7" s="57"/>
      <c r="S7" s="57"/>
      <c r="T7" s="57">
        <v>1</v>
      </c>
      <c r="U7" s="57"/>
      <c r="V7" s="57"/>
      <c r="W7" s="57"/>
      <c r="X7" s="94"/>
      <c r="Y7" s="94"/>
      <c r="Z7" s="94"/>
      <c r="AB7" s="86"/>
      <c r="AC7" s="88"/>
      <c r="AD7" s="87"/>
      <c r="AE7" s="82"/>
      <c r="AF7" s="100"/>
      <c r="AG7" s="24"/>
      <c r="AH7" s="96"/>
    </row>
    <row r="8" spans="1:35" s="55" customFormat="1" ht="25.15" customHeight="1">
      <c r="A8" s="25">
        <v>2</v>
      </c>
      <c r="B8" s="7" t="s">
        <v>393</v>
      </c>
      <c r="C8" s="26" t="s">
        <v>96</v>
      </c>
      <c r="D8" s="27" t="s">
        <v>121</v>
      </c>
      <c r="E8" s="28">
        <v>42250</v>
      </c>
      <c r="F8" s="57">
        <f>26-(L8+K8+O8)-T8-AA8-Q8-P8</f>
        <v>24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f t="shared" si="0"/>
        <v>0</v>
      </c>
      <c r="O8" s="57"/>
      <c r="P8" s="57"/>
      <c r="Q8" s="58">
        <v>1</v>
      </c>
      <c r="R8" s="57"/>
      <c r="S8" s="57"/>
      <c r="T8" s="57">
        <v>1</v>
      </c>
      <c r="U8" s="57"/>
      <c r="V8" s="57"/>
      <c r="W8" s="57"/>
      <c r="X8" s="94"/>
      <c r="Y8" s="94"/>
      <c r="Z8" s="94"/>
      <c r="AB8" s="86"/>
      <c r="AC8" s="88"/>
      <c r="AD8" s="87"/>
      <c r="AE8" s="82"/>
      <c r="AF8" s="100"/>
      <c r="AG8" s="24"/>
      <c r="AH8" s="6"/>
    </row>
    <row r="9" spans="1:35" s="55" customFormat="1" ht="29.25" customHeight="1">
      <c r="A9" s="25">
        <v>3</v>
      </c>
      <c r="B9" s="7" t="s">
        <v>394</v>
      </c>
      <c r="C9" s="26" t="s">
        <v>97</v>
      </c>
      <c r="D9" s="27" t="s">
        <v>122</v>
      </c>
      <c r="E9" s="28">
        <v>42002</v>
      </c>
      <c r="F9" s="57">
        <f t="shared" ref="F9:F62" si="1">26-(L9+K9+O9)-T9-AA9-Q9-P9</f>
        <v>24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f t="shared" si="0"/>
        <v>0</v>
      </c>
      <c r="O9" s="57"/>
      <c r="P9" s="57"/>
      <c r="Q9" s="58">
        <v>1</v>
      </c>
      <c r="R9" s="57"/>
      <c r="S9" s="57"/>
      <c r="T9" s="57">
        <v>1</v>
      </c>
      <c r="U9" s="57"/>
      <c r="V9" s="57"/>
      <c r="W9" s="57"/>
      <c r="X9" s="94"/>
      <c r="Y9" s="94"/>
      <c r="Z9" s="94"/>
      <c r="AB9" s="86"/>
      <c r="AC9" s="88"/>
      <c r="AD9" s="87"/>
      <c r="AE9" s="85"/>
      <c r="AF9" s="100"/>
      <c r="AG9" s="24"/>
      <c r="AH9" s="6"/>
    </row>
    <row r="10" spans="1:35" s="40" customFormat="1" ht="25.5" customHeight="1">
      <c r="A10" s="25">
        <v>4</v>
      </c>
      <c r="B10" s="7" t="s">
        <v>395</v>
      </c>
      <c r="C10" s="26" t="s">
        <v>259</v>
      </c>
      <c r="D10" s="27" t="s">
        <v>119</v>
      </c>
      <c r="E10" s="28">
        <v>44389</v>
      </c>
      <c r="F10" s="57">
        <v>8</v>
      </c>
      <c r="G10" s="57">
        <v>10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f t="shared" si="0"/>
        <v>10</v>
      </c>
      <c r="O10" s="58"/>
      <c r="P10" s="58"/>
      <c r="Q10" s="58">
        <v>2.5</v>
      </c>
      <c r="R10" s="29"/>
      <c r="S10" s="29"/>
      <c r="T10" s="57"/>
      <c r="U10" s="58"/>
      <c r="V10" s="57"/>
      <c r="W10" s="57"/>
      <c r="X10" s="94"/>
      <c r="Y10" s="94"/>
      <c r="Z10" s="94"/>
      <c r="AA10" s="55"/>
      <c r="AE10" s="63"/>
      <c r="AF10" s="63"/>
      <c r="AG10" s="63"/>
      <c r="AH10" s="63"/>
    </row>
    <row r="11" spans="1:35" s="22" customFormat="1" ht="24.75" customHeight="1">
      <c r="A11" s="25">
        <v>5</v>
      </c>
      <c r="B11" s="7" t="s">
        <v>396</v>
      </c>
      <c r="C11" s="26" t="s">
        <v>98</v>
      </c>
      <c r="D11" s="27" t="s">
        <v>124</v>
      </c>
      <c r="E11" s="28">
        <v>41897</v>
      </c>
      <c r="F11" s="57">
        <f t="shared" si="1"/>
        <v>24</v>
      </c>
      <c r="G11" s="57">
        <v>30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f t="shared" si="0"/>
        <v>30</v>
      </c>
      <c r="O11" s="57"/>
      <c r="P11" s="57"/>
      <c r="Q11" s="58">
        <v>1</v>
      </c>
      <c r="R11" s="30"/>
      <c r="S11" s="30"/>
      <c r="T11" s="57">
        <v>1</v>
      </c>
      <c r="U11" s="57"/>
      <c r="V11" s="57"/>
      <c r="W11" s="57"/>
      <c r="X11" s="94"/>
      <c r="Y11" s="94"/>
      <c r="Z11" s="94"/>
      <c r="AA11" s="55"/>
      <c r="AB11" s="40"/>
      <c r="AC11" s="111"/>
      <c r="AD11" s="96"/>
      <c r="AE11" s="63"/>
      <c r="AF11" s="63"/>
      <c r="AG11" s="24" t="s">
        <v>481</v>
      </c>
      <c r="AH11" s="6">
        <v>38.71</v>
      </c>
    </row>
    <row r="12" spans="1:35" s="22" customFormat="1" ht="25.15" customHeight="1">
      <c r="A12" s="25">
        <v>6</v>
      </c>
      <c r="B12" s="7" t="s">
        <v>397</v>
      </c>
      <c r="C12" s="26" t="s">
        <v>99</v>
      </c>
      <c r="D12" s="27" t="s">
        <v>124</v>
      </c>
      <c r="E12" s="28">
        <v>42021</v>
      </c>
      <c r="F12" s="57">
        <f t="shared" si="1"/>
        <v>23</v>
      </c>
      <c r="G12" s="57">
        <v>28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f t="shared" si="0"/>
        <v>28</v>
      </c>
      <c r="O12" s="57"/>
      <c r="P12" s="57"/>
      <c r="Q12" s="58">
        <v>2</v>
      </c>
      <c r="R12" s="30"/>
      <c r="S12" s="30"/>
      <c r="T12" s="57">
        <v>1</v>
      </c>
      <c r="U12" s="57"/>
      <c r="V12" s="57"/>
      <c r="W12" s="57"/>
      <c r="X12" s="94"/>
      <c r="Y12" s="94"/>
      <c r="Z12" s="94"/>
      <c r="AA12" s="55"/>
      <c r="AB12" s="40"/>
      <c r="AC12" s="111"/>
      <c r="AD12" s="96"/>
      <c r="AE12" s="63"/>
      <c r="AF12" s="63"/>
      <c r="AG12" s="24" t="s">
        <v>482</v>
      </c>
      <c r="AH12" s="6">
        <v>37.29</v>
      </c>
    </row>
    <row r="13" spans="1:35" s="22" customFormat="1" ht="25.15" customHeight="1">
      <c r="A13" s="25">
        <v>7</v>
      </c>
      <c r="B13" s="7" t="s">
        <v>398</v>
      </c>
      <c r="C13" s="26" t="s">
        <v>100</v>
      </c>
      <c r="D13" s="27" t="s">
        <v>123</v>
      </c>
      <c r="E13" s="28">
        <v>43132</v>
      </c>
      <c r="F13" s="57">
        <f t="shared" si="1"/>
        <v>24</v>
      </c>
      <c r="G13" s="57">
        <v>30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f t="shared" si="0"/>
        <v>30</v>
      </c>
      <c r="O13" s="57"/>
      <c r="P13" s="57"/>
      <c r="Q13" s="58">
        <v>1</v>
      </c>
      <c r="R13" s="30"/>
      <c r="S13" s="30"/>
      <c r="T13" s="57">
        <v>1</v>
      </c>
      <c r="U13" s="57"/>
      <c r="V13" s="57"/>
      <c r="W13" s="57"/>
      <c r="X13" s="94"/>
      <c r="Y13" s="94"/>
      <c r="Z13" s="94"/>
      <c r="AA13" s="55"/>
      <c r="AC13" s="111"/>
      <c r="AD13" s="146"/>
      <c r="AE13" s="63"/>
      <c r="AF13" s="63"/>
      <c r="AG13" s="63"/>
      <c r="AH13" s="63"/>
    </row>
    <row r="14" spans="1:35" s="22" customFormat="1" ht="25.15" customHeight="1">
      <c r="A14" s="25">
        <v>8</v>
      </c>
      <c r="B14" s="7" t="s">
        <v>399</v>
      </c>
      <c r="C14" s="26" t="s">
        <v>136</v>
      </c>
      <c r="D14" s="27" t="s">
        <v>123</v>
      </c>
      <c r="E14" s="28">
        <v>42662</v>
      </c>
      <c r="F14" s="57">
        <f t="shared" si="1"/>
        <v>24</v>
      </c>
      <c r="G14" s="57">
        <v>30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f t="shared" si="0"/>
        <v>30</v>
      </c>
      <c r="O14" s="57"/>
      <c r="P14" s="57"/>
      <c r="Q14" s="58">
        <v>1</v>
      </c>
      <c r="R14" s="30"/>
      <c r="S14" s="30"/>
      <c r="T14" s="57">
        <v>1</v>
      </c>
      <c r="U14" s="57"/>
      <c r="V14" s="57"/>
      <c r="W14" s="57"/>
      <c r="X14" s="94"/>
      <c r="Y14" s="94"/>
      <c r="Z14" s="94"/>
      <c r="AA14" s="55"/>
      <c r="AC14" s="111"/>
      <c r="AD14" s="146"/>
      <c r="AE14" s="63"/>
      <c r="AF14" s="63"/>
      <c r="AG14" s="63"/>
      <c r="AH14" s="63"/>
    </row>
    <row r="15" spans="1:35" s="22" customFormat="1" ht="25.15" customHeight="1">
      <c r="A15" s="25">
        <v>9</v>
      </c>
      <c r="B15" s="84" t="s">
        <v>400</v>
      </c>
      <c r="C15" s="59" t="s">
        <v>272</v>
      </c>
      <c r="D15" s="60" t="s">
        <v>123</v>
      </c>
      <c r="E15" s="61">
        <v>44026</v>
      </c>
      <c r="F15" s="57">
        <f t="shared" si="1"/>
        <v>24</v>
      </c>
      <c r="G15" s="57">
        <v>32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f t="shared" si="0"/>
        <v>32</v>
      </c>
      <c r="O15" s="57"/>
      <c r="P15" s="57"/>
      <c r="Q15" s="58">
        <v>1</v>
      </c>
      <c r="R15" s="30"/>
      <c r="S15" s="30"/>
      <c r="T15" s="57">
        <v>1</v>
      </c>
      <c r="U15" s="57"/>
      <c r="V15" s="57"/>
      <c r="W15" s="57"/>
      <c r="X15" s="94"/>
      <c r="Y15" s="94"/>
      <c r="Z15" s="94"/>
      <c r="AA15" s="55"/>
      <c r="AC15" s="63"/>
      <c r="AD15" s="146"/>
      <c r="AE15" s="63"/>
      <c r="AF15" s="63"/>
      <c r="AG15" s="63"/>
      <c r="AH15" s="63"/>
    </row>
    <row r="16" spans="1:35" s="40" customFormat="1" ht="25.15" customHeight="1">
      <c r="A16" s="25">
        <v>10</v>
      </c>
      <c r="B16" s="7" t="s">
        <v>401</v>
      </c>
      <c r="C16" s="62" t="s">
        <v>270</v>
      </c>
      <c r="D16" s="27" t="s">
        <v>123</v>
      </c>
      <c r="E16" s="28">
        <v>43817</v>
      </c>
      <c r="F16" s="57">
        <f t="shared" si="1"/>
        <v>23</v>
      </c>
      <c r="G16" s="57">
        <v>28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f t="shared" si="0"/>
        <v>28</v>
      </c>
      <c r="O16" s="58"/>
      <c r="P16" s="58"/>
      <c r="Q16" s="58">
        <v>2</v>
      </c>
      <c r="R16" s="29"/>
      <c r="S16" s="29"/>
      <c r="T16" s="57">
        <v>1</v>
      </c>
      <c r="U16" s="58"/>
      <c r="V16" s="57"/>
      <c r="W16" s="57"/>
      <c r="X16" s="94"/>
      <c r="Y16" s="94"/>
      <c r="Z16" s="94"/>
      <c r="AA16" s="55"/>
      <c r="AC16" s="63"/>
      <c r="AD16" s="146"/>
      <c r="AE16" s="63"/>
      <c r="AF16" s="63"/>
      <c r="AG16" s="63"/>
      <c r="AH16" s="63"/>
    </row>
    <row r="17" spans="1:34" s="40" customFormat="1" ht="24" customHeight="1">
      <c r="A17" s="25">
        <v>11</v>
      </c>
      <c r="B17" s="9" t="s">
        <v>402</v>
      </c>
      <c r="C17" s="26" t="s">
        <v>246</v>
      </c>
      <c r="D17" s="27" t="s">
        <v>123</v>
      </c>
      <c r="E17" s="39">
        <v>44361</v>
      </c>
      <c r="F17" s="57">
        <f t="shared" si="1"/>
        <v>23</v>
      </c>
      <c r="G17" s="57">
        <v>26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f t="shared" si="0"/>
        <v>26</v>
      </c>
      <c r="O17" s="58"/>
      <c r="P17" s="58"/>
      <c r="Q17" s="58">
        <v>2</v>
      </c>
      <c r="R17" s="29"/>
      <c r="S17" s="29"/>
      <c r="T17" s="57">
        <v>1</v>
      </c>
      <c r="U17" s="58"/>
      <c r="V17" s="57"/>
      <c r="W17" s="57"/>
      <c r="X17" s="94"/>
      <c r="Y17" s="94"/>
      <c r="Z17" s="94"/>
      <c r="AA17" s="55"/>
      <c r="AC17" s="63"/>
      <c r="AD17" s="146"/>
      <c r="AE17" s="63"/>
      <c r="AF17" s="63"/>
      <c r="AG17" s="63"/>
      <c r="AH17" s="63"/>
    </row>
    <row r="18" spans="1:34" s="40" customFormat="1" ht="24" customHeight="1">
      <c r="A18" s="25">
        <v>12</v>
      </c>
      <c r="B18" s="9" t="s">
        <v>403</v>
      </c>
      <c r="C18" s="26" t="s">
        <v>247</v>
      </c>
      <c r="D18" s="27" t="s">
        <v>123</v>
      </c>
      <c r="E18" s="39">
        <v>44364</v>
      </c>
      <c r="F18" s="57">
        <f t="shared" si="1"/>
        <v>22</v>
      </c>
      <c r="G18" s="57">
        <v>24</v>
      </c>
      <c r="H18" s="57">
        <v>0</v>
      </c>
      <c r="I18" s="57">
        <v>0</v>
      </c>
      <c r="J18" s="57">
        <v>0</v>
      </c>
      <c r="K18" s="57">
        <v>0</v>
      </c>
      <c r="L18" s="57">
        <v>1</v>
      </c>
      <c r="M18" s="57">
        <v>0</v>
      </c>
      <c r="N18" s="57">
        <f t="shared" si="0"/>
        <v>24</v>
      </c>
      <c r="O18" s="58"/>
      <c r="P18" s="58"/>
      <c r="Q18" s="58">
        <v>2</v>
      </c>
      <c r="R18" s="29"/>
      <c r="S18" s="29"/>
      <c r="T18" s="57">
        <v>1</v>
      </c>
      <c r="U18" s="58"/>
      <c r="V18" s="57"/>
      <c r="W18" s="57"/>
      <c r="X18" s="94"/>
      <c r="Y18" s="94"/>
      <c r="Z18" s="94"/>
      <c r="AA18" s="55"/>
      <c r="AC18" s="63"/>
      <c r="AD18" s="146"/>
      <c r="AE18" s="144"/>
      <c r="AF18" s="144"/>
      <c r="AG18" s="63"/>
      <c r="AH18" s="63"/>
    </row>
    <row r="19" spans="1:34" s="40" customFormat="1" ht="24" customHeight="1">
      <c r="A19" s="25">
        <v>13</v>
      </c>
      <c r="B19" s="9" t="s">
        <v>404</v>
      </c>
      <c r="C19" s="26" t="s">
        <v>261</v>
      </c>
      <c r="D19" s="27" t="s">
        <v>123</v>
      </c>
      <c r="E19" s="39">
        <v>44409</v>
      </c>
      <c r="F19" s="57">
        <f t="shared" si="1"/>
        <v>22.5</v>
      </c>
      <c r="G19" s="57">
        <v>26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f t="shared" si="0"/>
        <v>26</v>
      </c>
      <c r="O19" s="58"/>
      <c r="P19" s="58"/>
      <c r="Q19" s="58">
        <v>2.5</v>
      </c>
      <c r="R19" s="29"/>
      <c r="S19" s="29"/>
      <c r="T19" s="57">
        <v>1</v>
      </c>
      <c r="U19" s="58"/>
      <c r="V19" s="57"/>
      <c r="W19" s="57"/>
      <c r="X19" s="94"/>
      <c r="Y19" s="94"/>
      <c r="Z19" s="94"/>
      <c r="AA19" s="55"/>
      <c r="AC19" s="63"/>
      <c r="AD19" s="63"/>
      <c r="AE19" s="63"/>
      <c r="AF19" s="145"/>
      <c r="AG19" s="63"/>
      <c r="AH19" s="63"/>
    </row>
    <row r="20" spans="1:34" s="40" customFormat="1" ht="24" customHeight="1">
      <c r="A20" s="25">
        <v>14</v>
      </c>
      <c r="B20" s="9" t="s">
        <v>405</v>
      </c>
      <c r="C20" s="26" t="s">
        <v>279</v>
      </c>
      <c r="D20" s="47" t="s">
        <v>22</v>
      </c>
      <c r="E20" s="39">
        <v>44679</v>
      </c>
      <c r="F20" s="57">
        <f t="shared" si="1"/>
        <v>22.5</v>
      </c>
      <c r="G20" s="57">
        <v>16</v>
      </c>
      <c r="H20" s="57">
        <v>0</v>
      </c>
      <c r="I20" s="57">
        <v>0</v>
      </c>
      <c r="J20" s="57">
        <v>0</v>
      </c>
      <c r="K20" s="57">
        <v>0.5</v>
      </c>
      <c r="L20" s="57">
        <v>0</v>
      </c>
      <c r="M20" s="57">
        <v>0</v>
      </c>
      <c r="N20" s="57">
        <f t="shared" si="0"/>
        <v>16</v>
      </c>
      <c r="O20" s="58"/>
      <c r="P20" s="58"/>
      <c r="Q20" s="58">
        <v>2</v>
      </c>
      <c r="R20" s="29"/>
      <c r="S20" s="29"/>
      <c r="T20" s="57">
        <v>1</v>
      </c>
      <c r="U20" s="58"/>
      <c r="V20" s="57"/>
      <c r="W20" s="57"/>
      <c r="X20" s="94"/>
      <c r="Y20" s="94"/>
      <c r="Z20" s="94"/>
      <c r="AA20" s="55"/>
      <c r="AC20" s="63"/>
      <c r="AD20" s="63"/>
      <c r="AE20" s="63"/>
      <c r="AF20" s="145"/>
      <c r="AG20" s="63"/>
      <c r="AH20" s="63"/>
    </row>
    <row r="21" spans="1:34" s="40" customFormat="1" ht="24" customHeight="1">
      <c r="A21" s="25">
        <v>15</v>
      </c>
      <c r="B21" s="9" t="s">
        <v>406</v>
      </c>
      <c r="C21" s="26" t="s">
        <v>285</v>
      </c>
      <c r="D21" s="47" t="s">
        <v>22</v>
      </c>
      <c r="E21" s="39">
        <v>44746</v>
      </c>
      <c r="F21" s="57">
        <f t="shared" si="1"/>
        <v>23</v>
      </c>
      <c r="G21" s="57">
        <v>28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f t="shared" si="0"/>
        <v>28</v>
      </c>
      <c r="O21" s="57"/>
      <c r="P21" s="57"/>
      <c r="Q21" s="58">
        <v>2</v>
      </c>
      <c r="R21" s="29"/>
      <c r="S21" s="29"/>
      <c r="T21" s="57">
        <v>1</v>
      </c>
      <c r="U21" s="58"/>
      <c r="V21" s="57"/>
      <c r="W21" s="57"/>
      <c r="X21" s="94"/>
      <c r="Y21" s="94">
        <f>VLOOKUP(B21,$AG$11:$AH$12,2,FALSE)</f>
        <v>38.71</v>
      </c>
      <c r="Z21" s="94"/>
      <c r="AA21" s="55"/>
      <c r="AC21" s="63"/>
      <c r="AD21" s="63"/>
      <c r="AE21" s="63"/>
      <c r="AF21" s="145"/>
      <c r="AG21" s="63"/>
      <c r="AH21" s="63"/>
    </row>
    <row r="22" spans="1:34" s="40" customFormat="1" ht="24" customHeight="1">
      <c r="A22" s="25">
        <v>16</v>
      </c>
      <c r="B22" s="9" t="s">
        <v>407</v>
      </c>
      <c r="C22" s="26" t="s">
        <v>309</v>
      </c>
      <c r="D22" s="47" t="s">
        <v>22</v>
      </c>
      <c r="E22" s="39">
        <v>45078</v>
      </c>
      <c r="F22" s="57">
        <f t="shared" si="1"/>
        <v>21.5</v>
      </c>
      <c r="G22" s="57">
        <v>24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f>G22</f>
        <v>24</v>
      </c>
      <c r="O22" s="57"/>
      <c r="P22" s="57"/>
      <c r="Q22" s="58">
        <v>3.5</v>
      </c>
      <c r="R22" s="29"/>
      <c r="S22" s="29"/>
      <c r="T22" s="57">
        <v>1</v>
      </c>
      <c r="U22" s="57"/>
      <c r="V22" s="57"/>
      <c r="W22" s="57"/>
      <c r="X22" s="94"/>
      <c r="Y22" s="94"/>
      <c r="Z22" s="94"/>
      <c r="AA22" s="55"/>
    </row>
    <row r="23" spans="1:34" s="40" customFormat="1" ht="24" customHeight="1">
      <c r="A23" s="25">
        <v>17</v>
      </c>
      <c r="B23" s="9" t="s">
        <v>408</v>
      </c>
      <c r="C23" s="26" t="s">
        <v>310</v>
      </c>
      <c r="D23" s="47" t="s">
        <v>22</v>
      </c>
      <c r="E23" s="39">
        <v>45089</v>
      </c>
      <c r="F23" s="57">
        <f t="shared" si="1"/>
        <v>22</v>
      </c>
      <c r="G23" s="57">
        <v>18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f>G23</f>
        <v>18</v>
      </c>
      <c r="O23" s="57"/>
      <c r="P23" s="57"/>
      <c r="Q23" s="58">
        <v>3</v>
      </c>
      <c r="R23" s="29"/>
      <c r="S23" s="29"/>
      <c r="T23" s="57">
        <v>1</v>
      </c>
      <c r="U23" s="57"/>
      <c r="V23" s="57"/>
      <c r="W23" s="57"/>
      <c r="X23" s="94"/>
      <c r="Y23" s="94"/>
      <c r="Z23" s="94"/>
      <c r="AA23" s="55"/>
    </row>
    <row r="24" spans="1:34" s="40" customFormat="1" ht="24" customHeight="1">
      <c r="A24" s="25">
        <v>18</v>
      </c>
      <c r="B24" s="9" t="s">
        <v>479</v>
      </c>
      <c r="C24" s="26" t="s">
        <v>274</v>
      </c>
      <c r="D24" s="47" t="s">
        <v>22</v>
      </c>
      <c r="E24" s="39">
        <v>44557</v>
      </c>
      <c r="F24" s="57">
        <v>26</v>
      </c>
      <c r="G24" s="57">
        <v>26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f>G24</f>
        <v>26</v>
      </c>
      <c r="O24" s="57"/>
      <c r="P24" s="57"/>
      <c r="Q24" s="58">
        <v>2</v>
      </c>
      <c r="R24" s="29"/>
      <c r="S24" s="29"/>
      <c r="T24" s="57">
        <v>1</v>
      </c>
      <c r="U24" s="57"/>
      <c r="V24" s="57"/>
      <c r="W24" s="57"/>
      <c r="X24" s="94"/>
      <c r="Y24" s="94"/>
      <c r="Z24" s="94"/>
      <c r="AA24" s="55"/>
    </row>
    <row r="25" spans="1:34" s="22" customFormat="1" ht="25.15" customHeight="1">
      <c r="A25" s="25">
        <v>19</v>
      </c>
      <c r="B25" s="9" t="s">
        <v>409</v>
      </c>
      <c r="C25" s="26" t="s">
        <v>186</v>
      </c>
      <c r="D25" s="47" t="s">
        <v>125</v>
      </c>
      <c r="E25" s="39">
        <v>41845</v>
      </c>
      <c r="F25" s="57">
        <f t="shared" si="1"/>
        <v>24</v>
      </c>
      <c r="G25" s="57">
        <v>28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f t="shared" si="0"/>
        <v>28</v>
      </c>
      <c r="O25" s="57"/>
      <c r="P25" s="57"/>
      <c r="Q25" s="58">
        <v>1</v>
      </c>
      <c r="R25" s="29"/>
      <c r="S25" s="29"/>
      <c r="T25" s="57">
        <v>1</v>
      </c>
      <c r="U25" s="57"/>
      <c r="V25" s="57"/>
      <c r="W25" s="57"/>
      <c r="X25" s="94"/>
      <c r="Y25" s="94"/>
      <c r="Z25" s="94"/>
      <c r="AA25" s="55"/>
    </row>
    <row r="26" spans="1:34" s="22" customFormat="1" ht="25.15" customHeight="1">
      <c r="A26" s="25">
        <v>20</v>
      </c>
      <c r="B26" s="7" t="s">
        <v>410</v>
      </c>
      <c r="C26" s="26" t="s">
        <v>102</v>
      </c>
      <c r="D26" s="27" t="s">
        <v>126</v>
      </c>
      <c r="E26" s="28">
        <v>41954</v>
      </c>
      <c r="F26" s="57">
        <f t="shared" si="1"/>
        <v>24</v>
      </c>
      <c r="G26" s="57">
        <v>28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f t="shared" si="0"/>
        <v>28</v>
      </c>
      <c r="O26" s="57"/>
      <c r="P26" s="57"/>
      <c r="Q26" s="58">
        <v>1</v>
      </c>
      <c r="R26" s="30"/>
      <c r="S26" s="30"/>
      <c r="T26" s="57">
        <v>1</v>
      </c>
      <c r="U26" s="57"/>
      <c r="V26" s="57"/>
      <c r="W26" s="57"/>
      <c r="X26" s="94"/>
      <c r="Y26" s="94"/>
      <c r="Z26" s="94"/>
      <c r="AA26" s="55"/>
    </row>
    <row r="27" spans="1:34" s="22" customFormat="1" ht="25.15" customHeight="1">
      <c r="A27" s="25">
        <v>21</v>
      </c>
      <c r="B27" s="7" t="s">
        <v>411</v>
      </c>
      <c r="C27" s="26" t="s">
        <v>103</v>
      </c>
      <c r="D27" s="27" t="s">
        <v>126</v>
      </c>
      <c r="E27" s="28">
        <v>42019</v>
      </c>
      <c r="F27" s="57">
        <f t="shared" si="1"/>
        <v>24</v>
      </c>
      <c r="G27" s="57">
        <v>28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f t="shared" si="0"/>
        <v>28</v>
      </c>
      <c r="O27" s="57"/>
      <c r="P27" s="57"/>
      <c r="Q27" s="58">
        <v>1</v>
      </c>
      <c r="R27" s="30"/>
      <c r="S27" s="30"/>
      <c r="T27" s="57">
        <v>1</v>
      </c>
      <c r="U27" s="57"/>
      <c r="V27" s="57"/>
      <c r="W27" s="57"/>
      <c r="X27" s="94"/>
      <c r="Y27" s="94"/>
      <c r="Z27" s="94"/>
      <c r="AA27" s="55"/>
    </row>
    <row r="28" spans="1:34" s="22" customFormat="1" ht="25.15" customHeight="1">
      <c r="A28" s="25">
        <v>22</v>
      </c>
      <c r="B28" s="7" t="s">
        <v>412</v>
      </c>
      <c r="C28" s="26" t="s">
        <v>104</v>
      </c>
      <c r="D28" s="27" t="s">
        <v>126</v>
      </c>
      <c r="E28" s="28">
        <v>42338</v>
      </c>
      <c r="F28" s="57">
        <f t="shared" si="1"/>
        <v>24</v>
      </c>
      <c r="G28" s="57">
        <v>28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f t="shared" si="0"/>
        <v>28</v>
      </c>
      <c r="O28" s="57"/>
      <c r="P28" s="57"/>
      <c r="Q28" s="58">
        <v>1</v>
      </c>
      <c r="R28" s="30"/>
      <c r="S28" s="30"/>
      <c r="T28" s="57">
        <v>1</v>
      </c>
      <c r="U28" s="57"/>
      <c r="V28" s="57"/>
      <c r="W28" s="57"/>
      <c r="X28" s="94"/>
      <c r="Y28" s="94"/>
      <c r="Z28" s="94"/>
      <c r="AA28" s="55"/>
    </row>
    <row r="29" spans="1:34" s="22" customFormat="1" ht="25.15" customHeight="1">
      <c r="A29" s="25">
        <v>23</v>
      </c>
      <c r="B29" s="7" t="s">
        <v>413</v>
      </c>
      <c r="C29" s="26" t="s">
        <v>185</v>
      </c>
      <c r="D29" s="27" t="s">
        <v>126</v>
      </c>
      <c r="E29" s="28">
        <v>43119</v>
      </c>
      <c r="F29" s="57">
        <f t="shared" si="1"/>
        <v>22</v>
      </c>
      <c r="G29" s="57">
        <v>14</v>
      </c>
      <c r="H29" s="57">
        <v>0</v>
      </c>
      <c r="I29" s="57">
        <v>0</v>
      </c>
      <c r="J29" s="57">
        <v>0</v>
      </c>
      <c r="K29" s="57">
        <v>2</v>
      </c>
      <c r="L29" s="57">
        <v>0</v>
      </c>
      <c r="M29" s="57">
        <v>0</v>
      </c>
      <c r="N29" s="57">
        <f t="shared" si="0"/>
        <v>14</v>
      </c>
      <c r="O29" s="57"/>
      <c r="P29" s="57"/>
      <c r="Q29" s="58">
        <v>1</v>
      </c>
      <c r="R29" s="30"/>
      <c r="S29" s="30"/>
      <c r="T29" s="57">
        <v>1</v>
      </c>
      <c r="U29" s="57"/>
      <c r="V29" s="57"/>
      <c r="W29" s="57"/>
      <c r="X29" s="94"/>
      <c r="Y29" s="94"/>
      <c r="Z29" s="94"/>
      <c r="AA29" s="55"/>
    </row>
    <row r="30" spans="1:34" s="22" customFormat="1" ht="22.5" customHeight="1">
      <c r="A30" s="25">
        <v>24</v>
      </c>
      <c r="B30" s="7" t="s">
        <v>414</v>
      </c>
      <c r="C30" s="26" t="s">
        <v>152</v>
      </c>
      <c r="D30" s="27" t="s">
        <v>125</v>
      </c>
      <c r="E30" s="28">
        <v>43412</v>
      </c>
      <c r="F30" s="57">
        <f t="shared" si="1"/>
        <v>23</v>
      </c>
      <c r="G30" s="57">
        <v>35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f t="shared" si="0"/>
        <v>35</v>
      </c>
      <c r="O30" s="57"/>
      <c r="P30" s="57"/>
      <c r="Q30" s="58">
        <v>2</v>
      </c>
      <c r="R30" s="30"/>
      <c r="S30" s="30"/>
      <c r="T30" s="57">
        <v>1</v>
      </c>
      <c r="U30" s="57"/>
      <c r="V30" s="57"/>
      <c r="W30" s="57"/>
      <c r="X30" s="94"/>
      <c r="Y30" s="94"/>
      <c r="Z30" s="94"/>
      <c r="AA30" s="55"/>
    </row>
    <row r="31" spans="1:34" s="22" customFormat="1" ht="24.75" customHeight="1">
      <c r="A31" s="25">
        <v>25</v>
      </c>
      <c r="B31" s="7" t="s">
        <v>415</v>
      </c>
      <c r="C31" s="26" t="s">
        <v>195</v>
      </c>
      <c r="D31" s="27" t="s">
        <v>21</v>
      </c>
      <c r="E31" s="28">
        <v>43816</v>
      </c>
      <c r="F31" s="57">
        <f t="shared" si="1"/>
        <v>24</v>
      </c>
      <c r="G31" s="57">
        <v>26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f t="shared" si="0"/>
        <v>26</v>
      </c>
      <c r="O31" s="57"/>
      <c r="P31" s="57"/>
      <c r="Q31" s="58">
        <v>1</v>
      </c>
      <c r="R31" s="30"/>
      <c r="S31" s="30"/>
      <c r="T31" s="57">
        <v>1</v>
      </c>
      <c r="U31" s="57"/>
      <c r="V31" s="57"/>
      <c r="W31" s="57"/>
      <c r="X31" s="94"/>
      <c r="Y31" s="94"/>
      <c r="Z31" s="94"/>
      <c r="AA31" s="55"/>
    </row>
    <row r="32" spans="1:34" s="22" customFormat="1" ht="24.75" customHeight="1">
      <c r="A32" s="25">
        <v>26</v>
      </c>
      <c r="B32" s="7" t="s">
        <v>416</v>
      </c>
      <c r="C32" s="26" t="s">
        <v>321</v>
      </c>
      <c r="D32" s="27" t="s">
        <v>21</v>
      </c>
      <c r="E32" s="28">
        <v>45229</v>
      </c>
      <c r="F32" s="57">
        <f t="shared" si="1"/>
        <v>24</v>
      </c>
      <c r="G32" s="57">
        <v>28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8">
        <f t="shared" si="0"/>
        <v>28</v>
      </c>
      <c r="O32" s="58"/>
      <c r="P32" s="58"/>
      <c r="Q32" s="58">
        <v>1</v>
      </c>
      <c r="R32" s="29"/>
      <c r="S32" s="29"/>
      <c r="T32" s="58">
        <v>1</v>
      </c>
      <c r="U32" s="58"/>
      <c r="V32" s="58"/>
      <c r="W32" s="57"/>
      <c r="X32" s="94"/>
      <c r="Y32" s="94">
        <f>VLOOKUP(B32,$AG$11:$AH$12,2,FALSE)</f>
        <v>37.29</v>
      </c>
      <c r="Z32" s="94"/>
      <c r="AA32" s="55"/>
    </row>
    <row r="33" spans="1:27" s="22" customFormat="1" ht="24.75" customHeight="1">
      <c r="A33" s="25">
        <v>27</v>
      </c>
      <c r="B33" s="7" t="s">
        <v>461</v>
      </c>
      <c r="C33" s="26" t="s">
        <v>462</v>
      </c>
      <c r="D33" s="27" t="s">
        <v>21</v>
      </c>
      <c r="E33" s="28">
        <v>45453</v>
      </c>
      <c r="F33" s="57">
        <f t="shared" si="1"/>
        <v>24</v>
      </c>
      <c r="G33" s="57">
        <v>18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f t="shared" si="0"/>
        <v>18</v>
      </c>
      <c r="O33" s="57"/>
      <c r="P33" s="57"/>
      <c r="Q33" s="58">
        <v>1</v>
      </c>
      <c r="R33" s="30"/>
      <c r="S33" s="30"/>
      <c r="T33" s="57">
        <v>1</v>
      </c>
      <c r="U33" s="57"/>
      <c r="V33" s="57"/>
      <c r="W33" s="57"/>
      <c r="X33" s="94"/>
      <c r="Y33" s="94"/>
      <c r="Z33" s="94"/>
      <c r="AA33" s="55"/>
    </row>
    <row r="34" spans="1:27" s="22" customFormat="1" ht="24.75" customHeight="1">
      <c r="A34" s="25">
        <v>28</v>
      </c>
      <c r="B34" s="7" t="s">
        <v>474</v>
      </c>
      <c r="C34" s="26" t="s">
        <v>475</v>
      </c>
      <c r="D34" s="27" t="s">
        <v>21</v>
      </c>
      <c r="E34" s="28">
        <v>45511</v>
      </c>
      <c r="F34" s="57">
        <f t="shared" si="1"/>
        <v>24</v>
      </c>
      <c r="G34" s="57">
        <v>28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f t="shared" si="0"/>
        <v>28</v>
      </c>
      <c r="O34" s="57"/>
      <c r="P34" s="57"/>
      <c r="Q34" s="58">
        <v>1</v>
      </c>
      <c r="R34" s="30"/>
      <c r="S34" s="30"/>
      <c r="T34" s="57">
        <v>1</v>
      </c>
      <c r="U34" s="57"/>
      <c r="V34" s="57"/>
      <c r="W34" s="57"/>
      <c r="X34" s="94"/>
      <c r="Y34" s="94"/>
      <c r="Z34" s="94"/>
      <c r="AA34" s="55"/>
    </row>
    <row r="35" spans="1:27" s="22" customFormat="1" ht="25.15" customHeight="1">
      <c r="A35" s="25">
        <v>29</v>
      </c>
      <c r="B35" s="7" t="s">
        <v>417</v>
      </c>
      <c r="C35" s="26" t="s">
        <v>132</v>
      </c>
      <c r="D35" s="27" t="s">
        <v>127</v>
      </c>
      <c r="E35" s="28">
        <v>41806</v>
      </c>
      <c r="F35" s="57">
        <f t="shared" si="1"/>
        <v>23</v>
      </c>
      <c r="G35" s="57">
        <v>28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f t="shared" si="0"/>
        <v>28</v>
      </c>
      <c r="O35" s="57"/>
      <c r="P35" s="57"/>
      <c r="Q35" s="58">
        <v>2</v>
      </c>
      <c r="R35" s="30"/>
      <c r="S35" s="30"/>
      <c r="T35" s="57">
        <v>1</v>
      </c>
      <c r="U35" s="57"/>
      <c r="V35" s="57"/>
      <c r="W35" s="57"/>
      <c r="X35" s="94"/>
      <c r="Y35" s="94"/>
      <c r="Z35" s="94"/>
      <c r="AA35" s="55"/>
    </row>
    <row r="36" spans="1:27" s="22" customFormat="1" ht="27.75" customHeight="1">
      <c r="A36" s="25">
        <v>30</v>
      </c>
      <c r="B36" s="7" t="s">
        <v>418</v>
      </c>
      <c r="C36" s="26" t="s">
        <v>458</v>
      </c>
      <c r="D36" s="27" t="s">
        <v>127</v>
      </c>
      <c r="E36" s="28">
        <v>42016</v>
      </c>
      <c r="F36" s="57">
        <f t="shared" si="1"/>
        <v>23</v>
      </c>
      <c r="G36" s="57">
        <v>30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f t="shared" si="0"/>
        <v>30</v>
      </c>
      <c r="O36" s="57"/>
      <c r="P36" s="57"/>
      <c r="Q36" s="58">
        <v>2</v>
      </c>
      <c r="R36" s="30"/>
      <c r="S36" s="30"/>
      <c r="T36" s="57">
        <v>1</v>
      </c>
      <c r="U36" s="57"/>
      <c r="V36" s="57"/>
      <c r="W36" s="57"/>
      <c r="X36" s="94"/>
      <c r="Y36" s="94"/>
      <c r="Z36" s="94"/>
      <c r="AA36" s="55"/>
    </row>
    <row r="37" spans="1:27" s="22" customFormat="1" ht="25.15" customHeight="1">
      <c r="A37" s="25">
        <v>31</v>
      </c>
      <c r="B37" s="7" t="s">
        <v>419</v>
      </c>
      <c r="C37" s="26" t="s">
        <v>189</v>
      </c>
      <c r="D37" s="27" t="s">
        <v>193</v>
      </c>
      <c r="E37" s="28">
        <v>42075</v>
      </c>
      <c r="F37" s="57">
        <f t="shared" si="1"/>
        <v>21</v>
      </c>
      <c r="G37" s="57">
        <v>18</v>
      </c>
      <c r="H37" s="57">
        <v>0</v>
      </c>
      <c r="I37" s="57">
        <v>0</v>
      </c>
      <c r="J37" s="57">
        <v>0</v>
      </c>
      <c r="K37" s="57">
        <v>3</v>
      </c>
      <c r="L37" s="57">
        <v>0</v>
      </c>
      <c r="M37" s="57">
        <v>0</v>
      </c>
      <c r="N37" s="57">
        <f t="shared" si="0"/>
        <v>18</v>
      </c>
      <c r="O37" s="57"/>
      <c r="P37" s="57"/>
      <c r="Q37" s="58">
        <v>1</v>
      </c>
      <c r="R37" s="30"/>
      <c r="S37" s="30"/>
      <c r="T37" s="57">
        <v>1</v>
      </c>
      <c r="U37" s="57"/>
      <c r="V37" s="57"/>
      <c r="W37" s="57"/>
      <c r="X37" s="94"/>
      <c r="Y37" s="94"/>
      <c r="Z37" s="94"/>
      <c r="AA37" s="55"/>
    </row>
    <row r="38" spans="1:27" s="22" customFormat="1" ht="24.75" customHeight="1">
      <c r="A38" s="25">
        <v>32</v>
      </c>
      <c r="B38" s="7" t="s">
        <v>420</v>
      </c>
      <c r="C38" s="26" t="s">
        <v>134</v>
      </c>
      <c r="D38" s="27" t="s">
        <v>127</v>
      </c>
      <c r="E38" s="28">
        <v>42662</v>
      </c>
      <c r="F38" s="57">
        <f t="shared" si="1"/>
        <v>24</v>
      </c>
      <c r="G38" s="57">
        <v>30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f t="shared" si="0"/>
        <v>30</v>
      </c>
      <c r="O38" s="57"/>
      <c r="P38" s="57"/>
      <c r="Q38" s="58">
        <v>1</v>
      </c>
      <c r="R38" s="30"/>
      <c r="S38" s="30"/>
      <c r="T38" s="57">
        <v>1</v>
      </c>
      <c r="U38" s="57"/>
      <c r="V38" s="57"/>
      <c r="W38" s="57"/>
      <c r="X38" s="94"/>
      <c r="Y38" s="94"/>
      <c r="Z38" s="94"/>
      <c r="AA38" s="55"/>
    </row>
    <row r="39" spans="1:27" s="22" customFormat="1" ht="24" customHeight="1">
      <c r="A39" s="25">
        <v>33</v>
      </c>
      <c r="B39" s="7" t="s">
        <v>421</v>
      </c>
      <c r="C39" s="26" t="s">
        <v>172</v>
      </c>
      <c r="D39" s="27" t="s">
        <v>127</v>
      </c>
      <c r="E39" s="28">
        <v>43447</v>
      </c>
      <c r="F39" s="57">
        <f t="shared" si="1"/>
        <v>24</v>
      </c>
      <c r="G39" s="57">
        <v>32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f t="shared" si="0"/>
        <v>32</v>
      </c>
      <c r="O39" s="57"/>
      <c r="P39" s="57"/>
      <c r="Q39" s="58">
        <v>1</v>
      </c>
      <c r="R39" s="30"/>
      <c r="S39" s="30"/>
      <c r="T39" s="57">
        <v>1</v>
      </c>
      <c r="U39" s="57"/>
      <c r="V39" s="57"/>
      <c r="W39" s="57"/>
      <c r="X39" s="94"/>
      <c r="Y39" s="94"/>
      <c r="Z39" s="94"/>
      <c r="AA39" s="55"/>
    </row>
    <row r="40" spans="1:27" s="22" customFormat="1" ht="24.75" customHeight="1">
      <c r="A40" s="25">
        <v>34</v>
      </c>
      <c r="B40" s="7" t="s">
        <v>422</v>
      </c>
      <c r="C40" s="26" t="s">
        <v>196</v>
      </c>
      <c r="D40" s="27" t="s">
        <v>127</v>
      </c>
      <c r="E40" s="28">
        <v>43479</v>
      </c>
      <c r="F40" s="57">
        <f t="shared" si="1"/>
        <v>23.5</v>
      </c>
      <c r="G40" s="57">
        <v>32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f t="shared" si="0"/>
        <v>32</v>
      </c>
      <c r="O40" s="57"/>
      <c r="P40" s="57"/>
      <c r="Q40" s="58">
        <v>1.5</v>
      </c>
      <c r="R40" s="30"/>
      <c r="S40" s="30"/>
      <c r="T40" s="57">
        <v>1</v>
      </c>
      <c r="U40" s="57"/>
      <c r="V40" s="57"/>
      <c r="W40" s="57"/>
      <c r="X40" s="94"/>
      <c r="Y40" s="94"/>
      <c r="Z40" s="94"/>
      <c r="AA40" s="55"/>
    </row>
    <row r="41" spans="1:27" s="22" customFormat="1" ht="24.75" customHeight="1">
      <c r="A41" s="25">
        <v>35</v>
      </c>
      <c r="B41" s="7" t="s">
        <v>423</v>
      </c>
      <c r="C41" s="26" t="s">
        <v>171</v>
      </c>
      <c r="D41" s="27" t="s">
        <v>127</v>
      </c>
      <c r="E41" s="28">
        <v>43479</v>
      </c>
      <c r="F41" s="57">
        <f t="shared" si="1"/>
        <v>22.5</v>
      </c>
      <c r="G41" s="57">
        <v>28</v>
      </c>
      <c r="H41" s="57">
        <v>0</v>
      </c>
      <c r="I41" s="57">
        <v>0</v>
      </c>
      <c r="J41" s="57">
        <v>0</v>
      </c>
      <c r="K41" s="57">
        <v>0</v>
      </c>
      <c r="L41" s="57">
        <v>0.5</v>
      </c>
      <c r="M41" s="57">
        <v>0</v>
      </c>
      <c r="N41" s="57">
        <f t="shared" si="0"/>
        <v>28</v>
      </c>
      <c r="O41" s="57"/>
      <c r="P41" s="57"/>
      <c r="Q41" s="58">
        <v>2</v>
      </c>
      <c r="R41" s="30"/>
      <c r="S41" s="30"/>
      <c r="T41" s="57">
        <v>1</v>
      </c>
      <c r="U41" s="57"/>
      <c r="V41" s="57"/>
      <c r="W41" s="57"/>
      <c r="X41" s="94"/>
      <c r="Y41" s="94"/>
      <c r="Z41" s="94"/>
      <c r="AA41" s="55"/>
    </row>
    <row r="42" spans="1:27" s="22" customFormat="1" ht="25.5" customHeight="1">
      <c r="A42" s="25">
        <v>36</v>
      </c>
      <c r="B42" s="7" t="s">
        <v>424</v>
      </c>
      <c r="C42" s="26" t="s">
        <v>177</v>
      </c>
      <c r="D42" s="27" t="s">
        <v>127</v>
      </c>
      <c r="E42" s="28">
        <v>43619</v>
      </c>
      <c r="F42" s="57">
        <f t="shared" si="1"/>
        <v>23.5</v>
      </c>
      <c r="G42" s="57">
        <v>20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f t="shared" si="0"/>
        <v>20</v>
      </c>
      <c r="O42" s="57"/>
      <c r="P42" s="57"/>
      <c r="Q42" s="58">
        <v>1.5</v>
      </c>
      <c r="R42" s="29"/>
      <c r="S42" s="29"/>
      <c r="T42" s="57">
        <v>1</v>
      </c>
      <c r="U42" s="58"/>
      <c r="V42" s="57"/>
      <c r="W42" s="57"/>
      <c r="X42" s="94"/>
      <c r="Y42" s="94"/>
      <c r="Z42" s="94"/>
      <c r="AA42" s="55"/>
    </row>
    <row r="43" spans="1:27" s="22" customFormat="1" ht="24.75" customHeight="1">
      <c r="A43" s="25">
        <v>37</v>
      </c>
      <c r="B43" s="7" t="s">
        <v>425</v>
      </c>
      <c r="C43" s="26" t="s">
        <v>198</v>
      </c>
      <c r="D43" s="27" t="s">
        <v>127</v>
      </c>
      <c r="E43" s="28">
        <v>43832</v>
      </c>
      <c r="F43" s="57">
        <f t="shared" si="1"/>
        <v>24</v>
      </c>
      <c r="G43" s="57">
        <v>32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8">
        <f t="shared" si="0"/>
        <v>32</v>
      </c>
      <c r="O43" s="58"/>
      <c r="P43" s="58"/>
      <c r="Q43" s="58">
        <v>1</v>
      </c>
      <c r="R43" s="29"/>
      <c r="S43" s="29"/>
      <c r="T43" s="57">
        <v>1</v>
      </c>
      <c r="U43" s="58"/>
      <c r="V43" s="58"/>
      <c r="W43" s="57"/>
      <c r="X43" s="94"/>
      <c r="Y43" s="94"/>
      <c r="Z43" s="94"/>
      <c r="AA43" s="55"/>
    </row>
    <row r="44" spans="1:27" s="22" customFormat="1" ht="24.75" customHeight="1">
      <c r="A44" s="25">
        <v>38</v>
      </c>
      <c r="B44" s="7" t="s">
        <v>426</v>
      </c>
      <c r="C44" s="26" t="s">
        <v>106</v>
      </c>
      <c r="D44" s="27" t="s">
        <v>128</v>
      </c>
      <c r="E44" s="28">
        <v>42205</v>
      </c>
      <c r="F44" s="57">
        <f t="shared" si="1"/>
        <v>24</v>
      </c>
      <c r="G44" s="57">
        <v>32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f t="shared" si="0"/>
        <v>32</v>
      </c>
      <c r="O44" s="57"/>
      <c r="P44" s="57"/>
      <c r="Q44" s="58">
        <v>1</v>
      </c>
      <c r="R44" s="30"/>
      <c r="S44" s="30"/>
      <c r="T44" s="57">
        <v>1</v>
      </c>
      <c r="U44" s="57"/>
      <c r="V44" s="57"/>
      <c r="W44" s="57"/>
      <c r="X44" s="94"/>
      <c r="Y44" s="94"/>
      <c r="Z44" s="94"/>
      <c r="AA44" s="55"/>
    </row>
    <row r="45" spans="1:27" s="22" customFormat="1" ht="24.75" customHeight="1">
      <c r="A45" s="25">
        <v>39</v>
      </c>
      <c r="B45" s="7" t="s">
        <v>427</v>
      </c>
      <c r="C45" s="26" t="s">
        <v>107</v>
      </c>
      <c r="D45" s="27" t="s">
        <v>129</v>
      </c>
      <c r="E45" s="28">
        <v>42541</v>
      </c>
      <c r="F45" s="57">
        <f t="shared" si="1"/>
        <v>24</v>
      </c>
      <c r="G45" s="57">
        <v>32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f t="shared" si="0"/>
        <v>32</v>
      </c>
      <c r="O45" s="57"/>
      <c r="P45" s="57"/>
      <c r="Q45" s="58">
        <v>1</v>
      </c>
      <c r="R45" s="30"/>
      <c r="S45" s="30"/>
      <c r="T45" s="57">
        <v>1</v>
      </c>
      <c r="U45" s="57"/>
      <c r="V45" s="57"/>
      <c r="W45" s="57"/>
      <c r="X45" s="94"/>
      <c r="Y45" s="94"/>
      <c r="Z45" s="94"/>
      <c r="AA45" s="55"/>
    </row>
    <row r="46" spans="1:27" s="22" customFormat="1" ht="24.75" customHeight="1">
      <c r="A46" s="25">
        <v>40</v>
      </c>
      <c r="B46" s="7" t="s">
        <v>428</v>
      </c>
      <c r="C46" s="26" t="s">
        <v>108</v>
      </c>
      <c r="D46" s="27" t="s">
        <v>129</v>
      </c>
      <c r="E46" s="28">
        <v>42546</v>
      </c>
      <c r="F46" s="57">
        <f t="shared" si="1"/>
        <v>24</v>
      </c>
      <c r="G46" s="57">
        <v>32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f t="shared" si="0"/>
        <v>32</v>
      </c>
      <c r="O46" s="57"/>
      <c r="P46" s="57"/>
      <c r="Q46" s="58">
        <v>1</v>
      </c>
      <c r="R46" s="30"/>
      <c r="S46" s="30"/>
      <c r="T46" s="57">
        <v>1</v>
      </c>
      <c r="U46" s="57"/>
      <c r="V46" s="57"/>
      <c r="W46" s="57"/>
      <c r="X46" s="94"/>
      <c r="Y46" s="94"/>
      <c r="Z46" s="94"/>
      <c r="AA46" s="55"/>
    </row>
    <row r="47" spans="1:27" s="22" customFormat="1" ht="25.15" customHeight="1">
      <c r="A47" s="25">
        <v>41</v>
      </c>
      <c r="B47" s="7" t="s">
        <v>429</v>
      </c>
      <c r="C47" s="26" t="s">
        <v>109</v>
      </c>
      <c r="D47" s="27" t="s">
        <v>129</v>
      </c>
      <c r="E47" s="28">
        <v>42549</v>
      </c>
      <c r="F47" s="57">
        <f t="shared" si="1"/>
        <v>23</v>
      </c>
      <c r="G47" s="57">
        <v>28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f t="shared" si="0"/>
        <v>28</v>
      </c>
      <c r="O47" s="57"/>
      <c r="P47" s="57"/>
      <c r="Q47" s="58">
        <v>2</v>
      </c>
      <c r="R47" s="30"/>
      <c r="S47" s="30"/>
      <c r="T47" s="57">
        <v>1</v>
      </c>
      <c r="U47" s="57"/>
      <c r="V47" s="57"/>
      <c r="W47" s="57"/>
      <c r="X47" s="94"/>
      <c r="Y47" s="94"/>
      <c r="Z47" s="94"/>
      <c r="AA47" s="55"/>
    </row>
    <row r="48" spans="1:27" s="22" customFormat="1" ht="25.15" customHeight="1">
      <c r="A48" s="25">
        <v>42</v>
      </c>
      <c r="B48" s="7" t="s">
        <v>430</v>
      </c>
      <c r="C48" s="26" t="s">
        <v>110</v>
      </c>
      <c r="D48" s="27" t="s">
        <v>129</v>
      </c>
      <c r="E48" s="28">
        <v>42661</v>
      </c>
      <c r="F48" s="57">
        <f t="shared" si="1"/>
        <v>24</v>
      </c>
      <c r="G48" s="57">
        <v>32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f t="shared" ref="N48:N75" si="2">G48</f>
        <v>32</v>
      </c>
      <c r="O48" s="57"/>
      <c r="P48" s="57"/>
      <c r="Q48" s="58">
        <v>1</v>
      </c>
      <c r="R48" s="30"/>
      <c r="S48" s="30"/>
      <c r="T48" s="57">
        <v>1</v>
      </c>
      <c r="U48" s="57"/>
      <c r="V48" s="57"/>
      <c r="W48" s="57"/>
      <c r="X48" s="94"/>
      <c r="Y48" s="94"/>
      <c r="Z48" s="94"/>
      <c r="AA48" s="55"/>
    </row>
    <row r="49" spans="1:27" s="22" customFormat="1" ht="24.75" customHeight="1">
      <c r="A49" s="25">
        <v>43</v>
      </c>
      <c r="B49" s="84" t="s">
        <v>431</v>
      </c>
      <c r="C49" s="59" t="s">
        <v>173</v>
      </c>
      <c r="D49" s="60" t="s">
        <v>118</v>
      </c>
      <c r="E49" s="61">
        <v>43121</v>
      </c>
      <c r="F49" s="57">
        <f t="shared" si="1"/>
        <v>24</v>
      </c>
      <c r="G49" s="57">
        <v>28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f t="shared" si="2"/>
        <v>28</v>
      </c>
      <c r="O49" s="57"/>
      <c r="P49" s="57"/>
      <c r="Q49" s="57">
        <v>1</v>
      </c>
      <c r="R49" s="30"/>
      <c r="S49" s="30"/>
      <c r="T49" s="57">
        <v>1</v>
      </c>
      <c r="U49" s="57"/>
      <c r="V49" s="57"/>
      <c r="W49" s="57"/>
      <c r="X49" s="94"/>
      <c r="Y49" s="94"/>
      <c r="Z49" s="95"/>
      <c r="AA49" s="55"/>
    </row>
    <row r="50" spans="1:27" s="40" customFormat="1" ht="24.75" customHeight="1">
      <c r="A50" s="25">
        <v>44</v>
      </c>
      <c r="B50" s="7" t="s">
        <v>432</v>
      </c>
      <c r="C50" s="62" t="s">
        <v>183</v>
      </c>
      <c r="D50" s="27" t="s">
        <v>118</v>
      </c>
      <c r="E50" s="28">
        <v>43662</v>
      </c>
      <c r="F50" s="57">
        <f t="shared" si="1"/>
        <v>23</v>
      </c>
      <c r="G50" s="57">
        <v>32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f t="shared" si="2"/>
        <v>32</v>
      </c>
      <c r="O50" s="58"/>
      <c r="P50" s="58"/>
      <c r="Q50" s="58">
        <v>2</v>
      </c>
      <c r="R50" s="29"/>
      <c r="S50" s="29"/>
      <c r="T50" s="57">
        <v>1</v>
      </c>
      <c r="U50" s="58"/>
      <c r="V50" s="57"/>
      <c r="W50" s="57"/>
      <c r="X50" s="94"/>
      <c r="Y50" s="94"/>
      <c r="Z50" s="94"/>
      <c r="AA50" s="55"/>
    </row>
    <row r="51" spans="1:27" s="40" customFormat="1" ht="24.75" customHeight="1">
      <c r="A51" s="25">
        <v>45</v>
      </c>
      <c r="B51" s="7" t="s">
        <v>433</v>
      </c>
      <c r="C51" s="62" t="s">
        <v>211</v>
      </c>
      <c r="D51" s="27" t="s">
        <v>19</v>
      </c>
      <c r="E51" s="28">
        <v>44074</v>
      </c>
      <c r="F51" s="57">
        <f t="shared" si="1"/>
        <v>24</v>
      </c>
      <c r="G51" s="57">
        <v>32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f t="shared" si="2"/>
        <v>32</v>
      </c>
      <c r="O51" s="58"/>
      <c r="P51" s="58"/>
      <c r="Q51" s="58">
        <v>1</v>
      </c>
      <c r="R51" s="29"/>
      <c r="S51" s="29"/>
      <c r="T51" s="57">
        <v>1</v>
      </c>
      <c r="U51" s="58"/>
      <c r="V51" s="57"/>
      <c r="W51" s="57"/>
      <c r="X51" s="94"/>
      <c r="Y51" s="94"/>
      <c r="Z51" s="94"/>
      <c r="AA51" s="55"/>
    </row>
    <row r="52" spans="1:27" s="40" customFormat="1" ht="25.5" customHeight="1">
      <c r="A52" s="25">
        <v>46</v>
      </c>
      <c r="B52" s="7" t="s">
        <v>434</v>
      </c>
      <c r="C52" s="62" t="s">
        <v>212</v>
      </c>
      <c r="D52" s="27" t="s">
        <v>19</v>
      </c>
      <c r="E52" s="28">
        <v>44075</v>
      </c>
      <c r="F52" s="57">
        <f t="shared" si="1"/>
        <v>23</v>
      </c>
      <c r="G52" s="57">
        <v>28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f t="shared" si="2"/>
        <v>28</v>
      </c>
      <c r="O52" s="58"/>
      <c r="P52" s="58"/>
      <c r="Q52" s="58">
        <v>2</v>
      </c>
      <c r="R52" s="29"/>
      <c r="S52" s="29"/>
      <c r="T52" s="57">
        <v>1</v>
      </c>
      <c r="U52" s="58"/>
      <c r="V52" s="57"/>
      <c r="W52" s="57"/>
      <c r="X52" s="94"/>
      <c r="Y52" s="94"/>
      <c r="Z52" s="94"/>
      <c r="AA52" s="55"/>
    </row>
    <row r="53" spans="1:27" s="40" customFormat="1" ht="25.5" customHeight="1">
      <c r="A53" s="25">
        <v>47</v>
      </c>
      <c r="B53" s="7" t="s">
        <v>435</v>
      </c>
      <c r="C53" s="62" t="s">
        <v>218</v>
      </c>
      <c r="D53" s="27" t="s">
        <v>19</v>
      </c>
      <c r="E53" s="28">
        <v>44166</v>
      </c>
      <c r="F53" s="57">
        <f t="shared" si="1"/>
        <v>24</v>
      </c>
      <c r="G53" s="57">
        <v>32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f t="shared" si="2"/>
        <v>32</v>
      </c>
      <c r="O53" s="58"/>
      <c r="P53" s="58"/>
      <c r="Q53" s="58">
        <v>1</v>
      </c>
      <c r="R53" s="29"/>
      <c r="S53" s="29"/>
      <c r="T53" s="57">
        <v>1</v>
      </c>
      <c r="U53" s="58"/>
      <c r="V53" s="57"/>
      <c r="W53" s="57"/>
      <c r="X53" s="94"/>
      <c r="Y53" s="94"/>
      <c r="Z53" s="94"/>
      <c r="AA53" s="55"/>
    </row>
    <row r="54" spans="1:27" s="40" customFormat="1" ht="25.5" customHeight="1">
      <c r="A54" s="25">
        <v>48</v>
      </c>
      <c r="B54" s="7" t="s">
        <v>436</v>
      </c>
      <c r="C54" s="62" t="s">
        <v>225</v>
      </c>
      <c r="D54" s="27" t="s">
        <v>19</v>
      </c>
      <c r="E54" s="28">
        <v>44245</v>
      </c>
      <c r="F54" s="57">
        <f t="shared" si="1"/>
        <v>23</v>
      </c>
      <c r="G54" s="57">
        <v>26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f t="shared" si="2"/>
        <v>26</v>
      </c>
      <c r="O54" s="58"/>
      <c r="P54" s="58"/>
      <c r="Q54" s="58">
        <v>2</v>
      </c>
      <c r="R54" s="29"/>
      <c r="S54" s="29"/>
      <c r="T54" s="57">
        <v>1</v>
      </c>
      <c r="U54" s="58"/>
      <c r="V54" s="57"/>
      <c r="W54" s="57"/>
      <c r="X54" s="94"/>
      <c r="Y54" s="94"/>
      <c r="Z54" s="94"/>
      <c r="AA54" s="55"/>
    </row>
    <row r="55" spans="1:27" s="40" customFormat="1" ht="25.5" customHeight="1">
      <c r="A55" s="25">
        <v>49</v>
      </c>
      <c r="B55" s="7" t="s">
        <v>437</v>
      </c>
      <c r="C55" s="62" t="s">
        <v>239</v>
      </c>
      <c r="D55" s="27" t="s">
        <v>19</v>
      </c>
      <c r="E55" s="28">
        <v>44348</v>
      </c>
      <c r="F55" s="57">
        <f t="shared" si="1"/>
        <v>22.5</v>
      </c>
      <c r="G55" s="57">
        <v>26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f t="shared" si="2"/>
        <v>26</v>
      </c>
      <c r="O55" s="58"/>
      <c r="P55" s="58"/>
      <c r="Q55" s="58">
        <v>2.5</v>
      </c>
      <c r="R55" s="29"/>
      <c r="S55" s="29"/>
      <c r="T55" s="57">
        <v>1</v>
      </c>
      <c r="U55" s="58"/>
      <c r="V55" s="57"/>
      <c r="W55" s="57"/>
      <c r="X55" s="94"/>
      <c r="Y55" s="94"/>
      <c r="Z55" s="94"/>
      <c r="AA55" s="55"/>
    </row>
    <row r="56" spans="1:27" s="40" customFormat="1" ht="25.5" customHeight="1">
      <c r="A56" s="25">
        <v>50</v>
      </c>
      <c r="B56" s="7" t="s">
        <v>438</v>
      </c>
      <c r="C56" s="62" t="s">
        <v>240</v>
      </c>
      <c r="D56" s="27" t="s">
        <v>19</v>
      </c>
      <c r="E56" s="28">
        <v>44352</v>
      </c>
      <c r="F56" s="57">
        <f t="shared" si="1"/>
        <v>23</v>
      </c>
      <c r="G56" s="57">
        <v>32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f t="shared" si="2"/>
        <v>32</v>
      </c>
      <c r="O56" s="58"/>
      <c r="P56" s="58"/>
      <c r="Q56" s="58">
        <v>2</v>
      </c>
      <c r="R56" s="29"/>
      <c r="S56" s="29"/>
      <c r="T56" s="57">
        <v>1</v>
      </c>
      <c r="U56" s="58"/>
      <c r="V56" s="57"/>
      <c r="W56" s="57"/>
      <c r="X56" s="94"/>
      <c r="Y56" s="94"/>
      <c r="Z56" s="94"/>
      <c r="AA56" s="55"/>
    </row>
    <row r="57" spans="1:27" s="40" customFormat="1" ht="26.25" customHeight="1">
      <c r="A57" s="25">
        <v>51</v>
      </c>
      <c r="B57" s="7" t="s">
        <v>439</v>
      </c>
      <c r="C57" s="62" t="s">
        <v>241</v>
      </c>
      <c r="D57" s="27" t="s">
        <v>19</v>
      </c>
      <c r="E57" s="28">
        <v>44355</v>
      </c>
      <c r="F57" s="57">
        <f t="shared" si="1"/>
        <v>24</v>
      </c>
      <c r="G57" s="57">
        <v>32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f t="shared" si="2"/>
        <v>32</v>
      </c>
      <c r="O57" s="58"/>
      <c r="P57" s="58"/>
      <c r="Q57" s="58">
        <v>1</v>
      </c>
      <c r="R57" s="29"/>
      <c r="S57" s="29"/>
      <c r="T57" s="57">
        <v>1</v>
      </c>
      <c r="U57" s="58"/>
      <c r="V57" s="57"/>
      <c r="W57" s="57"/>
      <c r="X57" s="94"/>
      <c r="Y57" s="94"/>
      <c r="Z57" s="94"/>
      <c r="AA57" s="55"/>
    </row>
    <row r="58" spans="1:27" s="40" customFormat="1" ht="26.25" customHeight="1">
      <c r="A58" s="25">
        <v>52</v>
      </c>
      <c r="B58" s="7" t="s">
        <v>440</v>
      </c>
      <c r="C58" s="62" t="s">
        <v>248</v>
      </c>
      <c r="D58" s="27" t="s">
        <v>19</v>
      </c>
      <c r="E58" s="28">
        <v>44375</v>
      </c>
      <c r="F58" s="57">
        <f t="shared" si="1"/>
        <v>22</v>
      </c>
      <c r="G58" s="57">
        <v>28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f t="shared" si="2"/>
        <v>28</v>
      </c>
      <c r="O58" s="58"/>
      <c r="P58" s="58"/>
      <c r="Q58" s="58">
        <v>3</v>
      </c>
      <c r="R58" s="29"/>
      <c r="S58" s="29"/>
      <c r="T58" s="57">
        <v>1</v>
      </c>
      <c r="U58" s="58"/>
      <c r="V58" s="57"/>
      <c r="W58" s="57"/>
      <c r="X58" s="94"/>
      <c r="Y58" s="94"/>
      <c r="Z58" s="94"/>
      <c r="AA58" s="55"/>
    </row>
    <row r="59" spans="1:27" s="40" customFormat="1" ht="26.25" customHeight="1">
      <c r="A59" s="25">
        <v>53</v>
      </c>
      <c r="B59" s="7" t="s">
        <v>441</v>
      </c>
      <c r="C59" s="62" t="s">
        <v>313</v>
      </c>
      <c r="D59" s="27" t="s">
        <v>19</v>
      </c>
      <c r="E59" s="28">
        <v>45092</v>
      </c>
      <c r="F59" s="57">
        <f t="shared" si="1"/>
        <v>22.5</v>
      </c>
      <c r="G59" s="57">
        <v>20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f>G59</f>
        <v>20</v>
      </c>
      <c r="O59" s="58"/>
      <c r="P59" s="58"/>
      <c r="Q59" s="58">
        <v>2.5</v>
      </c>
      <c r="R59" s="29"/>
      <c r="S59" s="29"/>
      <c r="T59" s="57">
        <v>1</v>
      </c>
      <c r="U59" s="58"/>
      <c r="V59" s="57"/>
      <c r="W59" s="57"/>
      <c r="X59" s="94"/>
      <c r="Y59" s="94"/>
      <c r="Z59" s="94"/>
      <c r="AA59" s="55"/>
    </row>
    <row r="60" spans="1:27" s="40" customFormat="1" ht="26.25" customHeight="1">
      <c r="A60" s="25">
        <v>54</v>
      </c>
      <c r="B60" s="7" t="s">
        <v>442</v>
      </c>
      <c r="C60" s="62" t="s">
        <v>323</v>
      </c>
      <c r="D60" s="27" t="s">
        <v>19</v>
      </c>
      <c r="E60" s="28">
        <v>45282</v>
      </c>
      <c r="F60" s="58">
        <v>4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8">
        <f>G60</f>
        <v>0</v>
      </c>
      <c r="O60" s="58"/>
      <c r="P60" s="58"/>
      <c r="Q60" s="58"/>
      <c r="R60" s="29"/>
      <c r="S60" s="29"/>
      <c r="T60" s="58"/>
      <c r="U60" s="58"/>
      <c r="V60" s="58"/>
      <c r="W60" s="57"/>
      <c r="X60" s="94"/>
      <c r="Y60" s="94"/>
      <c r="Z60" s="94"/>
      <c r="AA60" s="55"/>
    </row>
    <row r="61" spans="1:27" s="40" customFormat="1" ht="25.5" customHeight="1">
      <c r="A61" s="25">
        <v>55</v>
      </c>
      <c r="B61" s="7" t="s">
        <v>443</v>
      </c>
      <c r="C61" s="62" t="s">
        <v>111</v>
      </c>
      <c r="D61" s="27" t="s">
        <v>130</v>
      </c>
      <c r="E61" s="28">
        <v>41806</v>
      </c>
      <c r="F61" s="57">
        <f t="shared" si="1"/>
        <v>24</v>
      </c>
      <c r="G61" s="57">
        <v>45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f t="shared" si="2"/>
        <v>45</v>
      </c>
      <c r="O61" s="58"/>
      <c r="P61" s="58"/>
      <c r="Q61" s="58">
        <v>1</v>
      </c>
      <c r="R61" s="29"/>
      <c r="S61" s="29"/>
      <c r="T61" s="57">
        <v>1</v>
      </c>
      <c r="U61" s="58"/>
      <c r="V61" s="57"/>
      <c r="W61" s="57"/>
      <c r="X61" s="94"/>
      <c r="Y61" s="94"/>
      <c r="Z61" s="94"/>
      <c r="AA61" s="55"/>
    </row>
    <row r="62" spans="1:27" s="22" customFormat="1" ht="24" customHeight="1">
      <c r="A62" s="25">
        <v>56</v>
      </c>
      <c r="B62" s="7" t="s">
        <v>444</v>
      </c>
      <c r="C62" s="62" t="s">
        <v>112</v>
      </c>
      <c r="D62" s="27" t="s">
        <v>130</v>
      </c>
      <c r="E62" s="28">
        <v>41997</v>
      </c>
      <c r="F62" s="57">
        <f t="shared" si="1"/>
        <v>24</v>
      </c>
      <c r="G62" s="57">
        <v>45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f t="shared" si="2"/>
        <v>45</v>
      </c>
      <c r="O62" s="58"/>
      <c r="P62" s="58"/>
      <c r="Q62" s="58">
        <v>1</v>
      </c>
      <c r="R62" s="29"/>
      <c r="S62" s="29"/>
      <c r="T62" s="57">
        <v>1</v>
      </c>
      <c r="U62" s="58"/>
      <c r="V62" s="57"/>
      <c r="W62" s="57"/>
      <c r="X62" s="94"/>
      <c r="Y62" s="94"/>
      <c r="Z62" s="94"/>
      <c r="AA62" s="55"/>
    </row>
    <row r="63" spans="1:27" s="22" customFormat="1" ht="25.15" customHeight="1">
      <c r="A63" s="25">
        <v>57</v>
      </c>
      <c r="B63" s="7" t="s">
        <v>445</v>
      </c>
      <c r="C63" s="26" t="s">
        <v>113</v>
      </c>
      <c r="D63" s="27" t="s">
        <v>130</v>
      </c>
      <c r="E63" s="28">
        <v>41997</v>
      </c>
      <c r="F63" s="57">
        <f t="shared" ref="F63:F75" si="3">26-(L63+K63+O63)-T63-AA63-Q63-P63</f>
        <v>24</v>
      </c>
      <c r="G63" s="57">
        <v>45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f t="shared" si="2"/>
        <v>45</v>
      </c>
      <c r="O63" s="57"/>
      <c r="P63" s="57"/>
      <c r="Q63" s="58">
        <v>1</v>
      </c>
      <c r="R63" s="30"/>
      <c r="S63" s="30"/>
      <c r="T63" s="57">
        <v>1</v>
      </c>
      <c r="U63" s="57"/>
      <c r="V63" s="57"/>
      <c r="W63" s="57"/>
      <c r="X63" s="94"/>
      <c r="Y63" s="94"/>
      <c r="Z63" s="94"/>
      <c r="AA63" s="55"/>
    </row>
    <row r="64" spans="1:27" s="22" customFormat="1" ht="24" customHeight="1">
      <c r="A64" s="25">
        <v>58</v>
      </c>
      <c r="B64" s="7" t="s">
        <v>446</v>
      </c>
      <c r="C64" s="26" t="s">
        <v>114</v>
      </c>
      <c r="D64" s="27" t="s">
        <v>130</v>
      </c>
      <c r="E64" s="28">
        <v>42202</v>
      </c>
      <c r="F64" s="57">
        <f t="shared" si="3"/>
        <v>23</v>
      </c>
      <c r="G64" s="57">
        <v>43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f t="shared" si="2"/>
        <v>43</v>
      </c>
      <c r="O64" s="57"/>
      <c r="P64" s="57"/>
      <c r="Q64" s="58">
        <v>2</v>
      </c>
      <c r="R64" s="30"/>
      <c r="S64" s="30"/>
      <c r="T64" s="57">
        <v>1</v>
      </c>
      <c r="U64" s="57"/>
      <c r="V64" s="57"/>
      <c r="W64" s="57"/>
      <c r="X64" s="94"/>
      <c r="Y64" s="94"/>
      <c r="Z64" s="94"/>
      <c r="AA64" s="55"/>
    </row>
    <row r="65" spans="1:27" s="22" customFormat="1" ht="25.15" customHeight="1">
      <c r="A65" s="25">
        <v>59</v>
      </c>
      <c r="B65" s="7" t="s">
        <v>447</v>
      </c>
      <c r="C65" s="26" t="s">
        <v>115</v>
      </c>
      <c r="D65" s="27" t="s">
        <v>130</v>
      </c>
      <c r="E65" s="28">
        <v>41908</v>
      </c>
      <c r="F65" s="57">
        <f t="shared" si="3"/>
        <v>23.5</v>
      </c>
      <c r="G65" s="57">
        <v>43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f t="shared" si="2"/>
        <v>43</v>
      </c>
      <c r="O65" s="57"/>
      <c r="P65" s="57"/>
      <c r="Q65" s="58">
        <v>1.5</v>
      </c>
      <c r="R65" s="30"/>
      <c r="S65" s="30"/>
      <c r="T65" s="57">
        <v>1</v>
      </c>
      <c r="U65" s="57"/>
      <c r="V65" s="57"/>
      <c r="W65" s="57"/>
      <c r="X65" s="94"/>
      <c r="Y65" s="94"/>
      <c r="Z65" s="94"/>
      <c r="AA65" s="55"/>
    </row>
    <row r="66" spans="1:27" s="22" customFormat="1" ht="25.15" customHeight="1">
      <c r="A66" s="25">
        <v>60</v>
      </c>
      <c r="B66" s="7" t="s">
        <v>448</v>
      </c>
      <c r="C66" s="26" t="s">
        <v>116</v>
      </c>
      <c r="D66" s="27" t="s">
        <v>130</v>
      </c>
      <c r="E66" s="28">
        <v>41970</v>
      </c>
      <c r="F66" s="57">
        <f t="shared" si="3"/>
        <v>22</v>
      </c>
      <c r="G66" s="57">
        <v>41</v>
      </c>
      <c r="H66" s="57">
        <v>0</v>
      </c>
      <c r="I66" s="57">
        <v>0</v>
      </c>
      <c r="J66" s="57">
        <v>0</v>
      </c>
      <c r="K66" s="57">
        <v>0</v>
      </c>
      <c r="L66" s="57">
        <v>1</v>
      </c>
      <c r="M66" s="57">
        <v>0</v>
      </c>
      <c r="N66" s="57">
        <f t="shared" si="2"/>
        <v>41</v>
      </c>
      <c r="O66" s="57"/>
      <c r="P66" s="57"/>
      <c r="Q66" s="58">
        <v>2</v>
      </c>
      <c r="R66" s="30"/>
      <c r="S66" s="30"/>
      <c r="T66" s="57">
        <v>1</v>
      </c>
      <c r="U66" s="57"/>
      <c r="V66" s="57"/>
      <c r="W66" s="57"/>
      <c r="X66" s="94"/>
      <c r="Y66" s="94"/>
      <c r="Z66" s="94"/>
      <c r="AA66" s="55"/>
    </row>
    <row r="67" spans="1:27" s="22" customFormat="1" ht="25.15" customHeight="1">
      <c r="A67" s="25">
        <v>61</v>
      </c>
      <c r="B67" s="7" t="s">
        <v>449</v>
      </c>
      <c r="C67" s="26" t="s">
        <v>117</v>
      </c>
      <c r="D67" s="8" t="s">
        <v>79</v>
      </c>
      <c r="E67" s="28">
        <v>41989</v>
      </c>
      <c r="F67" s="57">
        <f t="shared" si="3"/>
        <v>24</v>
      </c>
      <c r="G67" s="57">
        <v>43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f t="shared" si="2"/>
        <v>43</v>
      </c>
      <c r="O67" s="57"/>
      <c r="P67" s="57"/>
      <c r="Q67" s="58">
        <v>1</v>
      </c>
      <c r="R67" s="30"/>
      <c r="S67" s="30"/>
      <c r="T67" s="57">
        <v>1</v>
      </c>
      <c r="U67" s="57"/>
      <c r="V67" s="57"/>
      <c r="W67" s="57"/>
      <c r="X67" s="94"/>
      <c r="Y67" s="94"/>
      <c r="Z67" s="94"/>
      <c r="AA67" s="55"/>
    </row>
    <row r="68" spans="1:27" s="22" customFormat="1" ht="24.75" customHeight="1">
      <c r="A68" s="25">
        <v>62</v>
      </c>
      <c r="B68" s="7" t="s">
        <v>450</v>
      </c>
      <c r="C68" s="26" t="s">
        <v>141</v>
      </c>
      <c r="D68" s="8" t="s">
        <v>140</v>
      </c>
      <c r="E68" s="28">
        <v>43262</v>
      </c>
      <c r="F68" s="57">
        <f t="shared" si="3"/>
        <v>24</v>
      </c>
      <c r="G68" s="57">
        <v>45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f t="shared" si="2"/>
        <v>45</v>
      </c>
      <c r="O68" s="57"/>
      <c r="P68" s="57"/>
      <c r="Q68" s="58">
        <v>1</v>
      </c>
      <c r="R68" s="30"/>
      <c r="S68" s="30"/>
      <c r="T68" s="57">
        <v>1</v>
      </c>
      <c r="U68" s="57"/>
      <c r="V68" s="57"/>
      <c r="W68" s="57"/>
      <c r="X68" s="94"/>
      <c r="Y68" s="94"/>
      <c r="Z68" s="94"/>
      <c r="AA68" s="55"/>
    </row>
    <row r="69" spans="1:27" s="40" customFormat="1" ht="22.5" customHeight="1">
      <c r="A69" s="25">
        <v>63</v>
      </c>
      <c r="B69" s="7" t="s">
        <v>451</v>
      </c>
      <c r="C69" s="62" t="s">
        <v>170</v>
      </c>
      <c r="D69" s="8" t="s">
        <v>95</v>
      </c>
      <c r="E69" s="28">
        <v>43474</v>
      </c>
      <c r="F69" s="57">
        <f t="shared" si="3"/>
        <v>23</v>
      </c>
      <c r="G69" s="57">
        <v>43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f t="shared" si="2"/>
        <v>43</v>
      </c>
      <c r="O69" s="58"/>
      <c r="P69" s="58"/>
      <c r="Q69" s="58">
        <v>2</v>
      </c>
      <c r="R69" s="29"/>
      <c r="S69" s="29"/>
      <c r="T69" s="57">
        <v>1</v>
      </c>
      <c r="U69" s="58"/>
      <c r="V69" s="57"/>
      <c r="W69" s="57"/>
      <c r="X69" s="94"/>
      <c r="Y69" s="94"/>
      <c r="Z69" s="94"/>
      <c r="AA69" s="86"/>
    </row>
    <row r="70" spans="1:27" s="40" customFormat="1" ht="22.5" customHeight="1">
      <c r="A70" s="25">
        <v>64</v>
      </c>
      <c r="B70" s="7" t="s">
        <v>452</v>
      </c>
      <c r="C70" s="62" t="s">
        <v>242</v>
      </c>
      <c r="D70" s="8" t="s">
        <v>95</v>
      </c>
      <c r="E70" s="28">
        <v>44351</v>
      </c>
      <c r="F70" s="57">
        <f t="shared" si="3"/>
        <v>23</v>
      </c>
      <c r="G70" s="57">
        <v>43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f t="shared" si="2"/>
        <v>43</v>
      </c>
      <c r="O70" s="58"/>
      <c r="P70" s="58"/>
      <c r="Q70" s="58">
        <v>2</v>
      </c>
      <c r="R70" s="29"/>
      <c r="S70" s="29"/>
      <c r="T70" s="57">
        <v>1</v>
      </c>
      <c r="U70" s="58"/>
      <c r="V70" s="57"/>
      <c r="W70" s="57"/>
      <c r="X70" s="94"/>
      <c r="Y70" s="94"/>
      <c r="Z70" s="94"/>
      <c r="AA70" s="86"/>
    </row>
    <row r="71" spans="1:27" s="40" customFormat="1" ht="22.5" customHeight="1">
      <c r="A71" s="25">
        <v>65</v>
      </c>
      <c r="B71" s="7" t="s">
        <v>453</v>
      </c>
      <c r="C71" s="62" t="s">
        <v>266</v>
      </c>
      <c r="D71" s="8" t="s">
        <v>95</v>
      </c>
      <c r="E71" s="28">
        <v>44355</v>
      </c>
      <c r="F71" s="57">
        <f t="shared" si="3"/>
        <v>24</v>
      </c>
      <c r="G71" s="57">
        <v>45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f t="shared" si="2"/>
        <v>45</v>
      </c>
      <c r="O71" s="58"/>
      <c r="P71" s="58"/>
      <c r="Q71" s="58">
        <v>1</v>
      </c>
      <c r="R71" s="29"/>
      <c r="S71" s="29"/>
      <c r="T71" s="57">
        <v>1</v>
      </c>
      <c r="U71" s="58"/>
      <c r="V71" s="57"/>
      <c r="W71" s="57"/>
      <c r="X71" s="94"/>
      <c r="Y71" s="94"/>
      <c r="Z71" s="94"/>
      <c r="AA71" s="86"/>
    </row>
    <row r="72" spans="1:27" s="40" customFormat="1" ht="22.5" customHeight="1">
      <c r="A72" s="25">
        <v>66</v>
      </c>
      <c r="B72" s="7" t="s">
        <v>454</v>
      </c>
      <c r="C72" s="62" t="s">
        <v>245</v>
      </c>
      <c r="D72" s="8" t="s">
        <v>95</v>
      </c>
      <c r="E72" s="28">
        <v>44355</v>
      </c>
      <c r="F72" s="57">
        <f t="shared" si="3"/>
        <v>23</v>
      </c>
      <c r="G72" s="57">
        <v>43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f t="shared" si="2"/>
        <v>43</v>
      </c>
      <c r="O72" s="58"/>
      <c r="P72" s="58"/>
      <c r="Q72" s="58">
        <v>2</v>
      </c>
      <c r="R72" s="29"/>
      <c r="S72" s="29"/>
      <c r="T72" s="57">
        <v>1</v>
      </c>
      <c r="U72" s="58"/>
      <c r="V72" s="57"/>
      <c r="W72" s="57"/>
      <c r="X72" s="94"/>
      <c r="Y72" s="94"/>
      <c r="Z72" s="94"/>
      <c r="AA72" s="86"/>
    </row>
    <row r="73" spans="1:27" s="40" customFormat="1" ht="22.5" customHeight="1">
      <c r="A73" s="25">
        <v>67</v>
      </c>
      <c r="B73" s="7" t="s">
        <v>455</v>
      </c>
      <c r="C73" s="62" t="s">
        <v>275</v>
      </c>
      <c r="D73" s="8" t="s">
        <v>95</v>
      </c>
      <c r="E73" s="28">
        <v>44356</v>
      </c>
      <c r="F73" s="57">
        <f t="shared" si="3"/>
        <v>19.5</v>
      </c>
      <c r="G73" s="57">
        <v>35</v>
      </c>
      <c r="H73" s="57">
        <v>0</v>
      </c>
      <c r="I73" s="57">
        <v>0</v>
      </c>
      <c r="J73" s="57">
        <v>0</v>
      </c>
      <c r="K73" s="57">
        <v>0</v>
      </c>
      <c r="L73" s="57">
        <v>3</v>
      </c>
      <c r="M73" s="57">
        <v>0</v>
      </c>
      <c r="N73" s="57">
        <f t="shared" si="2"/>
        <v>35</v>
      </c>
      <c r="O73" s="58"/>
      <c r="P73" s="58"/>
      <c r="Q73" s="58">
        <v>2.5</v>
      </c>
      <c r="R73" s="29"/>
      <c r="S73" s="29"/>
      <c r="T73" s="57">
        <v>1</v>
      </c>
      <c r="U73" s="58"/>
      <c r="V73" s="57"/>
      <c r="W73" s="57"/>
      <c r="X73" s="94"/>
      <c r="Y73" s="94"/>
      <c r="Z73" s="94"/>
      <c r="AA73" s="86"/>
    </row>
    <row r="74" spans="1:27" s="40" customFormat="1" ht="22.5" customHeight="1">
      <c r="A74" s="25">
        <v>68</v>
      </c>
      <c r="B74" s="7" t="s">
        <v>456</v>
      </c>
      <c r="C74" s="62" t="s">
        <v>277</v>
      </c>
      <c r="D74" s="8" t="s">
        <v>95</v>
      </c>
      <c r="E74" s="28">
        <v>44656</v>
      </c>
      <c r="F74" s="57">
        <f t="shared" si="3"/>
        <v>19</v>
      </c>
      <c r="G74" s="57">
        <v>36</v>
      </c>
      <c r="H74" s="57">
        <v>0</v>
      </c>
      <c r="I74" s="57">
        <v>0</v>
      </c>
      <c r="J74" s="57">
        <v>0</v>
      </c>
      <c r="K74" s="57">
        <v>4</v>
      </c>
      <c r="L74" s="57">
        <v>0</v>
      </c>
      <c r="M74" s="57">
        <v>0</v>
      </c>
      <c r="N74" s="57">
        <f t="shared" si="2"/>
        <v>36</v>
      </c>
      <c r="O74" s="58"/>
      <c r="P74" s="58"/>
      <c r="Q74" s="58">
        <v>2</v>
      </c>
      <c r="R74" s="29"/>
      <c r="S74" s="29"/>
      <c r="T74" s="57">
        <v>1</v>
      </c>
      <c r="U74" s="58"/>
      <c r="V74" s="58"/>
      <c r="W74" s="57"/>
      <c r="X74" s="94"/>
      <c r="Y74" s="94"/>
      <c r="Z74" s="94"/>
      <c r="AA74" s="86"/>
    </row>
    <row r="75" spans="1:27" s="40" customFormat="1" ht="22.5" customHeight="1">
      <c r="A75" s="25">
        <v>69</v>
      </c>
      <c r="B75" s="7" t="s">
        <v>457</v>
      </c>
      <c r="C75" s="62" t="s">
        <v>283</v>
      </c>
      <c r="D75" s="8" t="s">
        <v>95</v>
      </c>
      <c r="E75" s="28">
        <v>44732</v>
      </c>
      <c r="F75" s="58">
        <f t="shared" si="3"/>
        <v>22.5</v>
      </c>
      <c r="G75" s="58">
        <v>30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f t="shared" si="2"/>
        <v>30</v>
      </c>
      <c r="O75" s="58">
        <v>1</v>
      </c>
      <c r="P75" s="58"/>
      <c r="Q75" s="58">
        <v>1.5</v>
      </c>
      <c r="R75" s="29"/>
      <c r="S75" s="29"/>
      <c r="T75" s="58">
        <v>1</v>
      </c>
      <c r="U75" s="58"/>
      <c r="V75" s="58"/>
      <c r="W75" s="58"/>
      <c r="X75" s="94"/>
      <c r="Y75" s="94"/>
      <c r="Z75" s="94"/>
      <c r="AA75" s="86"/>
    </row>
    <row r="76" spans="1:27" s="22" customFormat="1" ht="20.25">
      <c r="B76" s="40"/>
      <c r="C76" s="42"/>
      <c r="D76" s="40"/>
      <c r="E76" s="41"/>
      <c r="S76" s="40"/>
      <c r="T76" s="147"/>
      <c r="U76" s="20"/>
      <c r="V76" s="20"/>
      <c r="W76" s="20"/>
      <c r="X76" s="20"/>
      <c r="Y76" s="20"/>
      <c r="Z76" s="20"/>
    </row>
    <row r="77" spans="1:27" s="22" customFormat="1" ht="19.5">
      <c r="B77" s="40"/>
      <c r="C77" s="42"/>
      <c r="D77" s="40"/>
      <c r="E77" s="41"/>
      <c r="U77" s="20"/>
      <c r="V77" s="20"/>
      <c r="W77" s="20"/>
      <c r="X77" s="20"/>
      <c r="Y77" s="20"/>
      <c r="Z77" s="20"/>
    </row>
    <row r="78" spans="1:27" s="22" customFormat="1" ht="19.5">
      <c r="B78" s="40"/>
      <c r="C78" s="42"/>
      <c r="D78" s="40"/>
      <c r="E78" s="41"/>
      <c r="U78" s="20"/>
      <c r="V78" s="20"/>
      <c r="W78" s="20"/>
      <c r="X78" s="20"/>
      <c r="Y78" s="20"/>
      <c r="Z78" s="20"/>
    </row>
    <row r="79" spans="1:27" s="22" customFormat="1" ht="19.5">
      <c r="B79" s="40"/>
      <c r="C79" s="42"/>
      <c r="D79" s="40"/>
      <c r="E79" s="41"/>
      <c r="U79" s="20"/>
      <c r="V79" s="20"/>
      <c r="W79" s="20"/>
      <c r="X79" s="20"/>
      <c r="Y79" s="20"/>
      <c r="Z79" s="20"/>
    </row>
    <row r="80" spans="1:27" s="22" customFormat="1" ht="19.5">
      <c r="B80" s="40"/>
      <c r="C80" s="42"/>
      <c r="D80" s="40"/>
      <c r="E80" s="41"/>
      <c r="U80" s="20"/>
      <c r="V80" s="20"/>
      <c r="W80" s="20"/>
      <c r="X80" s="20"/>
      <c r="Y80" s="20"/>
      <c r="Z80" s="20"/>
    </row>
    <row r="81" spans="2:26" s="22" customFormat="1" ht="19.5">
      <c r="B81" s="40"/>
      <c r="C81" s="42"/>
      <c r="D81" s="40"/>
      <c r="E81" s="41"/>
      <c r="U81" s="20"/>
      <c r="V81" s="20"/>
      <c r="W81" s="20"/>
      <c r="X81" s="20"/>
      <c r="Y81" s="20"/>
      <c r="Z81" s="20"/>
    </row>
    <row r="82" spans="2:26" s="22" customFormat="1" ht="19.5">
      <c r="B82" s="40"/>
      <c r="C82" s="42"/>
      <c r="D82" s="40"/>
      <c r="E82" s="41"/>
      <c r="U82" s="20"/>
      <c r="V82" s="20"/>
      <c r="W82" s="20"/>
      <c r="X82" s="20"/>
      <c r="Y82" s="20"/>
      <c r="Z82" s="20"/>
    </row>
    <row r="83" spans="2:26" s="22" customFormat="1" ht="19.5">
      <c r="B83" s="40"/>
      <c r="C83" s="42"/>
      <c r="D83" s="40"/>
      <c r="E83" s="41"/>
      <c r="U83" s="20"/>
      <c r="V83" s="20"/>
      <c r="W83" s="20"/>
      <c r="X83" s="20"/>
      <c r="Y83" s="20"/>
      <c r="Z83" s="20"/>
    </row>
    <row r="84" spans="2:26" s="22" customFormat="1" ht="19.5">
      <c r="B84" s="40"/>
      <c r="C84" s="42"/>
      <c r="D84" s="40"/>
      <c r="E84" s="41"/>
      <c r="U84" s="20"/>
      <c r="V84" s="20"/>
      <c r="W84" s="20"/>
      <c r="X84" s="20"/>
      <c r="Y84" s="20"/>
      <c r="Z84" s="20"/>
    </row>
    <row r="85" spans="2:26" s="22" customFormat="1" ht="19.5">
      <c r="B85" s="40"/>
      <c r="C85" s="42"/>
      <c r="D85" s="40"/>
      <c r="E85" s="41"/>
      <c r="U85" s="20"/>
      <c r="V85" s="20"/>
      <c r="W85" s="20"/>
      <c r="X85" s="20"/>
      <c r="Y85" s="20"/>
      <c r="Z85" s="20"/>
    </row>
    <row r="86" spans="2:26" s="22" customFormat="1" ht="19.5">
      <c r="B86" s="40"/>
      <c r="C86" s="42"/>
      <c r="D86" s="40"/>
      <c r="E86" s="41"/>
      <c r="U86" s="20"/>
      <c r="V86" s="20"/>
      <c r="W86" s="20"/>
      <c r="X86" s="20"/>
      <c r="Y86" s="20"/>
      <c r="Z86" s="20"/>
    </row>
    <row r="87" spans="2:26" s="22" customFormat="1" ht="19.5">
      <c r="B87" s="40"/>
      <c r="C87" s="42"/>
      <c r="D87" s="40"/>
      <c r="E87" s="41"/>
      <c r="U87" s="20"/>
      <c r="V87" s="20"/>
      <c r="W87" s="20"/>
      <c r="X87" s="20"/>
      <c r="Y87" s="20"/>
      <c r="Z87" s="20"/>
    </row>
    <row r="88" spans="2:26" s="22" customFormat="1" ht="19.5">
      <c r="B88" s="40"/>
      <c r="C88" s="42"/>
      <c r="D88" s="40"/>
      <c r="E88" s="41"/>
      <c r="U88" s="20"/>
      <c r="V88" s="20"/>
      <c r="W88" s="20"/>
      <c r="X88" s="20"/>
      <c r="Y88" s="20"/>
      <c r="Z88" s="20"/>
    </row>
    <row r="89" spans="2:26" s="22" customFormat="1" ht="19.5">
      <c r="B89" s="40"/>
      <c r="C89" s="42"/>
      <c r="D89" s="40"/>
      <c r="E89" s="41"/>
      <c r="U89" s="20"/>
      <c r="V89" s="20"/>
      <c r="W89" s="20"/>
      <c r="X89" s="20"/>
      <c r="Y89" s="20"/>
      <c r="Z89" s="20"/>
    </row>
    <row r="90" spans="2:26" s="22" customFormat="1" ht="19.5">
      <c r="B90" s="40"/>
      <c r="C90" s="42"/>
      <c r="D90" s="40"/>
      <c r="E90" s="41"/>
      <c r="U90" s="20"/>
      <c r="V90" s="20"/>
      <c r="W90" s="20"/>
      <c r="X90" s="20"/>
      <c r="Y90" s="20"/>
      <c r="Z90" s="20"/>
    </row>
    <row r="91" spans="2:26" s="22" customFormat="1" ht="19.5">
      <c r="B91" s="40"/>
      <c r="C91" s="42"/>
      <c r="D91" s="40"/>
      <c r="E91" s="41"/>
      <c r="U91" s="20"/>
      <c r="V91" s="20"/>
      <c r="W91" s="20"/>
      <c r="X91" s="20"/>
      <c r="Y91" s="20"/>
      <c r="Z91" s="20"/>
    </row>
    <row r="92" spans="2:26" s="22" customFormat="1" ht="19.5">
      <c r="B92" s="40"/>
      <c r="C92" s="42"/>
      <c r="D92" s="40"/>
      <c r="E92" s="41"/>
      <c r="U92" s="20"/>
      <c r="V92" s="20"/>
      <c r="W92" s="20"/>
      <c r="X92" s="20"/>
      <c r="Y92" s="20"/>
      <c r="Z92" s="20"/>
    </row>
    <row r="93" spans="2:26" s="22" customFormat="1" ht="19.5">
      <c r="B93" s="40"/>
      <c r="C93" s="42"/>
      <c r="D93" s="40"/>
      <c r="E93" s="41"/>
      <c r="U93" s="20"/>
      <c r="V93" s="20"/>
      <c r="W93" s="20"/>
      <c r="X93" s="20"/>
      <c r="Y93" s="20"/>
      <c r="Z93" s="20"/>
    </row>
    <row r="94" spans="2:26" s="22" customFormat="1" ht="18.75">
      <c r="B94" s="40"/>
      <c r="C94" s="42"/>
      <c r="D94" s="40"/>
      <c r="E94" s="42"/>
      <c r="U94" s="20"/>
      <c r="V94" s="20"/>
      <c r="W94" s="20"/>
      <c r="X94" s="20"/>
      <c r="Y94" s="20"/>
      <c r="Z94" s="20"/>
    </row>
    <row r="95" spans="2:26" s="22" customFormat="1" ht="18.75">
      <c r="B95" s="40"/>
      <c r="C95" s="42"/>
      <c r="D95" s="40"/>
      <c r="E95" s="42"/>
      <c r="U95" s="20"/>
      <c r="V95" s="20"/>
      <c r="W95" s="20"/>
      <c r="X95" s="20"/>
      <c r="Y95" s="20"/>
      <c r="Z95" s="20"/>
    </row>
    <row r="96" spans="2:26" s="22" customFormat="1" ht="18.75">
      <c r="B96" s="40"/>
      <c r="C96" s="42"/>
      <c r="D96" s="40"/>
      <c r="E96" s="42"/>
      <c r="U96" s="20"/>
      <c r="V96" s="20"/>
      <c r="W96" s="20"/>
      <c r="X96" s="20"/>
      <c r="Y96" s="20"/>
      <c r="Z96" s="20"/>
    </row>
    <row r="97" spans="2:26" s="22" customFormat="1" ht="18.75">
      <c r="B97" s="40"/>
      <c r="C97" s="42"/>
      <c r="D97" s="40"/>
      <c r="E97" s="42"/>
      <c r="U97" s="20"/>
      <c r="V97" s="20"/>
      <c r="W97" s="20"/>
      <c r="X97" s="20"/>
      <c r="Y97" s="20"/>
      <c r="Z97" s="20"/>
    </row>
    <row r="98" spans="2:26" s="22" customFormat="1" ht="18.75">
      <c r="B98" s="40"/>
      <c r="C98" s="42"/>
      <c r="D98" s="40"/>
      <c r="E98" s="42"/>
      <c r="U98" s="20"/>
      <c r="V98" s="20"/>
      <c r="W98" s="20"/>
      <c r="X98" s="20"/>
      <c r="Y98" s="20"/>
      <c r="Z98" s="20"/>
    </row>
    <row r="99" spans="2:26" s="22" customFormat="1" ht="18.75">
      <c r="B99" s="40"/>
      <c r="C99" s="42"/>
      <c r="D99" s="40"/>
      <c r="E99" s="42"/>
      <c r="U99" s="20"/>
      <c r="V99" s="20"/>
      <c r="W99" s="20"/>
      <c r="X99" s="20"/>
      <c r="Y99" s="20"/>
      <c r="Z99" s="20"/>
    </row>
    <row r="100" spans="2:26" s="22" customFormat="1" ht="18.75">
      <c r="B100" s="40"/>
      <c r="C100" s="42"/>
      <c r="D100" s="40"/>
      <c r="E100" s="42"/>
      <c r="U100" s="20"/>
      <c r="V100" s="20"/>
      <c r="W100" s="20"/>
      <c r="X100" s="20"/>
      <c r="Y100" s="20"/>
      <c r="Z100" s="20"/>
    </row>
    <row r="101" spans="2:26" s="22" customFormat="1" ht="18.75">
      <c r="B101" s="40"/>
      <c r="C101" s="42"/>
      <c r="D101" s="40"/>
      <c r="E101" s="42"/>
      <c r="U101" s="20"/>
      <c r="V101" s="20"/>
      <c r="W101" s="20"/>
      <c r="X101" s="20"/>
      <c r="Y101" s="20"/>
      <c r="Z101" s="20"/>
    </row>
    <row r="102" spans="2:26" s="22" customFormat="1" ht="18.75">
      <c r="B102" s="40"/>
      <c r="C102" s="42"/>
      <c r="D102" s="40"/>
      <c r="E102" s="42"/>
      <c r="U102" s="20"/>
      <c r="V102" s="20"/>
      <c r="W102" s="20"/>
      <c r="X102" s="20"/>
      <c r="Y102" s="20"/>
      <c r="Z102" s="20"/>
    </row>
    <row r="103" spans="2:26" s="22" customFormat="1" ht="18.75">
      <c r="B103" s="40"/>
      <c r="C103" s="42"/>
      <c r="D103" s="40"/>
      <c r="E103" s="42"/>
      <c r="U103" s="20"/>
      <c r="V103" s="20"/>
      <c r="W103" s="20"/>
      <c r="X103" s="20"/>
      <c r="Y103" s="20"/>
      <c r="Z103" s="20"/>
    </row>
    <row r="104" spans="2:26" s="22" customFormat="1" ht="18.75">
      <c r="B104" s="40"/>
      <c r="C104" s="42"/>
      <c r="D104" s="40"/>
      <c r="E104" s="42"/>
      <c r="U104" s="20"/>
      <c r="V104" s="20"/>
      <c r="W104" s="20"/>
      <c r="X104" s="20"/>
      <c r="Y104" s="20"/>
      <c r="Z104" s="20"/>
    </row>
    <row r="105" spans="2:26" s="22" customFormat="1" ht="18.75">
      <c r="B105" s="40"/>
      <c r="C105" s="42"/>
      <c r="D105" s="40"/>
      <c r="E105" s="42"/>
      <c r="U105" s="20"/>
      <c r="V105" s="20"/>
      <c r="W105" s="20"/>
      <c r="X105" s="20"/>
      <c r="Y105" s="20"/>
      <c r="Z105" s="20"/>
    </row>
    <row r="106" spans="2:26" s="22" customFormat="1" ht="18.75">
      <c r="B106" s="40"/>
      <c r="C106" s="42"/>
      <c r="D106" s="40"/>
      <c r="E106" s="42"/>
      <c r="U106" s="20"/>
      <c r="V106" s="20"/>
      <c r="W106" s="20"/>
      <c r="X106" s="20"/>
      <c r="Y106" s="20"/>
      <c r="Z106" s="20"/>
    </row>
    <row r="107" spans="2:26" ht="18.75">
      <c r="B107" s="40"/>
      <c r="C107" s="42"/>
      <c r="D107" s="40"/>
      <c r="E107" s="42"/>
      <c r="G107" s="22"/>
      <c r="H107" s="22"/>
      <c r="I107" s="22"/>
      <c r="J107" s="22"/>
      <c r="M107" s="22"/>
      <c r="N107" s="22"/>
    </row>
    <row r="108" spans="2:26" ht="18.75">
      <c r="B108" s="40"/>
      <c r="C108" s="42"/>
      <c r="D108" s="40"/>
      <c r="E108" s="42"/>
      <c r="G108" s="22"/>
      <c r="H108" s="22"/>
      <c r="I108" s="22"/>
      <c r="J108" s="22"/>
      <c r="M108" s="22"/>
      <c r="N108" s="22"/>
    </row>
    <row r="109" spans="2:26" ht="18.75">
      <c r="B109" s="40"/>
      <c r="C109" s="42"/>
      <c r="D109" s="40"/>
      <c r="E109" s="42"/>
      <c r="G109" s="22"/>
      <c r="H109" s="22"/>
      <c r="I109" s="22"/>
      <c r="J109" s="22"/>
      <c r="M109" s="22"/>
      <c r="N109" s="22"/>
    </row>
    <row r="110" spans="2:26" ht="18.75">
      <c r="B110" s="40"/>
      <c r="C110" s="42"/>
      <c r="D110" s="40"/>
      <c r="E110" s="42"/>
      <c r="G110" s="22"/>
      <c r="H110" s="22"/>
      <c r="I110" s="22"/>
      <c r="J110" s="22"/>
      <c r="M110" s="22"/>
      <c r="N110" s="22"/>
    </row>
    <row r="111" spans="2:26" ht="18.75">
      <c r="B111" s="40"/>
      <c r="C111" s="42"/>
      <c r="D111" s="40"/>
      <c r="E111" s="40"/>
      <c r="G111" s="22"/>
      <c r="H111" s="22"/>
      <c r="I111" s="22"/>
      <c r="J111" s="22"/>
      <c r="M111" s="22"/>
      <c r="N111" s="22"/>
    </row>
    <row r="112" spans="2:26" ht="18.75">
      <c r="B112" s="40"/>
      <c r="C112" s="42"/>
      <c r="D112" s="40"/>
      <c r="E112" s="40"/>
    </row>
  </sheetData>
  <autoFilter ref="A6:Z75"/>
  <mergeCells count="21">
    <mergeCell ref="O3:O6"/>
    <mergeCell ref="Q3:Q6"/>
    <mergeCell ref="M3:M6"/>
    <mergeCell ref="N3:N6"/>
    <mergeCell ref="P3:P6"/>
    <mergeCell ref="A1:D1"/>
    <mergeCell ref="Z3:Z6"/>
    <mergeCell ref="V3:V6"/>
    <mergeCell ref="X3:X6"/>
    <mergeCell ref="Y3:Y6"/>
    <mergeCell ref="W3:W6"/>
    <mergeCell ref="F3:F6"/>
    <mergeCell ref="S3:S6"/>
    <mergeCell ref="R3:R6"/>
    <mergeCell ref="U3:U6"/>
    <mergeCell ref="H3:H6"/>
    <mergeCell ref="G3:G6"/>
    <mergeCell ref="L3:L6"/>
    <mergeCell ref="K3:K6"/>
    <mergeCell ref="I3:I6"/>
    <mergeCell ref="T3:T6"/>
  </mergeCells>
  <phoneticPr fontId="3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BU99"/>
  <sheetViews>
    <sheetView showGridLines="0" tabSelected="1" view="pageBreakPreview" zoomScale="40" zoomScaleNormal="55" zoomScaleSheetLayoutView="40" zoomScalePageLayoutView="55" workbookViewId="0">
      <pane xSplit="14" ySplit="8" topLeftCell="AJ9" activePane="bottomRight" state="frozen"/>
      <selection pane="topRight" activeCell="P1" sqref="P1"/>
      <selection pane="bottomLeft" activeCell="A9" sqref="A9"/>
      <selection pane="bottomRight" activeCell="L80" sqref="L80"/>
    </sheetView>
  </sheetViews>
  <sheetFormatPr defaultRowHeight="21"/>
  <cols>
    <col min="1" max="1" width="7.5" style="2" customWidth="1"/>
    <col min="2" max="2" width="18.125" customWidth="1"/>
    <col min="3" max="3" width="17.5" customWidth="1"/>
    <col min="4" max="4" width="15.625" hidden="1" customWidth="1"/>
    <col min="5" max="6" width="15" hidden="1" customWidth="1"/>
    <col min="7" max="7" width="10" customWidth="1"/>
    <col min="8" max="8" width="13.125" customWidth="1"/>
    <col min="9" max="9" width="6.25" customWidth="1"/>
    <col min="10" max="10" width="10.125" customWidth="1"/>
    <col min="11" max="11" width="18.125" customWidth="1"/>
    <col min="12" max="12" width="10.625" customWidth="1"/>
    <col min="13" max="13" width="11.375" style="22" customWidth="1"/>
    <col min="14" max="14" width="11.75" style="22" customWidth="1"/>
    <col min="15" max="15" width="9.875" style="22" customWidth="1"/>
    <col min="16" max="16" width="6.875" style="22" customWidth="1"/>
    <col min="17" max="17" width="7.625" style="22" customWidth="1"/>
    <col min="18" max="18" width="11.375" style="22" customWidth="1"/>
    <col min="19" max="19" width="12" style="22" customWidth="1"/>
    <col min="20" max="20" width="9.25" style="22" hidden="1" customWidth="1"/>
    <col min="21" max="21" width="15.25" style="22" customWidth="1"/>
    <col min="22" max="23" width="8" style="22" customWidth="1"/>
    <col min="24" max="24" width="14.75" style="22" customWidth="1"/>
    <col min="25" max="25" width="11.75" style="22" customWidth="1"/>
    <col min="26" max="26" width="6.625" style="22" customWidth="1"/>
    <col min="27" max="27" width="11.875" style="22" customWidth="1"/>
    <col min="28" max="28" width="7.75" style="22" hidden="1" customWidth="1"/>
    <col min="29" max="29" width="12.25" style="22" hidden="1" customWidth="1"/>
    <col min="30" max="30" width="8.375" style="77" customWidth="1"/>
    <col min="31" max="31" width="13.375" style="72" customWidth="1"/>
    <col min="32" max="32" width="12.25" style="22" customWidth="1"/>
    <col min="33" max="33" width="12.875" style="22" customWidth="1"/>
    <col min="34" max="34" width="12.375" style="22" hidden="1" customWidth="1"/>
    <col min="35" max="35" width="8.75" style="22" hidden="1" customWidth="1"/>
    <col min="36" max="36" width="9" style="22" customWidth="1"/>
    <col min="37" max="37" width="9.625" style="22" customWidth="1"/>
    <col min="38" max="38" width="10.25" style="115" customWidth="1"/>
    <col min="39" max="39" width="10.25" style="22" hidden="1" customWidth="1"/>
    <col min="40" max="40" width="12.625" style="22" hidden="1" customWidth="1"/>
    <col min="41" max="41" width="11" style="22" customWidth="1"/>
    <col min="42" max="42" width="11.375" style="22" customWidth="1"/>
    <col min="43" max="43" width="16" style="22" customWidth="1"/>
    <col min="44" max="44" width="14.5" style="22" customWidth="1"/>
    <col min="45" max="45" width="12.5" style="22" customWidth="1"/>
    <col min="46" max="46" width="17.75" style="22" customWidth="1"/>
    <col min="47" max="47" width="19.5" style="22" hidden="1" customWidth="1"/>
    <col min="48" max="48" width="8.25" style="22" hidden="1" customWidth="1"/>
    <col min="49" max="49" width="9.125" style="22" hidden="1" customWidth="1"/>
    <col min="50" max="50" width="17.625" style="22" hidden="1" customWidth="1"/>
    <col min="51" max="51" width="20.75" style="22" hidden="1" customWidth="1"/>
    <col min="52" max="52" width="10" style="22" customWidth="1"/>
    <col min="53" max="53" width="15" style="22" hidden="1" customWidth="1"/>
    <col min="54" max="54" width="11.875" style="22" customWidth="1"/>
    <col min="55" max="55" width="16.375" style="22" customWidth="1"/>
    <col min="56" max="56" width="17.375" style="22" customWidth="1"/>
    <col min="57" max="57" width="16" style="22" customWidth="1"/>
    <col min="58" max="58" width="16.5" customWidth="1"/>
    <col min="59" max="64" width="11.25" hidden="1" customWidth="1"/>
    <col min="65" max="65" width="16.375" hidden="1" customWidth="1"/>
    <col min="66" max="66" width="11.75" bestFit="1" customWidth="1"/>
    <col min="67" max="67" width="45.375" customWidth="1"/>
    <col min="68" max="68" width="15.125" customWidth="1"/>
    <col min="69" max="69" width="23.125" bestFit="1" customWidth="1"/>
    <col min="71" max="71" width="11.625" bestFit="1" customWidth="1"/>
  </cols>
  <sheetData>
    <row r="2" spans="1:73" s="4" customFormat="1" ht="36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73"/>
      <c r="AE2" s="65"/>
      <c r="AF2" s="43"/>
      <c r="AG2" s="43"/>
      <c r="AH2" s="43"/>
      <c r="AI2" s="43"/>
      <c r="AJ2" s="43"/>
      <c r="AK2" s="43"/>
      <c r="AL2" s="112"/>
      <c r="AM2" s="43"/>
      <c r="AN2" s="43"/>
      <c r="AO2" s="43"/>
      <c r="AP2" s="43"/>
      <c r="AQ2" s="43"/>
      <c r="AR2" s="43"/>
      <c r="AS2" s="43"/>
      <c r="AT2" s="43"/>
      <c r="AU2" s="19"/>
      <c r="AV2" s="19"/>
      <c r="AW2" s="19"/>
      <c r="AX2" s="19"/>
      <c r="AY2" s="19"/>
      <c r="AZ2" s="43"/>
      <c r="BA2" s="43"/>
      <c r="BB2" s="43"/>
      <c r="BC2" s="43"/>
      <c r="BD2" s="43"/>
      <c r="BE2" s="43"/>
      <c r="BF2" s="11"/>
    </row>
    <row r="3" spans="1:73" s="4" customFormat="1" ht="33" customHeight="1">
      <c r="A3" s="12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74"/>
      <c r="AE3" s="66"/>
      <c r="AF3" s="44"/>
      <c r="AG3" s="44"/>
      <c r="AH3" s="44"/>
      <c r="AI3" s="44"/>
      <c r="AJ3" s="44"/>
      <c r="AK3" s="44"/>
      <c r="AL3" s="113"/>
      <c r="AM3" s="44"/>
      <c r="AN3" s="44"/>
      <c r="AO3" s="44"/>
      <c r="AP3" s="44"/>
      <c r="AQ3" s="67"/>
      <c r="AR3" s="44"/>
      <c r="AS3" s="44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44"/>
      <c r="BE3" s="44"/>
      <c r="BF3" s="12"/>
    </row>
    <row r="4" spans="1:73" s="4" customFormat="1" ht="36.75" customHeight="1">
      <c r="A4" s="5"/>
      <c r="B4" s="10"/>
      <c r="C4" s="10"/>
      <c r="D4" s="10"/>
      <c r="E4" s="10"/>
      <c r="F4" s="10"/>
      <c r="G4" s="17" t="s">
        <v>80</v>
      </c>
      <c r="H4" s="18"/>
      <c r="I4" s="18"/>
      <c r="J4" s="18"/>
      <c r="K4" s="18"/>
      <c r="L4" s="18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75"/>
      <c r="AE4" s="50"/>
      <c r="AF4" s="50"/>
      <c r="AG4" s="50"/>
      <c r="AH4" s="50"/>
      <c r="AI4" s="50"/>
      <c r="AJ4" s="50"/>
      <c r="AK4" s="50"/>
      <c r="AL4" s="114"/>
      <c r="AM4" s="45"/>
      <c r="AN4" s="45"/>
      <c r="AO4" s="45"/>
      <c r="AP4" s="45"/>
      <c r="AQ4" s="68"/>
      <c r="AR4" s="45"/>
      <c r="AS4" s="45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45"/>
      <c r="BE4" s="45"/>
      <c r="BF4" s="5"/>
      <c r="BG4" s="103" t="s">
        <v>131</v>
      </c>
      <c r="BH4" s="103">
        <f>COUNTIF(I9:I81,"F")</f>
        <v>46</v>
      </c>
      <c r="BI4" s="104">
        <f>BH4+BH6</f>
        <v>68</v>
      </c>
    </row>
    <row r="5" spans="1:73" s="4" customFormat="1" ht="33" customHeight="1">
      <c r="A5" s="5"/>
      <c r="B5" s="10"/>
      <c r="C5" s="10"/>
      <c r="D5" s="10"/>
      <c r="E5" s="10"/>
      <c r="F5" s="10"/>
      <c r="G5" s="17"/>
      <c r="H5" s="18"/>
      <c r="I5" s="18"/>
      <c r="J5" s="18"/>
      <c r="K5" s="18"/>
      <c r="L5" s="18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75"/>
      <c r="AE5" s="50"/>
      <c r="AF5" s="50"/>
      <c r="AG5" s="50"/>
      <c r="AH5" s="50"/>
      <c r="AI5" s="50"/>
      <c r="AJ5" s="50"/>
      <c r="AK5" s="50"/>
      <c r="AL5" s="114"/>
      <c r="AM5" s="45"/>
      <c r="AN5" s="45"/>
      <c r="AO5" s="45"/>
      <c r="AP5" s="45"/>
      <c r="AQ5" s="68"/>
      <c r="AR5" s="45"/>
      <c r="AS5" s="45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45"/>
      <c r="BE5" s="45"/>
      <c r="BF5" s="5"/>
      <c r="BG5" s="103"/>
      <c r="BH5" s="103"/>
      <c r="BI5" s="104"/>
      <c r="BS5" s="128">
        <v>45536</v>
      </c>
      <c r="BT5" s="4">
        <v>4066</v>
      </c>
      <c r="BU5" s="129">
        <v>0.02</v>
      </c>
    </row>
    <row r="6" spans="1:73" s="4" customFormat="1" ht="46.5" customHeight="1">
      <c r="A6" s="16"/>
      <c r="B6" s="10"/>
      <c r="C6" s="10"/>
      <c r="D6" s="10"/>
      <c r="E6" s="10"/>
      <c r="F6" s="10"/>
      <c r="G6" s="14"/>
      <c r="H6" s="15"/>
      <c r="I6" s="15"/>
      <c r="J6" s="15"/>
      <c r="K6" s="15"/>
      <c r="L6" s="15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76"/>
      <c r="AE6" s="69"/>
      <c r="AF6" s="51"/>
      <c r="AG6" s="51"/>
      <c r="AH6" s="51"/>
      <c r="AI6" s="51"/>
      <c r="AJ6" s="51"/>
      <c r="AK6" s="51"/>
      <c r="AL6" s="114"/>
      <c r="AM6" s="45"/>
      <c r="AN6" s="45"/>
      <c r="AO6" s="45"/>
      <c r="AP6" s="45"/>
      <c r="AQ6" s="68"/>
      <c r="AR6" s="45"/>
      <c r="AS6" s="45"/>
      <c r="AT6" s="68"/>
      <c r="AU6" s="68">
        <v>4057</v>
      </c>
      <c r="AV6" s="68"/>
      <c r="AW6" s="68"/>
      <c r="AX6" s="68"/>
      <c r="AY6" s="68"/>
      <c r="AZ6" s="68"/>
      <c r="BA6" s="68"/>
      <c r="BB6" s="68"/>
      <c r="BC6" s="68"/>
      <c r="BD6" s="45"/>
      <c r="BE6" s="45"/>
      <c r="BF6" s="5"/>
      <c r="BG6" s="103" t="s">
        <v>15</v>
      </c>
      <c r="BH6" s="103">
        <f>COUNTIF(I9:I81,"M")</f>
        <v>22</v>
      </c>
      <c r="BI6" s="105"/>
    </row>
    <row r="7" spans="1:73" s="4" customFormat="1" ht="132.75" customHeight="1">
      <c r="A7" s="140" t="s">
        <v>17</v>
      </c>
      <c r="B7" s="140" t="s">
        <v>5</v>
      </c>
      <c r="C7" s="140" t="s">
        <v>47</v>
      </c>
      <c r="D7" s="139" t="s">
        <v>201</v>
      </c>
      <c r="E7" s="139" t="s">
        <v>202</v>
      </c>
      <c r="F7" s="139" t="s">
        <v>470</v>
      </c>
      <c r="G7" s="140" t="s">
        <v>6</v>
      </c>
      <c r="H7" s="140" t="s">
        <v>7</v>
      </c>
      <c r="I7" s="140" t="s">
        <v>8</v>
      </c>
      <c r="J7" s="140" t="s">
        <v>10</v>
      </c>
      <c r="K7" s="140" t="s">
        <v>9</v>
      </c>
      <c r="L7" s="140" t="s">
        <v>24</v>
      </c>
      <c r="M7" s="140" t="s">
        <v>41</v>
      </c>
      <c r="N7" s="140" t="s">
        <v>43</v>
      </c>
      <c r="O7" s="140" t="s">
        <v>192</v>
      </c>
      <c r="P7" s="140" t="s">
        <v>40</v>
      </c>
      <c r="Q7" s="140" t="s">
        <v>25</v>
      </c>
      <c r="R7" s="140" t="s">
        <v>38</v>
      </c>
      <c r="S7" s="140" t="s">
        <v>82</v>
      </c>
      <c r="T7" s="136"/>
      <c r="U7" s="140" t="s">
        <v>83</v>
      </c>
      <c r="V7" s="140" t="s">
        <v>30</v>
      </c>
      <c r="W7" s="140" t="s">
        <v>31</v>
      </c>
      <c r="X7" s="140" t="s">
        <v>32</v>
      </c>
      <c r="Y7" s="140" t="s">
        <v>34</v>
      </c>
      <c r="Z7" s="140" t="s">
        <v>26</v>
      </c>
      <c r="AA7" s="140" t="s">
        <v>18</v>
      </c>
      <c r="AB7" s="140" t="s">
        <v>231</v>
      </c>
      <c r="AC7" s="140" t="s">
        <v>232</v>
      </c>
      <c r="AD7" s="141" t="s">
        <v>42</v>
      </c>
      <c r="AE7" s="140" t="s">
        <v>77</v>
      </c>
      <c r="AF7" s="140" t="s">
        <v>37</v>
      </c>
      <c r="AG7" s="140" t="s">
        <v>176</v>
      </c>
      <c r="AH7" s="140" t="s">
        <v>217</v>
      </c>
      <c r="AI7" s="143" t="s">
        <v>228</v>
      </c>
      <c r="AJ7" s="140" t="s">
        <v>27</v>
      </c>
      <c r="AK7" s="140" t="s">
        <v>12</v>
      </c>
      <c r="AL7" s="142" t="s">
        <v>28</v>
      </c>
      <c r="AM7" s="140" t="s">
        <v>267</v>
      </c>
      <c r="AN7" s="140" t="s">
        <v>29</v>
      </c>
      <c r="AO7" s="140" t="s">
        <v>81</v>
      </c>
      <c r="AP7" s="140" t="s">
        <v>33</v>
      </c>
      <c r="AQ7" s="140" t="s">
        <v>209</v>
      </c>
      <c r="AR7" s="140" t="s">
        <v>210</v>
      </c>
      <c r="AS7" s="140" t="s">
        <v>316</v>
      </c>
      <c r="AT7" s="140" t="s">
        <v>295</v>
      </c>
      <c r="AU7" s="140" t="s">
        <v>296</v>
      </c>
      <c r="AV7" s="140" t="s">
        <v>297</v>
      </c>
      <c r="AW7" s="140" t="s">
        <v>298</v>
      </c>
      <c r="AX7" s="140" t="s">
        <v>299</v>
      </c>
      <c r="AY7" s="140" t="s">
        <v>300</v>
      </c>
      <c r="AZ7" s="140" t="s">
        <v>39</v>
      </c>
      <c r="BA7" s="140" t="s">
        <v>36</v>
      </c>
      <c r="BB7" s="140" t="s">
        <v>36</v>
      </c>
      <c r="BC7" s="140" t="s">
        <v>318</v>
      </c>
      <c r="BD7" s="140" t="s">
        <v>35</v>
      </c>
      <c r="BE7" s="140" t="s">
        <v>199</v>
      </c>
      <c r="BF7" s="140" t="s">
        <v>46</v>
      </c>
      <c r="BG7" s="103"/>
      <c r="BH7" s="103"/>
      <c r="BI7" s="135"/>
    </row>
    <row r="8" spans="1:73" s="304" customFormat="1" ht="79.5" customHeight="1">
      <c r="A8" s="299" t="s">
        <v>48</v>
      </c>
      <c r="B8" s="299" t="s">
        <v>49</v>
      </c>
      <c r="C8" s="299" t="s">
        <v>308</v>
      </c>
      <c r="D8" s="299" t="s">
        <v>203</v>
      </c>
      <c r="E8" s="299" t="s">
        <v>204</v>
      </c>
      <c r="F8" s="299" t="s">
        <v>471</v>
      </c>
      <c r="G8" s="299" t="s">
        <v>50</v>
      </c>
      <c r="H8" s="299" t="s">
        <v>51</v>
      </c>
      <c r="I8" s="299" t="s">
        <v>52</v>
      </c>
      <c r="J8" s="299" t="s">
        <v>53</v>
      </c>
      <c r="K8" s="299" t="s">
        <v>54</v>
      </c>
      <c r="L8" s="300" t="s">
        <v>55</v>
      </c>
      <c r="M8" s="300" t="s">
        <v>56</v>
      </c>
      <c r="N8" s="300" t="s">
        <v>57</v>
      </c>
      <c r="O8" s="300" t="s">
        <v>191</v>
      </c>
      <c r="P8" s="300" t="s">
        <v>58</v>
      </c>
      <c r="Q8" s="300" t="s">
        <v>59</v>
      </c>
      <c r="R8" s="300" t="s">
        <v>60</v>
      </c>
      <c r="S8" s="300" t="s">
        <v>84</v>
      </c>
      <c r="T8" s="300"/>
      <c r="U8" s="300" t="s">
        <v>85</v>
      </c>
      <c r="V8" s="300" t="s">
        <v>61</v>
      </c>
      <c r="W8" s="300" t="s">
        <v>62</v>
      </c>
      <c r="X8" s="300" t="s">
        <v>76</v>
      </c>
      <c r="Y8" s="300" t="s">
        <v>63</v>
      </c>
      <c r="Z8" s="300" t="s">
        <v>64</v>
      </c>
      <c r="AA8" s="300" t="s">
        <v>65</v>
      </c>
      <c r="AB8" s="300" t="s">
        <v>233</v>
      </c>
      <c r="AC8" s="300" t="s">
        <v>234</v>
      </c>
      <c r="AD8" s="301" t="s">
        <v>66</v>
      </c>
      <c r="AE8" s="300" t="s">
        <v>220</v>
      </c>
      <c r="AF8" s="300" t="s">
        <v>222</v>
      </c>
      <c r="AG8" s="300" t="s">
        <v>224</v>
      </c>
      <c r="AH8" s="300" t="s">
        <v>221</v>
      </c>
      <c r="AI8" s="300" t="s">
        <v>213</v>
      </c>
      <c r="AJ8" s="300" t="s">
        <v>292</v>
      </c>
      <c r="AK8" s="300" t="s">
        <v>67</v>
      </c>
      <c r="AL8" s="302" t="s">
        <v>291</v>
      </c>
      <c r="AM8" s="300" t="s">
        <v>268</v>
      </c>
      <c r="AN8" s="300" t="s">
        <v>68</v>
      </c>
      <c r="AO8" s="300" t="s">
        <v>69</v>
      </c>
      <c r="AP8" s="300" t="s">
        <v>70</v>
      </c>
      <c r="AQ8" s="300" t="s">
        <v>293</v>
      </c>
      <c r="AR8" s="300" t="s">
        <v>237</v>
      </c>
      <c r="AS8" s="300" t="s">
        <v>317</v>
      </c>
      <c r="AT8" s="300" t="s">
        <v>301</v>
      </c>
      <c r="AU8" s="300" t="s">
        <v>302</v>
      </c>
      <c r="AV8" s="300" t="s">
        <v>303</v>
      </c>
      <c r="AW8" s="300" t="s">
        <v>304</v>
      </c>
      <c r="AX8" s="300" t="s">
        <v>305</v>
      </c>
      <c r="AY8" s="300" t="s">
        <v>306</v>
      </c>
      <c r="AZ8" s="300" t="s">
        <v>294</v>
      </c>
      <c r="BA8" s="300" t="s">
        <v>307</v>
      </c>
      <c r="BB8" s="300" t="s">
        <v>71</v>
      </c>
      <c r="BC8" s="300" t="s">
        <v>72</v>
      </c>
      <c r="BD8" s="300" t="s">
        <v>73</v>
      </c>
      <c r="BE8" s="300" t="s">
        <v>74</v>
      </c>
      <c r="BF8" s="300" t="s">
        <v>75</v>
      </c>
      <c r="BG8" s="303">
        <v>100</v>
      </c>
      <c r="BH8" s="303">
        <v>50</v>
      </c>
      <c r="BI8" s="303">
        <v>20</v>
      </c>
      <c r="BJ8" s="303">
        <v>10</v>
      </c>
      <c r="BK8" s="303">
        <v>5</v>
      </c>
      <c r="BL8" s="303">
        <v>1</v>
      </c>
      <c r="BM8" s="303" t="s">
        <v>16</v>
      </c>
      <c r="BP8" s="305"/>
    </row>
    <row r="9" spans="1:73" s="182" customFormat="1" ht="47.25" customHeight="1">
      <c r="A9" s="158">
        <v>1</v>
      </c>
      <c r="B9" s="220" t="s">
        <v>326</v>
      </c>
      <c r="C9" s="152" t="s">
        <v>151</v>
      </c>
      <c r="D9" s="152">
        <v>110533877</v>
      </c>
      <c r="E9" s="153">
        <v>35857</v>
      </c>
      <c r="F9" s="153" t="s">
        <v>473</v>
      </c>
      <c r="G9" s="221" t="s">
        <v>120</v>
      </c>
      <c r="H9" s="222" t="s">
        <v>154</v>
      </c>
      <c r="I9" s="158" t="s">
        <v>14</v>
      </c>
      <c r="J9" s="155">
        <v>340</v>
      </c>
      <c r="K9" s="223">
        <v>43451</v>
      </c>
      <c r="L9" s="224">
        <v>26</v>
      </c>
      <c r="M9" s="158">
        <f>考勤!F7</f>
        <v>23.5</v>
      </c>
      <c r="N9" s="158">
        <f>考勤!T7</f>
        <v>1</v>
      </c>
      <c r="O9" s="158">
        <f>考勤!Q7</f>
        <v>1.5</v>
      </c>
      <c r="P9" s="159">
        <f>考勤!K7</f>
        <v>0</v>
      </c>
      <c r="Q9" s="159">
        <f>考勤!L7</f>
        <v>0</v>
      </c>
      <c r="R9" s="158">
        <f>(M9+O9)*8</f>
        <v>200</v>
      </c>
      <c r="S9" s="225">
        <f t="shared" ref="S9:S11" si="0">J9/L9</f>
        <v>13.076923076923077</v>
      </c>
      <c r="T9" s="225"/>
      <c r="U9" s="175">
        <f>S9*(M9+N9+O9)</f>
        <v>340</v>
      </c>
      <c r="V9" s="158">
        <f>考勤!N7</f>
        <v>0</v>
      </c>
      <c r="W9" s="158">
        <f>V9/2</f>
        <v>0</v>
      </c>
      <c r="X9" s="226">
        <f t="shared" ref="X9:X11" si="1">J9/L9/8*V9*1.5</f>
        <v>0</v>
      </c>
      <c r="Y9" s="175">
        <f t="shared" ref="Y9:Y11" si="2">13/L9*W9</f>
        <v>0</v>
      </c>
      <c r="Z9" s="158">
        <f>考勤!O7</f>
        <v>0</v>
      </c>
      <c r="AA9" s="226">
        <f t="shared" ref="AA9:AA11" si="3">(J9/L9*Z9)*0.5</f>
        <v>0</v>
      </c>
      <c r="AB9" s="159">
        <f>考勤!P7</f>
        <v>0</v>
      </c>
      <c r="AC9" s="226">
        <f t="shared" ref="AC9:AC11" si="4">(J9/L9*AB9)*0.8</f>
        <v>0</v>
      </c>
      <c r="AD9" s="159">
        <f>考勤!W7</f>
        <v>0</v>
      </c>
      <c r="AE9" s="175">
        <f>考勤!X7</f>
        <v>0</v>
      </c>
      <c r="AF9" s="175">
        <f>考勤!Y7</f>
        <v>0</v>
      </c>
      <c r="AG9" s="175">
        <f>考勤!Z7</f>
        <v>0</v>
      </c>
      <c r="AH9" s="175">
        <v>0</v>
      </c>
      <c r="AI9" s="227"/>
      <c r="AJ9" s="228">
        <f t="shared" ref="AJ9:AJ11" si="5">IF(M9+Q9+Z9+N9+O9+AB9&lt;=25.5,0,20)</f>
        <v>20</v>
      </c>
      <c r="AK9" s="229">
        <v>6</v>
      </c>
      <c r="AL9" s="230">
        <v>100</v>
      </c>
      <c r="AM9" s="172"/>
      <c r="AN9" s="229"/>
      <c r="AO9" s="171">
        <v>10</v>
      </c>
      <c r="AP9" s="231">
        <f t="shared" ref="AP9:AP11" si="6">10/26*(M9+N9+O9)</f>
        <v>10</v>
      </c>
      <c r="AQ9" s="170">
        <f t="shared" ref="AQ9:AQ11" si="7">ROUND(SUM(U9,X9,Y9,AA9,AE9,AF9,AJ9,AK9,AL9,AN9,AO9,AP9,AG9,AI9,AH9,AC9,AM9),2)</f>
        <v>486</v>
      </c>
      <c r="AR9" s="171">
        <v>100</v>
      </c>
      <c r="AS9" s="172">
        <f>ROUND(IF(YEARFRAC(E9,$BS$5)&gt;=60,"0",IF(AQ9&lt;=400000/$BT$5,400000/$BT$5*$BU$5,IF(AQ9&lt;=1200000/$BT$5,AQ9*$BU$5,IF(AQ9&gt;1200000/$BT$5,1200000/$BT$5*$BU$5)))),2)</f>
        <v>5.9</v>
      </c>
      <c r="AT9" s="170">
        <f>AQ9-AS9</f>
        <v>480.1</v>
      </c>
      <c r="AU9" s="159">
        <f t="shared" ref="AU9:AU11" si="8">AT9*$AU$6</f>
        <v>1947765.7000000002</v>
      </c>
      <c r="AV9" s="159">
        <v>0</v>
      </c>
      <c r="AW9" s="159">
        <v>0</v>
      </c>
      <c r="AX9" s="159">
        <f>(AV9+AW9)*150000</f>
        <v>0</v>
      </c>
      <c r="AY9" s="159">
        <f t="shared" ref="AY9:AY10" si="9">AU9-AX9</f>
        <v>1947765.7000000002</v>
      </c>
      <c r="AZ9" s="173" t="str">
        <f>IF(AY9&lt;=1500000,"0%",IF(AY9&lt;=2000000,"5%",IF(AY9&lt;=8500000,"10%",IF(AY9&lt;=12500000,"15%",IF(AY9&lt;=12500001,"20%")))))</f>
        <v>5%</v>
      </c>
      <c r="BA9" s="232"/>
      <c r="BB9" s="175"/>
      <c r="BC9" s="176">
        <f>AQ9-(AS9+BB9+AR9)</f>
        <v>380.1</v>
      </c>
      <c r="BD9" s="155">
        <f>ROUND(SUM(BC9),0)</f>
        <v>380</v>
      </c>
      <c r="BE9" s="155">
        <f t="shared" ref="BE9:BE11" si="10">INT(BD9)</f>
        <v>380</v>
      </c>
      <c r="BF9" s="177"/>
      <c r="BG9" s="158">
        <f t="shared" ref="BG9:BG11" si="11">INT(BE9/100)</f>
        <v>3</v>
      </c>
      <c r="BH9" s="158">
        <f t="shared" ref="BH9:BH11" si="12">INT(MOD(BE9,100)/50)</f>
        <v>1</v>
      </c>
      <c r="BI9" s="158">
        <f t="shared" ref="BI9:BI11" si="13">INT(MOD(MOD(BE9,100),50)/20)</f>
        <v>1</v>
      </c>
      <c r="BJ9" s="158">
        <f t="shared" ref="BJ9:BJ11" si="14">INT(MOD(MOD(MOD(BE9,100),50),20)/10)</f>
        <v>1</v>
      </c>
      <c r="BK9" s="158">
        <f t="shared" ref="BK9:BK11" si="15">INT(MOD(MOD(MOD(MOD(BE9,100),50),20),10)/5)</f>
        <v>0</v>
      </c>
      <c r="BL9" s="158">
        <f t="shared" ref="BL9:BL11" si="16">INT(MOD(MOD(MOD(MOD(MOD(BE9,100),50),20),10),5)/1)</f>
        <v>0</v>
      </c>
      <c r="BM9" s="158">
        <f t="shared" ref="BM9:BM11" si="17">BG9*100+BH9*50+BI9*20+BJ9*10+BK9*5+BL9</f>
        <v>380</v>
      </c>
      <c r="BN9" s="178"/>
      <c r="BO9" s="179"/>
      <c r="BP9" s="233"/>
      <c r="BQ9" s="234"/>
      <c r="BR9" s="235"/>
    </row>
    <row r="10" spans="1:73" s="182" customFormat="1" ht="47.25" customHeight="1">
      <c r="A10" s="158">
        <v>2</v>
      </c>
      <c r="B10" s="151" t="s">
        <v>327</v>
      </c>
      <c r="C10" s="152" t="s">
        <v>96</v>
      </c>
      <c r="D10" s="152">
        <v>130155904</v>
      </c>
      <c r="E10" s="153">
        <v>35815</v>
      </c>
      <c r="F10" s="153" t="s">
        <v>473</v>
      </c>
      <c r="G10" s="236" t="s">
        <v>190</v>
      </c>
      <c r="H10" s="154" t="s">
        <v>11</v>
      </c>
      <c r="I10" s="150" t="s">
        <v>87</v>
      </c>
      <c r="J10" s="155">
        <v>340</v>
      </c>
      <c r="K10" s="156">
        <v>42250</v>
      </c>
      <c r="L10" s="157">
        <v>26</v>
      </c>
      <c r="M10" s="158">
        <f>考勤!F8</f>
        <v>24</v>
      </c>
      <c r="N10" s="158">
        <f>考勤!T8</f>
        <v>1</v>
      </c>
      <c r="O10" s="158">
        <f>考勤!Q8</f>
        <v>1</v>
      </c>
      <c r="P10" s="159">
        <f>考勤!K8</f>
        <v>0</v>
      </c>
      <c r="Q10" s="159">
        <f>考勤!L8</f>
        <v>0</v>
      </c>
      <c r="R10" s="158">
        <f t="shared" ref="R10:R11" si="18">(M10+O10)*8</f>
        <v>200</v>
      </c>
      <c r="S10" s="225">
        <f t="shared" si="0"/>
        <v>13.076923076923077</v>
      </c>
      <c r="T10" s="225"/>
      <c r="U10" s="175">
        <f>S10*(M10+N10+O10)</f>
        <v>340</v>
      </c>
      <c r="V10" s="158">
        <f>考勤!N8</f>
        <v>0</v>
      </c>
      <c r="W10" s="158">
        <f t="shared" ref="W10:W11" si="19">V10/2</f>
        <v>0</v>
      </c>
      <c r="X10" s="226">
        <f t="shared" si="1"/>
        <v>0</v>
      </c>
      <c r="Y10" s="175">
        <f t="shared" si="2"/>
        <v>0</v>
      </c>
      <c r="Z10" s="158">
        <f>考勤!O8</f>
        <v>0</v>
      </c>
      <c r="AA10" s="226">
        <f t="shared" si="3"/>
        <v>0</v>
      </c>
      <c r="AB10" s="159">
        <f>考勤!P8</f>
        <v>0</v>
      </c>
      <c r="AC10" s="226">
        <f t="shared" si="4"/>
        <v>0</v>
      </c>
      <c r="AD10" s="159">
        <f>考勤!W8</f>
        <v>0</v>
      </c>
      <c r="AE10" s="175">
        <f>考勤!X8</f>
        <v>0</v>
      </c>
      <c r="AF10" s="175">
        <f>考勤!Y8</f>
        <v>0</v>
      </c>
      <c r="AG10" s="175">
        <f>考勤!Z8</f>
        <v>0</v>
      </c>
      <c r="AH10" s="175">
        <v>0</v>
      </c>
      <c r="AI10" s="227"/>
      <c r="AJ10" s="228">
        <f t="shared" si="5"/>
        <v>20</v>
      </c>
      <c r="AK10" s="229">
        <v>9</v>
      </c>
      <c r="AL10" s="230">
        <v>20</v>
      </c>
      <c r="AM10" s="172"/>
      <c r="AN10" s="166"/>
      <c r="AO10" s="171">
        <v>10</v>
      </c>
      <c r="AP10" s="231">
        <f t="shared" si="6"/>
        <v>10</v>
      </c>
      <c r="AQ10" s="170">
        <f t="shared" si="7"/>
        <v>409</v>
      </c>
      <c r="AR10" s="171">
        <v>100</v>
      </c>
      <c r="AS10" s="172">
        <f>ROUND(IF(YEARFRAC(E10,$BS$5)&gt;=60,"0",IF(AQ10&lt;=400000/$BT$5,400000/$BT$5*$BU$5,IF(AQ10&lt;=1200000/$BT$5,AQ10*$BU$5,IF(AQ10&gt;1200000/$BT$5,1200000/$BT$5*$BU$5)))),2)</f>
        <v>5.9</v>
      </c>
      <c r="AT10" s="170">
        <f t="shared" ref="AT10:AT11" si="20">AQ10-AS10</f>
        <v>403.1</v>
      </c>
      <c r="AU10" s="159">
        <f t="shared" si="8"/>
        <v>1635376.7000000002</v>
      </c>
      <c r="AV10" s="159">
        <v>0</v>
      </c>
      <c r="AW10" s="159">
        <v>0</v>
      </c>
      <c r="AX10" s="159">
        <f t="shared" ref="AX10:AX23" si="21">(AV10+AW10)*150000</f>
        <v>0</v>
      </c>
      <c r="AY10" s="159">
        <f t="shared" si="9"/>
        <v>1635376.7000000002</v>
      </c>
      <c r="AZ10" s="173" t="str">
        <f>IF(AY10&lt;=1500000,"0%",IF(AY10&lt;=2000000,"5%",IF(AY10&lt;=8500000,"10%",IF(AY10&lt;=12500000,"15%",IF(AY10&lt;=12500001,"20%")))))</f>
        <v>5%</v>
      </c>
      <c r="BA10" s="174"/>
      <c r="BB10" s="175"/>
      <c r="BC10" s="176">
        <f t="shared" ref="BC10:BC11" si="22">AQ10-(AS10+BB10+AR10)</f>
        <v>303.10000000000002</v>
      </c>
      <c r="BD10" s="155">
        <f t="shared" ref="BD10:BD11" si="23">ROUND(SUM(BC10),0)</f>
        <v>303</v>
      </c>
      <c r="BE10" s="155">
        <f t="shared" si="10"/>
        <v>303</v>
      </c>
      <c r="BF10" s="177"/>
      <c r="BG10" s="158">
        <f t="shared" si="11"/>
        <v>3</v>
      </c>
      <c r="BH10" s="158">
        <f t="shared" si="12"/>
        <v>0</v>
      </c>
      <c r="BI10" s="158">
        <f t="shared" si="13"/>
        <v>0</v>
      </c>
      <c r="BJ10" s="158">
        <f t="shared" si="14"/>
        <v>0</v>
      </c>
      <c r="BK10" s="158">
        <f t="shared" si="15"/>
        <v>0</v>
      </c>
      <c r="BL10" s="158">
        <f t="shared" si="16"/>
        <v>3</v>
      </c>
      <c r="BM10" s="158">
        <f t="shared" si="17"/>
        <v>303</v>
      </c>
      <c r="BN10" s="178"/>
      <c r="BO10" s="179"/>
      <c r="BP10" s="237"/>
      <c r="BQ10" s="234"/>
      <c r="BR10" s="235"/>
    </row>
    <row r="11" spans="1:73" s="182" customFormat="1" ht="47.25" customHeight="1">
      <c r="A11" s="158">
        <v>3</v>
      </c>
      <c r="B11" s="151" t="s">
        <v>328</v>
      </c>
      <c r="C11" s="152" t="s">
        <v>97</v>
      </c>
      <c r="D11" s="152" t="s">
        <v>205</v>
      </c>
      <c r="E11" s="153">
        <v>23473</v>
      </c>
      <c r="F11" s="153" t="s">
        <v>472</v>
      </c>
      <c r="G11" s="236" t="s">
        <v>276</v>
      </c>
      <c r="H11" s="154" t="s">
        <v>13</v>
      </c>
      <c r="I11" s="150" t="s">
        <v>14</v>
      </c>
      <c r="J11" s="155">
        <v>204</v>
      </c>
      <c r="K11" s="156">
        <v>42002</v>
      </c>
      <c r="L11" s="157">
        <v>26</v>
      </c>
      <c r="M11" s="158">
        <f>考勤!F9</f>
        <v>24</v>
      </c>
      <c r="N11" s="158">
        <f>考勤!T9</f>
        <v>1</v>
      </c>
      <c r="O11" s="158">
        <f>考勤!Q9</f>
        <v>1</v>
      </c>
      <c r="P11" s="159">
        <f>考勤!K9</f>
        <v>0</v>
      </c>
      <c r="Q11" s="159">
        <f>考勤!L9</f>
        <v>0</v>
      </c>
      <c r="R11" s="158">
        <f t="shared" si="18"/>
        <v>200</v>
      </c>
      <c r="S11" s="225">
        <f t="shared" si="0"/>
        <v>7.8461538461538458</v>
      </c>
      <c r="T11" s="225"/>
      <c r="U11" s="175">
        <f t="shared" ref="U11" si="24">S11*(M11+N11+O11)</f>
        <v>204</v>
      </c>
      <c r="V11" s="158">
        <f>考勤!N9</f>
        <v>0</v>
      </c>
      <c r="W11" s="158">
        <f t="shared" si="19"/>
        <v>0</v>
      </c>
      <c r="X11" s="226">
        <f t="shared" si="1"/>
        <v>0</v>
      </c>
      <c r="Y11" s="175">
        <f t="shared" si="2"/>
        <v>0</v>
      </c>
      <c r="Z11" s="158">
        <f>考勤!O9</f>
        <v>0</v>
      </c>
      <c r="AA11" s="226">
        <f t="shared" si="3"/>
        <v>0</v>
      </c>
      <c r="AB11" s="159">
        <f>考勤!P9</f>
        <v>0</v>
      </c>
      <c r="AC11" s="226">
        <f t="shared" si="4"/>
        <v>0</v>
      </c>
      <c r="AD11" s="159">
        <f>考勤!W9</f>
        <v>0</v>
      </c>
      <c r="AE11" s="175">
        <f>考勤!X9</f>
        <v>0</v>
      </c>
      <c r="AF11" s="175">
        <f>考勤!Y9</f>
        <v>0</v>
      </c>
      <c r="AG11" s="175">
        <f>考勤!Z9</f>
        <v>0</v>
      </c>
      <c r="AH11" s="175">
        <v>0</v>
      </c>
      <c r="AI11" s="227"/>
      <c r="AJ11" s="228">
        <f t="shared" si="5"/>
        <v>20</v>
      </c>
      <c r="AK11" s="229">
        <v>10</v>
      </c>
      <c r="AL11" s="230" t="s">
        <v>200</v>
      </c>
      <c r="AM11" s="172"/>
      <c r="AN11" s="166"/>
      <c r="AO11" s="171">
        <v>10</v>
      </c>
      <c r="AP11" s="231">
        <f t="shared" si="6"/>
        <v>10</v>
      </c>
      <c r="AQ11" s="170">
        <f t="shared" si="7"/>
        <v>254</v>
      </c>
      <c r="AR11" s="171">
        <v>100</v>
      </c>
      <c r="AS11" s="172">
        <f>ROUND(IF(YEARFRAC(E11,$BS$5)&gt;=60,"0",IF(AQ11&lt;=400000/$BT$5,400000/$BT$5*$BU$5,IF(AQ11&lt;=1200000/$BT$5,AQ11*$BU$5,IF(AQ11&gt;1200000/$BT$5,1200000/$BT$5*$BU$5)))),2)</f>
        <v>0</v>
      </c>
      <c r="AT11" s="170">
        <f t="shared" si="20"/>
        <v>254</v>
      </c>
      <c r="AU11" s="159">
        <f t="shared" si="8"/>
        <v>1030478</v>
      </c>
      <c r="AV11" s="159">
        <v>0</v>
      </c>
      <c r="AW11" s="159">
        <v>0</v>
      </c>
      <c r="AX11" s="159">
        <f t="shared" si="21"/>
        <v>0</v>
      </c>
      <c r="AY11" s="159">
        <f>AU11-AX11</f>
        <v>1030478</v>
      </c>
      <c r="AZ11" s="173" t="str">
        <f t="shared" ref="AZ11" si="25">IF(AY11&lt;=1500000,"0%",IF(AY11&lt;=2000000,"5%",IF(AY11&lt;=8500000,"10%",IF(AY11&lt;=12500000,"15%",IF(AY11&lt;=12500001,"20%")))))</f>
        <v>0%</v>
      </c>
      <c r="BA11" s="232">
        <f t="shared" ref="BA11" si="26">IF(AY11&lt;=1500000,0,IF(AND(AY11&gt;1500001,AY11&lt;=2000000),((AY11*0.05)-75000),IF(AND(AY11&gt;2000001,AY11&lt;=8500000),((AY11*0.1)-175000),IF(AND(AY11&gt;=8500001,AY11&lt;=12500000),((AY11*0.15)-600000),IF(AY11&gt;=12500001,(AY11*0.2-1225000))))))</f>
        <v>0</v>
      </c>
      <c r="BB11" s="175">
        <f t="shared" ref="BB11" si="27">BA11/$AU$6</f>
        <v>0</v>
      </c>
      <c r="BC11" s="176">
        <f t="shared" si="22"/>
        <v>154</v>
      </c>
      <c r="BD11" s="155">
        <f t="shared" si="23"/>
        <v>154</v>
      </c>
      <c r="BE11" s="155">
        <f t="shared" si="10"/>
        <v>154</v>
      </c>
      <c r="BF11" s="177"/>
      <c r="BG11" s="158">
        <f t="shared" si="11"/>
        <v>1</v>
      </c>
      <c r="BH11" s="158">
        <f t="shared" si="12"/>
        <v>1</v>
      </c>
      <c r="BI11" s="158">
        <f t="shared" si="13"/>
        <v>0</v>
      </c>
      <c r="BJ11" s="158">
        <f t="shared" si="14"/>
        <v>0</v>
      </c>
      <c r="BK11" s="158">
        <f t="shared" si="15"/>
        <v>0</v>
      </c>
      <c r="BL11" s="158">
        <f t="shared" si="16"/>
        <v>4</v>
      </c>
      <c r="BM11" s="158">
        <f t="shared" si="17"/>
        <v>154</v>
      </c>
      <c r="BN11" s="178"/>
      <c r="BO11" s="179"/>
      <c r="BP11" s="238"/>
      <c r="BQ11" s="238"/>
      <c r="BR11" s="238"/>
      <c r="BS11" s="238"/>
      <c r="BT11" s="238"/>
    </row>
    <row r="12" spans="1:73" s="182" customFormat="1" ht="47.25" customHeight="1">
      <c r="A12" s="158">
        <v>4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40"/>
      <c r="V12" s="239"/>
      <c r="W12" s="239"/>
      <c r="X12" s="241"/>
      <c r="Y12" s="239"/>
      <c r="Z12" s="239"/>
      <c r="AA12" s="239"/>
      <c r="AB12" s="242"/>
      <c r="AC12" s="239"/>
      <c r="AD12" s="239"/>
      <c r="AE12" s="239"/>
      <c r="AF12" s="239"/>
      <c r="AG12" s="239"/>
      <c r="AH12" s="239"/>
      <c r="AI12" s="243"/>
      <c r="AJ12" s="239"/>
      <c r="AK12" s="239"/>
      <c r="AL12" s="244"/>
      <c r="AM12" s="172"/>
      <c r="AN12" s="239"/>
      <c r="AO12" s="239"/>
      <c r="AP12" s="231"/>
      <c r="AQ12" s="138">
        <f t="shared" ref="AQ12:BM12" si="28">SUM(AQ9:AQ11)</f>
        <v>1149</v>
      </c>
      <c r="AR12" s="138">
        <f t="shared" si="28"/>
        <v>300</v>
      </c>
      <c r="AS12" s="138">
        <f t="shared" si="28"/>
        <v>11.8</v>
      </c>
      <c r="AT12" s="138">
        <f t="shared" si="28"/>
        <v>1137.2</v>
      </c>
      <c r="AU12" s="138">
        <f t="shared" si="28"/>
        <v>4613620.4000000004</v>
      </c>
      <c r="AV12" s="138">
        <f t="shared" si="28"/>
        <v>0</v>
      </c>
      <c r="AW12" s="138">
        <f t="shared" si="28"/>
        <v>0</v>
      </c>
      <c r="AX12" s="138">
        <f t="shared" si="28"/>
        <v>0</v>
      </c>
      <c r="AY12" s="138">
        <f t="shared" si="28"/>
        <v>4613620.4000000004</v>
      </c>
      <c r="AZ12" s="138">
        <f t="shared" si="28"/>
        <v>0</v>
      </c>
      <c r="BA12" s="138">
        <f t="shared" si="28"/>
        <v>0</v>
      </c>
      <c r="BB12" s="138">
        <f t="shared" si="28"/>
        <v>0</v>
      </c>
      <c r="BC12" s="138">
        <f t="shared" si="28"/>
        <v>837.2</v>
      </c>
      <c r="BD12" s="138">
        <f t="shared" si="28"/>
        <v>837</v>
      </c>
      <c r="BE12" s="138">
        <f t="shared" si="28"/>
        <v>837</v>
      </c>
      <c r="BF12" s="138">
        <f t="shared" si="28"/>
        <v>0</v>
      </c>
      <c r="BG12" s="138">
        <f t="shared" si="28"/>
        <v>7</v>
      </c>
      <c r="BH12" s="138">
        <f t="shared" si="28"/>
        <v>2</v>
      </c>
      <c r="BI12" s="138">
        <f t="shared" si="28"/>
        <v>1</v>
      </c>
      <c r="BJ12" s="138">
        <f t="shared" si="28"/>
        <v>1</v>
      </c>
      <c r="BK12" s="138">
        <f t="shared" si="28"/>
        <v>0</v>
      </c>
      <c r="BL12" s="138">
        <f t="shared" si="28"/>
        <v>7</v>
      </c>
      <c r="BM12" s="138">
        <f t="shared" si="28"/>
        <v>837</v>
      </c>
      <c r="BN12" s="178"/>
      <c r="BO12" s="179"/>
      <c r="BP12" s="245"/>
      <c r="BQ12" s="245"/>
      <c r="BR12" s="245"/>
      <c r="BS12" s="245"/>
      <c r="BT12" s="245"/>
    </row>
    <row r="13" spans="1:73" s="252" customFormat="1" ht="47.25" customHeight="1">
      <c r="A13" s="158">
        <v>5</v>
      </c>
      <c r="B13" s="246" t="s">
        <v>330</v>
      </c>
      <c r="C13" s="247" t="s">
        <v>98</v>
      </c>
      <c r="D13" s="247">
        <v>130104870</v>
      </c>
      <c r="E13" s="248">
        <v>34521</v>
      </c>
      <c r="F13" s="249" t="s">
        <v>472</v>
      </c>
      <c r="G13" s="154" t="s">
        <v>22</v>
      </c>
      <c r="H13" s="250" t="s">
        <v>4</v>
      </c>
      <c r="I13" s="150" t="s">
        <v>14</v>
      </c>
      <c r="J13" s="251">
        <v>204</v>
      </c>
      <c r="K13" s="156">
        <v>41897</v>
      </c>
      <c r="L13" s="157">
        <v>26</v>
      </c>
      <c r="M13" s="150">
        <f>考勤!F11</f>
        <v>24</v>
      </c>
      <c r="N13" s="150">
        <f>考勤!T11</f>
        <v>1</v>
      </c>
      <c r="O13" s="150">
        <f>考勤!Q11</f>
        <v>1</v>
      </c>
      <c r="P13" s="163">
        <f>考勤!K11</f>
        <v>0</v>
      </c>
      <c r="Q13" s="163">
        <f>考勤!L11</f>
        <v>0</v>
      </c>
      <c r="R13" s="150">
        <f>(M13+O13)*8</f>
        <v>200</v>
      </c>
      <c r="S13" s="160">
        <f t="shared" ref="S13:S26" si="29">J13/L13</f>
        <v>7.8461538461538458</v>
      </c>
      <c r="T13" s="160"/>
      <c r="U13" s="161">
        <f>S13*(M13+N13+O13)</f>
        <v>204</v>
      </c>
      <c r="V13" s="150">
        <f>考勤!N11</f>
        <v>30</v>
      </c>
      <c r="W13" s="150">
        <f>V13/2</f>
        <v>15</v>
      </c>
      <c r="X13" s="162">
        <f t="shared" ref="X13:X26" si="30">J13/L13/8*V13*1.5</f>
        <v>44.134615384615387</v>
      </c>
      <c r="Y13" s="161">
        <f t="shared" ref="Y13:Y26" si="31">13/L13*W13</f>
        <v>7.5</v>
      </c>
      <c r="Z13" s="150">
        <f>考勤!O11</f>
        <v>0</v>
      </c>
      <c r="AA13" s="162">
        <f t="shared" ref="AA13:AA26" si="32">(J13/L13*Z13)*0.5</f>
        <v>0</v>
      </c>
      <c r="AB13" s="150">
        <f>考勤!P11</f>
        <v>0</v>
      </c>
      <c r="AC13" s="162">
        <f t="shared" ref="AC13:AC26" si="33">(J13/L13*AB13)*0.8</f>
        <v>0</v>
      </c>
      <c r="AD13" s="163">
        <f>考勤!W11</f>
        <v>0</v>
      </c>
      <c r="AE13" s="161">
        <f>考勤!X11</f>
        <v>0</v>
      </c>
      <c r="AF13" s="161">
        <f>考勤!Y11</f>
        <v>0</v>
      </c>
      <c r="AG13" s="161">
        <f>考勤!Z11</f>
        <v>0</v>
      </c>
      <c r="AH13" s="161">
        <v>0</v>
      </c>
      <c r="AI13" s="164"/>
      <c r="AJ13" s="165">
        <f t="shared" ref="AJ13:AJ26" si="34">IF(M13+Q13+Z13+N13+O13+AB13&lt;=25.5,0,20)</f>
        <v>20</v>
      </c>
      <c r="AK13" s="166">
        <v>10</v>
      </c>
      <c r="AL13" s="167"/>
      <c r="AM13" s="172"/>
      <c r="AN13" s="160"/>
      <c r="AO13" s="169">
        <v>10</v>
      </c>
      <c r="AP13" s="231">
        <f t="shared" ref="AP13:AP26" si="35">10/26*(M13+N13+O13)</f>
        <v>10</v>
      </c>
      <c r="AQ13" s="170">
        <f t="shared" ref="AQ13:AQ26" si="36">ROUND(SUM(U13,X13,Y13,AA13,AE13,AF13,AJ13,AK13,AL13,AN13,AO13,AP13,AG13,AI13,AH13,AC13,AM13),2)</f>
        <v>305.63</v>
      </c>
      <c r="AR13" s="171">
        <v>100</v>
      </c>
      <c r="AS13" s="172">
        <f t="shared" ref="AS13:AS26" si="37">ROUND(IF(YEARFRAC(E13,$BS$5)&gt;=60,"0",IF(AQ13&lt;=400000/$BT$5,400000/$BT$5*$BU$5,IF(AQ13&lt;=1200000/$BT$5,AQ13*$BU$5,IF(AQ13&gt;1200000/$BT$5,1200000/$BT$5*$BU$5)))),2)</f>
        <v>5.9</v>
      </c>
      <c r="AT13" s="170">
        <f>AQ13-AS13</f>
        <v>299.73</v>
      </c>
      <c r="AU13" s="159">
        <f t="shared" ref="AU13:AU26" si="38">AT13*$AU$6</f>
        <v>1216004.6100000001</v>
      </c>
      <c r="AV13" s="159">
        <v>0</v>
      </c>
      <c r="AW13" s="159">
        <v>0</v>
      </c>
      <c r="AX13" s="159">
        <f t="shared" si="21"/>
        <v>0</v>
      </c>
      <c r="AY13" s="159">
        <f>AU13-AX13</f>
        <v>1216004.6100000001</v>
      </c>
      <c r="AZ13" s="173" t="str">
        <f>IF(AY13&lt;=1500000,"0%",IF(AY13&lt;=2000000,"5%",IF(AY13&lt;=8500000,"10%",IF(AY13&lt;=12500000,"15%",IF(AY13&lt;=12500001,"20%")))))</f>
        <v>0%</v>
      </c>
      <c r="BA13" s="232">
        <f>IF(AY13&lt;=1500000,0,IF(AND(AY13&gt;1500001,AY13&lt;=2000000),((AY13*0.05)-75000),IF(AND(AY13&gt;2000001,AY13&lt;=8500000),((AY13*0.1)-175000),IF(AND(AY13&gt;=8500001,AY13&lt;=12500000),((AY13*0.15)-600000),IF(AY13&gt;=12500001,(AY13*0.2-1225000))))))</f>
        <v>0</v>
      </c>
      <c r="BB13" s="175">
        <f>BA13/$AU$6</f>
        <v>0</v>
      </c>
      <c r="BC13" s="176">
        <f>AQ13-(AS13+BB13+AR13)</f>
        <v>199.73</v>
      </c>
      <c r="BD13" s="155">
        <f t="shared" ref="BD13:BD26" si="39">ROUND(SUM(BC13),0)</f>
        <v>200</v>
      </c>
      <c r="BE13" s="155">
        <f t="shared" ref="BE13:BE26" si="40">INT(BD13)</f>
        <v>200</v>
      </c>
      <c r="BF13" s="155"/>
      <c r="BG13" s="158">
        <f t="shared" ref="BG13:BG26" si="41">INT(BE13/100)</f>
        <v>2</v>
      </c>
      <c r="BH13" s="158">
        <f t="shared" ref="BH13:BH26" si="42">INT(MOD(BE13,100)/50)</f>
        <v>0</v>
      </c>
      <c r="BI13" s="158">
        <f t="shared" ref="BI13:BI26" si="43">INT(MOD(MOD(BE13,100),50)/20)</f>
        <v>0</v>
      </c>
      <c r="BJ13" s="158">
        <f t="shared" ref="BJ13:BJ26" si="44">INT(MOD(MOD(MOD(BE13,100),50),20)/10)</f>
        <v>0</v>
      </c>
      <c r="BK13" s="158">
        <f t="shared" ref="BK13:BK26" si="45">INT(MOD(MOD(MOD(MOD(BE13,100),50),20),10)/5)</f>
        <v>0</v>
      </c>
      <c r="BL13" s="158">
        <f t="shared" ref="BL13:BL26" si="46">INT(MOD(MOD(MOD(MOD(MOD(BE13,100),50),20),10),5)/1)</f>
        <v>0</v>
      </c>
      <c r="BM13" s="158">
        <f t="shared" ref="BM13:BM26" si="47">BG13*100+BH13*50+BI13*20+BJ13*10+BK13*5+BL13</f>
        <v>200</v>
      </c>
      <c r="BN13" s="178"/>
      <c r="BO13" s="179"/>
      <c r="BP13" s="245"/>
      <c r="BQ13" s="245"/>
      <c r="BR13" s="245"/>
      <c r="BS13" s="245"/>
      <c r="BT13" s="245"/>
    </row>
    <row r="14" spans="1:73" s="252" customFormat="1" ht="47.25" customHeight="1">
      <c r="A14" s="158">
        <v>6</v>
      </c>
      <c r="B14" s="246" t="s">
        <v>331</v>
      </c>
      <c r="C14" s="152" t="s">
        <v>99</v>
      </c>
      <c r="D14" s="152">
        <v>130122828</v>
      </c>
      <c r="E14" s="153">
        <v>28587</v>
      </c>
      <c r="F14" s="153" t="s">
        <v>472</v>
      </c>
      <c r="G14" s="154" t="s">
        <v>22</v>
      </c>
      <c r="H14" s="250" t="s">
        <v>4</v>
      </c>
      <c r="I14" s="150" t="s">
        <v>14</v>
      </c>
      <c r="J14" s="155">
        <v>204</v>
      </c>
      <c r="K14" s="156">
        <v>42021</v>
      </c>
      <c r="L14" s="157">
        <v>26</v>
      </c>
      <c r="M14" s="158">
        <f>考勤!F12</f>
        <v>23</v>
      </c>
      <c r="N14" s="158">
        <f>考勤!T12</f>
        <v>1</v>
      </c>
      <c r="O14" s="158">
        <f>考勤!Q12</f>
        <v>2</v>
      </c>
      <c r="P14" s="159">
        <f>考勤!K12</f>
        <v>0</v>
      </c>
      <c r="Q14" s="159">
        <f>考勤!L12</f>
        <v>0</v>
      </c>
      <c r="R14" s="158">
        <f t="shared" ref="R14:R26" si="48">(M14+O14)*8</f>
        <v>200</v>
      </c>
      <c r="S14" s="160">
        <f t="shared" si="29"/>
        <v>7.8461538461538458</v>
      </c>
      <c r="T14" s="225"/>
      <c r="U14" s="175">
        <f t="shared" ref="U14:U26" si="49">S14*(M14+N14+O14)</f>
        <v>204</v>
      </c>
      <c r="V14" s="158">
        <f>考勤!N12</f>
        <v>28</v>
      </c>
      <c r="W14" s="158">
        <f t="shared" ref="W14:W23" si="50">V14/2</f>
        <v>14</v>
      </c>
      <c r="X14" s="226">
        <f t="shared" si="30"/>
        <v>41.192307692307693</v>
      </c>
      <c r="Y14" s="175">
        <f t="shared" si="31"/>
        <v>7</v>
      </c>
      <c r="Z14" s="158">
        <f>考勤!O12</f>
        <v>0</v>
      </c>
      <c r="AA14" s="226">
        <f t="shared" si="32"/>
        <v>0</v>
      </c>
      <c r="AB14" s="158">
        <f>考勤!P12</f>
        <v>0</v>
      </c>
      <c r="AC14" s="226">
        <f t="shared" si="33"/>
        <v>0</v>
      </c>
      <c r="AD14" s="159">
        <f>考勤!W12</f>
        <v>0</v>
      </c>
      <c r="AE14" s="175">
        <f>考勤!X12</f>
        <v>0</v>
      </c>
      <c r="AF14" s="175">
        <f>考勤!Y12</f>
        <v>0</v>
      </c>
      <c r="AG14" s="175">
        <f>考勤!Z12</f>
        <v>0</v>
      </c>
      <c r="AH14" s="175">
        <v>0</v>
      </c>
      <c r="AI14" s="227"/>
      <c r="AJ14" s="228">
        <f t="shared" si="34"/>
        <v>20</v>
      </c>
      <c r="AK14" s="229">
        <v>10</v>
      </c>
      <c r="AL14" s="230"/>
      <c r="AM14" s="172"/>
      <c r="AN14" s="160"/>
      <c r="AO14" s="171">
        <v>10</v>
      </c>
      <c r="AP14" s="231">
        <f t="shared" si="35"/>
        <v>10</v>
      </c>
      <c r="AQ14" s="170">
        <f t="shared" si="36"/>
        <v>302.19</v>
      </c>
      <c r="AR14" s="171">
        <v>100</v>
      </c>
      <c r="AS14" s="172">
        <f t="shared" si="37"/>
        <v>5.9</v>
      </c>
      <c r="AT14" s="170">
        <f t="shared" ref="AT14:AT24" si="51">AQ14-AS14</f>
        <v>296.29000000000002</v>
      </c>
      <c r="AU14" s="159">
        <f t="shared" si="38"/>
        <v>1202048.53</v>
      </c>
      <c r="AV14" s="159">
        <v>0</v>
      </c>
      <c r="AW14" s="159">
        <v>1</v>
      </c>
      <c r="AX14" s="159">
        <f t="shared" si="21"/>
        <v>150000</v>
      </c>
      <c r="AY14" s="159">
        <f t="shared" ref="AY14:AY23" si="52">AU14-AX14</f>
        <v>1052048.53</v>
      </c>
      <c r="AZ14" s="173" t="str">
        <f t="shared" ref="AZ14:AZ23" si="53">IF(AY14&lt;=1500000,"0%",IF(AY14&lt;=2000000,"5%",IF(AY14&lt;=8500000,"10%",IF(AY14&lt;=12500000,"15%",IF(AY14&lt;=12500001,"20%")))))</f>
        <v>0%</v>
      </c>
      <c r="BA14" s="232">
        <f t="shared" ref="BA14:BA23" si="54">IF(AY14&lt;=1500000,0,IF(AND(AY14&gt;1500001,AY14&lt;=2000000),((AY14*0.05)-75000),IF(AND(AY14&gt;2000001,AY14&lt;=8500000),((AY14*0.1)-175000),IF(AND(AY14&gt;=8500001,AY14&lt;=12500000),((AY14*0.15)-600000),IF(AY14&gt;=12500001,(AY14*0.2-1225000))))))</f>
        <v>0</v>
      </c>
      <c r="BB14" s="175">
        <f t="shared" ref="BB14:BB23" si="55">BA14/$AU$6</f>
        <v>0</v>
      </c>
      <c r="BC14" s="176">
        <f t="shared" ref="BC14:BC26" si="56">AQ14-(AS14+BB14+AR14)</f>
        <v>196.29</v>
      </c>
      <c r="BD14" s="155">
        <f t="shared" si="39"/>
        <v>196</v>
      </c>
      <c r="BE14" s="155">
        <f t="shared" si="40"/>
        <v>196</v>
      </c>
      <c r="BF14" s="155"/>
      <c r="BG14" s="158">
        <f t="shared" si="41"/>
        <v>1</v>
      </c>
      <c r="BH14" s="158">
        <f t="shared" si="42"/>
        <v>1</v>
      </c>
      <c r="BI14" s="158">
        <f t="shared" si="43"/>
        <v>2</v>
      </c>
      <c r="BJ14" s="158">
        <f t="shared" si="44"/>
        <v>0</v>
      </c>
      <c r="BK14" s="158">
        <f t="shared" si="45"/>
        <v>1</v>
      </c>
      <c r="BL14" s="158">
        <f t="shared" si="46"/>
        <v>1</v>
      </c>
      <c r="BM14" s="158">
        <f t="shared" si="47"/>
        <v>196</v>
      </c>
      <c r="BN14" s="178"/>
      <c r="BO14" s="179"/>
      <c r="BP14" s="253"/>
      <c r="BQ14" s="253"/>
      <c r="BR14" s="254"/>
      <c r="BS14" s="253"/>
      <c r="BT14" s="245"/>
    </row>
    <row r="15" spans="1:73" s="258" customFormat="1" ht="45.75" customHeight="1">
      <c r="A15" s="158">
        <v>7</v>
      </c>
      <c r="B15" s="163" t="s">
        <v>332</v>
      </c>
      <c r="C15" s="152" t="s">
        <v>100</v>
      </c>
      <c r="D15" s="152">
        <v>130154099</v>
      </c>
      <c r="E15" s="255">
        <v>36111</v>
      </c>
      <c r="F15" s="255" t="s">
        <v>472</v>
      </c>
      <c r="G15" s="154" t="s">
        <v>22</v>
      </c>
      <c r="H15" s="250" t="s">
        <v>4</v>
      </c>
      <c r="I15" s="150" t="s">
        <v>14</v>
      </c>
      <c r="J15" s="155">
        <v>204</v>
      </c>
      <c r="K15" s="223">
        <v>43132</v>
      </c>
      <c r="L15" s="157">
        <v>26</v>
      </c>
      <c r="M15" s="158">
        <f>考勤!F13</f>
        <v>24</v>
      </c>
      <c r="N15" s="158">
        <f>考勤!T13</f>
        <v>1</v>
      </c>
      <c r="O15" s="158">
        <f>考勤!Q13</f>
        <v>1</v>
      </c>
      <c r="P15" s="159">
        <f>考勤!K13</f>
        <v>0</v>
      </c>
      <c r="Q15" s="159">
        <f>考勤!L13</f>
        <v>0</v>
      </c>
      <c r="R15" s="158">
        <f t="shared" si="48"/>
        <v>200</v>
      </c>
      <c r="S15" s="225">
        <f t="shared" si="29"/>
        <v>7.8461538461538458</v>
      </c>
      <c r="T15" s="225"/>
      <c r="U15" s="175">
        <f t="shared" si="49"/>
        <v>204</v>
      </c>
      <c r="V15" s="158">
        <f>考勤!N13</f>
        <v>30</v>
      </c>
      <c r="W15" s="158">
        <f t="shared" si="50"/>
        <v>15</v>
      </c>
      <c r="X15" s="226">
        <f t="shared" si="30"/>
        <v>44.134615384615387</v>
      </c>
      <c r="Y15" s="175">
        <f t="shared" si="31"/>
        <v>7.5</v>
      </c>
      <c r="Z15" s="158">
        <f>考勤!O13</f>
        <v>0</v>
      </c>
      <c r="AA15" s="226">
        <f t="shared" si="32"/>
        <v>0</v>
      </c>
      <c r="AB15" s="158">
        <f>考勤!P13</f>
        <v>0</v>
      </c>
      <c r="AC15" s="226">
        <f t="shared" si="33"/>
        <v>0</v>
      </c>
      <c r="AD15" s="159">
        <f>考勤!W13</f>
        <v>0</v>
      </c>
      <c r="AE15" s="175">
        <f>考勤!X13</f>
        <v>0</v>
      </c>
      <c r="AF15" s="175">
        <f>考勤!Y13</f>
        <v>0</v>
      </c>
      <c r="AG15" s="175">
        <f>考勤!Z13</f>
        <v>0</v>
      </c>
      <c r="AH15" s="175">
        <v>0</v>
      </c>
      <c r="AI15" s="227"/>
      <c r="AJ15" s="228">
        <f t="shared" si="34"/>
        <v>20</v>
      </c>
      <c r="AK15" s="229">
        <v>7</v>
      </c>
      <c r="AL15" s="230"/>
      <c r="AM15" s="172"/>
      <c r="AN15" s="160"/>
      <c r="AO15" s="171">
        <v>10</v>
      </c>
      <c r="AP15" s="231">
        <f t="shared" si="35"/>
        <v>10</v>
      </c>
      <c r="AQ15" s="170">
        <f t="shared" si="36"/>
        <v>302.63</v>
      </c>
      <c r="AR15" s="171">
        <v>100</v>
      </c>
      <c r="AS15" s="172">
        <f t="shared" si="37"/>
        <v>5.9</v>
      </c>
      <c r="AT15" s="170">
        <f t="shared" si="51"/>
        <v>296.73</v>
      </c>
      <c r="AU15" s="159">
        <f t="shared" si="38"/>
        <v>1203833.6100000001</v>
      </c>
      <c r="AV15" s="159">
        <v>0</v>
      </c>
      <c r="AW15" s="159">
        <v>0</v>
      </c>
      <c r="AX15" s="159">
        <f t="shared" si="21"/>
        <v>0</v>
      </c>
      <c r="AY15" s="159">
        <f t="shared" si="52"/>
        <v>1203833.6100000001</v>
      </c>
      <c r="AZ15" s="173" t="str">
        <f t="shared" si="53"/>
        <v>0%</v>
      </c>
      <c r="BA15" s="232">
        <f t="shared" si="54"/>
        <v>0</v>
      </c>
      <c r="BB15" s="175">
        <f t="shared" si="55"/>
        <v>0</v>
      </c>
      <c r="BC15" s="176">
        <f t="shared" si="56"/>
        <v>196.73</v>
      </c>
      <c r="BD15" s="155">
        <f t="shared" si="39"/>
        <v>197</v>
      </c>
      <c r="BE15" s="155">
        <f t="shared" si="40"/>
        <v>197</v>
      </c>
      <c r="BF15" s="155"/>
      <c r="BG15" s="158">
        <f t="shared" si="41"/>
        <v>1</v>
      </c>
      <c r="BH15" s="158">
        <f t="shared" si="42"/>
        <v>1</v>
      </c>
      <c r="BI15" s="158">
        <f t="shared" si="43"/>
        <v>2</v>
      </c>
      <c r="BJ15" s="158">
        <f t="shared" si="44"/>
        <v>0</v>
      </c>
      <c r="BK15" s="158">
        <f t="shared" si="45"/>
        <v>1</v>
      </c>
      <c r="BL15" s="158">
        <f t="shared" si="46"/>
        <v>2</v>
      </c>
      <c r="BM15" s="158">
        <f t="shared" si="47"/>
        <v>197</v>
      </c>
      <c r="BN15" s="178"/>
      <c r="BO15" s="179"/>
      <c r="BP15" s="253"/>
      <c r="BQ15" s="253"/>
      <c r="BR15" s="254"/>
      <c r="BS15" s="256"/>
      <c r="BT15" s="257"/>
    </row>
    <row r="16" spans="1:73" s="262" customFormat="1" ht="47.25" customHeight="1">
      <c r="A16" s="158">
        <v>8</v>
      </c>
      <c r="B16" s="259" t="s">
        <v>333</v>
      </c>
      <c r="C16" s="152" t="s">
        <v>136</v>
      </c>
      <c r="D16" s="152">
        <v>130171768</v>
      </c>
      <c r="E16" s="255">
        <v>36016</v>
      </c>
      <c r="F16" s="255" t="s">
        <v>472</v>
      </c>
      <c r="G16" s="154" t="s">
        <v>22</v>
      </c>
      <c r="H16" s="250" t="s">
        <v>4</v>
      </c>
      <c r="I16" s="150" t="s">
        <v>14</v>
      </c>
      <c r="J16" s="155">
        <v>204</v>
      </c>
      <c r="K16" s="156">
        <v>42662</v>
      </c>
      <c r="L16" s="157">
        <v>26</v>
      </c>
      <c r="M16" s="158">
        <f>考勤!F14</f>
        <v>24</v>
      </c>
      <c r="N16" s="158">
        <f>考勤!T14</f>
        <v>1</v>
      </c>
      <c r="O16" s="158">
        <f>考勤!Q14</f>
        <v>1</v>
      </c>
      <c r="P16" s="159">
        <f>考勤!K14</f>
        <v>0</v>
      </c>
      <c r="Q16" s="159">
        <f>考勤!L14</f>
        <v>0</v>
      </c>
      <c r="R16" s="158">
        <f t="shared" si="48"/>
        <v>200</v>
      </c>
      <c r="S16" s="225">
        <f t="shared" si="29"/>
        <v>7.8461538461538458</v>
      </c>
      <c r="T16" s="225"/>
      <c r="U16" s="175">
        <f t="shared" si="49"/>
        <v>204</v>
      </c>
      <c r="V16" s="158">
        <f>考勤!N14</f>
        <v>30</v>
      </c>
      <c r="W16" s="158">
        <f t="shared" si="50"/>
        <v>15</v>
      </c>
      <c r="X16" s="226">
        <f t="shared" si="30"/>
        <v>44.134615384615387</v>
      </c>
      <c r="Y16" s="175">
        <f t="shared" si="31"/>
        <v>7.5</v>
      </c>
      <c r="Z16" s="158">
        <f>考勤!O14</f>
        <v>0</v>
      </c>
      <c r="AA16" s="226">
        <f t="shared" si="32"/>
        <v>0</v>
      </c>
      <c r="AB16" s="158">
        <f>考勤!P14</f>
        <v>0</v>
      </c>
      <c r="AC16" s="226">
        <f t="shared" si="33"/>
        <v>0</v>
      </c>
      <c r="AD16" s="159">
        <f>考勤!W14</f>
        <v>0</v>
      </c>
      <c r="AE16" s="175">
        <f>考勤!X14</f>
        <v>0</v>
      </c>
      <c r="AF16" s="175">
        <f>考勤!Y14</f>
        <v>0</v>
      </c>
      <c r="AG16" s="175">
        <f>考勤!Z14</f>
        <v>0</v>
      </c>
      <c r="AH16" s="175">
        <v>0</v>
      </c>
      <c r="AI16" s="227"/>
      <c r="AJ16" s="228">
        <f t="shared" si="34"/>
        <v>20</v>
      </c>
      <c r="AK16" s="229">
        <v>8</v>
      </c>
      <c r="AL16" s="230"/>
      <c r="AM16" s="172"/>
      <c r="AN16" s="160"/>
      <c r="AO16" s="171">
        <v>10</v>
      </c>
      <c r="AP16" s="231">
        <f t="shared" si="35"/>
        <v>10</v>
      </c>
      <c r="AQ16" s="170">
        <f t="shared" si="36"/>
        <v>303.63</v>
      </c>
      <c r="AR16" s="171">
        <v>100</v>
      </c>
      <c r="AS16" s="172">
        <f t="shared" si="37"/>
        <v>5.9</v>
      </c>
      <c r="AT16" s="170">
        <f t="shared" si="51"/>
        <v>297.73</v>
      </c>
      <c r="AU16" s="159">
        <f t="shared" si="38"/>
        <v>1207890.6100000001</v>
      </c>
      <c r="AV16" s="159">
        <v>0</v>
      </c>
      <c r="AW16" s="159">
        <v>1</v>
      </c>
      <c r="AX16" s="159">
        <f t="shared" si="21"/>
        <v>150000</v>
      </c>
      <c r="AY16" s="159">
        <f t="shared" si="52"/>
        <v>1057890.6100000001</v>
      </c>
      <c r="AZ16" s="173" t="str">
        <f t="shared" si="53"/>
        <v>0%</v>
      </c>
      <c r="BA16" s="174">
        <f t="shared" si="54"/>
        <v>0</v>
      </c>
      <c r="BB16" s="175">
        <f t="shared" si="55"/>
        <v>0</v>
      </c>
      <c r="BC16" s="176">
        <f t="shared" si="56"/>
        <v>197.73</v>
      </c>
      <c r="BD16" s="155">
        <f t="shared" si="39"/>
        <v>198</v>
      </c>
      <c r="BE16" s="155">
        <f t="shared" si="40"/>
        <v>198</v>
      </c>
      <c r="BF16" s="177"/>
      <c r="BG16" s="158">
        <f t="shared" si="41"/>
        <v>1</v>
      </c>
      <c r="BH16" s="158">
        <f t="shared" si="42"/>
        <v>1</v>
      </c>
      <c r="BI16" s="158">
        <f t="shared" si="43"/>
        <v>2</v>
      </c>
      <c r="BJ16" s="158">
        <f t="shared" si="44"/>
        <v>0</v>
      </c>
      <c r="BK16" s="158">
        <f t="shared" si="45"/>
        <v>1</v>
      </c>
      <c r="BL16" s="158">
        <f t="shared" si="46"/>
        <v>3</v>
      </c>
      <c r="BM16" s="158">
        <f t="shared" si="47"/>
        <v>198</v>
      </c>
      <c r="BN16" s="178"/>
      <c r="BO16" s="179"/>
      <c r="BP16" s="180"/>
      <c r="BQ16" s="180"/>
      <c r="BR16" s="181"/>
      <c r="BS16" s="260"/>
      <c r="BT16" s="261"/>
    </row>
    <row r="17" spans="1:72" s="262" customFormat="1" ht="47.25" customHeight="1">
      <c r="A17" s="158">
        <v>9</v>
      </c>
      <c r="B17" s="259" t="s">
        <v>334</v>
      </c>
      <c r="C17" s="152" t="s">
        <v>269</v>
      </c>
      <c r="D17" s="152">
        <v>110679884</v>
      </c>
      <c r="E17" s="255">
        <v>37258</v>
      </c>
      <c r="F17" s="255" t="s">
        <v>472</v>
      </c>
      <c r="G17" s="154" t="s">
        <v>22</v>
      </c>
      <c r="H17" s="250" t="s">
        <v>4</v>
      </c>
      <c r="I17" s="150" t="s">
        <v>155</v>
      </c>
      <c r="J17" s="155">
        <v>204</v>
      </c>
      <c r="K17" s="156">
        <v>44026</v>
      </c>
      <c r="L17" s="157">
        <v>26</v>
      </c>
      <c r="M17" s="158">
        <f>考勤!F15</f>
        <v>24</v>
      </c>
      <c r="N17" s="158">
        <f>考勤!T15</f>
        <v>1</v>
      </c>
      <c r="O17" s="158">
        <f>考勤!Q15</f>
        <v>1</v>
      </c>
      <c r="P17" s="159">
        <f>考勤!K15</f>
        <v>0</v>
      </c>
      <c r="Q17" s="159">
        <f>考勤!L15</f>
        <v>0</v>
      </c>
      <c r="R17" s="158">
        <f t="shared" si="48"/>
        <v>200</v>
      </c>
      <c r="S17" s="225">
        <f t="shared" si="29"/>
        <v>7.8461538461538458</v>
      </c>
      <c r="T17" s="225"/>
      <c r="U17" s="175">
        <f t="shared" si="49"/>
        <v>204</v>
      </c>
      <c r="V17" s="158">
        <f>考勤!N15</f>
        <v>32</v>
      </c>
      <c r="W17" s="158">
        <f t="shared" si="50"/>
        <v>16</v>
      </c>
      <c r="X17" s="226">
        <f t="shared" si="30"/>
        <v>47.076923076923073</v>
      </c>
      <c r="Y17" s="175">
        <f t="shared" si="31"/>
        <v>8</v>
      </c>
      <c r="Z17" s="158">
        <f>考勤!O15</f>
        <v>0</v>
      </c>
      <c r="AA17" s="226">
        <f t="shared" si="32"/>
        <v>0</v>
      </c>
      <c r="AB17" s="158">
        <f>考勤!P15</f>
        <v>0</v>
      </c>
      <c r="AC17" s="226">
        <f t="shared" si="33"/>
        <v>0</v>
      </c>
      <c r="AD17" s="159">
        <f>考勤!W15</f>
        <v>0</v>
      </c>
      <c r="AE17" s="175">
        <f>考勤!X15</f>
        <v>0</v>
      </c>
      <c r="AF17" s="175">
        <f>考勤!Y15</f>
        <v>0</v>
      </c>
      <c r="AG17" s="175">
        <f>考勤!Z15</f>
        <v>0</v>
      </c>
      <c r="AH17" s="175">
        <v>0</v>
      </c>
      <c r="AI17" s="227"/>
      <c r="AJ17" s="228">
        <f t="shared" si="34"/>
        <v>20</v>
      </c>
      <c r="AK17" s="229">
        <v>5</v>
      </c>
      <c r="AL17" s="230">
        <v>90</v>
      </c>
      <c r="AM17" s="172"/>
      <c r="AN17" s="160"/>
      <c r="AO17" s="171">
        <v>10</v>
      </c>
      <c r="AP17" s="231">
        <f t="shared" si="35"/>
        <v>10</v>
      </c>
      <c r="AQ17" s="170">
        <f t="shared" si="36"/>
        <v>394.08</v>
      </c>
      <c r="AR17" s="171">
        <v>100</v>
      </c>
      <c r="AS17" s="172">
        <f t="shared" si="37"/>
        <v>5.9</v>
      </c>
      <c r="AT17" s="170">
        <f t="shared" si="51"/>
        <v>388.18</v>
      </c>
      <c r="AU17" s="159">
        <f t="shared" si="38"/>
        <v>1574846.26</v>
      </c>
      <c r="AV17" s="159">
        <v>0</v>
      </c>
      <c r="AW17" s="159">
        <v>0</v>
      </c>
      <c r="AX17" s="159">
        <f t="shared" si="21"/>
        <v>0</v>
      </c>
      <c r="AY17" s="159">
        <f t="shared" si="52"/>
        <v>1574846.26</v>
      </c>
      <c r="AZ17" s="173" t="str">
        <f t="shared" si="53"/>
        <v>5%</v>
      </c>
      <c r="BA17" s="232">
        <f t="shared" si="54"/>
        <v>3742.3130000000092</v>
      </c>
      <c r="BB17" s="175">
        <f t="shared" si="55"/>
        <v>0.92243357160463624</v>
      </c>
      <c r="BC17" s="176">
        <f t="shared" si="56"/>
        <v>287.25756642839536</v>
      </c>
      <c r="BD17" s="155">
        <f t="shared" si="39"/>
        <v>287</v>
      </c>
      <c r="BE17" s="155">
        <f t="shared" si="40"/>
        <v>287</v>
      </c>
      <c r="BF17" s="177"/>
      <c r="BG17" s="158">
        <f t="shared" si="41"/>
        <v>2</v>
      </c>
      <c r="BH17" s="158">
        <f t="shared" si="42"/>
        <v>1</v>
      </c>
      <c r="BI17" s="158">
        <f t="shared" si="43"/>
        <v>1</v>
      </c>
      <c r="BJ17" s="158">
        <f t="shared" si="44"/>
        <v>1</v>
      </c>
      <c r="BK17" s="158">
        <f t="shared" si="45"/>
        <v>1</v>
      </c>
      <c r="BL17" s="158">
        <f t="shared" si="46"/>
        <v>2</v>
      </c>
      <c r="BM17" s="158">
        <f t="shared" si="47"/>
        <v>287</v>
      </c>
      <c r="BN17" s="178"/>
      <c r="BO17" s="179"/>
      <c r="BP17" s="257"/>
      <c r="BQ17" s="257"/>
      <c r="BR17" s="257"/>
      <c r="BS17" s="257"/>
      <c r="BT17" s="257"/>
    </row>
    <row r="18" spans="1:72" s="262" customFormat="1" ht="47.25" customHeight="1">
      <c r="A18" s="158">
        <v>10</v>
      </c>
      <c r="B18" s="259" t="s">
        <v>335</v>
      </c>
      <c r="C18" s="152" t="s">
        <v>271</v>
      </c>
      <c r="D18" s="152">
        <v>110644711</v>
      </c>
      <c r="E18" s="255">
        <v>37012</v>
      </c>
      <c r="F18" s="255" t="s">
        <v>472</v>
      </c>
      <c r="G18" s="154" t="s">
        <v>22</v>
      </c>
      <c r="H18" s="250" t="s">
        <v>4</v>
      </c>
      <c r="I18" s="150" t="s">
        <v>155</v>
      </c>
      <c r="J18" s="155">
        <v>204</v>
      </c>
      <c r="K18" s="156">
        <v>43817</v>
      </c>
      <c r="L18" s="157">
        <v>26</v>
      </c>
      <c r="M18" s="158">
        <f>考勤!F16</f>
        <v>23</v>
      </c>
      <c r="N18" s="158">
        <f>考勤!T16</f>
        <v>1</v>
      </c>
      <c r="O18" s="158">
        <f>考勤!Q16</f>
        <v>2</v>
      </c>
      <c r="P18" s="159">
        <f>考勤!K16</f>
        <v>0</v>
      </c>
      <c r="Q18" s="159">
        <f>考勤!L16</f>
        <v>0</v>
      </c>
      <c r="R18" s="158">
        <f t="shared" si="48"/>
        <v>200</v>
      </c>
      <c r="S18" s="225">
        <f t="shared" si="29"/>
        <v>7.8461538461538458</v>
      </c>
      <c r="T18" s="225"/>
      <c r="U18" s="175">
        <f t="shared" si="49"/>
        <v>204</v>
      </c>
      <c r="V18" s="158">
        <f>考勤!N16</f>
        <v>28</v>
      </c>
      <c r="W18" s="158">
        <f t="shared" si="50"/>
        <v>14</v>
      </c>
      <c r="X18" s="226">
        <f t="shared" si="30"/>
        <v>41.192307692307693</v>
      </c>
      <c r="Y18" s="175">
        <f t="shared" si="31"/>
        <v>7</v>
      </c>
      <c r="Z18" s="158">
        <f>考勤!O16</f>
        <v>0</v>
      </c>
      <c r="AA18" s="226">
        <f t="shared" si="32"/>
        <v>0</v>
      </c>
      <c r="AB18" s="158">
        <f>考勤!P16</f>
        <v>0</v>
      </c>
      <c r="AC18" s="226">
        <f t="shared" si="33"/>
        <v>0</v>
      </c>
      <c r="AD18" s="159">
        <f>考勤!W16</f>
        <v>0</v>
      </c>
      <c r="AE18" s="175">
        <f>考勤!X16</f>
        <v>0</v>
      </c>
      <c r="AF18" s="175">
        <f>考勤!Y16</f>
        <v>0</v>
      </c>
      <c r="AG18" s="175">
        <f>考勤!Z16</f>
        <v>0</v>
      </c>
      <c r="AH18" s="175">
        <v>0</v>
      </c>
      <c r="AI18" s="227"/>
      <c r="AJ18" s="228">
        <f t="shared" si="34"/>
        <v>20</v>
      </c>
      <c r="AK18" s="229">
        <v>5</v>
      </c>
      <c r="AL18" s="230"/>
      <c r="AM18" s="172"/>
      <c r="AN18" s="160"/>
      <c r="AO18" s="171">
        <v>10</v>
      </c>
      <c r="AP18" s="231">
        <f t="shared" si="35"/>
        <v>10</v>
      </c>
      <c r="AQ18" s="170">
        <f t="shared" si="36"/>
        <v>297.19</v>
      </c>
      <c r="AR18" s="171">
        <v>100</v>
      </c>
      <c r="AS18" s="172">
        <f t="shared" si="37"/>
        <v>5.9</v>
      </c>
      <c r="AT18" s="170">
        <f t="shared" si="51"/>
        <v>291.29000000000002</v>
      </c>
      <c r="AU18" s="159">
        <f t="shared" si="38"/>
        <v>1181763.53</v>
      </c>
      <c r="AV18" s="159">
        <v>0</v>
      </c>
      <c r="AW18" s="159">
        <v>0</v>
      </c>
      <c r="AX18" s="159">
        <f t="shared" si="21"/>
        <v>0</v>
      </c>
      <c r="AY18" s="159">
        <f t="shared" si="52"/>
        <v>1181763.53</v>
      </c>
      <c r="AZ18" s="173" t="str">
        <f t="shared" si="53"/>
        <v>0%</v>
      </c>
      <c r="BA18" s="232">
        <f t="shared" si="54"/>
        <v>0</v>
      </c>
      <c r="BB18" s="175">
        <f t="shared" si="55"/>
        <v>0</v>
      </c>
      <c r="BC18" s="176">
        <f t="shared" si="56"/>
        <v>191.29</v>
      </c>
      <c r="BD18" s="155">
        <f t="shared" si="39"/>
        <v>191</v>
      </c>
      <c r="BE18" s="155">
        <f t="shared" si="40"/>
        <v>191</v>
      </c>
      <c r="BF18" s="177"/>
      <c r="BG18" s="158">
        <f t="shared" si="41"/>
        <v>1</v>
      </c>
      <c r="BH18" s="158">
        <f t="shared" si="42"/>
        <v>1</v>
      </c>
      <c r="BI18" s="158">
        <f t="shared" si="43"/>
        <v>2</v>
      </c>
      <c r="BJ18" s="158">
        <f t="shared" si="44"/>
        <v>0</v>
      </c>
      <c r="BK18" s="158">
        <f t="shared" si="45"/>
        <v>0</v>
      </c>
      <c r="BL18" s="158">
        <f t="shared" si="46"/>
        <v>1</v>
      </c>
      <c r="BM18" s="158">
        <f t="shared" si="47"/>
        <v>191</v>
      </c>
      <c r="BN18" s="178"/>
      <c r="BO18" s="179"/>
      <c r="BP18" s="237"/>
      <c r="BQ18" s="234"/>
      <c r="BR18" s="235"/>
    </row>
    <row r="19" spans="1:72" s="262" customFormat="1" ht="47.25" customHeight="1">
      <c r="A19" s="158">
        <v>11</v>
      </c>
      <c r="B19" s="259" t="s">
        <v>336</v>
      </c>
      <c r="C19" s="152" t="s">
        <v>246</v>
      </c>
      <c r="D19" s="152" t="s">
        <v>251</v>
      </c>
      <c r="E19" s="255">
        <v>33368</v>
      </c>
      <c r="F19" s="255" t="s">
        <v>472</v>
      </c>
      <c r="G19" s="154" t="s">
        <v>22</v>
      </c>
      <c r="H19" s="250" t="s">
        <v>4</v>
      </c>
      <c r="I19" s="150" t="s">
        <v>249</v>
      </c>
      <c r="J19" s="155">
        <v>204</v>
      </c>
      <c r="K19" s="156">
        <v>44361</v>
      </c>
      <c r="L19" s="157">
        <v>26</v>
      </c>
      <c r="M19" s="158">
        <f>考勤!F17</f>
        <v>23</v>
      </c>
      <c r="N19" s="158">
        <f>考勤!T17</f>
        <v>1</v>
      </c>
      <c r="O19" s="158">
        <f>考勤!Q17</f>
        <v>2</v>
      </c>
      <c r="P19" s="159">
        <f>考勤!K17</f>
        <v>0</v>
      </c>
      <c r="Q19" s="159">
        <f>考勤!L17</f>
        <v>0</v>
      </c>
      <c r="R19" s="158">
        <f t="shared" si="48"/>
        <v>200</v>
      </c>
      <c r="S19" s="225">
        <f t="shared" si="29"/>
        <v>7.8461538461538458</v>
      </c>
      <c r="T19" s="225"/>
      <c r="U19" s="175">
        <f t="shared" si="49"/>
        <v>204</v>
      </c>
      <c r="V19" s="158">
        <f>考勤!N17</f>
        <v>26</v>
      </c>
      <c r="W19" s="158">
        <f t="shared" si="50"/>
        <v>13</v>
      </c>
      <c r="X19" s="226">
        <f t="shared" si="30"/>
        <v>38.25</v>
      </c>
      <c r="Y19" s="175">
        <f t="shared" si="31"/>
        <v>6.5</v>
      </c>
      <c r="Z19" s="158">
        <f>考勤!O17</f>
        <v>0</v>
      </c>
      <c r="AA19" s="226">
        <f t="shared" si="32"/>
        <v>0</v>
      </c>
      <c r="AB19" s="158">
        <f>考勤!P17</f>
        <v>0</v>
      </c>
      <c r="AC19" s="226">
        <f t="shared" si="33"/>
        <v>0</v>
      </c>
      <c r="AD19" s="159">
        <f>考勤!W17</f>
        <v>0</v>
      </c>
      <c r="AE19" s="175">
        <f>考勤!X17</f>
        <v>0</v>
      </c>
      <c r="AF19" s="175">
        <f>考勤!Y17</f>
        <v>0</v>
      </c>
      <c r="AG19" s="175">
        <f>考勤!Z17</f>
        <v>0</v>
      </c>
      <c r="AH19" s="175">
        <v>0</v>
      </c>
      <c r="AI19" s="227"/>
      <c r="AJ19" s="228">
        <f t="shared" si="34"/>
        <v>20</v>
      </c>
      <c r="AK19" s="229">
        <v>4</v>
      </c>
      <c r="AL19" s="230"/>
      <c r="AM19" s="172"/>
      <c r="AN19" s="160"/>
      <c r="AO19" s="171">
        <v>10</v>
      </c>
      <c r="AP19" s="231">
        <f t="shared" si="35"/>
        <v>10</v>
      </c>
      <c r="AQ19" s="170">
        <f t="shared" si="36"/>
        <v>292.75</v>
      </c>
      <c r="AR19" s="171">
        <v>100</v>
      </c>
      <c r="AS19" s="172">
        <f t="shared" si="37"/>
        <v>5.86</v>
      </c>
      <c r="AT19" s="170">
        <f t="shared" si="51"/>
        <v>286.89</v>
      </c>
      <c r="AU19" s="159">
        <f t="shared" si="38"/>
        <v>1163912.73</v>
      </c>
      <c r="AV19" s="159">
        <v>0</v>
      </c>
      <c r="AW19" s="159">
        <v>1</v>
      </c>
      <c r="AX19" s="159">
        <f t="shared" si="21"/>
        <v>150000</v>
      </c>
      <c r="AY19" s="159">
        <f t="shared" si="52"/>
        <v>1013912.73</v>
      </c>
      <c r="AZ19" s="173" t="str">
        <f t="shared" si="53"/>
        <v>0%</v>
      </c>
      <c r="BA19" s="232">
        <f t="shared" si="54"/>
        <v>0</v>
      </c>
      <c r="BB19" s="175">
        <f t="shared" si="55"/>
        <v>0</v>
      </c>
      <c r="BC19" s="176">
        <f t="shared" si="56"/>
        <v>186.89</v>
      </c>
      <c r="BD19" s="155">
        <f t="shared" si="39"/>
        <v>187</v>
      </c>
      <c r="BE19" s="155">
        <f t="shared" si="40"/>
        <v>187</v>
      </c>
      <c r="BF19" s="177"/>
      <c r="BG19" s="158">
        <f t="shared" si="41"/>
        <v>1</v>
      </c>
      <c r="BH19" s="158">
        <f t="shared" si="42"/>
        <v>1</v>
      </c>
      <c r="BI19" s="158">
        <f t="shared" si="43"/>
        <v>1</v>
      </c>
      <c r="BJ19" s="158">
        <f t="shared" si="44"/>
        <v>1</v>
      </c>
      <c r="BK19" s="158">
        <f t="shared" si="45"/>
        <v>1</v>
      </c>
      <c r="BL19" s="158">
        <f t="shared" si="46"/>
        <v>2</v>
      </c>
      <c r="BM19" s="158">
        <f t="shared" si="47"/>
        <v>187</v>
      </c>
      <c r="BN19" s="178"/>
      <c r="BO19" s="179"/>
      <c r="BP19" s="237"/>
      <c r="BQ19" s="234"/>
      <c r="BR19" s="235"/>
    </row>
    <row r="20" spans="1:72" s="262" customFormat="1" ht="47.25" customHeight="1">
      <c r="A20" s="158">
        <v>12</v>
      </c>
      <c r="B20" s="259" t="s">
        <v>337</v>
      </c>
      <c r="C20" s="152" t="s">
        <v>247</v>
      </c>
      <c r="D20" s="152" t="s">
        <v>459</v>
      </c>
      <c r="E20" s="255">
        <v>34371</v>
      </c>
      <c r="F20" s="255" t="s">
        <v>472</v>
      </c>
      <c r="G20" s="154" t="s">
        <v>22</v>
      </c>
      <c r="H20" s="250" t="s">
        <v>4</v>
      </c>
      <c r="I20" s="150" t="s">
        <v>249</v>
      </c>
      <c r="J20" s="155">
        <v>204</v>
      </c>
      <c r="K20" s="156">
        <v>44364</v>
      </c>
      <c r="L20" s="157">
        <v>26</v>
      </c>
      <c r="M20" s="158">
        <f>考勤!F18</f>
        <v>22</v>
      </c>
      <c r="N20" s="158">
        <f>考勤!T18</f>
        <v>1</v>
      </c>
      <c r="O20" s="158">
        <f>考勤!Q18</f>
        <v>2</v>
      </c>
      <c r="P20" s="159">
        <f>考勤!K18</f>
        <v>0</v>
      </c>
      <c r="Q20" s="159">
        <f>考勤!L18</f>
        <v>1</v>
      </c>
      <c r="R20" s="158">
        <f t="shared" si="48"/>
        <v>192</v>
      </c>
      <c r="S20" s="225">
        <f t="shared" si="29"/>
        <v>7.8461538461538458</v>
      </c>
      <c r="T20" s="225"/>
      <c r="U20" s="175">
        <f t="shared" si="49"/>
        <v>196.15384615384613</v>
      </c>
      <c r="V20" s="158">
        <f>考勤!N18</f>
        <v>24</v>
      </c>
      <c r="W20" s="158">
        <f t="shared" si="50"/>
        <v>12</v>
      </c>
      <c r="X20" s="226">
        <f t="shared" si="30"/>
        <v>35.307692307692307</v>
      </c>
      <c r="Y20" s="175">
        <f t="shared" si="31"/>
        <v>6</v>
      </c>
      <c r="Z20" s="158">
        <f>考勤!O18</f>
        <v>0</v>
      </c>
      <c r="AA20" s="226">
        <f t="shared" si="32"/>
        <v>0</v>
      </c>
      <c r="AB20" s="158">
        <f>考勤!P18</f>
        <v>0</v>
      </c>
      <c r="AC20" s="226">
        <f t="shared" si="33"/>
        <v>0</v>
      </c>
      <c r="AD20" s="159">
        <f>考勤!W18</f>
        <v>0</v>
      </c>
      <c r="AE20" s="175">
        <f>考勤!X18</f>
        <v>0</v>
      </c>
      <c r="AF20" s="175">
        <f>考勤!Y18</f>
        <v>0</v>
      </c>
      <c r="AG20" s="175">
        <f>考勤!Z18</f>
        <v>0</v>
      </c>
      <c r="AH20" s="175">
        <v>0</v>
      </c>
      <c r="AI20" s="227"/>
      <c r="AJ20" s="228">
        <f t="shared" si="34"/>
        <v>20</v>
      </c>
      <c r="AK20" s="229">
        <v>4</v>
      </c>
      <c r="AL20" s="230"/>
      <c r="AM20" s="172"/>
      <c r="AN20" s="160"/>
      <c r="AO20" s="171">
        <v>10</v>
      </c>
      <c r="AP20" s="231">
        <f t="shared" si="35"/>
        <v>9.6153846153846168</v>
      </c>
      <c r="AQ20" s="170">
        <f t="shared" si="36"/>
        <v>281.08</v>
      </c>
      <c r="AR20" s="171">
        <v>100</v>
      </c>
      <c r="AS20" s="172">
        <f t="shared" si="37"/>
        <v>5.62</v>
      </c>
      <c r="AT20" s="170">
        <f t="shared" si="51"/>
        <v>275.45999999999998</v>
      </c>
      <c r="AU20" s="159">
        <f t="shared" si="38"/>
        <v>1117541.22</v>
      </c>
      <c r="AV20" s="159">
        <v>0</v>
      </c>
      <c r="AW20" s="159">
        <v>3</v>
      </c>
      <c r="AX20" s="159">
        <f t="shared" si="21"/>
        <v>450000</v>
      </c>
      <c r="AY20" s="159">
        <f t="shared" si="52"/>
        <v>667541.22</v>
      </c>
      <c r="AZ20" s="173" t="str">
        <f t="shared" si="53"/>
        <v>0%</v>
      </c>
      <c r="BA20" s="232">
        <f t="shared" si="54"/>
        <v>0</v>
      </c>
      <c r="BB20" s="175">
        <f t="shared" si="55"/>
        <v>0</v>
      </c>
      <c r="BC20" s="176">
        <f t="shared" si="56"/>
        <v>175.45999999999998</v>
      </c>
      <c r="BD20" s="155">
        <f t="shared" si="39"/>
        <v>175</v>
      </c>
      <c r="BE20" s="155">
        <f t="shared" si="40"/>
        <v>175</v>
      </c>
      <c r="BF20" s="177"/>
      <c r="BG20" s="158">
        <f t="shared" si="41"/>
        <v>1</v>
      </c>
      <c r="BH20" s="158">
        <f t="shared" si="42"/>
        <v>1</v>
      </c>
      <c r="BI20" s="158">
        <f t="shared" si="43"/>
        <v>1</v>
      </c>
      <c r="BJ20" s="158">
        <f t="shared" si="44"/>
        <v>0</v>
      </c>
      <c r="BK20" s="158">
        <f t="shared" si="45"/>
        <v>1</v>
      </c>
      <c r="BL20" s="158">
        <f t="shared" si="46"/>
        <v>0</v>
      </c>
      <c r="BM20" s="158">
        <f t="shared" si="47"/>
        <v>175</v>
      </c>
      <c r="BN20" s="178"/>
      <c r="BO20" s="179"/>
      <c r="BP20" s="237"/>
      <c r="BQ20" s="234"/>
      <c r="BR20" s="235"/>
    </row>
    <row r="21" spans="1:72" s="262" customFormat="1" ht="47.25" customHeight="1">
      <c r="A21" s="158">
        <v>13</v>
      </c>
      <c r="B21" s="259" t="s">
        <v>338</v>
      </c>
      <c r="C21" s="152" t="s">
        <v>261</v>
      </c>
      <c r="D21" s="152" t="s">
        <v>262</v>
      </c>
      <c r="E21" s="255">
        <v>37139</v>
      </c>
      <c r="F21" s="255" t="s">
        <v>472</v>
      </c>
      <c r="G21" s="154" t="s">
        <v>22</v>
      </c>
      <c r="H21" s="250" t="s">
        <v>4</v>
      </c>
      <c r="I21" s="150" t="s">
        <v>263</v>
      </c>
      <c r="J21" s="155">
        <v>204</v>
      </c>
      <c r="K21" s="156">
        <v>44409</v>
      </c>
      <c r="L21" s="157">
        <v>26</v>
      </c>
      <c r="M21" s="158">
        <f>考勤!F19</f>
        <v>22.5</v>
      </c>
      <c r="N21" s="158">
        <f>考勤!T19</f>
        <v>1</v>
      </c>
      <c r="O21" s="158">
        <f>考勤!Q19</f>
        <v>2.5</v>
      </c>
      <c r="P21" s="159">
        <f>考勤!K19</f>
        <v>0</v>
      </c>
      <c r="Q21" s="159">
        <f>考勤!L19</f>
        <v>0</v>
      </c>
      <c r="R21" s="158">
        <f t="shared" si="48"/>
        <v>200</v>
      </c>
      <c r="S21" s="225">
        <f t="shared" si="29"/>
        <v>7.8461538461538458</v>
      </c>
      <c r="T21" s="225"/>
      <c r="U21" s="175">
        <f t="shared" si="49"/>
        <v>204</v>
      </c>
      <c r="V21" s="158">
        <f>考勤!N19</f>
        <v>26</v>
      </c>
      <c r="W21" s="158">
        <f t="shared" si="50"/>
        <v>13</v>
      </c>
      <c r="X21" s="226">
        <f t="shared" si="30"/>
        <v>38.25</v>
      </c>
      <c r="Y21" s="175">
        <f t="shared" si="31"/>
        <v>6.5</v>
      </c>
      <c r="Z21" s="158">
        <f>考勤!O19</f>
        <v>0</v>
      </c>
      <c r="AA21" s="226">
        <f t="shared" si="32"/>
        <v>0</v>
      </c>
      <c r="AB21" s="158">
        <f>考勤!P19</f>
        <v>0</v>
      </c>
      <c r="AC21" s="226">
        <f t="shared" si="33"/>
        <v>0</v>
      </c>
      <c r="AD21" s="159">
        <f>考勤!W19</f>
        <v>0</v>
      </c>
      <c r="AE21" s="175">
        <f>考勤!X19</f>
        <v>0</v>
      </c>
      <c r="AF21" s="175">
        <f>考勤!Y19</f>
        <v>0</v>
      </c>
      <c r="AG21" s="175">
        <f>考勤!Z19</f>
        <v>0</v>
      </c>
      <c r="AH21" s="175">
        <v>0</v>
      </c>
      <c r="AI21" s="227"/>
      <c r="AJ21" s="228">
        <f t="shared" si="34"/>
        <v>20</v>
      </c>
      <c r="AK21" s="229">
        <v>5</v>
      </c>
      <c r="AL21" s="230">
        <v>20</v>
      </c>
      <c r="AM21" s="172"/>
      <c r="AN21" s="160"/>
      <c r="AO21" s="171">
        <v>10</v>
      </c>
      <c r="AP21" s="231">
        <f t="shared" si="35"/>
        <v>10</v>
      </c>
      <c r="AQ21" s="170">
        <f t="shared" si="36"/>
        <v>313.75</v>
      </c>
      <c r="AR21" s="171">
        <v>100</v>
      </c>
      <c r="AS21" s="172">
        <f t="shared" si="37"/>
        <v>5.9</v>
      </c>
      <c r="AT21" s="170">
        <f t="shared" si="51"/>
        <v>307.85000000000002</v>
      </c>
      <c r="AU21" s="159">
        <f t="shared" si="38"/>
        <v>1248947.4500000002</v>
      </c>
      <c r="AV21" s="159">
        <v>0</v>
      </c>
      <c r="AW21" s="159">
        <v>0</v>
      </c>
      <c r="AX21" s="159">
        <f t="shared" si="21"/>
        <v>0</v>
      </c>
      <c r="AY21" s="159">
        <f t="shared" si="52"/>
        <v>1248947.4500000002</v>
      </c>
      <c r="AZ21" s="173" t="str">
        <f t="shared" si="53"/>
        <v>0%</v>
      </c>
      <c r="BA21" s="232">
        <f t="shared" si="54"/>
        <v>0</v>
      </c>
      <c r="BB21" s="175">
        <f t="shared" si="55"/>
        <v>0</v>
      </c>
      <c r="BC21" s="176">
        <f t="shared" si="56"/>
        <v>207.85</v>
      </c>
      <c r="BD21" s="155">
        <f t="shared" si="39"/>
        <v>208</v>
      </c>
      <c r="BE21" s="155">
        <f t="shared" si="40"/>
        <v>208</v>
      </c>
      <c r="BF21" s="177"/>
      <c r="BG21" s="158">
        <f t="shared" si="41"/>
        <v>2</v>
      </c>
      <c r="BH21" s="158">
        <f t="shared" si="42"/>
        <v>0</v>
      </c>
      <c r="BI21" s="158">
        <f t="shared" si="43"/>
        <v>0</v>
      </c>
      <c r="BJ21" s="158">
        <f t="shared" si="44"/>
        <v>0</v>
      </c>
      <c r="BK21" s="158">
        <f t="shared" si="45"/>
        <v>1</v>
      </c>
      <c r="BL21" s="158">
        <f t="shared" si="46"/>
        <v>3</v>
      </c>
      <c r="BM21" s="158">
        <f t="shared" si="47"/>
        <v>208</v>
      </c>
      <c r="BN21" s="178"/>
      <c r="BO21" s="179"/>
      <c r="BP21" s="237"/>
      <c r="BQ21" s="234"/>
      <c r="BR21" s="235"/>
    </row>
    <row r="22" spans="1:72" s="262" customFormat="1" ht="47.25" customHeight="1">
      <c r="A22" s="158">
        <v>14</v>
      </c>
      <c r="B22" s="259" t="s">
        <v>339</v>
      </c>
      <c r="C22" s="152" t="s">
        <v>279</v>
      </c>
      <c r="D22" s="152" t="s">
        <v>280</v>
      </c>
      <c r="E22" s="255">
        <v>35830</v>
      </c>
      <c r="F22" s="255" t="s">
        <v>472</v>
      </c>
      <c r="G22" s="154" t="s">
        <v>22</v>
      </c>
      <c r="H22" s="250" t="s">
        <v>4</v>
      </c>
      <c r="I22" s="150" t="s">
        <v>94</v>
      </c>
      <c r="J22" s="155">
        <v>204</v>
      </c>
      <c r="K22" s="156">
        <v>44679</v>
      </c>
      <c r="L22" s="157">
        <v>26</v>
      </c>
      <c r="M22" s="158">
        <f>考勤!F20</f>
        <v>22.5</v>
      </c>
      <c r="N22" s="158">
        <f>考勤!T20</f>
        <v>1</v>
      </c>
      <c r="O22" s="158">
        <f>考勤!Q20</f>
        <v>2</v>
      </c>
      <c r="P22" s="159">
        <f>考勤!K20</f>
        <v>0.5</v>
      </c>
      <c r="Q22" s="159">
        <f>考勤!L20</f>
        <v>0</v>
      </c>
      <c r="R22" s="158">
        <f t="shared" si="48"/>
        <v>196</v>
      </c>
      <c r="S22" s="225">
        <f t="shared" si="29"/>
        <v>7.8461538461538458</v>
      </c>
      <c r="T22" s="225"/>
      <c r="U22" s="175">
        <f t="shared" si="49"/>
        <v>200.07692307692307</v>
      </c>
      <c r="V22" s="158">
        <f>考勤!N20</f>
        <v>16</v>
      </c>
      <c r="W22" s="158">
        <f t="shared" si="50"/>
        <v>8</v>
      </c>
      <c r="X22" s="226">
        <f t="shared" si="30"/>
        <v>23.538461538461537</v>
      </c>
      <c r="Y22" s="175">
        <f t="shared" si="31"/>
        <v>4</v>
      </c>
      <c r="Z22" s="158">
        <f>考勤!O20</f>
        <v>0</v>
      </c>
      <c r="AA22" s="226">
        <f t="shared" si="32"/>
        <v>0</v>
      </c>
      <c r="AB22" s="158">
        <f>考勤!P20</f>
        <v>0</v>
      </c>
      <c r="AC22" s="226">
        <f t="shared" si="33"/>
        <v>0</v>
      </c>
      <c r="AD22" s="159">
        <f>考勤!W20</f>
        <v>0</v>
      </c>
      <c r="AE22" s="175">
        <f>考勤!X20</f>
        <v>0</v>
      </c>
      <c r="AF22" s="175">
        <f>考勤!Y20</f>
        <v>0</v>
      </c>
      <c r="AG22" s="175">
        <f>考勤!Z20</f>
        <v>0</v>
      </c>
      <c r="AH22" s="175">
        <v>0</v>
      </c>
      <c r="AI22" s="227"/>
      <c r="AJ22" s="228">
        <f t="shared" si="34"/>
        <v>0</v>
      </c>
      <c r="AK22" s="229">
        <v>3</v>
      </c>
      <c r="AL22" s="230"/>
      <c r="AM22" s="172"/>
      <c r="AN22" s="160"/>
      <c r="AO22" s="171">
        <v>10</v>
      </c>
      <c r="AP22" s="231">
        <f t="shared" si="35"/>
        <v>9.8076923076923084</v>
      </c>
      <c r="AQ22" s="170">
        <f t="shared" si="36"/>
        <v>250.42</v>
      </c>
      <c r="AR22" s="171">
        <v>100</v>
      </c>
      <c r="AS22" s="172">
        <f t="shared" si="37"/>
        <v>5.01</v>
      </c>
      <c r="AT22" s="170">
        <f t="shared" si="51"/>
        <v>245.41</v>
      </c>
      <c r="AU22" s="159">
        <f t="shared" si="38"/>
        <v>995628.37</v>
      </c>
      <c r="AV22" s="159">
        <v>0</v>
      </c>
      <c r="AW22" s="159">
        <v>0</v>
      </c>
      <c r="AX22" s="159">
        <f t="shared" si="21"/>
        <v>0</v>
      </c>
      <c r="AY22" s="159">
        <f t="shared" si="52"/>
        <v>995628.37</v>
      </c>
      <c r="AZ22" s="173" t="str">
        <f t="shared" si="53"/>
        <v>0%</v>
      </c>
      <c r="BA22" s="232">
        <f t="shared" si="54"/>
        <v>0</v>
      </c>
      <c r="BB22" s="175">
        <f t="shared" si="55"/>
        <v>0</v>
      </c>
      <c r="BC22" s="176">
        <f t="shared" si="56"/>
        <v>145.40999999999997</v>
      </c>
      <c r="BD22" s="155">
        <f t="shared" si="39"/>
        <v>145</v>
      </c>
      <c r="BE22" s="155">
        <f t="shared" si="40"/>
        <v>145</v>
      </c>
      <c r="BF22" s="177"/>
      <c r="BG22" s="158">
        <f t="shared" si="41"/>
        <v>1</v>
      </c>
      <c r="BH22" s="158">
        <f t="shared" si="42"/>
        <v>0</v>
      </c>
      <c r="BI22" s="158">
        <f t="shared" si="43"/>
        <v>2</v>
      </c>
      <c r="BJ22" s="158">
        <f t="shared" si="44"/>
        <v>0</v>
      </c>
      <c r="BK22" s="158">
        <f t="shared" si="45"/>
        <v>1</v>
      </c>
      <c r="BL22" s="158">
        <f t="shared" si="46"/>
        <v>0</v>
      </c>
      <c r="BM22" s="158">
        <f t="shared" si="47"/>
        <v>145</v>
      </c>
      <c r="BN22" s="178"/>
      <c r="BO22" s="179"/>
      <c r="BP22" s="237"/>
      <c r="BQ22" s="234"/>
      <c r="BR22" s="235"/>
    </row>
    <row r="23" spans="1:72" s="262" customFormat="1" ht="47.25" customHeight="1">
      <c r="A23" s="158">
        <v>15</v>
      </c>
      <c r="B23" s="259" t="s">
        <v>340</v>
      </c>
      <c r="C23" s="247" t="s">
        <v>285</v>
      </c>
      <c r="D23" s="247" t="s">
        <v>287</v>
      </c>
      <c r="E23" s="249">
        <v>35980</v>
      </c>
      <c r="F23" s="249" t="s">
        <v>472</v>
      </c>
      <c r="G23" s="154" t="s">
        <v>22</v>
      </c>
      <c r="H23" s="250" t="s">
        <v>4</v>
      </c>
      <c r="I23" s="150" t="s">
        <v>14</v>
      </c>
      <c r="J23" s="251">
        <v>204</v>
      </c>
      <c r="K23" s="156">
        <v>44746</v>
      </c>
      <c r="L23" s="157">
        <v>26</v>
      </c>
      <c r="M23" s="150">
        <f>考勤!F21</f>
        <v>23</v>
      </c>
      <c r="N23" s="150">
        <f>考勤!T21</f>
        <v>1</v>
      </c>
      <c r="O23" s="150">
        <f>考勤!Q21</f>
        <v>2</v>
      </c>
      <c r="P23" s="163">
        <f>考勤!K21</f>
        <v>0</v>
      </c>
      <c r="Q23" s="163">
        <f>考勤!L21</f>
        <v>0</v>
      </c>
      <c r="R23" s="158">
        <f t="shared" si="48"/>
        <v>200</v>
      </c>
      <c r="S23" s="160">
        <f t="shared" si="29"/>
        <v>7.8461538461538458</v>
      </c>
      <c r="T23" s="160"/>
      <c r="U23" s="175">
        <f t="shared" si="49"/>
        <v>204</v>
      </c>
      <c r="V23" s="150">
        <f>考勤!N21</f>
        <v>28</v>
      </c>
      <c r="W23" s="150">
        <f t="shared" si="50"/>
        <v>14</v>
      </c>
      <c r="X23" s="162">
        <f t="shared" si="30"/>
        <v>41.192307692307693</v>
      </c>
      <c r="Y23" s="161">
        <f t="shared" si="31"/>
        <v>7</v>
      </c>
      <c r="Z23" s="150">
        <f>考勤!O21</f>
        <v>0</v>
      </c>
      <c r="AA23" s="162">
        <f t="shared" si="32"/>
        <v>0</v>
      </c>
      <c r="AB23" s="150">
        <f>考勤!P21</f>
        <v>0</v>
      </c>
      <c r="AC23" s="162">
        <f t="shared" si="33"/>
        <v>0</v>
      </c>
      <c r="AD23" s="163">
        <f>考勤!W21</f>
        <v>0</v>
      </c>
      <c r="AE23" s="161">
        <f>考勤!X21</f>
        <v>0</v>
      </c>
      <c r="AF23" s="161">
        <f>考勤!Y21</f>
        <v>38.71</v>
      </c>
      <c r="AG23" s="161">
        <f>考勤!Z21</f>
        <v>0</v>
      </c>
      <c r="AH23" s="161">
        <v>0</v>
      </c>
      <c r="AI23" s="164"/>
      <c r="AJ23" s="165">
        <f t="shared" si="34"/>
        <v>20</v>
      </c>
      <c r="AK23" s="166">
        <v>3</v>
      </c>
      <c r="AL23" s="167"/>
      <c r="AM23" s="172"/>
      <c r="AN23" s="160"/>
      <c r="AO23" s="169">
        <v>10</v>
      </c>
      <c r="AP23" s="231">
        <f t="shared" si="35"/>
        <v>10</v>
      </c>
      <c r="AQ23" s="170">
        <f t="shared" si="36"/>
        <v>333.9</v>
      </c>
      <c r="AR23" s="171">
        <v>100</v>
      </c>
      <c r="AS23" s="172">
        <f t="shared" si="37"/>
        <v>5.9</v>
      </c>
      <c r="AT23" s="170">
        <f t="shared" si="51"/>
        <v>328</v>
      </c>
      <c r="AU23" s="159">
        <f t="shared" si="38"/>
        <v>1330696</v>
      </c>
      <c r="AV23" s="159">
        <v>0</v>
      </c>
      <c r="AW23" s="159">
        <v>1</v>
      </c>
      <c r="AX23" s="159">
        <f t="shared" si="21"/>
        <v>150000</v>
      </c>
      <c r="AY23" s="159">
        <f t="shared" si="52"/>
        <v>1180696</v>
      </c>
      <c r="AZ23" s="173" t="str">
        <f t="shared" si="53"/>
        <v>0%</v>
      </c>
      <c r="BA23" s="232">
        <f t="shared" si="54"/>
        <v>0</v>
      </c>
      <c r="BB23" s="175">
        <f t="shared" si="55"/>
        <v>0</v>
      </c>
      <c r="BC23" s="176">
        <f t="shared" si="56"/>
        <v>227.99999999999997</v>
      </c>
      <c r="BD23" s="155">
        <f t="shared" si="39"/>
        <v>228</v>
      </c>
      <c r="BE23" s="155">
        <f t="shared" si="40"/>
        <v>228</v>
      </c>
      <c r="BF23" s="177"/>
      <c r="BG23" s="158">
        <f t="shared" si="41"/>
        <v>2</v>
      </c>
      <c r="BH23" s="158">
        <f t="shared" si="42"/>
        <v>0</v>
      </c>
      <c r="BI23" s="158">
        <f t="shared" si="43"/>
        <v>1</v>
      </c>
      <c r="BJ23" s="158">
        <f t="shared" si="44"/>
        <v>0</v>
      </c>
      <c r="BK23" s="158">
        <f t="shared" si="45"/>
        <v>1</v>
      </c>
      <c r="BL23" s="158">
        <f t="shared" si="46"/>
        <v>3</v>
      </c>
      <c r="BM23" s="158">
        <f t="shared" si="47"/>
        <v>228</v>
      </c>
      <c r="BN23" s="178"/>
      <c r="BO23" s="179"/>
      <c r="BP23" s="237"/>
      <c r="BQ23" s="234"/>
      <c r="BR23" s="235"/>
    </row>
    <row r="24" spans="1:72" s="262" customFormat="1" ht="47.25" customHeight="1">
      <c r="A24" s="158">
        <v>16</v>
      </c>
      <c r="B24" s="259" t="s">
        <v>341</v>
      </c>
      <c r="C24" s="247" t="s">
        <v>309</v>
      </c>
      <c r="D24" s="247" t="s">
        <v>311</v>
      </c>
      <c r="E24" s="249">
        <v>36147</v>
      </c>
      <c r="F24" s="249" t="s">
        <v>472</v>
      </c>
      <c r="G24" s="154" t="s">
        <v>22</v>
      </c>
      <c r="H24" s="250" t="s">
        <v>4</v>
      </c>
      <c r="I24" s="150" t="s">
        <v>320</v>
      </c>
      <c r="J24" s="251">
        <v>204</v>
      </c>
      <c r="K24" s="156">
        <v>45078</v>
      </c>
      <c r="L24" s="157">
        <v>26</v>
      </c>
      <c r="M24" s="150">
        <f>考勤!F22</f>
        <v>21.5</v>
      </c>
      <c r="N24" s="150">
        <f>考勤!T22</f>
        <v>1</v>
      </c>
      <c r="O24" s="150">
        <f>考勤!Q22</f>
        <v>3.5</v>
      </c>
      <c r="P24" s="163">
        <f>考勤!K22</f>
        <v>0</v>
      </c>
      <c r="Q24" s="163">
        <f>考勤!L22</f>
        <v>0</v>
      </c>
      <c r="R24" s="158">
        <f t="shared" si="48"/>
        <v>200</v>
      </c>
      <c r="S24" s="160">
        <f t="shared" si="29"/>
        <v>7.8461538461538458</v>
      </c>
      <c r="T24" s="160"/>
      <c r="U24" s="175">
        <f t="shared" si="49"/>
        <v>204</v>
      </c>
      <c r="V24" s="150">
        <f>考勤!N22</f>
        <v>24</v>
      </c>
      <c r="W24" s="150">
        <f>V24/2</f>
        <v>12</v>
      </c>
      <c r="X24" s="162">
        <f t="shared" si="30"/>
        <v>35.307692307692307</v>
      </c>
      <c r="Y24" s="161">
        <f t="shared" si="31"/>
        <v>6</v>
      </c>
      <c r="Z24" s="150">
        <f>考勤!O22</f>
        <v>0</v>
      </c>
      <c r="AA24" s="162">
        <f t="shared" si="32"/>
        <v>0</v>
      </c>
      <c r="AB24" s="150">
        <f>考勤!P22</f>
        <v>0</v>
      </c>
      <c r="AC24" s="162">
        <f t="shared" si="33"/>
        <v>0</v>
      </c>
      <c r="AD24" s="163">
        <f>考勤!W22</f>
        <v>0</v>
      </c>
      <c r="AE24" s="161">
        <f>考勤!X22</f>
        <v>0</v>
      </c>
      <c r="AF24" s="161">
        <f>考勤!Y22</f>
        <v>0</v>
      </c>
      <c r="AG24" s="161">
        <f>考勤!Z22</f>
        <v>0</v>
      </c>
      <c r="AH24" s="161">
        <v>0</v>
      </c>
      <c r="AI24" s="164"/>
      <c r="AJ24" s="165">
        <f t="shared" si="34"/>
        <v>20</v>
      </c>
      <c r="AK24" s="166">
        <v>2</v>
      </c>
      <c r="AL24" s="167">
        <v>80</v>
      </c>
      <c r="AM24" s="172"/>
      <c r="AN24" s="160"/>
      <c r="AO24" s="169">
        <v>10</v>
      </c>
      <c r="AP24" s="231">
        <f t="shared" si="35"/>
        <v>10</v>
      </c>
      <c r="AQ24" s="170">
        <f t="shared" si="36"/>
        <v>367.31</v>
      </c>
      <c r="AR24" s="171">
        <v>100</v>
      </c>
      <c r="AS24" s="172">
        <f t="shared" si="37"/>
        <v>5.9</v>
      </c>
      <c r="AT24" s="170">
        <f t="shared" si="51"/>
        <v>361.41</v>
      </c>
      <c r="AU24" s="159">
        <f t="shared" si="38"/>
        <v>1466240.37</v>
      </c>
      <c r="AV24" s="159">
        <v>0</v>
      </c>
      <c r="AW24" s="159">
        <v>0</v>
      </c>
      <c r="AX24" s="159">
        <f>(AV24+AW24)*150000</f>
        <v>0</v>
      </c>
      <c r="AY24" s="159">
        <f>AU24-AX24</f>
        <v>1466240.37</v>
      </c>
      <c r="AZ24" s="173" t="str">
        <f>IF(AY24&lt;=1500000,"0%",IF(AY24&lt;=2000000,"5%",IF(AY24&lt;=8500000,"10%",IF(AY24&lt;=12500000,"15%",IF(AY24&lt;=12500001,"20%")))))</f>
        <v>0%</v>
      </c>
      <c r="BA24" s="232">
        <f>IF(AY24&lt;=1500000,0,IF(AND(AY24&gt;1500001,AY24&lt;=2000000),((AY24*0.05)-75000),IF(AND(AY24&gt;2000001,AY24&lt;=8500000),((AY24*0.1)-175000),IF(AND(AY24&gt;=8500001,AY24&lt;=12500000),((AY24*0.15)-600000),IF(AY24&gt;=12500001,(AY24*0.2-1225000))))))</f>
        <v>0</v>
      </c>
      <c r="BB24" s="175">
        <f>BA24/$AU$6</f>
        <v>0</v>
      </c>
      <c r="BC24" s="176">
        <f t="shared" si="56"/>
        <v>261.40999999999997</v>
      </c>
      <c r="BD24" s="155">
        <f t="shared" si="39"/>
        <v>261</v>
      </c>
      <c r="BE24" s="155">
        <f t="shared" si="40"/>
        <v>261</v>
      </c>
      <c r="BF24" s="177"/>
      <c r="BG24" s="158">
        <f t="shared" si="41"/>
        <v>2</v>
      </c>
      <c r="BH24" s="158">
        <f t="shared" si="42"/>
        <v>1</v>
      </c>
      <c r="BI24" s="158">
        <f t="shared" si="43"/>
        <v>0</v>
      </c>
      <c r="BJ24" s="158">
        <f t="shared" si="44"/>
        <v>1</v>
      </c>
      <c r="BK24" s="158">
        <f t="shared" si="45"/>
        <v>0</v>
      </c>
      <c r="BL24" s="158">
        <f t="shared" si="46"/>
        <v>1</v>
      </c>
      <c r="BM24" s="158">
        <f t="shared" si="47"/>
        <v>261</v>
      </c>
      <c r="BN24" s="178"/>
      <c r="BO24" s="179"/>
      <c r="BP24" s="237"/>
      <c r="BQ24" s="234"/>
      <c r="BR24" s="235"/>
    </row>
    <row r="25" spans="1:72" s="262" customFormat="1" ht="47.25" customHeight="1">
      <c r="A25" s="158">
        <v>17</v>
      </c>
      <c r="B25" s="259" t="s">
        <v>342</v>
      </c>
      <c r="C25" s="247" t="s">
        <v>310</v>
      </c>
      <c r="D25" s="247" t="s">
        <v>312</v>
      </c>
      <c r="E25" s="249">
        <v>36651</v>
      </c>
      <c r="F25" s="249" t="s">
        <v>472</v>
      </c>
      <c r="G25" s="154" t="s">
        <v>22</v>
      </c>
      <c r="H25" s="250" t="s">
        <v>4</v>
      </c>
      <c r="I25" s="150" t="s">
        <v>320</v>
      </c>
      <c r="J25" s="251">
        <v>204</v>
      </c>
      <c r="K25" s="156">
        <v>45089</v>
      </c>
      <c r="L25" s="157">
        <v>26</v>
      </c>
      <c r="M25" s="150">
        <f>考勤!F23</f>
        <v>22</v>
      </c>
      <c r="N25" s="150">
        <f>考勤!T23</f>
        <v>1</v>
      </c>
      <c r="O25" s="150">
        <f>考勤!Q23</f>
        <v>3</v>
      </c>
      <c r="P25" s="163">
        <f>考勤!K23</f>
        <v>0</v>
      </c>
      <c r="Q25" s="163">
        <f>考勤!L23</f>
        <v>0</v>
      </c>
      <c r="R25" s="158">
        <f t="shared" si="48"/>
        <v>200</v>
      </c>
      <c r="S25" s="160">
        <f t="shared" si="29"/>
        <v>7.8461538461538458</v>
      </c>
      <c r="T25" s="160"/>
      <c r="U25" s="175">
        <f t="shared" si="49"/>
        <v>204</v>
      </c>
      <c r="V25" s="150">
        <f>考勤!N23</f>
        <v>18</v>
      </c>
      <c r="W25" s="150">
        <f>V25/2</f>
        <v>9</v>
      </c>
      <c r="X25" s="162">
        <f t="shared" si="30"/>
        <v>26.48076923076923</v>
      </c>
      <c r="Y25" s="161">
        <f t="shared" si="31"/>
        <v>4.5</v>
      </c>
      <c r="Z25" s="150">
        <f>考勤!O23</f>
        <v>0</v>
      </c>
      <c r="AA25" s="162">
        <f t="shared" si="32"/>
        <v>0</v>
      </c>
      <c r="AB25" s="150">
        <f>考勤!P23</f>
        <v>0</v>
      </c>
      <c r="AC25" s="162">
        <f t="shared" si="33"/>
        <v>0</v>
      </c>
      <c r="AD25" s="163">
        <f>考勤!W23</f>
        <v>0</v>
      </c>
      <c r="AE25" s="161">
        <f>考勤!X23</f>
        <v>0</v>
      </c>
      <c r="AF25" s="161">
        <f>考勤!Y23</f>
        <v>0</v>
      </c>
      <c r="AG25" s="161">
        <f>考勤!Z23</f>
        <v>0</v>
      </c>
      <c r="AH25" s="161">
        <v>0</v>
      </c>
      <c r="AI25" s="164"/>
      <c r="AJ25" s="165">
        <f t="shared" si="34"/>
        <v>20</v>
      </c>
      <c r="AK25" s="166">
        <v>2</v>
      </c>
      <c r="AL25" s="167"/>
      <c r="AM25" s="172"/>
      <c r="AN25" s="160"/>
      <c r="AO25" s="169">
        <v>10</v>
      </c>
      <c r="AP25" s="231">
        <f t="shared" si="35"/>
        <v>10</v>
      </c>
      <c r="AQ25" s="170">
        <f t="shared" si="36"/>
        <v>276.98</v>
      </c>
      <c r="AR25" s="171">
        <v>100</v>
      </c>
      <c r="AS25" s="172">
        <f t="shared" si="37"/>
        <v>5.54</v>
      </c>
      <c r="AT25" s="170">
        <f>AQ25-AS25</f>
        <v>271.44</v>
      </c>
      <c r="AU25" s="159">
        <f t="shared" si="38"/>
        <v>1101232.08</v>
      </c>
      <c r="AV25" s="159">
        <v>0</v>
      </c>
      <c r="AW25" s="159">
        <v>0</v>
      </c>
      <c r="AX25" s="159">
        <f>(AV25+AW25)*150000</f>
        <v>0</v>
      </c>
      <c r="AY25" s="159">
        <f>AU25-AX25</f>
        <v>1101232.08</v>
      </c>
      <c r="AZ25" s="173" t="str">
        <f>IF(AY25&lt;=1500000,"0%",IF(AY25&lt;=2000000,"5%",IF(AY25&lt;=8500000,"10%",IF(AY25&lt;=12500000,"15%",IF(AY25&lt;=12500001,"20%")))))</f>
        <v>0%</v>
      </c>
      <c r="BA25" s="232">
        <f>IF(AY25&lt;=1500000,0,IF(AND(AY25&gt;1500001,AY25&lt;=2000000),((AY25*0.05)-75000),IF(AND(AY25&gt;2000001,AY25&lt;=8500000),((AY25*0.1)-175000),IF(AND(AY25&gt;=8500001,AY25&lt;=12500000),((AY25*0.15)-600000),IF(AY25&gt;=12500001,(AY25*0.2-1225000))))))</f>
        <v>0</v>
      </c>
      <c r="BB25" s="175">
        <f>BA25/$AU$6</f>
        <v>0</v>
      </c>
      <c r="BC25" s="176">
        <f t="shared" si="56"/>
        <v>171.44</v>
      </c>
      <c r="BD25" s="155">
        <f t="shared" si="39"/>
        <v>171</v>
      </c>
      <c r="BE25" s="155">
        <f t="shared" si="40"/>
        <v>171</v>
      </c>
      <c r="BF25" s="177"/>
      <c r="BG25" s="158">
        <f t="shared" si="41"/>
        <v>1</v>
      </c>
      <c r="BH25" s="158">
        <f t="shared" si="42"/>
        <v>1</v>
      </c>
      <c r="BI25" s="158">
        <f t="shared" si="43"/>
        <v>1</v>
      </c>
      <c r="BJ25" s="158">
        <f t="shared" si="44"/>
        <v>0</v>
      </c>
      <c r="BK25" s="158">
        <f t="shared" si="45"/>
        <v>0</v>
      </c>
      <c r="BL25" s="158">
        <f t="shared" si="46"/>
        <v>1</v>
      </c>
      <c r="BM25" s="158">
        <f t="shared" si="47"/>
        <v>171</v>
      </c>
      <c r="BN25" s="178"/>
      <c r="BO25" s="179"/>
      <c r="BP25" s="237"/>
      <c r="BQ25" s="234"/>
      <c r="BR25" s="235"/>
    </row>
    <row r="26" spans="1:72" s="262" customFormat="1" ht="47.25" customHeight="1">
      <c r="A26" s="158">
        <v>18</v>
      </c>
      <c r="B26" s="259" t="s">
        <v>479</v>
      </c>
      <c r="C26" s="247" t="s">
        <v>274</v>
      </c>
      <c r="D26" s="247" t="s">
        <v>286</v>
      </c>
      <c r="E26" s="249">
        <v>37867</v>
      </c>
      <c r="F26" s="249" t="s">
        <v>472</v>
      </c>
      <c r="G26" s="154" t="s">
        <v>22</v>
      </c>
      <c r="H26" s="250" t="s">
        <v>4</v>
      </c>
      <c r="I26" s="150" t="s">
        <v>14</v>
      </c>
      <c r="J26" s="251">
        <v>204</v>
      </c>
      <c r="K26" s="156">
        <v>44557</v>
      </c>
      <c r="L26" s="157">
        <v>26</v>
      </c>
      <c r="M26" s="150">
        <f>考勤!F24</f>
        <v>26</v>
      </c>
      <c r="N26" s="150">
        <f>考勤!T24</f>
        <v>1</v>
      </c>
      <c r="O26" s="150">
        <f>考勤!Q24</f>
        <v>2</v>
      </c>
      <c r="P26" s="163">
        <f>考勤!K24</f>
        <v>0</v>
      </c>
      <c r="Q26" s="163">
        <f>考勤!L24</f>
        <v>0</v>
      </c>
      <c r="R26" s="158">
        <f t="shared" si="48"/>
        <v>224</v>
      </c>
      <c r="S26" s="160">
        <f t="shared" si="29"/>
        <v>7.8461538461538458</v>
      </c>
      <c r="T26" s="160"/>
      <c r="U26" s="175">
        <f t="shared" si="49"/>
        <v>227.53846153846152</v>
      </c>
      <c r="V26" s="150">
        <f>考勤!N24</f>
        <v>26</v>
      </c>
      <c r="W26" s="150">
        <f>V26/2</f>
        <v>13</v>
      </c>
      <c r="X26" s="162">
        <f t="shared" si="30"/>
        <v>38.25</v>
      </c>
      <c r="Y26" s="161">
        <f t="shared" si="31"/>
        <v>6.5</v>
      </c>
      <c r="Z26" s="150">
        <f>考勤!O24</f>
        <v>0</v>
      </c>
      <c r="AA26" s="162">
        <f t="shared" si="32"/>
        <v>0</v>
      </c>
      <c r="AB26" s="150">
        <f>考勤!P24</f>
        <v>0</v>
      </c>
      <c r="AC26" s="162">
        <f t="shared" si="33"/>
        <v>0</v>
      </c>
      <c r="AD26" s="163">
        <f>考勤!W24</f>
        <v>0</v>
      </c>
      <c r="AE26" s="161">
        <f>考勤!X24</f>
        <v>0</v>
      </c>
      <c r="AF26" s="161">
        <f>考勤!Y24</f>
        <v>0</v>
      </c>
      <c r="AG26" s="161">
        <f>考勤!Z24</f>
        <v>0</v>
      </c>
      <c r="AH26" s="161">
        <v>0</v>
      </c>
      <c r="AI26" s="164"/>
      <c r="AJ26" s="165">
        <f t="shared" si="34"/>
        <v>20</v>
      </c>
      <c r="AK26" s="166">
        <v>3</v>
      </c>
      <c r="AL26" s="167"/>
      <c r="AM26" s="172"/>
      <c r="AN26" s="160"/>
      <c r="AO26" s="169">
        <v>10</v>
      </c>
      <c r="AP26" s="231">
        <f t="shared" si="35"/>
        <v>11.153846153846155</v>
      </c>
      <c r="AQ26" s="170">
        <f t="shared" si="36"/>
        <v>316.44</v>
      </c>
      <c r="AR26" s="171">
        <v>100</v>
      </c>
      <c r="AS26" s="172">
        <f t="shared" si="37"/>
        <v>5.9</v>
      </c>
      <c r="AT26" s="170">
        <f>AQ26-AS26</f>
        <v>310.54000000000002</v>
      </c>
      <c r="AU26" s="159">
        <f t="shared" si="38"/>
        <v>1259860.78</v>
      </c>
      <c r="AV26" s="159">
        <v>0</v>
      </c>
      <c r="AW26" s="159">
        <v>0</v>
      </c>
      <c r="AX26" s="159">
        <f>(AV26+AW26)*150000</f>
        <v>0</v>
      </c>
      <c r="AY26" s="159">
        <f>AU26-AX26</f>
        <v>1259860.78</v>
      </c>
      <c r="AZ26" s="173" t="str">
        <f>IF(AY26&lt;=1500000,"0%",IF(AY26&lt;=2000000,"5%",IF(AY26&lt;=8500000,"10%",IF(AY26&lt;=12500000,"15%",IF(AY26&lt;=12500001,"20%")))))</f>
        <v>0%</v>
      </c>
      <c r="BA26" s="232">
        <f>IF(AY26&lt;=1500000,0,IF(AND(AY26&gt;1500001,AY26&lt;=2000000),((AY26*0.05)-75000),IF(AND(AY26&gt;2000001,AY26&lt;=8500000),((AY26*0.1)-175000),IF(AND(AY26&gt;=8500001,AY26&lt;=12500000),((AY26*0.15)-600000),IF(AY26&gt;=12500001,(AY26*0.2-1225000))))))</f>
        <v>0</v>
      </c>
      <c r="BB26" s="175">
        <f>BA26/$AU$6</f>
        <v>0</v>
      </c>
      <c r="BC26" s="176">
        <f t="shared" si="56"/>
        <v>210.54</v>
      </c>
      <c r="BD26" s="155">
        <f t="shared" si="39"/>
        <v>211</v>
      </c>
      <c r="BE26" s="155">
        <f t="shared" si="40"/>
        <v>211</v>
      </c>
      <c r="BF26" s="177"/>
      <c r="BG26" s="158">
        <f t="shared" si="41"/>
        <v>2</v>
      </c>
      <c r="BH26" s="158">
        <f t="shared" si="42"/>
        <v>0</v>
      </c>
      <c r="BI26" s="158">
        <f t="shared" si="43"/>
        <v>0</v>
      </c>
      <c r="BJ26" s="158">
        <f t="shared" si="44"/>
        <v>1</v>
      </c>
      <c r="BK26" s="158">
        <f t="shared" si="45"/>
        <v>0</v>
      </c>
      <c r="BL26" s="158">
        <f t="shared" si="46"/>
        <v>1</v>
      </c>
      <c r="BM26" s="158">
        <f t="shared" si="47"/>
        <v>211</v>
      </c>
      <c r="BN26" s="178"/>
      <c r="BO26" s="179"/>
      <c r="BP26" s="237"/>
      <c r="BQ26" s="234"/>
      <c r="BR26" s="235"/>
    </row>
    <row r="27" spans="1:72" s="258" customFormat="1" ht="47.25" customHeight="1">
      <c r="A27" s="158">
        <v>19</v>
      </c>
      <c r="B27" s="263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5"/>
      <c r="N27" s="265"/>
      <c r="O27" s="265"/>
      <c r="P27" s="265"/>
      <c r="Q27" s="265"/>
      <c r="R27" s="265"/>
      <c r="S27" s="266"/>
      <c r="T27" s="266"/>
      <c r="U27" s="175"/>
      <c r="V27" s="242"/>
      <c r="W27" s="242"/>
      <c r="X27" s="267"/>
      <c r="Y27" s="237"/>
      <c r="Z27" s="242"/>
      <c r="AA27" s="267"/>
      <c r="AB27" s="242"/>
      <c r="AC27" s="267"/>
      <c r="AD27" s="263"/>
      <c r="AE27" s="237"/>
      <c r="AF27" s="237"/>
      <c r="AG27" s="237"/>
      <c r="AH27" s="237"/>
      <c r="AI27" s="268"/>
      <c r="AJ27" s="269"/>
      <c r="AK27" s="270"/>
      <c r="AL27" s="271"/>
      <c r="AM27" s="172"/>
      <c r="AN27" s="266"/>
      <c r="AO27" s="272"/>
      <c r="AP27" s="231"/>
      <c r="AQ27" s="138">
        <f>SUM(AQ13:AQ26)</f>
        <v>4337.9799999999996</v>
      </c>
      <c r="AR27" s="138">
        <f t="shared" ref="AR27:BM27" si="57">SUM(AR13:AR26)</f>
        <v>1400</v>
      </c>
      <c r="AS27" s="138">
        <f t="shared" si="57"/>
        <v>81.03</v>
      </c>
      <c r="AT27" s="138">
        <f t="shared" si="57"/>
        <v>4256.95</v>
      </c>
      <c r="AU27" s="138">
        <f t="shared" si="57"/>
        <v>17270446.149999999</v>
      </c>
      <c r="AV27" s="138">
        <f t="shared" si="57"/>
        <v>0</v>
      </c>
      <c r="AW27" s="138">
        <f t="shared" si="57"/>
        <v>7</v>
      </c>
      <c r="AX27" s="138">
        <f t="shared" si="57"/>
        <v>1050000</v>
      </c>
      <c r="AY27" s="138">
        <f t="shared" si="57"/>
        <v>16220446.149999999</v>
      </c>
      <c r="AZ27" s="138">
        <f t="shared" si="57"/>
        <v>0</v>
      </c>
      <c r="BA27" s="138">
        <f t="shared" si="57"/>
        <v>3742.3130000000092</v>
      </c>
      <c r="BB27" s="138">
        <f t="shared" si="57"/>
        <v>0.92243357160463624</v>
      </c>
      <c r="BC27" s="138">
        <f t="shared" si="57"/>
        <v>2856.0275664283949</v>
      </c>
      <c r="BD27" s="138">
        <f t="shared" si="57"/>
        <v>2855</v>
      </c>
      <c r="BE27" s="138">
        <f t="shared" si="57"/>
        <v>2855</v>
      </c>
      <c r="BF27" s="138">
        <f t="shared" si="57"/>
        <v>0</v>
      </c>
      <c r="BG27" s="138">
        <f t="shared" si="57"/>
        <v>20</v>
      </c>
      <c r="BH27" s="138">
        <f t="shared" si="57"/>
        <v>9</v>
      </c>
      <c r="BI27" s="138">
        <f t="shared" si="57"/>
        <v>15</v>
      </c>
      <c r="BJ27" s="138">
        <f t="shared" si="57"/>
        <v>4</v>
      </c>
      <c r="BK27" s="138">
        <f t="shared" si="57"/>
        <v>9</v>
      </c>
      <c r="BL27" s="138">
        <f t="shared" si="57"/>
        <v>20</v>
      </c>
      <c r="BM27" s="138">
        <f t="shared" si="57"/>
        <v>2855</v>
      </c>
      <c r="BN27" s="178"/>
      <c r="BO27" s="179"/>
      <c r="BP27" s="237"/>
      <c r="BQ27" s="234"/>
      <c r="BR27" s="235"/>
    </row>
    <row r="28" spans="1:72" s="262" customFormat="1" ht="47.25" customHeight="1">
      <c r="A28" s="158">
        <v>20</v>
      </c>
      <c r="B28" s="259" t="s">
        <v>343</v>
      </c>
      <c r="C28" s="247" t="s">
        <v>101</v>
      </c>
      <c r="D28" s="247">
        <v>130103793</v>
      </c>
      <c r="E28" s="249">
        <v>34077</v>
      </c>
      <c r="F28" s="249" t="s">
        <v>473</v>
      </c>
      <c r="G28" s="154" t="s">
        <v>86</v>
      </c>
      <c r="H28" s="154" t="s">
        <v>238</v>
      </c>
      <c r="I28" s="150" t="s">
        <v>14</v>
      </c>
      <c r="J28" s="251">
        <v>204</v>
      </c>
      <c r="K28" s="156">
        <v>41845</v>
      </c>
      <c r="L28" s="157">
        <v>26</v>
      </c>
      <c r="M28" s="150">
        <f>考勤!F25</f>
        <v>24</v>
      </c>
      <c r="N28" s="150">
        <f>考勤!T25</f>
        <v>1</v>
      </c>
      <c r="O28" s="150">
        <f>考勤!Q25</f>
        <v>1</v>
      </c>
      <c r="P28" s="163">
        <f>考勤!K25</f>
        <v>0</v>
      </c>
      <c r="Q28" s="163">
        <f>考勤!L25</f>
        <v>0</v>
      </c>
      <c r="R28" s="150">
        <f>(M28+O28)*8</f>
        <v>200</v>
      </c>
      <c r="S28" s="160">
        <f t="shared" ref="S28:S37" si="58">J28/L28</f>
        <v>7.8461538461538458</v>
      </c>
      <c r="T28" s="160"/>
      <c r="U28" s="175">
        <f>S28*(M28+N28+O28)</f>
        <v>204</v>
      </c>
      <c r="V28" s="150">
        <f>考勤!N25</f>
        <v>28</v>
      </c>
      <c r="W28" s="150">
        <f>V28/2</f>
        <v>14</v>
      </c>
      <c r="X28" s="162">
        <f t="shared" ref="X28:X37" si="59">J28/L28/8*V28*1.5</f>
        <v>41.192307692307693</v>
      </c>
      <c r="Y28" s="161">
        <f t="shared" ref="Y28:Y37" si="60">13/L28*W28</f>
        <v>7</v>
      </c>
      <c r="Z28" s="150">
        <f>考勤!O25</f>
        <v>0</v>
      </c>
      <c r="AA28" s="162">
        <f t="shared" ref="AA28:AA37" si="61">(J28/L28*Z28)*0.5</f>
        <v>0</v>
      </c>
      <c r="AB28" s="150">
        <f>考勤!P25</f>
        <v>0</v>
      </c>
      <c r="AC28" s="162">
        <f t="shared" ref="AC28:AC37" si="62">(J28/L28*AB28)*0.8</f>
        <v>0</v>
      </c>
      <c r="AD28" s="163">
        <f>考勤!W25</f>
        <v>0</v>
      </c>
      <c r="AE28" s="161">
        <f>考勤!X25</f>
        <v>0</v>
      </c>
      <c r="AF28" s="161">
        <f>考勤!Y25</f>
        <v>0</v>
      </c>
      <c r="AG28" s="161">
        <f>考勤!Z25</f>
        <v>0</v>
      </c>
      <c r="AH28" s="161">
        <v>0</v>
      </c>
      <c r="AI28" s="164"/>
      <c r="AJ28" s="165">
        <f t="shared" ref="AJ28:AJ34" si="63">IF(M28+Q28+Z28+N28+O28+AB28&lt;=25.5,0,20)</f>
        <v>20</v>
      </c>
      <c r="AK28" s="166">
        <v>11</v>
      </c>
      <c r="AL28" s="167">
        <v>90</v>
      </c>
      <c r="AM28" s="172"/>
      <c r="AN28" s="273"/>
      <c r="AO28" s="169">
        <v>10</v>
      </c>
      <c r="AP28" s="231">
        <f t="shared" ref="AP28:AP35" si="64">10/26*(M28+N28+O28)</f>
        <v>10</v>
      </c>
      <c r="AQ28" s="170">
        <f t="shared" ref="AQ28:AQ37" si="65">ROUND(SUM(U28,X28,Y28,AA28,AE28,AF28,AJ28,AK28,AL28,AN28,AO28,AP28,AG28,AI28,AH28,AC28,AM28),2)</f>
        <v>393.19</v>
      </c>
      <c r="AR28" s="171">
        <v>100</v>
      </c>
      <c r="AS28" s="172">
        <f t="shared" ref="AS28:AS37" si="66">ROUND(IF(YEARFRAC(E28,$BS$5)&gt;=60,"0",IF(AQ28&lt;=400000/$BT$5,400000/$BT$5*$BU$5,IF(AQ28&lt;=1200000/$BT$5,AQ28*$BU$5,IF(AQ28&gt;1200000/$BT$5,1200000/$BT$5*$BU$5)))),2)</f>
        <v>5.9</v>
      </c>
      <c r="AT28" s="170">
        <f>AQ28-AS28</f>
        <v>387.29</v>
      </c>
      <c r="AU28" s="159">
        <f t="shared" ref="AU28:AU34" si="67">AT28*$AU$6</f>
        <v>1571235.53</v>
      </c>
      <c r="AV28" s="159">
        <v>0</v>
      </c>
      <c r="AW28" s="159">
        <v>0</v>
      </c>
      <c r="AX28" s="159">
        <f>(AV28+AW28)*150000</f>
        <v>0</v>
      </c>
      <c r="AY28" s="159">
        <f>AU28-AX28</f>
        <v>1571235.53</v>
      </c>
      <c r="AZ28" s="173" t="str">
        <f>IF(AY28&lt;=1500000,"0%",IF(AY28&lt;=2000000,"5%",IF(AY28&lt;=8500000,"10%",IF(AY28&lt;=12500000,"15%",IF(AY28&lt;=12500001,"20%")))))</f>
        <v>5%</v>
      </c>
      <c r="BA28" s="174">
        <f>IF(AY28&lt;=1500000,0,IF(AND(AY28&gt;1500001,AY28&lt;=2000000),((AY28*0.05)-75000),IF(AND(AY28&gt;2000001,AY28&lt;=8500000),((AY28*0.1)-175000),IF(AND(AY28&gt;=8500001,AY28&lt;=12500000),((AY28*0.15)-600000),IF(AY28&gt;=12500001,(AY28*0.2-1225000))))))</f>
        <v>3561.7765000000072</v>
      </c>
      <c r="BB28" s="175">
        <f>BA28/$AU$6</f>
        <v>0.8779335716046357</v>
      </c>
      <c r="BC28" s="176">
        <f>AQ28-(AS28+BB28+AR28)</f>
        <v>286.41206642839535</v>
      </c>
      <c r="BD28" s="155">
        <f t="shared" ref="BD28:BD34" si="68">ROUND(SUM(BC28),0)</f>
        <v>286</v>
      </c>
      <c r="BE28" s="155">
        <f t="shared" ref="BE28:BE34" si="69">INT(BD28)</f>
        <v>286</v>
      </c>
      <c r="BF28" s="177"/>
      <c r="BG28" s="158">
        <f t="shared" ref="BG28:BG34" si="70">INT(BE28/100)</f>
        <v>2</v>
      </c>
      <c r="BH28" s="158">
        <f t="shared" ref="BH28:BH34" si="71">INT(MOD(BE28,100)/50)</f>
        <v>1</v>
      </c>
      <c r="BI28" s="158">
        <f t="shared" ref="BI28:BI34" si="72">INT(MOD(MOD(BE28,100),50)/20)</f>
        <v>1</v>
      </c>
      <c r="BJ28" s="158">
        <f t="shared" ref="BJ28:BJ34" si="73">INT(MOD(MOD(MOD(BE28,100),50),20)/10)</f>
        <v>1</v>
      </c>
      <c r="BK28" s="158">
        <f t="shared" ref="BK28:BK34" si="74">INT(MOD(MOD(MOD(MOD(BE28,100),50),20),10)/5)</f>
        <v>1</v>
      </c>
      <c r="BL28" s="158">
        <f t="shared" ref="BL28:BL34" si="75">INT(MOD(MOD(MOD(MOD(MOD(BE28,100),50),20),10),5)/1)</f>
        <v>1</v>
      </c>
      <c r="BM28" s="158">
        <f t="shared" ref="BM28:BM34" si="76">BG28*100+BH28*50+BI28*20+BJ28*10+BK28*5+BL28</f>
        <v>286</v>
      </c>
      <c r="BN28" s="178"/>
      <c r="BO28" s="179"/>
      <c r="BP28" s="237"/>
      <c r="BQ28" s="234"/>
      <c r="BR28" s="235"/>
    </row>
    <row r="29" spans="1:72" s="262" customFormat="1" ht="47.25" customHeight="1">
      <c r="A29" s="158">
        <v>21</v>
      </c>
      <c r="B29" s="259" t="s">
        <v>344</v>
      </c>
      <c r="C29" s="152" t="s">
        <v>102</v>
      </c>
      <c r="D29" s="152">
        <v>101160905</v>
      </c>
      <c r="E29" s="255">
        <v>34126</v>
      </c>
      <c r="F29" s="249" t="s">
        <v>473</v>
      </c>
      <c r="G29" s="154" t="s">
        <v>21</v>
      </c>
      <c r="H29" s="250" t="s">
        <v>4</v>
      </c>
      <c r="I29" s="150" t="s">
        <v>14</v>
      </c>
      <c r="J29" s="155">
        <v>204</v>
      </c>
      <c r="K29" s="156">
        <v>41954</v>
      </c>
      <c r="L29" s="224">
        <v>26</v>
      </c>
      <c r="M29" s="158">
        <f>考勤!F26</f>
        <v>24</v>
      </c>
      <c r="N29" s="158">
        <f>考勤!T26</f>
        <v>1</v>
      </c>
      <c r="O29" s="158">
        <f>考勤!Q26</f>
        <v>1</v>
      </c>
      <c r="P29" s="159">
        <f>考勤!K26</f>
        <v>0</v>
      </c>
      <c r="Q29" s="159">
        <f>考勤!L26</f>
        <v>0</v>
      </c>
      <c r="R29" s="158">
        <f t="shared" ref="R29:R35" si="77">(M29+O29)*8</f>
        <v>200</v>
      </c>
      <c r="S29" s="225">
        <f t="shared" si="58"/>
        <v>7.8461538461538458</v>
      </c>
      <c r="T29" s="225"/>
      <c r="U29" s="175">
        <f t="shared" ref="U29:U35" si="78">S29*(M29+N29+O29)</f>
        <v>204</v>
      </c>
      <c r="V29" s="158">
        <f>考勤!N26</f>
        <v>28</v>
      </c>
      <c r="W29" s="158">
        <f t="shared" ref="W29:W34" si="79">V29/2</f>
        <v>14</v>
      </c>
      <c r="X29" s="226">
        <f t="shared" si="59"/>
        <v>41.192307692307693</v>
      </c>
      <c r="Y29" s="175">
        <f t="shared" si="60"/>
        <v>7</v>
      </c>
      <c r="Z29" s="158">
        <f>考勤!O26</f>
        <v>0</v>
      </c>
      <c r="AA29" s="226">
        <f t="shared" si="61"/>
        <v>0</v>
      </c>
      <c r="AB29" s="158">
        <f>考勤!P26</f>
        <v>0</v>
      </c>
      <c r="AC29" s="226">
        <f t="shared" si="62"/>
        <v>0</v>
      </c>
      <c r="AD29" s="274">
        <f>考勤!W26</f>
        <v>0</v>
      </c>
      <c r="AE29" s="175">
        <f>考勤!X26</f>
        <v>0</v>
      </c>
      <c r="AF29" s="175">
        <f>考勤!Y26</f>
        <v>0</v>
      </c>
      <c r="AG29" s="175">
        <f>考勤!Z26</f>
        <v>0</v>
      </c>
      <c r="AH29" s="175">
        <v>0</v>
      </c>
      <c r="AI29" s="227"/>
      <c r="AJ29" s="228">
        <f t="shared" si="63"/>
        <v>20</v>
      </c>
      <c r="AK29" s="229">
        <v>10</v>
      </c>
      <c r="AL29" s="230"/>
      <c r="AM29" s="172"/>
      <c r="AN29" s="273"/>
      <c r="AO29" s="171">
        <v>10</v>
      </c>
      <c r="AP29" s="231">
        <f t="shared" si="64"/>
        <v>10</v>
      </c>
      <c r="AQ29" s="170">
        <f t="shared" si="65"/>
        <v>302.19</v>
      </c>
      <c r="AR29" s="171">
        <v>100</v>
      </c>
      <c r="AS29" s="172">
        <f t="shared" si="66"/>
        <v>5.9</v>
      </c>
      <c r="AT29" s="170">
        <f t="shared" ref="AT29:AT35" si="80">AQ29-AS29</f>
        <v>296.29000000000002</v>
      </c>
      <c r="AU29" s="159">
        <f t="shared" si="67"/>
        <v>1202048.53</v>
      </c>
      <c r="AV29" s="159">
        <v>0</v>
      </c>
      <c r="AW29" s="159">
        <v>0</v>
      </c>
      <c r="AX29" s="159">
        <f t="shared" ref="AX29:AX47" si="81">(AV29+AW29)*150000</f>
        <v>0</v>
      </c>
      <c r="AY29" s="159">
        <f t="shared" ref="AY29:AY47" si="82">AU29-AX29</f>
        <v>1202048.53</v>
      </c>
      <c r="AZ29" s="173" t="str">
        <f t="shared" ref="AZ29:AZ34" si="83">IF(AY29&lt;=1500000,"0%",IF(AY29&lt;=2000000,"5%",IF(AY29&lt;=8500000,"10%",IF(AY29&lt;=12500000,"15%",IF(AY29&lt;=12500001,"20%")))))</f>
        <v>0%</v>
      </c>
      <c r="BA29" s="232">
        <f t="shared" ref="BA29:BA34" si="84">IF(AY29&lt;=1500000,0,IF(AND(AY29&gt;1500001,AY29&lt;=2000000),((AY29*0.05)-75000),IF(AND(AY29&gt;2000001,AY29&lt;=8500000),((AY29*0.1)-175000),IF(AND(AY29&gt;=8500001,AY29&lt;=12500000),((AY29*0.15)-600000),IF(AY29&gt;=12500001,(AY29*0.2-1225000))))))</f>
        <v>0</v>
      </c>
      <c r="BB29" s="175">
        <f t="shared" ref="BB29:BB34" si="85">BA29/$AU$6</f>
        <v>0</v>
      </c>
      <c r="BC29" s="176">
        <f t="shared" ref="BC29:BC37" si="86">AQ29-(AS29+BB29+AR29)</f>
        <v>196.29</v>
      </c>
      <c r="BD29" s="155">
        <f t="shared" si="68"/>
        <v>196</v>
      </c>
      <c r="BE29" s="155">
        <f t="shared" si="69"/>
        <v>196</v>
      </c>
      <c r="BF29" s="177"/>
      <c r="BG29" s="158">
        <f t="shared" si="70"/>
        <v>1</v>
      </c>
      <c r="BH29" s="158">
        <f t="shared" si="71"/>
        <v>1</v>
      </c>
      <c r="BI29" s="158">
        <f t="shared" si="72"/>
        <v>2</v>
      </c>
      <c r="BJ29" s="158">
        <f t="shared" si="73"/>
        <v>0</v>
      </c>
      <c r="BK29" s="158">
        <f t="shared" si="74"/>
        <v>1</v>
      </c>
      <c r="BL29" s="158">
        <f t="shared" si="75"/>
        <v>1</v>
      </c>
      <c r="BM29" s="158">
        <f t="shared" si="76"/>
        <v>196</v>
      </c>
      <c r="BN29" s="178"/>
      <c r="BO29" s="179"/>
      <c r="BP29" s="237"/>
      <c r="BQ29" s="234"/>
      <c r="BR29" s="235"/>
    </row>
    <row r="30" spans="1:72" s="262" customFormat="1" ht="47.25" customHeight="1">
      <c r="A30" s="158">
        <v>22</v>
      </c>
      <c r="B30" s="259" t="s">
        <v>345</v>
      </c>
      <c r="C30" s="152" t="s">
        <v>103</v>
      </c>
      <c r="D30" s="152">
        <v>110587226</v>
      </c>
      <c r="E30" s="255">
        <v>32561</v>
      </c>
      <c r="F30" s="249" t="s">
        <v>473</v>
      </c>
      <c r="G30" s="154" t="s">
        <v>21</v>
      </c>
      <c r="H30" s="250" t="s">
        <v>4</v>
      </c>
      <c r="I30" s="150" t="s">
        <v>15</v>
      </c>
      <c r="J30" s="155">
        <v>204</v>
      </c>
      <c r="K30" s="156">
        <v>42019</v>
      </c>
      <c r="L30" s="224">
        <v>26</v>
      </c>
      <c r="M30" s="158">
        <f>考勤!F27</f>
        <v>24</v>
      </c>
      <c r="N30" s="158">
        <f>考勤!T27</f>
        <v>1</v>
      </c>
      <c r="O30" s="158">
        <f>考勤!Q27</f>
        <v>1</v>
      </c>
      <c r="P30" s="159">
        <f>考勤!K27</f>
        <v>0</v>
      </c>
      <c r="Q30" s="159">
        <f>考勤!L27</f>
        <v>0</v>
      </c>
      <c r="R30" s="158">
        <f t="shared" si="77"/>
        <v>200</v>
      </c>
      <c r="S30" s="225">
        <f t="shared" si="58"/>
        <v>7.8461538461538458</v>
      </c>
      <c r="T30" s="225"/>
      <c r="U30" s="175">
        <f t="shared" si="78"/>
        <v>204</v>
      </c>
      <c r="V30" s="158">
        <f>考勤!N27</f>
        <v>28</v>
      </c>
      <c r="W30" s="158">
        <f t="shared" si="79"/>
        <v>14</v>
      </c>
      <c r="X30" s="226">
        <f t="shared" si="59"/>
        <v>41.192307692307693</v>
      </c>
      <c r="Y30" s="175">
        <f t="shared" si="60"/>
        <v>7</v>
      </c>
      <c r="Z30" s="158">
        <f>考勤!O27</f>
        <v>0</v>
      </c>
      <c r="AA30" s="226">
        <f t="shared" si="61"/>
        <v>0</v>
      </c>
      <c r="AB30" s="158">
        <f>考勤!P27</f>
        <v>0</v>
      </c>
      <c r="AC30" s="226">
        <f t="shared" si="62"/>
        <v>0</v>
      </c>
      <c r="AD30" s="274">
        <f>考勤!W27</f>
        <v>0</v>
      </c>
      <c r="AE30" s="175">
        <f>考勤!X27</f>
        <v>0</v>
      </c>
      <c r="AF30" s="175">
        <f>考勤!Y27</f>
        <v>0</v>
      </c>
      <c r="AG30" s="175">
        <f>考勤!Z27</f>
        <v>0</v>
      </c>
      <c r="AH30" s="175">
        <v>0</v>
      </c>
      <c r="AI30" s="227"/>
      <c r="AJ30" s="228">
        <f t="shared" si="63"/>
        <v>20</v>
      </c>
      <c r="AK30" s="229">
        <v>10</v>
      </c>
      <c r="AL30" s="230">
        <v>20</v>
      </c>
      <c r="AM30" s="172"/>
      <c r="AN30" s="273"/>
      <c r="AO30" s="171">
        <v>10</v>
      </c>
      <c r="AP30" s="231">
        <f t="shared" si="64"/>
        <v>10</v>
      </c>
      <c r="AQ30" s="170">
        <f t="shared" si="65"/>
        <v>322.19</v>
      </c>
      <c r="AR30" s="171">
        <v>100</v>
      </c>
      <c r="AS30" s="172">
        <f t="shared" si="66"/>
        <v>5.9</v>
      </c>
      <c r="AT30" s="170">
        <f t="shared" si="80"/>
        <v>316.29000000000002</v>
      </c>
      <c r="AU30" s="159">
        <f t="shared" si="67"/>
        <v>1283188.53</v>
      </c>
      <c r="AV30" s="159">
        <v>0</v>
      </c>
      <c r="AW30" s="159">
        <v>0</v>
      </c>
      <c r="AX30" s="159">
        <f t="shared" si="81"/>
        <v>0</v>
      </c>
      <c r="AY30" s="159">
        <f t="shared" si="82"/>
        <v>1283188.53</v>
      </c>
      <c r="AZ30" s="173" t="str">
        <f t="shared" si="83"/>
        <v>0%</v>
      </c>
      <c r="BA30" s="232">
        <f t="shared" si="84"/>
        <v>0</v>
      </c>
      <c r="BB30" s="175">
        <f t="shared" si="85"/>
        <v>0</v>
      </c>
      <c r="BC30" s="176">
        <f t="shared" si="86"/>
        <v>216.29</v>
      </c>
      <c r="BD30" s="155">
        <f t="shared" si="68"/>
        <v>216</v>
      </c>
      <c r="BE30" s="155">
        <f t="shared" si="69"/>
        <v>216</v>
      </c>
      <c r="BF30" s="177"/>
      <c r="BG30" s="158">
        <f t="shared" si="70"/>
        <v>2</v>
      </c>
      <c r="BH30" s="158">
        <f t="shared" si="71"/>
        <v>0</v>
      </c>
      <c r="BI30" s="158">
        <f t="shared" si="72"/>
        <v>0</v>
      </c>
      <c r="BJ30" s="158">
        <f t="shared" si="73"/>
        <v>1</v>
      </c>
      <c r="BK30" s="158">
        <f t="shared" si="74"/>
        <v>1</v>
      </c>
      <c r="BL30" s="158">
        <f t="shared" si="75"/>
        <v>1</v>
      </c>
      <c r="BM30" s="158">
        <f t="shared" si="76"/>
        <v>216</v>
      </c>
      <c r="BN30" s="178"/>
      <c r="BO30" s="179"/>
      <c r="BP30" s="237"/>
      <c r="BQ30" s="234"/>
      <c r="BR30" s="235"/>
    </row>
    <row r="31" spans="1:72" s="262" customFormat="1" ht="47.25" customHeight="1">
      <c r="A31" s="158">
        <v>23</v>
      </c>
      <c r="B31" s="259" t="s">
        <v>346</v>
      </c>
      <c r="C31" s="152" t="s">
        <v>104</v>
      </c>
      <c r="D31" s="152">
        <v>100709176</v>
      </c>
      <c r="E31" s="255">
        <v>35284</v>
      </c>
      <c r="F31" s="249" t="s">
        <v>473</v>
      </c>
      <c r="G31" s="154" t="s">
        <v>21</v>
      </c>
      <c r="H31" s="250" t="s">
        <v>4</v>
      </c>
      <c r="I31" s="150" t="s">
        <v>15</v>
      </c>
      <c r="J31" s="155">
        <v>204</v>
      </c>
      <c r="K31" s="156">
        <v>42338</v>
      </c>
      <c r="L31" s="224">
        <v>26</v>
      </c>
      <c r="M31" s="158">
        <f>考勤!F28</f>
        <v>24</v>
      </c>
      <c r="N31" s="158">
        <f>考勤!T28</f>
        <v>1</v>
      </c>
      <c r="O31" s="158">
        <f>考勤!Q28</f>
        <v>1</v>
      </c>
      <c r="P31" s="159">
        <f>考勤!K28</f>
        <v>0</v>
      </c>
      <c r="Q31" s="159">
        <f>考勤!L28</f>
        <v>0</v>
      </c>
      <c r="R31" s="158">
        <f t="shared" si="77"/>
        <v>200</v>
      </c>
      <c r="S31" s="225">
        <f t="shared" si="58"/>
        <v>7.8461538461538458</v>
      </c>
      <c r="T31" s="225"/>
      <c r="U31" s="175">
        <f t="shared" si="78"/>
        <v>204</v>
      </c>
      <c r="V31" s="158">
        <f>考勤!N28</f>
        <v>28</v>
      </c>
      <c r="W31" s="158">
        <f t="shared" si="79"/>
        <v>14</v>
      </c>
      <c r="X31" s="226">
        <f t="shared" si="59"/>
        <v>41.192307692307693</v>
      </c>
      <c r="Y31" s="175">
        <f t="shared" si="60"/>
        <v>7</v>
      </c>
      <c r="Z31" s="158">
        <f>考勤!O28</f>
        <v>0</v>
      </c>
      <c r="AA31" s="226">
        <f t="shared" si="61"/>
        <v>0</v>
      </c>
      <c r="AB31" s="158">
        <f>考勤!P28</f>
        <v>0</v>
      </c>
      <c r="AC31" s="226">
        <f t="shared" si="62"/>
        <v>0</v>
      </c>
      <c r="AD31" s="274">
        <f>考勤!W28</f>
        <v>0</v>
      </c>
      <c r="AE31" s="175">
        <f>考勤!X28</f>
        <v>0</v>
      </c>
      <c r="AF31" s="175">
        <f>考勤!Y28</f>
        <v>0</v>
      </c>
      <c r="AG31" s="175">
        <f>考勤!Z28</f>
        <v>0</v>
      </c>
      <c r="AH31" s="175">
        <v>0</v>
      </c>
      <c r="AI31" s="227"/>
      <c r="AJ31" s="228">
        <f t="shared" si="63"/>
        <v>20</v>
      </c>
      <c r="AK31" s="229">
        <v>9</v>
      </c>
      <c r="AL31" s="230"/>
      <c r="AM31" s="172"/>
      <c r="AN31" s="273"/>
      <c r="AO31" s="171">
        <v>10</v>
      </c>
      <c r="AP31" s="231">
        <f t="shared" si="64"/>
        <v>10</v>
      </c>
      <c r="AQ31" s="170">
        <f t="shared" si="65"/>
        <v>301.19</v>
      </c>
      <c r="AR31" s="171">
        <v>100</v>
      </c>
      <c r="AS31" s="172">
        <f t="shared" si="66"/>
        <v>5.9</v>
      </c>
      <c r="AT31" s="170">
        <f t="shared" si="80"/>
        <v>295.29000000000002</v>
      </c>
      <c r="AU31" s="159">
        <f t="shared" si="67"/>
        <v>1197991.53</v>
      </c>
      <c r="AV31" s="159">
        <v>0</v>
      </c>
      <c r="AW31" s="159">
        <v>0</v>
      </c>
      <c r="AX31" s="159">
        <f t="shared" si="81"/>
        <v>0</v>
      </c>
      <c r="AY31" s="159">
        <f t="shared" si="82"/>
        <v>1197991.53</v>
      </c>
      <c r="AZ31" s="173" t="str">
        <f t="shared" si="83"/>
        <v>0%</v>
      </c>
      <c r="BA31" s="232">
        <f t="shared" si="84"/>
        <v>0</v>
      </c>
      <c r="BB31" s="175">
        <f t="shared" si="85"/>
        <v>0</v>
      </c>
      <c r="BC31" s="176">
        <f t="shared" si="86"/>
        <v>195.29</v>
      </c>
      <c r="BD31" s="155">
        <f t="shared" si="68"/>
        <v>195</v>
      </c>
      <c r="BE31" s="155">
        <f t="shared" si="69"/>
        <v>195</v>
      </c>
      <c r="BF31" s="177"/>
      <c r="BG31" s="158">
        <f t="shared" si="70"/>
        <v>1</v>
      </c>
      <c r="BH31" s="158">
        <f t="shared" si="71"/>
        <v>1</v>
      </c>
      <c r="BI31" s="158">
        <f t="shared" si="72"/>
        <v>2</v>
      </c>
      <c r="BJ31" s="158">
        <f t="shared" si="73"/>
        <v>0</v>
      </c>
      <c r="BK31" s="158">
        <f t="shared" si="74"/>
        <v>1</v>
      </c>
      <c r="BL31" s="158">
        <f t="shared" si="75"/>
        <v>0</v>
      </c>
      <c r="BM31" s="158">
        <f t="shared" si="76"/>
        <v>195</v>
      </c>
      <c r="BN31" s="178"/>
      <c r="BO31" s="179"/>
      <c r="BP31" s="237"/>
      <c r="BQ31" s="234"/>
      <c r="BR31" s="235"/>
    </row>
    <row r="32" spans="1:72" s="262" customFormat="1" ht="47.25" customHeight="1">
      <c r="A32" s="158">
        <v>24</v>
      </c>
      <c r="B32" s="259" t="s">
        <v>347</v>
      </c>
      <c r="C32" s="152" t="s">
        <v>105</v>
      </c>
      <c r="D32" s="152">
        <v>130221596</v>
      </c>
      <c r="E32" s="255">
        <v>35892</v>
      </c>
      <c r="F32" s="249" t="s">
        <v>473</v>
      </c>
      <c r="G32" s="154" t="s">
        <v>21</v>
      </c>
      <c r="H32" s="250" t="s">
        <v>4</v>
      </c>
      <c r="I32" s="150" t="s">
        <v>14</v>
      </c>
      <c r="J32" s="155">
        <v>204</v>
      </c>
      <c r="K32" s="156">
        <v>43119</v>
      </c>
      <c r="L32" s="224">
        <v>26</v>
      </c>
      <c r="M32" s="158">
        <f>考勤!F29</f>
        <v>22</v>
      </c>
      <c r="N32" s="158">
        <f>考勤!T29</f>
        <v>1</v>
      </c>
      <c r="O32" s="158">
        <f>考勤!Q29</f>
        <v>1</v>
      </c>
      <c r="P32" s="159">
        <f>考勤!K29</f>
        <v>2</v>
      </c>
      <c r="Q32" s="159">
        <f>考勤!L29</f>
        <v>0</v>
      </c>
      <c r="R32" s="158">
        <f t="shared" si="77"/>
        <v>184</v>
      </c>
      <c r="S32" s="225">
        <f t="shared" si="58"/>
        <v>7.8461538461538458</v>
      </c>
      <c r="T32" s="225"/>
      <c r="U32" s="175">
        <f t="shared" si="78"/>
        <v>188.30769230769229</v>
      </c>
      <c r="V32" s="158">
        <f>考勤!N29</f>
        <v>14</v>
      </c>
      <c r="W32" s="158">
        <f t="shared" si="79"/>
        <v>7</v>
      </c>
      <c r="X32" s="226">
        <f t="shared" si="59"/>
        <v>20.596153846153847</v>
      </c>
      <c r="Y32" s="175">
        <f t="shared" si="60"/>
        <v>3.5</v>
      </c>
      <c r="Z32" s="158">
        <f>考勤!O29</f>
        <v>0</v>
      </c>
      <c r="AA32" s="226">
        <f t="shared" si="61"/>
        <v>0</v>
      </c>
      <c r="AB32" s="158">
        <f>考勤!P29</f>
        <v>0</v>
      </c>
      <c r="AC32" s="226">
        <f t="shared" si="62"/>
        <v>0</v>
      </c>
      <c r="AD32" s="274">
        <f>考勤!W29</f>
        <v>0</v>
      </c>
      <c r="AE32" s="175">
        <f>考勤!X29</f>
        <v>0</v>
      </c>
      <c r="AF32" s="175">
        <f>考勤!Y29</f>
        <v>0</v>
      </c>
      <c r="AG32" s="175">
        <f>考勤!Z29</f>
        <v>0</v>
      </c>
      <c r="AH32" s="175">
        <v>0</v>
      </c>
      <c r="AI32" s="227"/>
      <c r="AJ32" s="228">
        <f>IF(M32+Q32+Z32+N32+O32+AB32&lt;=25.5,0,20)</f>
        <v>0</v>
      </c>
      <c r="AK32" s="229">
        <v>7</v>
      </c>
      <c r="AL32" s="230"/>
      <c r="AM32" s="172"/>
      <c r="AN32" s="273"/>
      <c r="AO32" s="171">
        <v>10</v>
      </c>
      <c r="AP32" s="231">
        <f>10/26*(M32+N32+O32)</f>
        <v>9.2307692307692317</v>
      </c>
      <c r="AQ32" s="170">
        <f t="shared" si="65"/>
        <v>238.63</v>
      </c>
      <c r="AR32" s="171">
        <v>50</v>
      </c>
      <c r="AS32" s="172">
        <f t="shared" si="66"/>
        <v>4.7699999999999996</v>
      </c>
      <c r="AT32" s="170">
        <f t="shared" si="80"/>
        <v>233.85999999999999</v>
      </c>
      <c r="AU32" s="159">
        <f t="shared" si="67"/>
        <v>948770.0199999999</v>
      </c>
      <c r="AV32" s="159">
        <v>0</v>
      </c>
      <c r="AW32" s="159">
        <v>0</v>
      </c>
      <c r="AX32" s="159">
        <f t="shared" si="81"/>
        <v>0</v>
      </c>
      <c r="AY32" s="159">
        <f t="shared" si="82"/>
        <v>948770.0199999999</v>
      </c>
      <c r="AZ32" s="173" t="str">
        <f t="shared" si="83"/>
        <v>0%</v>
      </c>
      <c r="BA32" s="232">
        <f t="shared" si="84"/>
        <v>0</v>
      </c>
      <c r="BB32" s="175">
        <f t="shared" si="85"/>
        <v>0</v>
      </c>
      <c r="BC32" s="176">
        <f t="shared" si="86"/>
        <v>183.86</v>
      </c>
      <c r="BD32" s="155">
        <f t="shared" si="68"/>
        <v>184</v>
      </c>
      <c r="BE32" s="155">
        <f t="shared" si="69"/>
        <v>184</v>
      </c>
      <c r="BF32" s="177"/>
      <c r="BG32" s="158">
        <f t="shared" si="70"/>
        <v>1</v>
      </c>
      <c r="BH32" s="158">
        <f t="shared" si="71"/>
        <v>1</v>
      </c>
      <c r="BI32" s="158">
        <f t="shared" si="72"/>
        <v>1</v>
      </c>
      <c r="BJ32" s="158">
        <f t="shared" si="73"/>
        <v>1</v>
      </c>
      <c r="BK32" s="158">
        <f t="shared" si="74"/>
        <v>0</v>
      </c>
      <c r="BL32" s="158">
        <f t="shared" si="75"/>
        <v>4</v>
      </c>
      <c r="BM32" s="158">
        <f t="shared" si="76"/>
        <v>184</v>
      </c>
      <c r="BN32" s="178"/>
      <c r="BO32" s="179"/>
      <c r="BP32" s="237"/>
      <c r="BQ32" s="234"/>
      <c r="BR32" s="235"/>
    </row>
    <row r="33" spans="1:70" s="262" customFormat="1" ht="47.25" customHeight="1">
      <c r="A33" s="158">
        <v>25</v>
      </c>
      <c r="B33" s="259" t="s">
        <v>348</v>
      </c>
      <c r="C33" s="152" t="s">
        <v>147</v>
      </c>
      <c r="D33" s="152">
        <v>130196673</v>
      </c>
      <c r="E33" s="255">
        <v>29434</v>
      </c>
      <c r="F33" s="249" t="s">
        <v>473</v>
      </c>
      <c r="G33" s="154" t="s">
        <v>21</v>
      </c>
      <c r="H33" s="250" t="s">
        <v>4</v>
      </c>
      <c r="I33" s="150" t="s">
        <v>15</v>
      </c>
      <c r="J33" s="155">
        <v>204</v>
      </c>
      <c r="K33" s="156">
        <v>43412</v>
      </c>
      <c r="L33" s="224">
        <v>26</v>
      </c>
      <c r="M33" s="158">
        <f>考勤!F30</f>
        <v>23</v>
      </c>
      <c r="N33" s="158">
        <f>考勤!T30</f>
        <v>1</v>
      </c>
      <c r="O33" s="158">
        <f>考勤!Q30</f>
        <v>2</v>
      </c>
      <c r="P33" s="159">
        <f>考勤!K30</f>
        <v>0</v>
      </c>
      <c r="Q33" s="159">
        <f>考勤!L30</f>
        <v>0</v>
      </c>
      <c r="R33" s="158">
        <f t="shared" si="77"/>
        <v>200</v>
      </c>
      <c r="S33" s="225">
        <f t="shared" si="58"/>
        <v>7.8461538461538458</v>
      </c>
      <c r="T33" s="225"/>
      <c r="U33" s="175">
        <f t="shared" si="78"/>
        <v>204</v>
      </c>
      <c r="V33" s="158">
        <f>考勤!N30</f>
        <v>35</v>
      </c>
      <c r="W33" s="158">
        <f t="shared" si="79"/>
        <v>17.5</v>
      </c>
      <c r="X33" s="226">
        <f t="shared" si="59"/>
        <v>51.490384615384613</v>
      </c>
      <c r="Y33" s="175">
        <f t="shared" si="60"/>
        <v>8.75</v>
      </c>
      <c r="Z33" s="158">
        <f>考勤!O30</f>
        <v>0</v>
      </c>
      <c r="AA33" s="226">
        <f t="shared" si="61"/>
        <v>0</v>
      </c>
      <c r="AB33" s="158">
        <f>考勤!P30</f>
        <v>0</v>
      </c>
      <c r="AC33" s="226">
        <f t="shared" si="62"/>
        <v>0</v>
      </c>
      <c r="AD33" s="274">
        <f>考勤!W30</f>
        <v>0</v>
      </c>
      <c r="AE33" s="175">
        <f>考勤!X30</f>
        <v>0</v>
      </c>
      <c r="AF33" s="175">
        <f>考勤!Y30</f>
        <v>0</v>
      </c>
      <c r="AG33" s="175">
        <f>考勤!Z30</f>
        <v>0</v>
      </c>
      <c r="AH33" s="175">
        <v>0</v>
      </c>
      <c r="AI33" s="227"/>
      <c r="AJ33" s="228">
        <f t="shared" si="63"/>
        <v>20</v>
      </c>
      <c r="AK33" s="229">
        <v>6</v>
      </c>
      <c r="AL33" s="230">
        <v>50</v>
      </c>
      <c r="AM33" s="172"/>
      <c r="AN33" s="273"/>
      <c r="AO33" s="171">
        <v>10</v>
      </c>
      <c r="AP33" s="231">
        <f t="shared" si="64"/>
        <v>10</v>
      </c>
      <c r="AQ33" s="170">
        <f t="shared" si="65"/>
        <v>360.24</v>
      </c>
      <c r="AR33" s="171">
        <v>100</v>
      </c>
      <c r="AS33" s="172">
        <f t="shared" si="66"/>
        <v>5.9</v>
      </c>
      <c r="AT33" s="170">
        <f t="shared" si="80"/>
        <v>354.34000000000003</v>
      </c>
      <c r="AU33" s="159">
        <f t="shared" si="67"/>
        <v>1437557.3800000001</v>
      </c>
      <c r="AV33" s="159">
        <v>0</v>
      </c>
      <c r="AW33" s="159">
        <v>0</v>
      </c>
      <c r="AX33" s="159">
        <f t="shared" si="81"/>
        <v>0</v>
      </c>
      <c r="AY33" s="159">
        <f t="shared" si="82"/>
        <v>1437557.3800000001</v>
      </c>
      <c r="AZ33" s="173" t="str">
        <f t="shared" si="83"/>
        <v>0%</v>
      </c>
      <c r="BA33" s="232">
        <f t="shared" si="84"/>
        <v>0</v>
      </c>
      <c r="BB33" s="175">
        <f t="shared" si="85"/>
        <v>0</v>
      </c>
      <c r="BC33" s="176">
        <f t="shared" si="86"/>
        <v>254.34</v>
      </c>
      <c r="BD33" s="155">
        <f t="shared" si="68"/>
        <v>254</v>
      </c>
      <c r="BE33" s="155">
        <f t="shared" si="69"/>
        <v>254</v>
      </c>
      <c r="BF33" s="177"/>
      <c r="BG33" s="158">
        <f t="shared" si="70"/>
        <v>2</v>
      </c>
      <c r="BH33" s="158">
        <f t="shared" si="71"/>
        <v>1</v>
      </c>
      <c r="BI33" s="158">
        <f t="shared" si="72"/>
        <v>0</v>
      </c>
      <c r="BJ33" s="158">
        <f t="shared" si="73"/>
        <v>0</v>
      </c>
      <c r="BK33" s="158">
        <f t="shared" si="74"/>
        <v>0</v>
      </c>
      <c r="BL33" s="158">
        <f t="shared" si="75"/>
        <v>4</v>
      </c>
      <c r="BM33" s="158">
        <f t="shared" si="76"/>
        <v>254</v>
      </c>
      <c r="BN33" s="178"/>
      <c r="BO33" s="179"/>
      <c r="BP33" s="237"/>
      <c r="BQ33" s="234"/>
      <c r="BR33" s="235"/>
    </row>
    <row r="34" spans="1:70" s="262" customFormat="1" ht="47.25" customHeight="1">
      <c r="A34" s="158">
        <v>26</v>
      </c>
      <c r="B34" s="259" t="s">
        <v>349</v>
      </c>
      <c r="C34" s="152" t="s">
        <v>194</v>
      </c>
      <c r="D34" s="152">
        <v>130205741</v>
      </c>
      <c r="E34" s="255">
        <v>30750</v>
      </c>
      <c r="F34" s="249" t="s">
        <v>473</v>
      </c>
      <c r="G34" s="154" t="s">
        <v>21</v>
      </c>
      <c r="H34" s="250" t="s">
        <v>4</v>
      </c>
      <c r="I34" s="150" t="s">
        <v>87</v>
      </c>
      <c r="J34" s="155">
        <v>204</v>
      </c>
      <c r="K34" s="156">
        <v>43816</v>
      </c>
      <c r="L34" s="224">
        <v>26</v>
      </c>
      <c r="M34" s="158">
        <f>考勤!F31</f>
        <v>24</v>
      </c>
      <c r="N34" s="158">
        <f>考勤!T31</f>
        <v>1</v>
      </c>
      <c r="O34" s="158">
        <f>考勤!Q31</f>
        <v>1</v>
      </c>
      <c r="P34" s="159">
        <f>考勤!K31</f>
        <v>0</v>
      </c>
      <c r="Q34" s="159">
        <f>考勤!L31</f>
        <v>0</v>
      </c>
      <c r="R34" s="158">
        <f t="shared" si="77"/>
        <v>200</v>
      </c>
      <c r="S34" s="225">
        <f t="shared" si="58"/>
        <v>7.8461538461538458</v>
      </c>
      <c r="T34" s="225"/>
      <c r="U34" s="175">
        <f t="shared" si="78"/>
        <v>204</v>
      </c>
      <c r="V34" s="158">
        <f>考勤!N31</f>
        <v>26</v>
      </c>
      <c r="W34" s="158">
        <f t="shared" si="79"/>
        <v>13</v>
      </c>
      <c r="X34" s="226">
        <f t="shared" si="59"/>
        <v>38.25</v>
      </c>
      <c r="Y34" s="175">
        <f t="shared" si="60"/>
        <v>6.5</v>
      </c>
      <c r="Z34" s="158">
        <f>考勤!O31</f>
        <v>0</v>
      </c>
      <c r="AA34" s="226">
        <f t="shared" si="61"/>
        <v>0</v>
      </c>
      <c r="AB34" s="158">
        <f>考勤!P31</f>
        <v>0</v>
      </c>
      <c r="AC34" s="226">
        <f t="shared" si="62"/>
        <v>0</v>
      </c>
      <c r="AD34" s="274">
        <f>考勤!W31</f>
        <v>0</v>
      </c>
      <c r="AE34" s="175">
        <f>考勤!X31</f>
        <v>0</v>
      </c>
      <c r="AF34" s="175">
        <f>考勤!Y31</f>
        <v>0</v>
      </c>
      <c r="AG34" s="175">
        <f>考勤!Z31</f>
        <v>0</v>
      </c>
      <c r="AH34" s="175">
        <v>0</v>
      </c>
      <c r="AI34" s="227"/>
      <c r="AJ34" s="228">
        <f t="shared" si="63"/>
        <v>20</v>
      </c>
      <c r="AK34" s="229">
        <v>5</v>
      </c>
      <c r="AL34" s="230"/>
      <c r="AM34" s="172"/>
      <c r="AN34" s="273"/>
      <c r="AO34" s="171">
        <v>10</v>
      </c>
      <c r="AP34" s="231">
        <f t="shared" si="64"/>
        <v>10</v>
      </c>
      <c r="AQ34" s="170">
        <f t="shared" si="65"/>
        <v>293.75</v>
      </c>
      <c r="AR34" s="171">
        <v>100</v>
      </c>
      <c r="AS34" s="172">
        <f t="shared" si="66"/>
        <v>5.88</v>
      </c>
      <c r="AT34" s="170">
        <f t="shared" si="80"/>
        <v>287.87</v>
      </c>
      <c r="AU34" s="159">
        <f t="shared" si="67"/>
        <v>1167888.5900000001</v>
      </c>
      <c r="AV34" s="159">
        <v>0</v>
      </c>
      <c r="AW34" s="159">
        <v>0</v>
      </c>
      <c r="AX34" s="159">
        <f t="shared" si="81"/>
        <v>0</v>
      </c>
      <c r="AY34" s="159">
        <f t="shared" si="82"/>
        <v>1167888.5900000001</v>
      </c>
      <c r="AZ34" s="173" t="str">
        <f t="shared" si="83"/>
        <v>0%</v>
      </c>
      <c r="BA34" s="232">
        <f t="shared" si="84"/>
        <v>0</v>
      </c>
      <c r="BB34" s="175">
        <f t="shared" si="85"/>
        <v>0</v>
      </c>
      <c r="BC34" s="176">
        <f t="shared" si="86"/>
        <v>187.87</v>
      </c>
      <c r="BD34" s="155">
        <f t="shared" si="68"/>
        <v>188</v>
      </c>
      <c r="BE34" s="155">
        <f t="shared" si="69"/>
        <v>188</v>
      </c>
      <c r="BF34" s="177"/>
      <c r="BG34" s="158">
        <f t="shared" si="70"/>
        <v>1</v>
      </c>
      <c r="BH34" s="158">
        <f t="shared" si="71"/>
        <v>1</v>
      </c>
      <c r="BI34" s="158">
        <f t="shared" si="72"/>
        <v>1</v>
      </c>
      <c r="BJ34" s="158">
        <f t="shared" si="73"/>
        <v>1</v>
      </c>
      <c r="BK34" s="158">
        <f t="shared" si="74"/>
        <v>1</v>
      </c>
      <c r="BL34" s="158">
        <f t="shared" si="75"/>
        <v>3</v>
      </c>
      <c r="BM34" s="158">
        <f t="shared" si="76"/>
        <v>188</v>
      </c>
      <c r="BN34" s="178"/>
      <c r="BO34" s="179"/>
      <c r="BP34" s="237"/>
      <c r="BQ34" s="234"/>
      <c r="BR34" s="235"/>
    </row>
    <row r="35" spans="1:70" s="262" customFormat="1" ht="47.25" customHeight="1">
      <c r="A35" s="158">
        <v>27</v>
      </c>
      <c r="B35" s="259" t="s">
        <v>350</v>
      </c>
      <c r="C35" s="247" t="s">
        <v>321</v>
      </c>
      <c r="D35" s="247" t="s">
        <v>322</v>
      </c>
      <c r="E35" s="249">
        <v>38416</v>
      </c>
      <c r="F35" s="249" t="s">
        <v>473</v>
      </c>
      <c r="G35" s="154" t="s">
        <v>21</v>
      </c>
      <c r="H35" s="250" t="s">
        <v>4</v>
      </c>
      <c r="I35" s="150" t="s">
        <v>319</v>
      </c>
      <c r="J35" s="251">
        <v>204</v>
      </c>
      <c r="K35" s="156">
        <v>45229</v>
      </c>
      <c r="L35" s="157">
        <v>26</v>
      </c>
      <c r="M35" s="150">
        <f>考勤!F32</f>
        <v>24</v>
      </c>
      <c r="N35" s="150">
        <f>考勤!T32</f>
        <v>1</v>
      </c>
      <c r="O35" s="150">
        <f>考勤!Q32</f>
        <v>1</v>
      </c>
      <c r="P35" s="163">
        <f>考勤!K32</f>
        <v>0</v>
      </c>
      <c r="Q35" s="163">
        <f>考勤!L32</f>
        <v>0</v>
      </c>
      <c r="R35" s="158">
        <f t="shared" si="77"/>
        <v>200</v>
      </c>
      <c r="S35" s="160">
        <f t="shared" si="58"/>
        <v>7.8461538461538458</v>
      </c>
      <c r="T35" s="160"/>
      <c r="U35" s="175">
        <f t="shared" si="78"/>
        <v>204</v>
      </c>
      <c r="V35" s="150">
        <f>考勤!N32</f>
        <v>28</v>
      </c>
      <c r="W35" s="150">
        <f>V35/2</f>
        <v>14</v>
      </c>
      <c r="X35" s="162">
        <f t="shared" si="59"/>
        <v>41.192307692307693</v>
      </c>
      <c r="Y35" s="161">
        <f t="shared" si="60"/>
        <v>7</v>
      </c>
      <c r="Z35" s="150">
        <f>考勤!O32</f>
        <v>0</v>
      </c>
      <c r="AA35" s="162">
        <f t="shared" si="61"/>
        <v>0</v>
      </c>
      <c r="AB35" s="150">
        <f>考勤!P32</f>
        <v>0</v>
      </c>
      <c r="AC35" s="162">
        <f t="shared" si="62"/>
        <v>0</v>
      </c>
      <c r="AD35" s="275">
        <f>考勤!W32</f>
        <v>0</v>
      </c>
      <c r="AE35" s="161">
        <f>考勤!X32</f>
        <v>0</v>
      </c>
      <c r="AF35" s="161">
        <f>考勤!Y32</f>
        <v>37.29</v>
      </c>
      <c r="AG35" s="161">
        <f>考勤!Z32</f>
        <v>0</v>
      </c>
      <c r="AH35" s="161">
        <v>0</v>
      </c>
      <c r="AI35" s="164"/>
      <c r="AJ35" s="165">
        <f>IF(M35+Q35+Z35+N35+O35+AB35&lt;=25.5,0,20)</f>
        <v>20</v>
      </c>
      <c r="AK35" s="166">
        <v>0</v>
      </c>
      <c r="AL35" s="167"/>
      <c r="AM35" s="172"/>
      <c r="AN35" s="273"/>
      <c r="AO35" s="169">
        <v>10</v>
      </c>
      <c r="AP35" s="231">
        <f t="shared" si="64"/>
        <v>10</v>
      </c>
      <c r="AQ35" s="170">
        <f t="shared" si="65"/>
        <v>329.48</v>
      </c>
      <c r="AR35" s="169">
        <v>100</v>
      </c>
      <c r="AS35" s="172">
        <f t="shared" si="66"/>
        <v>5.9</v>
      </c>
      <c r="AT35" s="170">
        <f t="shared" si="80"/>
        <v>323.58000000000004</v>
      </c>
      <c r="AU35" s="159">
        <f>AT35*$AU$6</f>
        <v>1312764.06</v>
      </c>
      <c r="AV35" s="159">
        <v>0</v>
      </c>
      <c r="AW35" s="159">
        <v>0</v>
      </c>
      <c r="AX35" s="159">
        <f>(AV35+AW35)*150000</f>
        <v>0</v>
      </c>
      <c r="AY35" s="159">
        <f>AU35-AX35</f>
        <v>1312764.06</v>
      </c>
      <c r="AZ35" s="173" t="str">
        <f>IF(AY35&lt;=1500000,"0%",IF(AY35&lt;=2000000,"5%",IF(AY35&lt;=8500000,"10%",IF(AY35&lt;=12500000,"15%",IF(AY35&lt;=12500001,"20%")))))</f>
        <v>0%</v>
      </c>
      <c r="BA35" s="232">
        <f>IF(AY35&lt;=1500000,0,IF(AND(AY35&gt;1500001,AY35&lt;=2000000),((AY35*0.05)-75000),IF(AND(AY35&gt;2000001,AY35&lt;=8500000),((AY35*0.1)-175000),IF(AND(AY35&gt;=8500001,AY35&lt;=12500000),((AY35*0.15)-600000),IF(AY35&gt;=12500001,(AY35*0.2-1225000))))))</f>
        <v>0</v>
      </c>
      <c r="BB35" s="175">
        <f>BA35/$AU$6</f>
        <v>0</v>
      </c>
      <c r="BC35" s="176">
        <f t="shared" si="86"/>
        <v>223.58</v>
      </c>
      <c r="BD35" s="155">
        <f>ROUND(SUM(BC35),0)</f>
        <v>224</v>
      </c>
      <c r="BE35" s="155">
        <f>INT(BD35)</f>
        <v>224</v>
      </c>
      <c r="BF35" s="177"/>
      <c r="BG35" s="158">
        <f>INT(BE35/100)</f>
        <v>2</v>
      </c>
      <c r="BH35" s="158">
        <f>INT(MOD(BE35,100)/50)</f>
        <v>0</v>
      </c>
      <c r="BI35" s="158">
        <f>INT(MOD(MOD(BE35,100),50)/20)</f>
        <v>1</v>
      </c>
      <c r="BJ35" s="158">
        <f>INT(MOD(MOD(MOD(BE35,100),50),20)/10)</f>
        <v>0</v>
      </c>
      <c r="BK35" s="158">
        <f>INT(MOD(MOD(MOD(MOD(BE35,100),50),20),10)/5)</f>
        <v>0</v>
      </c>
      <c r="BL35" s="158">
        <f>INT(MOD(MOD(MOD(MOD(MOD(BE35,100),50),20),10),5)/1)</f>
        <v>4</v>
      </c>
      <c r="BM35" s="158">
        <f>BG35*100+BH35*50+BI35*20+BJ35*10+BK35*5+BL35</f>
        <v>224</v>
      </c>
      <c r="BN35" s="178"/>
      <c r="BO35" s="179"/>
      <c r="BP35" s="237"/>
      <c r="BQ35" s="234"/>
      <c r="BR35" s="235"/>
    </row>
    <row r="36" spans="1:70" s="262" customFormat="1" ht="47.25" customHeight="1">
      <c r="A36" s="158">
        <v>28</v>
      </c>
      <c r="B36" s="259" t="s">
        <v>461</v>
      </c>
      <c r="C36" s="247" t="s">
        <v>462</v>
      </c>
      <c r="D36" s="247">
        <v>130218199</v>
      </c>
      <c r="E36" s="249">
        <v>36988</v>
      </c>
      <c r="F36" s="249" t="s">
        <v>473</v>
      </c>
      <c r="G36" s="154" t="s">
        <v>21</v>
      </c>
      <c r="H36" s="250" t="s">
        <v>4</v>
      </c>
      <c r="I36" s="150" t="s">
        <v>460</v>
      </c>
      <c r="J36" s="251">
        <v>204</v>
      </c>
      <c r="K36" s="156">
        <v>45453</v>
      </c>
      <c r="L36" s="157">
        <v>26</v>
      </c>
      <c r="M36" s="150">
        <f>考勤!F33</f>
        <v>24</v>
      </c>
      <c r="N36" s="150">
        <f>考勤!T33</f>
        <v>1</v>
      </c>
      <c r="O36" s="150">
        <f>考勤!Q33</f>
        <v>1</v>
      </c>
      <c r="P36" s="163">
        <f>考勤!K33</f>
        <v>0</v>
      </c>
      <c r="Q36" s="163">
        <f>考勤!L33</f>
        <v>0</v>
      </c>
      <c r="R36" s="158">
        <f>(M36+O36)*8</f>
        <v>200</v>
      </c>
      <c r="S36" s="160">
        <f t="shared" si="58"/>
        <v>7.8461538461538458</v>
      </c>
      <c r="T36" s="160"/>
      <c r="U36" s="175">
        <f>S36*(M36+N36+O36)</f>
        <v>204</v>
      </c>
      <c r="V36" s="150">
        <f>考勤!N33</f>
        <v>18</v>
      </c>
      <c r="W36" s="150">
        <f>V36/2</f>
        <v>9</v>
      </c>
      <c r="X36" s="162">
        <f t="shared" si="59"/>
        <v>26.48076923076923</v>
      </c>
      <c r="Y36" s="161">
        <f t="shared" si="60"/>
        <v>4.5</v>
      </c>
      <c r="Z36" s="150">
        <f>考勤!O33</f>
        <v>0</v>
      </c>
      <c r="AA36" s="162">
        <f t="shared" si="61"/>
        <v>0</v>
      </c>
      <c r="AB36" s="150">
        <f>考勤!P33</f>
        <v>0</v>
      </c>
      <c r="AC36" s="162">
        <f t="shared" si="62"/>
        <v>0</v>
      </c>
      <c r="AD36" s="275">
        <f>考勤!W33</f>
        <v>0</v>
      </c>
      <c r="AE36" s="161">
        <f>考勤!X33</f>
        <v>0</v>
      </c>
      <c r="AF36" s="161">
        <f>考勤!Y33</f>
        <v>0</v>
      </c>
      <c r="AG36" s="161">
        <f>考勤!Z33</f>
        <v>0</v>
      </c>
      <c r="AH36" s="161">
        <v>0</v>
      </c>
      <c r="AI36" s="164"/>
      <c r="AJ36" s="165">
        <f>IF(M36+Q36+Z36+N36+O36+AB36&lt;=25.5,0,20)</f>
        <v>20</v>
      </c>
      <c r="AK36" s="166">
        <v>0</v>
      </c>
      <c r="AL36" s="167"/>
      <c r="AM36" s="172"/>
      <c r="AN36" s="273"/>
      <c r="AO36" s="169">
        <v>10</v>
      </c>
      <c r="AP36" s="231">
        <f>10/26*(M36+N36+O36)</f>
        <v>10</v>
      </c>
      <c r="AQ36" s="170">
        <f t="shared" si="65"/>
        <v>274.98</v>
      </c>
      <c r="AR36" s="169">
        <v>100</v>
      </c>
      <c r="AS36" s="172">
        <f t="shared" si="66"/>
        <v>5.5</v>
      </c>
      <c r="AT36" s="170">
        <f>AQ36-AS36</f>
        <v>269.48</v>
      </c>
      <c r="AU36" s="159">
        <f>AT36*$AU$6</f>
        <v>1093280.3600000001</v>
      </c>
      <c r="AV36" s="159">
        <v>0</v>
      </c>
      <c r="AW36" s="159">
        <v>0</v>
      </c>
      <c r="AX36" s="159">
        <f>(AV36+AW36)*150000</f>
        <v>0</v>
      </c>
      <c r="AY36" s="159">
        <f>AU36-AX36</f>
        <v>1093280.3600000001</v>
      </c>
      <c r="AZ36" s="173" t="str">
        <f>IF(AY36&lt;=1500000,"0%",IF(AY36&lt;=2000000,"5%",IF(AY36&lt;=8500000,"10%",IF(AY36&lt;=12500000,"15%",IF(AY36&lt;=12500001,"20%")))))</f>
        <v>0%</v>
      </c>
      <c r="BA36" s="232">
        <f>IF(AY36&lt;=1500000,0,IF(AND(AY36&gt;1500001,AY36&lt;=2000000),((AY36*0.05)-75000),IF(AND(AY36&gt;2000001,AY36&lt;=8500000),((AY36*0.1)-175000),IF(AND(AY36&gt;=8500001,AY36&lt;=12500000),((AY36*0.15)-600000),IF(AY36&gt;=12500001,(AY36*0.2-1225000))))))</f>
        <v>0</v>
      </c>
      <c r="BB36" s="175">
        <f>BA36/$AU$6</f>
        <v>0</v>
      </c>
      <c r="BC36" s="176">
        <f t="shared" si="86"/>
        <v>169.48000000000002</v>
      </c>
      <c r="BD36" s="155">
        <f>ROUND(SUM(BC36),0)</f>
        <v>169</v>
      </c>
      <c r="BE36" s="155">
        <f>INT(BD36)</f>
        <v>169</v>
      </c>
      <c r="BF36" s="177"/>
      <c r="BG36" s="158">
        <f>INT(BE36/100)</f>
        <v>1</v>
      </c>
      <c r="BH36" s="158">
        <f>INT(MOD(BE36,100)/50)</f>
        <v>1</v>
      </c>
      <c r="BI36" s="158">
        <f>INT(MOD(MOD(BE36,100),50)/20)</f>
        <v>0</v>
      </c>
      <c r="BJ36" s="158">
        <f>INT(MOD(MOD(MOD(BE36,100),50),20)/10)</f>
        <v>1</v>
      </c>
      <c r="BK36" s="158">
        <f>INT(MOD(MOD(MOD(MOD(BE36,100),50),20),10)/5)</f>
        <v>1</v>
      </c>
      <c r="BL36" s="158">
        <f>INT(MOD(MOD(MOD(MOD(MOD(BE36,100),50),20),10),5)/1)</f>
        <v>4</v>
      </c>
      <c r="BM36" s="158">
        <f>BG36*100+BH36*50+BI36*20+BJ36*10+BK36*5+BL36</f>
        <v>169</v>
      </c>
      <c r="BN36" s="178"/>
      <c r="BO36" s="179"/>
      <c r="BP36" s="237"/>
      <c r="BQ36" s="234"/>
      <c r="BR36" s="235"/>
    </row>
    <row r="37" spans="1:70" s="262" customFormat="1" ht="47.25" customHeight="1">
      <c r="A37" s="158">
        <v>29</v>
      </c>
      <c r="B37" s="259" t="s">
        <v>474</v>
      </c>
      <c r="C37" s="247" t="s">
        <v>475</v>
      </c>
      <c r="D37" s="247" t="s">
        <v>476</v>
      </c>
      <c r="E37" s="249" t="s">
        <v>477</v>
      </c>
      <c r="F37" s="249" t="s">
        <v>473</v>
      </c>
      <c r="G37" s="154" t="s">
        <v>21</v>
      </c>
      <c r="H37" s="250" t="s">
        <v>4</v>
      </c>
      <c r="I37" s="150" t="s">
        <v>460</v>
      </c>
      <c r="J37" s="251">
        <v>202</v>
      </c>
      <c r="K37" s="156" t="s">
        <v>478</v>
      </c>
      <c r="L37" s="157">
        <v>26</v>
      </c>
      <c r="M37" s="150">
        <f>考勤!F34</f>
        <v>24</v>
      </c>
      <c r="N37" s="150">
        <f>考勤!T34</f>
        <v>1</v>
      </c>
      <c r="O37" s="150">
        <f>考勤!Q34</f>
        <v>1</v>
      </c>
      <c r="P37" s="163">
        <f>考勤!K34</f>
        <v>0</v>
      </c>
      <c r="Q37" s="163">
        <f>考勤!L34</f>
        <v>0</v>
      </c>
      <c r="R37" s="158">
        <f>(M37+O37)*8</f>
        <v>200</v>
      </c>
      <c r="S37" s="160">
        <f t="shared" si="58"/>
        <v>7.7692307692307692</v>
      </c>
      <c r="T37" s="160"/>
      <c r="U37" s="175">
        <f>S37*(M37+N37+O37)</f>
        <v>202</v>
      </c>
      <c r="V37" s="150">
        <f>考勤!N34</f>
        <v>28</v>
      </c>
      <c r="W37" s="150">
        <f>V37/2</f>
        <v>14</v>
      </c>
      <c r="X37" s="162">
        <f t="shared" si="59"/>
        <v>40.78846153846154</v>
      </c>
      <c r="Y37" s="161">
        <f t="shared" si="60"/>
        <v>7</v>
      </c>
      <c r="Z37" s="150">
        <f>考勤!O34</f>
        <v>0</v>
      </c>
      <c r="AA37" s="162">
        <f t="shared" si="61"/>
        <v>0</v>
      </c>
      <c r="AB37" s="150">
        <f>考勤!P34</f>
        <v>0</v>
      </c>
      <c r="AC37" s="162">
        <f t="shared" si="62"/>
        <v>0</v>
      </c>
      <c r="AD37" s="275">
        <f>考勤!W34</f>
        <v>0</v>
      </c>
      <c r="AE37" s="161">
        <f>考勤!X34</f>
        <v>0</v>
      </c>
      <c r="AF37" s="161">
        <f>考勤!Y34</f>
        <v>0</v>
      </c>
      <c r="AG37" s="161">
        <f>考勤!Z34</f>
        <v>0</v>
      </c>
      <c r="AH37" s="161">
        <v>0</v>
      </c>
      <c r="AI37" s="164"/>
      <c r="AJ37" s="165">
        <f>IF(M37+Q37+Z37+N37+O37+AB37&lt;=25.5,0,20)</f>
        <v>20</v>
      </c>
      <c r="AK37" s="166"/>
      <c r="AL37" s="167"/>
      <c r="AM37" s="168"/>
      <c r="AN37" s="273"/>
      <c r="AO37" s="169">
        <v>10</v>
      </c>
      <c r="AP37" s="231">
        <f>10/26*(M37+N37+O37)</f>
        <v>10</v>
      </c>
      <c r="AQ37" s="170">
        <f t="shared" si="65"/>
        <v>289.79000000000002</v>
      </c>
      <c r="AR37" s="169">
        <v>100</v>
      </c>
      <c r="AS37" s="172">
        <f t="shared" si="66"/>
        <v>5.8</v>
      </c>
      <c r="AT37" s="170">
        <f>AQ37-AS37</f>
        <v>283.99</v>
      </c>
      <c r="AU37" s="159">
        <f>AT37*$AU$6</f>
        <v>1152147.43</v>
      </c>
      <c r="AV37" s="159">
        <v>0</v>
      </c>
      <c r="AW37" s="159">
        <v>0</v>
      </c>
      <c r="AX37" s="159">
        <f>(AV37+AW37)*150000</f>
        <v>0</v>
      </c>
      <c r="AY37" s="159">
        <f>AU37-AX37</f>
        <v>1152147.43</v>
      </c>
      <c r="AZ37" s="173" t="str">
        <f>IF(AY37&lt;=1500000,"0%",IF(AY37&lt;=2000000,"5%",IF(AY37&lt;=8500000,"10%",IF(AY37&lt;=12500000,"15%",IF(AY37&lt;=12500001,"20%")))))</f>
        <v>0%</v>
      </c>
      <c r="BA37" s="232">
        <f>IF(AY37&lt;=1500000,0,IF(AND(AY37&gt;1500001,AY37&lt;=2000000),((AY37*0.05)-75000),IF(AND(AY37&gt;2000001,AY37&lt;=8500000),((AY37*0.1)-175000),IF(AND(AY37&gt;=8500001,AY37&lt;=12500000),((AY37*0.15)-600000),IF(AY37&gt;=12500001,(AY37*0.2-1225000))))))</f>
        <v>0</v>
      </c>
      <c r="BB37" s="175">
        <f>BA37/$AU$6</f>
        <v>0</v>
      </c>
      <c r="BC37" s="176">
        <f t="shared" si="86"/>
        <v>183.99</v>
      </c>
      <c r="BD37" s="155">
        <f>ROUND(SUM(BC37),0)</f>
        <v>184</v>
      </c>
      <c r="BE37" s="155">
        <f>INT(BD37)</f>
        <v>184</v>
      </c>
      <c r="BF37" s="177"/>
      <c r="BG37" s="158">
        <f>INT(BE37/100)</f>
        <v>1</v>
      </c>
      <c r="BH37" s="158">
        <f>INT(MOD(BE37,100)/50)</f>
        <v>1</v>
      </c>
      <c r="BI37" s="158">
        <f>INT(MOD(MOD(BE37,100),50)/20)</f>
        <v>1</v>
      </c>
      <c r="BJ37" s="158">
        <f>INT(MOD(MOD(MOD(BE37,100),50),20)/10)</f>
        <v>1</v>
      </c>
      <c r="BK37" s="158">
        <f>INT(MOD(MOD(MOD(MOD(BE37,100),50),20),10)/5)</f>
        <v>0</v>
      </c>
      <c r="BL37" s="158">
        <f>INT(MOD(MOD(MOD(MOD(MOD(BE37,100),50),20),10),5)/1)</f>
        <v>4</v>
      </c>
      <c r="BM37" s="158">
        <f>BG37*100+BH37*50+BI37*20+BJ37*10+BK37*5+BL37</f>
        <v>184</v>
      </c>
      <c r="BN37" s="178"/>
      <c r="BO37" s="179"/>
      <c r="BP37" s="237"/>
      <c r="BQ37" s="234"/>
      <c r="BR37" s="235"/>
    </row>
    <row r="38" spans="1:70" s="262" customFormat="1" ht="47.25" customHeight="1">
      <c r="A38" s="158">
        <v>30</v>
      </c>
      <c r="B38" s="276"/>
      <c r="C38" s="277"/>
      <c r="D38" s="277"/>
      <c r="E38" s="277"/>
      <c r="F38" s="277"/>
      <c r="G38" s="278"/>
      <c r="H38" s="101"/>
      <c r="I38" s="242"/>
      <c r="J38" s="279"/>
      <c r="K38" s="280"/>
      <c r="L38" s="281"/>
      <c r="M38" s="242"/>
      <c r="N38" s="242"/>
      <c r="O38" s="242"/>
      <c r="P38" s="263"/>
      <c r="Q38" s="263"/>
      <c r="R38" s="242"/>
      <c r="S38" s="266"/>
      <c r="T38" s="266"/>
      <c r="U38" s="175"/>
      <c r="V38" s="242"/>
      <c r="W38" s="242"/>
      <c r="X38" s="267"/>
      <c r="Y38" s="237"/>
      <c r="Z38" s="242"/>
      <c r="AA38" s="267"/>
      <c r="AB38" s="242"/>
      <c r="AC38" s="267"/>
      <c r="AD38" s="263"/>
      <c r="AE38" s="237"/>
      <c r="AF38" s="237"/>
      <c r="AG38" s="237"/>
      <c r="AH38" s="237"/>
      <c r="AI38" s="268"/>
      <c r="AJ38" s="269"/>
      <c r="AK38" s="270"/>
      <c r="AL38" s="271"/>
      <c r="AM38" s="172"/>
      <c r="AN38" s="282"/>
      <c r="AO38" s="272"/>
      <c r="AP38" s="231"/>
      <c r="AQ38" s="283">
        <f>SUM(AQ28:AQ37)</f>
        <v>3105.63</v>
      </c>
      <c r="AR38" s="283">
        <f t="shared" ref="AR38:BM38" si="87">SUM(AR28:AR37)</f>
        <v>950</v>
      </c>
      <c r="AS38" s="283">
        <f t="shared" si="87"/>
        <v>57.35</v>
      </c>
      <c r="AT38" s="283">
        <f t="shared" si="87"/>
        <v>3048.2799999999997</v>
      </c>
      <c r="AU38" s="283">
        <f t="shared" si="87"/>
        <v>12366871.959999999</v>
      </c>
      <c r="AV38" s="283">
        <f t="shared" si="87"/>
        <v>0</v>
      </c>
      <c r="AW38" s="283">
        <f t="shared" si="87"/>
        <v>0</v>
      </c>
      <c r="AX38" s="283">
        <f t="shared" si="87"/>
        <v>0</v>
      </c>
      <c r="AY38" s="283">
        <f t="shared" si="87"/>
        <v>12366871.959999999</v>
      </c>
      <c r="AZ38" s="283">
        <f t="shared" si="87"/>
        <v>0</v>
      </c>
      <c r="BA38" s="283">
        <f t="shared" si="87"/>
        <v>3561.7765000000072</v>
      </c>
      <c r="BB38" s="283">
        <f t="shared" si="87"/>
        <v>0.8779335716046357</v>
      </c>
      <c r="BC38" s="283">
        <f t="shared" si="87"/>
        <v>2097.4020664283953</v>
      </c>
      <c r="BD38" s="283">
        <f t="shared" si="87"/>
        <v>2096</v>
      </c>
      <c r="BE38" s="283">
        <f t="shared" si="87"/>
        <v>2096</v>
      </c>
      <c r="BF38" s="283">
        <f t="shared" si="87"/>
        <v>0</v>
      </c>
      <c r="BG38" s="283">
        <f t="shared" si="87"/>
        <v>14</v>
      </c>
      <c r="BH38" s="283">
        <f t="shared" si="87"/>
        <v>8</v>
      </c>
      <c r="BI38" s="283">
        <f t="shared" si="87"/>
        <v>9</v>
      </c>
      <c r="BJ38" s="283">
        <f t="shared" si="87"/>
        <v>6</v>
      </c>
      <c r="BK38" s="283">
        <f t="shared" si="87"/>
        <v>6</v>
      </c>
      <c r="BL38" s="283">
        <f t="shared" si="87"/>
        <v>26</v>
      </c>
      <c r="BM38" s="283">
        <f t="shared" si="87"/>
        <v>2096</v>
      </c>
      <c r="BN38" s="178"/>
      <c r="BO38" s="179"/>
      <c r="BP38" s="237"/>
      <c r="BQ38" s="234"/>
      <c r="BR38" s="235"/>
    </row>
    <row r="39" spans="1:70" s="286" customFormat="1" ht="47.25" customHeight="1">
      <c r="A39" s="158">
        <v>31</v>
      </c>
      <c r="B39" s="284" t="s">
        <v>351</v>
      </c>
      <c r="C39" s="247" t="s">
        <v>132</v>
      </c>
      <c r="D39" s="247">
        <v>130160172</v>
      </c>
      <c r="E39" s="249">
        <v>32729</v>
      </c>
      <c r="F39" s="249" t="s">
        <v>473</v>
      </c>
      <c r="G39" s="154" t="s">
        <v>20</v>
      </c>
      <c r="H39" s="250" t="s">
        <v>4</v>
      </c>
      <c r="I39" s="150" t="s">
        <v>167</v>
      </c>
      <c r="J39" s="251">
        <v>204</v>
      </c>
      <c r="K39" s="156">
        <v>41806</v>
      </c>
      <c r="L39" s="157">
        <v>26</v>
      </c>
      <c r="M39" s="150">
        <f>考勤!F35</f>
        <v>23</v>
      </c>
      <c r="N39" s="150">
        <f>考勤!T35</f>
        <v>1</v>
      </c>
      <c r="O39" s="150">
        <f>考勤!Q35</f>
        <v>2</v>
      </c>
      <c r="P39" s="163">
        <f>考勤!K35</f>
        <v>0</v>
      </c>
      <c r="Q39" s="163">
        <f>考勤!L35</f>
        <v>0</v>
      </c>
      <c r="R39" s="150">
        <f>(M39+O39)*8</f>
        <v>200</v>
      </c>
      <c r="S39" s="160">
        <f t="shared" ref="S39:S47" si="88">J39/L39</f>
        <v>7.8461538461538458</v>
      </c>
      <c r="T39" s="160"/>
      <c r="U39" s="175">
        <f>S39*(M39+N39+O39)</f>
        <v>204</v>
      </c>
      <c r="V39" s="150">
        <f>考勤!N35</f>
        <v>28</v>
      </c>
      <c r="W39" s="150">
        <f>V39/2</f>
        <v>14</v>
      </c>
      <c r="X39" s="162">
        <f t="shared" ref="X39:X47" si="89">J39/L39/8*V39*1.5</f>
        <v>41.192307692307693</v>
      </c>
      <c r="Y39" s="161">
        <f t="shared" ref="Y39:Y47" si="90">13/L39*W39</f>
        <v>7</v>
      </c>
      <c r="Z39" s="150">
        <f>考勤!O35</f>
        <v>0</v>
      </c>
      <c r="AA39" s="162">
        <f t="shared" ref="AA39:AA47" si="91">(J39/L39*Z39)*0.5</f>
        <v>0</v>
      </c>
      <c r="AB39" s="150">
        <f>考勤!P35</f>
        <v>0</v>
      </c>
      <c r="AC39" s="162">
        <f t="shared" ref="AC39:AC47" si="92">(J39/L39*AB39)*0.8</f>
        <v>0</v>
      </c>
      <c r="AD39" s="275">
        <f>考勤!W35</f>
        <v>0</v>
      </c>
      <c r="AE39" s="161">
        <f>考勤!X35</f>
        <v>0</v>
      </c>
      <c r="AF39" s="161">
        <f>考勤!Y35</f>
        <v>0</v>
      </c>
      <c r="AG39" s="161">
        <f>考勤!Z35</f>
        <v>0</v>
      </c>
      <c r="AH39" s="161">
        <v>0</v>
      </c>
      <c r="AI39" s="164"/>
      <c r="AJ39" s="165">
        <f t="shared" ref="AJ39:AJ47" si="93">IF(M39+Q39+Z39+N39+O39+AB39&lt;=25.5,0,20)</f>
        <v>20</v>
      </c>
      <c r="AK39" s="166">
        <v>11</v>
      </c>
      <c r="AL39" s="167"/>
      <c r="AM39" s="172"/>
      <c r="AN39" s="285"/>
      <c r="AO39" s="169">
        <v>10</v>
      </c>
      <c r="AP39" s="231">
        <f t="shared" ref="AP39:AP47" si="94">10/26*(M39+N39+O39)</f>
        <v>10</v>
      </c>
      <c r="AQ39" s="170">
        <f t="shared" ref="AQ39:AQ47" si="95">ROUND(SUM(U39,X39,Y39,AA39,AE39,AF39,AJ39,AK39,AL39,AN39,AO39,AP39,AG39,AI39,AH39,AC39,AM39),2)</f>
        <v>303.19</v>
      </c>
      <c r="AR39" s="171">
        <v>100</v>
      </c>
      <c r="AS39" s="172">
        <f t="shared" ref="AS39:AS47" si="96">ROUND(IF(YEARFRAC(E39,$BS$5)&gt;=60,"0",IF(AQ39&lt;=400000/$BT$5,400000/$BT$5*$BU$5,IF(AQ39&lt;=1200000/$BT$5,AQ39*$BU$5,IF(AQ39&gt;1200000/$BT$5,1200000/$BT$5*$BU$5)))),2)</f>
        <v>5.9</v>
      </c>
      <c r="AT39" s="170">
        <f>AQ39-AS39</f>
        <v>297.29000000000002</v>
      </c>
      <c r="AU39" s="159">
        <f t="shared" ref="AU39:AU47" si="97">AT39*$AU$6</f>
        <v>1206105.53</v>
      </c>
      <c r="AV39" s="159">
        <v>0</v>
      </c>
      <c r="AW39" s="159">
        <v>1</v>
      </c>
      <c r="AX39" s="159">
        <f t="shared" si="81"/>
        <v>150000</v>
      </c>
      <c r="AY39" s="159">
        <f t="shared" si="82"/>
        <v>1056105.53</v>
      </c>
      <c r="AZ39" s="173" t="str">
        <f>IF(AY39&lt;=1500000,"0%",IF(AY39&lt;=2000000,"5%",IF(AY39&lt;=8500000,"10%",IF(AY39&lt;=12500000,"15%",IF(AY39&lt;=12500001,"20%")))))</f>
        <v>0%</v>
      </c>
      <c r="BA39" s="232">
        <f>IF(AY39&lt;=1500000,0,IF(AND(AY39&gt;1500001,AY39&lt;=2000000),((AY39*0.05)-75000),IF(AND(AY39&gt;2000001,AY39&lt;=8500000),((AY39*0.1)-175000),IF(AND(AY39&gt;=8500001,AY39&lt;=12500000),((AY39*0.15)-600000),IF(AY39&gt;=12500001,(AY39*0.2-1225000))))))</f>
        <v>0</v>
      </c>
      <c r="BB39" s="175">
        <f>BA39/$AU$6</f>
        <v>0</v>
      </c>
      <c r="BC39" s="176">
        <f>AQ39-(AS39+BB39+AR39)</f>
        <v>197.29</v>
      </c>
      <c r="BD39" s="155">
        <f t="shared" ref="BD39:BD47" si="98">ROUND(SUM(BC39),0)</f>
        <v>197</v>
      </c>
      <c r="BE39" s="155">
        <f t="shared" ref="BE39:BE47" si="99">INT(BD39)</f>
        <v>197</v>
      </c>
      <c r="BF39" s="177"/>
      <c r="BG39" s="158">
        <f t="shared" ref="BG39:BG47" si="100">INT(BE39/100)</f>
        <v>1</v>
      </c>
      <c r="BH39" s="158">
        <f t="shared" ref="BH39:BH47" si="101">INT(MOD(BE39,100)/50)</f>
        <v>1</v>
      </c>
      <c r="BI39" s="158">
        <f t="shared" ref="BI39:BI47" si="102">INT(MOD(MOD(BE39,100),50)/20)</f>
        <v>2</v>
      </c>
      <c r="BJ39" s="158">
        <f t="shared" ref="BJ39:BJ47" si="103">INT(MOD(MOD(MOD(BE39,100),50),20)/10)</f>
        <v>0</v>
      </c>
      <c r="BK39" s="158">
        <f t="shared" ref="BK39:BK47" si="104">INT(MOD(MOD(MOD(MOD(BE39,100),50),20),10)/5)</f>
        <v>1</v>
      </c>
      <c r="BL39" s="158">
        <f t="shared" ref="BL39:BL47" si="105">INT(MOD(MOD(MOD(MOD(MOD(BE39,100),50),20),10),5)/1)</f>
        <v>2</v>
      </c>
      <c r="BM39" s="158">
        <f t="shared" ref="BM39:BM47" si="106">BG39*100+BH39*50+BI39*20+BJ39*10+BK39*5+BL39</f>
        <v>197</v>
      </c>
      <c r="BN39" s="178"/>
      <c r="BO39" s="179"/>
      <c r="BP39" s="237"/>
      <c r="BQ39" s="234"/>
      <c r="BR39" s="235"/>
    </row>
    <row r="40" spans="1:70" s="286" customFormat="1" ht="47.25" customHeight="1">
      <c r="A40" s="158">
        <v>32</v>
      </c>
      <c r="B40" s="284" t="s">
        <v>352</v>
      </c>
      <c r="C40" s="152" t="s">
        <v>216</v>
      </c>
      <c r="D40" s="152" t="s">
        <v>206</v>
      </c>
      <c r="E40" s="255">
        <v>30326</v>
      </c>
      <c r="F40" s="249" t="s">
        <v>473</v>
      </c>
      <c r="G40" s="154" t="s">
        <v>20</v>
      </c>
      <c r="H40" s="250" t="s">
        <v>4</v>
      </c>
      <c r="I40" s="150" t="s">
        <v>14</v>
      </c>
      <c r="J40" s="155">
        <v>204</v>
      </c>
      <c r="K40" s="156">
        <v>42746</v>
      </c>
      <c r="L40" s="157">
        <v>26</v>
      </c>
      <c r="M40" s="158">
        <f>考勤!F36</f>
        <v>23</v>
      </c>
      <c r="N40" s="158">
        <f>考勤!T36</f>
        <v>1</v>
      </c>
      <c r="O40" s="158">
        <f>考勤!Q36</f>
        <v>2</v>
      </c>
      <c r="P40" s="159">
        <f>考勤!K36</f>
        <v>0</v>
      </c>
      <c r="Q40" s="159">
        <f>考勤!L36</f>
        <v>0</v>
      </c>
      <c r="R40" s="158">
        <f t="shared" ref="R40:R47" si="107">(M40+O40)*8</f>
        <v>200</v>
      </c>
      <c r="S40" s="225">
        <f t="shared" si="88"/>
        <v>7.8461538461538458</v>
      </c>
      <c r="T40" s="225"/>
      <c r="U40" s="175">
        <f t="shared" ref="U40:U47" si="108">S40*(M40+N40+O40)</f>
        <v>204</v>
      </c>
      <c r="V40" s="158">
        <f>考勤!N36</f>
        <v>30</v>
      </c>
      <c r="W40" s="158">
        <f t="shared" ref="W40:W47" si="109">V40/2</f>
        <v>15</v>
      </c>
      <c r="X40" s="226">
        <f t="shared" si="89"/>
        <v>44.134615384615387</v>
      </c>
      <c r="Y40" s="175">
        <f t="shared" si="90"/>
        <v>7.5</v>
      </c>
      <c r="Z40" s="158">
        <f>考勤!O36</f>
        <v>0</v>
      </c>
      <c r="AA40" s="226">
        <f t="shared" si="91"/>
        <v>0</v>
      </c>
      <c r="AB40" s="158">
        <f>考勤!P36</f>
        <v>0</v>
      </c>
      <c r="AC40" s="226">
        <f t="shared" si="92"/>
        <v>0</v>
      </c>
      <c r="AD40" s="274">
        <f>考勤!W36</f>
        <v>0</v>
      </c>
      <c r="AE40" s="175">
        <f>考勤!X36</f>
        <v>0</v>
      </c>
      <c r="AF40" s="175">
        <f>考勤!Y36</f>
        <v>0</v>
      </c>
      <c r="AG40" s="175">
        <f>考勤!Z36</f>
        <v>0</v>
      </c>
      <c r="AH40" s="175">
        <v>0</v>
      </c>
      <c r="AI40" s="227"/>
      <c r="AJ40" s="228">
        <f t="shared" si="93"/>
        <v>20</v>
      </c>
      <c r="AK40" s="229">
        <v>8</v>
      </c>
      <c r="AL40" s="230"/>
      <c r="AM40" s="172"/>
      <c r="AN40" s="285"/>
      <c r="AO40" s="171">
        <v>10</v>
      </c>
      <c r="AP40" s="231">
        <f t="shared" si="94"/>
        <v>10</v>
      </c>
      <c r="AQ40" s="170">
        <f t="shared" si="95"/>
        <v>303.63</v>
      </c>
      <c r="AR40" s="171">
        <v>100</v>
      </c>
      <c r="AS40" s="172">
        <f t="shared" si="96"/>
        <v>5.9</v>
      </c>
      <c r="AT40" s="170">
        <f t="shared" ref="AT40:AT47" si="110">AQ40-AS40</f>
        <v>297.73</v>
      </c>
      <c r="AU40" s="159">
        <f t="shared" si="97"/>
        <v>1207890.6100000001</v>
      </c>
      <c r="AV40" s="159">
        <v>0</v>
      </c>
      <c r="AW40" s="159">
        <v>0</v>
      </c>
      <c r="AX40" s="159">
        <f t="shared" si="81"/>
        <v>0</v>
      </c>
      <c r="AY40" s="159">
        <f t="shared" si="82"/>
        <v>1207890.6100000001</v>
      </c>
      <c r="AZ40" s="173" t="str">
        <f t="shared" ref="AZ40:AZ47" si="111">IF(AY40&lt;=1500000,"0%",IF(AY40&lt;=2000000,"5%",IF(AY40&lt;=8500000,"10%",IF(AY40&lt;=12500000,"15%",IF(AY40&lt;=12500001,"20%")))))</f>
        <v>0%</v>
      </c>
      <c r="BA40" s="232">
        <f t="shared" ref="BA40:BA47" si="112">IF(AY40&lt;=1500000,0,IF(AND(AY40&gt;1500001,AY40&lt;=2000000),((AY40*0.05)-75000),IF(AND(AY40&gt;2000001,AY40&lt;=8500000),((AY40*0.1)-175000),IF(AND(AY40&gt;=8500001,AY40&lt;=12500000),((AY40*0.15)-600000),IF(AY40&gt;=12500001,(AY40*0.2-1225000))))))</f>
        <v>0</v>
      </c>
      <c r="BB40" s="175">
        <f t="shared" ref="BB40:BB47" si="113">BA40/$AU$6</f>
        <v>0</v>
      </c>
      <c r="BC40" s="176">
        <f t="shared" ref="BC40:BC47" si="114">AQ40-(AS40+BB40+AR40)</f>
        <v>197.73</v>
      </c>
      <c r="BD40" s="155">
        <f t="shared" si="98"/>
        <v>198</v>
      </c>
      <c r="BE40" s="155">
        <f t="shared" si="99"/>
        <v>198</v>
      </c>
      <c r="BF40" s="177"/>
      <c r="BG40" s="158">
        <f t="shared" si="100"/>
        <v>1</v>
      </c>
      <c r="BH40" s="158">
        <f t="shared" si="101"/>
        <v>1</v>
      </c>
      <c r="BI40" s="158">
        <f t="shared" si="102"/>
        <v>2</v>
      </c>
      <c r="BJ40" s="158">
        <f t="shared" si="103"/>
        <v>0</v>
      </c>
      <c r="BK40" s="158">
        <f t="shared" si="104"/>
        <v>1</v>
      </c>
      <c r="BL40" s="158">
        <f t="shared" si="105"/>
        <v>3</v>
      </c>
      <c r="BM40" s="158">
        <f t="shared" si="106"/>
        <v>198</v>
      </c>
      <c r="BN40" s="178"/>
      <c r="BO40" s="179"/>
      <c r="BP40" s="237"/>
      <c r="BQ40" s="234"/>
      <c r="BR40" s="235"/>
    </row>
    <row r="41" spans="1:70" s="286" customFormat="1" ht="47.25" customHeight="1">
      <c r="A41" s="158">
        <v>33</v>
      </c>
      <c r="B41" s="284" t="s">
        <v>353</v>
      </c>
      <c r="C41" s="152" t="s">
        <v>133</v>
      </c>
      <c r="D41" s="152" t="s">
        <v>463</v>
      </c>
      <c r="E41" s="255">
        <v>33196</v>
      </c>
      <c r="F41" s="249" t="s">
        <v>473</v>
      </c>
      <c r="G41" s="154" t="s">
        <v>20</v>
      </c>
      <c r="H41" s="250" t="s">
        <v>4</v>
      </c>
      <c r="I41" s="150" t="s">
        <v>14</v>
      </c>
      <c r="J41" s="155">
        <v>204</v>
      </c>
      <c r="K41" s="156">
        <v>42811</v>
      </c>
      <c r="L41" s="157">
        <v>26</v>
      </c>
      <c r="M41" s="158">
        <f>考勤!F37</f>
        <v>21</v>
      </c>
      <c r="N41" s="158">
        <f>考勤!T37</f>
        <v>1</v>
      </c>
      <c r="O41" s="158">
        <f>考勤!Q37</f>
        <v>1</v>
      </c>
      <c r="P41" s="159">
        <f>考勤!K37</f>
        <v>3</v>
      </c>
      <c r="Q41" s="159">
        <f>考勤!L37</f>
        <v>0</v>
      </c>
      <c r="R41" s="158">
        <f t="shared" si="107"/>
        <v>176</v>
      </c>
      <c r="S41" s="225">
        <f t="shared" si="88"/>
        <v>7.8461538461538458</v>
      </c>
      <c r="T41" s="225"/>
      <c r="U41" s="175">
        <f t="shared" si="108"/>
        <v>180.46153846153845</v>
      </c>
      <c r="V41" s="158">
        <f>考勤!N37</f>
        <v>18</v>
      </c>
      <c r="W41" s="158">
        <f t="shared" si="109"/>
        <v>9</v>
      </c>
      <c r="X41" s="226">
        <f t="shared" si="89"/>
        <v>26.48076923076923</v>
      </c>
      <c r="Y41" s="175">
        <f t="shared" si="90"/>
        <v>4.5</v>
      </c>
      <c r="Z41" s="158">
        <f>考勤!O37</f>
        <v>0</v>
      </c>
      <c r="AA41" s="226">
        <f t="shared" si="91"/>
        <v>0</v>
      </c>
      <c r="AB41" s="158">
        <f>考勤!P37</f>
        <v>0</v>
      </c>
      <c r="AC41" s="226">
        <f t="shared" si="92"/>
        <v>0</v>
      </c>
      <c r="AD41" s="274">
        <f>考勤!W37</f>
        <v>0</v>
      </c>
      <c r="AE41" s="175">
        <f>考勤!X37</f>
        <v>0</v>
      </c>
      <c r="AF41" s="175">
        <f>考勤!Y37</f>
        <v>0</v>
      </c>
      <c r="AG41" s="175">
        <f>考勤!Z37</f>
        <v>0</v>
      </c>
      <c r="AH41" s="175">
        <v>0</v>
      </c>
      <c r="AI41" s="227"/>
      <c r="AJ41" s="228">
        <f t="shared" si="93"/>
        <v>0</v>
      </c>
      <c r="AK41" s="229">
        <v>8</v>
      </c>
      <c r="AL41" s="230"/>
      <c r="AM41" s="172"/>
      <c r="AN41" s="285"/>
      <c r="AO41" s="171">
        <v>10</v>
      </c>
      <c r="AP41" s="231">
        <f t="shared" si="94"/>
        <v>8.8461538461538467</v>
      </c>
      <c r="AQ41" s="170">
        <f t="shared" si="95"/>
        <v>238.29</v>
      </c>
      <c r="AR41" s="171">
        <v>100</v>
      </c>
      <c r="AS41" s="172">
        <f t="shared" si="96"/>
        <v>4.7699999999999996</v>
      </c>
      <c r="AT41" s="170">
        <f t="shared" si="110"/>
        <v>233.51999999999998</v>
      </c>
      <c r="AU41" s="159">
        <f t="shared" si="97"/>
        <v>947390.6399999999</v>
      </c>
      <c r="AV41" s="159">
        <v>0</v>
      </c>
      <c r="AW41" s="159">
        <v>1</v>
      </c>
      <c r="AX41" s="159">
        <f t="shared" si="81"/>
        <v>150000</v>
      </c>
      <c r="AY41" s="159">
        <f t="shared" si="82"/>
        <v>797390.6399999999</v>
      </c>
      <c r="AZ41" s="173" t="str">
        <f t="shared" si="111"/>
        <v>0%</v>
      </c>
      <c r="BA41" s="232">
        <f t="shared" si="112"/>
        <v>0</v>
      </c>
      <c r="BB41" s="175">
        <f t="shared" si="113"/>
        <v>0</v>
      </c>
      <c r="BC41" s="176">
        <f t="shared" si="114"/>
        <v>133.51999999999998</v>
      </c>
      <c r="BD41" s="155">
        <f t="shared" si="98"/>
        <v>134</v>
      </c>
      <c r="BE41" s="155">
        <f t="shared" si="99"/>
        <v>134</v>
      </c>
      <c r="BF41" s="177"/>
      <c r="BG41" s="158">
        <f t="shared" si="100"/>
        <v>1</v>
      </c>
      <c r="BH41" s="158">
        <f t="shared" si="101"/>
        <v>0</v>
      </c>
      <c r="BI41" s="158">
        <f t="shared" si="102"/>
        <v>1</v>
      </c>
      <c r="BJ41" s="158">
        <f t="shared" si="103"/>
        <v>1</v>
      </c>
      <c r="BK41" s="158">
        <f t="shared" si="104"/>
        <v>0</v>
      </c>
      <c r="BL41" s="158">
        <f t="shared" si="105"/>
        <v>4</v>
      </c>
      <c r="BM41" s="158">
        <f t="shared" si="106"/>
        <v>134</v>
      </c>
      <c r="BN41" s="178"/>
      <c r="BO41" s="179"/>
      <c r="BP41" s="237"/>
      <c r="BQ41" s="234"/>
      <c r="BR41" s="235"/>
    </row>
    <row r="42" spans="1:70" s="286" customFormat="1" ht="47.25" customHeight="1">
      <c r="A42" s="158">
        <v>34</v>
      </c>
      <c r="B42" s="287" t="s">
        <v>354</v>
      </c>
      <c r="C42" s="152" t="s">
        <v>134</v>
      </c>
      <c r="D42" s="152">
        <v>130172945</v>
      </c>
      <c r="E42" s="255">
        <v>30470</v>
      </c>
      <c r="F42" s="249" t="s">
        <v>473</v>
      </c>
      <c r="G42" s="154" t="s">
        <v>88</v>
      </c>
      <c r="H42" s="154" t="s">
        <v>4</v>
      </c>
      <c r="I42" s="150" t="s">
        <v>14</v>
      </c>
      <c r="J42" s="155">
        <v>204</v>
      </c>
      <c r="K42" s="156">
        <v>43277</v>
      </c>
      <c r="L42" s="157">
        <v>26</v>
      </c>
      <c r="M42" s="158">
        <f>考勤!F38</f>
        <v>24</v>
      </c>
      <c r="N42" s="158">
        <f>考勤!T38</f>
        <v>1</v>
      </c>
      <c r="O42" s="158">
        <f>考勤!Q38</f>
        <v>1</v>
      </c>
      <c r="P42" s="159">
        <f>考勤!K38</f>
        <v>0</v>
      </c>
      <c r="Q42" s="159">
        <f>考勤!L38</f>
        <v>0</v>
      </c>
      <c r="R42" s="158">
        <f t="shared" si="107"/>
        <v>200</v>
      </c>
      <c r="S42" s="225">
        <f t="shared" si="88"/>
        <v>7.8461538461538458</v>
      </c>
      <c r="T42" s="225"/>
      <c r="U42" s="175">
        <f t="shared" si="108"/>
        <v>204</v>
      </c>
      <c r="V42" s="158">
        <f>考勤!N38</f>
        <v>30</v>
      </c>
      <c r="W42" s="158">
        <f t="shared" si="109"/>
        <v>15</v>
      </c>
      <c r="X42" s="226">
        <f t="shared" si="89"/>
        <v>44.134615384615387</v>
      </c>
      <c r="Y42" s="175">
        <f t="shared" si="90"/>
        <v>7.5</v>
      </c>
      <c r="Z42" s="158">
        <f>考勤!O38</f>
        <v>0</v>
      </c>
      <c r="AA42" s="226">
        <f t="shared" si="91"/>
        <v>0</v>
      </c>
      <c r="AB42" s="158">
        <f>考勤!P38</f>
        <v>0</v>
      </c>
      <c r="AC42" s="226">
        <f t="shared" si="92"/>
        <v>0</v>
      </c>
      <c r="AD42" s="274">
        <f>考勤!W38</f>
        <v>0</v>
      </c>
      <c r="AE42" s="175">
        <f>考勤!X38</f>
        <v>0</v>
      </c>
      <c r="AF42" s="175">
        <f>考勤!Y38</f>
        <v>0</v>
      </c>
      <c r="AG42" s="175">
        <f>考勤!Z38</f>
        <v>0</v>
      </c>
      <c r="AH42" s="175">
        <v>0</v>
      </c>
      <c r="AI42" s="227"/>
      <c r="AJ42" s="228">
        <f t="shared" si="93"/>
        <v>20</v>
      </c>
      <c r="AK42" s="229">
        <v>7</v>
      </c>
      <c r="AL42" s="230"/>
      <c r="AM42" s="172"/>
      <c r="AN42" s="285"/>
      <c r="AO42" s="171">
        <v>10</v>
      </c>
      <c r="AP42" s="231">
        <f t="shared" si="94"/>
        <v>10</v>
      </c>
      <c r="AQ42" s="170">
        <f t="shared" si="95"/>
        <v>302.63</v>
      </c>
      <c r="AR42" s="171">
        <v>100</v>
      </c>
      <c r="AS42" s="172">
        <f t="shared" si="96"/>
        <v>5.9</v>
      </c>
      <c r="AT42" s="170">
        <f t="shared" si="110"/>
        <v>296.73</v>
      </c>
      <c r="AU42" s="159">
        <f t="shared" si="97"/>
        <v>1203833.6100000001</v>
      </c>
      <c r="AV42" s="159">
        <v>0</v>
      </c>
      <c r="AW42" s="159">
        <v>0</v>
      </c>
      <c r="AX42" s="159">
        <f t="shared" si="81"/>
        <v>0</v>
      </c>
      <c r="AY42" s="159">
        <f t="shared" si="82"/>
        <v>1203833.6100000001</v>
      </c>
      <c r="AZ42" s="173" t="str">
        <f t="shared" si="111"/>
        <v>0%</v>
      </c>
      <c r="BA42" s="232">
        <f t="shared" si="112"/>
        <v>0</v>
      </c>
      <c r="BB42" s="175">
        <f t="shared" si="113"/>
        <v>0</v>
      </c>
      <c r="BC42" s="176">
        <f t="shared" si="114"/>
        <v>196.73</v>
      </c>
      <c r="BD42" s="155">
        <f t="shared" si="98"/>
        <v>197</v>
      </c>
      <c r="BE42" s="155">
        <f t="shared" si="99"/>
        <v>197</v>
      </c>
      <c r="BF42" s="177"/>
      <c r="BG42" s="158">
        <f t="shared" si="100"/>
        <v>1</v>
      </c>
      <c r="BH42" s="158">
        <f t="shared" si="101"/>
        <v>1</v>
      </c>
      <c r="BI42" s="158">
        <f t="shared" si="102"/>
        <v>2</v>
      </c>
      <c r="BJ42" s="158">
        <f t="shared" si="103"/>
        <v>0</v>
      </c>
      <c r="BK42" s="158">
        <f t="shared" si="104"/>
        <v>1</v>
      </c>
      <c r="BL42" s="158">
        <f t="shared" si="105"/>
        <v>2</v>
      </c>
      <c r="BM42" s="158">
        <f t="shared" si="106"/>
        <v>197</v>
      </c>
      <c r="BN42" s="178"/>
      <c r="BO42" s="179"/>
      <c r="BP42" s="237"/>
      <c r="BQ42" s="234"/>
      <c r="BR42" s="235"/>
    </row>
    <row r="43" spans="1:70" s="286" customFormat="1" ht="47.25" customHeight="1">
      <c r="A43" s="158">
        <v>35</v>
      </c>
      <c r="B43" s="287" t="s">
        <v>355</v>
      </c>
      <c r="C43" s="152" t="s">
        <v>153</v>
      </c>
      <c r="D43" s="152" t="s">
        <v>464</v>
      </c>
      <c r="E43" s="255">
        <v>34828</v>
      </c>
      <c r="F43" s="249" t="s">
        <v>473</v>
      </c>
      <c r="G43" s="154" t="s">
        <v>88</v>
      </c>
      <c r="H43" s="154" t="s">
        <v>4</v>
      </c>
      <c r="I43" s="150" t="s">
        <v>87</v>
      </c>
      <c r="J43" s="155">
        <v>204</v>
      </c>
      <c r="K43" s="156">
        <v>43447</v>
      </c>
      <c r="L43" s="157">
        <v>26</v>
      </c>
      <c r="M43" s="158">
        <f>考勤!F39</f>
        <v>24</v>
      </c>
      <c r="N43" s="158">
        <f>考勤!T39</f>
        <v>1</v>
      </c>
      <c r="O43" s="158">
        <f>考勤!Q39</f>
        <v>1</v>
      </c>
      <c r="P43" s="159">
        <f>考勤!K39</f>
        <v>0</v>
      </c>
      <c r="Q43" s="159">
        <f>考勤!L39</f>
        <v>0</v>
      </c>
      <c r="R43" s="158">
        <f t="shared" si="107"/>
        <v>200</v>
      </c>
      <c r="S43" s="225">
        <f t="shared" si="88"/>
        <v>7.8461538461538458</v>
      </c>
      <c r="T43" s="225"/>
      <c r="U43" s="175">
        <f t="shared" si="108"/>
        <v>204</v>
      </c>
      <c r="V43" s="158">
        <f>考勤!N39</f>
        <v>32</v>
      </c>
      <c r="W43" s="158">
        <f t="shared" si="109"/>
        <v>16</v>
      </c>
      <c r="X43" s="226">
        <f t="shared" si="89"/>
        <v>47.076923076923073</v>
      </c>
      <c r="Y43" s="175">
        <f t="shared" si="90"/>
        <v>8</v>
      </c>
      <c r="Z43" s="158">
        <f>考勤!O39</f>
        <v>0</v>
      </c>
      <c r="AA43" s="226">
        <f t="shared" si="91"/>
        <v>0</v>
      </c>
      <c r="AB43" s="158">
        <f>考勤!P39</f>
        <v>0</v>
      </c>
      <c r="AC43" s="226">
        <f t="shared" si="92"/>
        <v>0</v>
      </c>
      <c r="AD43" s="274">
        <f>考勤!W39</f>
        <v>0</v>
      </c>
      <c r="AE43" s="175">
        <f>考勤!X39</f>
        <v>0</v>
      </c>
      <c r="AF43" s="175">
        <f>考勤!Y39</f>
        <v>0</v>
      </c>
      <c r="AG43" s="175">
        <f>考勤!Z39</f>
        <v>0</v>
      </c>
      <c r="AH43" s="175">
        <v>0</v>
      </c>
      <c r="AI43" s="227"/>
      <c r="AJ43" s="228">
        <f t="shared" si="93"/>
        <v>20</v>
      </c>
      <c r="AK43" s="229">
        <v>6</v>
      </c>
      <c r="AL43" s="230"/>
      <c r="AM43" s="172"/>
      <c r="AN43" s="285"/>
      <c r="AO43" s="171">
        <v>10</v>
      </c>
      <c r="AP43" s="231">
        <f t="shared" si="94"/>
        <v>10</v>
      </c>
      <c r="AQ43" s="170">
        <f t="shared" si="95"/>
        <v>305.08</v>
      </c>
      <c r="AR43" s="171">
        <v>100</v>
      </c>
      <c r="AS43" s="172">
        <f t="shared" si="96"/>
        <v>5.9</v>
      </c>
      <c r="AT43" s="170">
        <f t="shared" si="110"/>
        <v>299.18</v>
      </c>
      <c r="AU43" s="159">
        <f t="shared" si="97"/>
        <v>1213773.26</v>
      </c>
      <c r="AV43" s="159">
        <v>0</v>
      </c>
      <c r="AW43" s="159">
        <v>1</v>
      </c>
      <c r="AX43" s="159">
        <f t="shared" si="81"/>
        <v>150000</v>
      </c>
      <c r="AY43" s="159">
        <f t="shared" si="82"/>
        <v>1063773.26</v>
      </c>
      <c r="AZ43" s="173" t="str">
        <f t="shared" si="111"/>
        <v>0%</v>
      </c>
      <c r="BA43" s="232">
        <f t="shared" si="112"/>
        <v>0</v>
      </c>
      <c r="BB43" s="175">
        <f t="shared" si="113"/>
        <v>0</v>
      </c>
      <c r="BC43" s="176">
        <f t="shared" si="114"/>
        <v>199.17999999999998</v>
      </c>
      <c r="BD43" s="155">
        <f t="shared" si="98"/>
        <v>199</v>
      </c>
      <c r="BE43" s="155">
        <f t="shared" si="99"/>
        <v>199</v>
      </c>
      <c r="BF43" s="177"/>
      <c r="BG43" s="158">
        <f t="shared" si="100"/>
        <v>1</v>
      </c>
      <c r="BH43" s="158">
        <f t="shared" si="101"/>
        <v>1</v>
      </c>
      <c r="BI43" s="158">
        <f t="shared" si="102"/>
        <v>2</v>
      </c>
      <c r="BJ43" s="158">
        <f t="shared" si="103"/>
        <v>0</v>
      </c>
      <c r="BK43" s="158">
        <f t="shared" si="104"/>
        <v>1</v>
      </c>
      <c r="BL43" s="158">
        <f t="shared" si="105"/>
        <v>4</v>
      </c>
      <c r="BM43" s="158">
        <f t="shared" si="106"/>
        <v>199</v>
      </c>
      <c r="BN43" s="178"/>
      <c r="BO43" s="179"/>
      <c r="BP43" s="237"/>
      <c r="BQ43" s="234"/>
      <c r="BR43" s="235"/>
    </row>
    <row r="44" spans="1:70" s="286" customFormat="1" ht="47.25" customHeight="1">
      <c r="A44" s="158">
        <v>36</v>
      </c>
      <c r="B44" s="287" t="s">
        <v>356</v>
      </c>
      <c r="C44" s="152" t="s">
        <v>230</v>
      </c>
      <c r="D44" s="288">
        <v>130223956</v>
      </c>
      <c r="E44" s="255">
        <v>31996</v>
      </c>
      <c r="F44" s="249" t="s">
        <v>473</v>
      </c>
      <c r="G44" s="154" t="s">
        <v>88</v>
      </c>
      <c r="H44" s="154" t="s">
        <v>4</v>
      </c>
      <c r="I44" s="150" t="s">
        <v>94</v>
      </c>
      <c r="J44" s="155">
        <v>204</v>
      </c>
      <c r="K44" s="156">
        <v>43479</v>
      </c>
      <c r="L44" s="157">
        <v>26</v>
      </c>
      <c r="M44" s="158">
        <f>考勤!F40</f>
        <v>23.5</v>
      </c>
      <c r="N44" s="158">
        <f>考勤!T40</f>
        <v>1</v>
      </c>
      <c r="O44" s="158">
        <f>考勤!Q40</f>
        <v>1.5</v>
      </c>
      <c r="P44" s="159">
        <f>考勤!K40</f>
        <v>0</v>
      </c>
      <c r="Q44" s="159">
        <f>考勤!L40</f>
        <v>0</v>
      </c>
      <c r="R44" s="158">
        <f t="shared" si="107"/>
        <v>200</v>
      </c>
      <c r="S44" s="225">
        <f t="shared" si="88"/>
        <v>7.8461538461538458</v>
      </c>
      <c r="T44" s="225"/>
      <c r="U44" s="175">
        <f t="shared" si="108"/>
        <v>204</v>
      </c>
      <c r="V44" s="158">
        <f>考勤!N40</f>
        <v>32</v>
      </c>
      <c r="W44" s="158">
        <f t="shared" si="109"/>
        <v>16</v>
      </c>
      <c r="X44" s="226">
        <f t="shared" si="89"/>
        <v>47.076923076923073</v>
      </c>
      <c r="Y44" s="175">
        <f t="shared" si="90"/>
        <v>8</v>
      </c>
      <c r="Z44" s="158">
        <f>考勤!O40</f>
        <v>0</v>
      </c>
      <c r="AA44" s="226">
        <f t="shared" si="91"/>
        <v>0</v>
      </c>
      <c r="AB44" s="158">
        <f>考勤!P40</f>
        <v>0</v>
      </c>
      <c r="AC44" s="226">
        <f t="shared" si="92"/>
        <v>0</v>
      </c>
      <c r="AD44" s="274">
        <f>考勤!W40</f>
        <v>0</v>
      </c>
      <c r="AE44" s="175">
        <f>考勤!X40</f>
        <v>0</v>
      </c>
      <c r="AF44" s="175">
        <f>考勤!Y40</f>
        <v>0</v>
      </c>
      <c r="AG44" s="175">
        <f>考勤!Z40</f>
        <v>0</v>
      </c>
      <c r="AH44" s="175">
        <v>0</v>
      </c>
      <c r="AI44" s="227"/>
      <c r="AJ44" s="228">
        <f t="shared" si="93"/>
        <v>20</v>
      </c>
      <c r="AK44" s="166">
        <v>6</v>
      </c>
      <c r="AL44" s="230">
        <v>20</v>
      </c>
      <c r="AM44" s="172"/>
      <c r="AN44" s="285"/>
      <c r="AO44" s="171">
        <v>10</v>
      </c>
      <c r="AP44" s="231">
        <f t="shared" si="94"/>
        <v>10</v>
      </c>
      <c r="AQ44" s="170">
        <f t="shared" si="95"/>
        <v>325.08</v>
      </c>
      <c r="AR44" s="171">
        <v>100</v>
      </c>
      <c r="AS44" s="172">
        <f t="shared" si="96"/>
        <v>5.9</v>
      </c>
      <c r="AT44" s="170">
        <f t="shared" si="110"/>
        <v>319.18</v>
      </c>
      <c r="AU44" s="159">
        <f t="shared" si="97"/>
        <v>1294913.26</v>
      </c>
      <c r="AV44" s="159">
        <v>0</v>
      </c>
      <c r="AW44" s="159">
        <v>0</v>
      </c>
      <c r="AX44" s="159">
        <f t="shared" si="81"/>
        <v>0</v>
      </c>
      <c r="AY44" s="159">
        <f t="shared" si="82"/>
        <v>1294913.26</v>
      </c>
      <c r="AZ44" s="173" t="str">
        <f t="shared" si="111"/>
        <v>0%</v>
      </c>
      <c r="BA44" s="232">
        <f t="shared" si="112"/>
        <v>0</v>
      </c>
      <c r="BB44" s="175">
        <f t="shared" si="113"/>
        <v>0</v>
      </c>
      <c r="BC44" s="176">
        <f t="shared" si="114"/>
        <v>219.17999999999998</v>
      </c>
      <c r="BD44" s="155">
        <f t="shared" si="98"/>
        <v>219</v>
      </c>
      <c r="BE44" s="155">
        <f t="shared" si="99"/>
        <v>219</v>
      </c>
      <c r="BF44" s="177"/>
      <c r="BG44" s="158">
        <f t="shared" si="100"/>
        <v>2</v>
      </c>
      <c r="BH44" s="158">
        <f t="shared" si="101"/>
        <v>0</v>
      </c>
      <c r="BI44" s="158">
        <f t="shared" si="102"/>
        <v>0</v>
      </c>
      <c r="BJ44" s="158">
        <f t="shared" si="103"/>
        <v>1</v>
      </c>
      <c r="BK44" s="158">
        <f t="shared" si="104"/>
        <v>1</v>
      </c>
      <c r="BL44" s="158">
        <f t="shared" si="105"/>
        <v>4</v>
      </c>
      <c r="BM44" s="158">
        <f t="shared" si="106"/>
        <v>219</v>
      </c>
      <c r="BN44" s="178"/>
      <c r="BO44" s="179"/>
      <c r="BP44" s="237"/>
      <c r="BQ44" s="234"/>
      <c r="BR44" s="235"/>
    </row>
    <row r="45" spans="1:70" s="286" customFormat="1" ht="47.25" customHeight="1">
      <c r="A45" s="158">
        <v>37</v>
      </c>
      <c r="B45" s="287" t="s">
        <v>357</v>
      </c>
      <c r="C45" s="152" t="s">
        <v>184</v>
      </c>
      <c r="D45" s="152">
        <v>130197182</v>
      </c>
      <c r="E45" s="255">
        <v>33248</v>
      </c>
      <c r="F45" s="249" t="s">
        <v>473</v>
      </c>
      <c r="G45" s="154" t="s">
        <v>88</v>
      </c>
      <c r="H45" s="154" t="s">
        <v>4</v>
      </c>
      <c r="I45" s="150" t="s">
        <v>87</v>
      </c>
      <c r="J45" s="155">
        <v>204</v>
      </c>
      <c r="K45" s="156">
        <v>43479</v>
      </c>
      <c r="L45" s="157">
        <v>26</v>
      </c>
      <c r="M45" s="158">
        <f>考勤!F41</f>
        <v>22.5</v>
      </c>
      <c r="N45" s="158">
        <f>考勤!T41</f>
        <v>1</v>
      </c>
      <c r="O45" s="158">
        <f>考勤!Q41</f>
        <v>2</v>
      </c>
      <c r="P45" s="159">
        <f>考勤!K41</f>
        <v>0</v>
      </c>
      <c r="Q45" s="159">
        <f>考勤!L41</f>
        <v>0.5</v>
      </c>
      <c r="R45" s="158">
        <f t="shared" si="107"/>
        <v>196</v>
      </c>
      <c r="S45" s="225">
        <f t="shared" si="88"/>
        <v>7.8461538461538458</v>
      </c>
      <c r="T45" s="225"/>
      <c r="U45" s="175">
        <f t="shared" si="108"/>
        <v>200.07692307692307</v>
      </c>
      <c r="V45" s="158">
        <f>考勤!N41</f>
        <v>28</v>
      </c>
      <c r="W45" s="158">
        <f t="shared" si="109"/>
        <v>14</v>
      </c>
      <c r="X45" s="226">
        <f t="shared" si="89"/>
        <v>41.192307692307693</v>
      </c>
      <c r="Y45" s="175">
        <f t="shared" si="90"/>
        <v>7</v>
      </c>
      <c r="Z45" s="158">
        <f>考勤!O41</f>
        <v>0</v>
      </c>
      <c r="AA45" s="226">
        <f t="shared" si="91"/>
        <v>0</v>
      </c>
      <c r="AB45" s="158">
        <f>考勤!P41</f>
        <v>0</v>
      </c>
      <c r="AC45" s="226">
        <f t="shared" si="92"/>
        <v>0</v>
      </c>
      <c r="AD45" s="274">
        <f>考勤!W41</f>
        <v>0</v>
      </c>
      <c r="AE45" s="175">
        <f>考勤!X41</f>
        <v>0</v>
      </c>
      <c r="AF45" s="175">
        <f>考勤!Y41</f>
        <v>0</v>
      </c>
      <c r="AG45" s="175">
        <f>考勤!Z41</f>
        <v>0</v>
      </c>
      <c r="AH45" s="175">
        <v>0</v>
      </c>
      <c r="AI45" s="227"/>
      <c r="AJ45" s="228">
        <f t="shared" si="93"/>
        <v>20</v>
      </c>
      <c r="AK45" s="166">
        <v>6</v>
      </c>
      <c r="AL45" s="230">
        <v>90</v>
      </c>
      <c r="AM45" s="172"/>
      <c r="AN45" s="285"/>
      <c r="AO45" s="171">
        <v>10</v>
      </c>
      <c r="AP45" s="231">
        <f t="shared" si="94"/>
        <v>9.8076923076923084</v>
      </c>
      <c r="AQ45" s="170">
        <f t="shared" si="95"/>
        <v>384.08</v>
      </c>
      <c r="AR45" s="171">
        <v>100</v>
      </c>
      <c r="AS45" s="172">
        <f t="shared" si="96"/>
        <v>5.9</v>
      </c>
      <c r="AT45" s="170">
        <f t="shared" si="110"/>
        <v>378.18</v>
      </c>
      <c r="AU45" s="159">
        <f t="shared" si="97"/>
        <v>1534276.26</v>
      </c>
      <c r="AV45" s="159">
        <v>0</v>
      </c>
      <c r="AW45" s="159">
        <v>0</v>
      </c>
      <c r="AX45" s="159">
        <f t="shared" si="81"/>
        <v>0</v>
      </c>
      <c r="AY45" s="159">
        <f t="shared" si="82"/>
        <v>1534276.26</v>
      </c>
      <c r="AZ45" s="173" t="str">
        <f t="shared" si="111"/>
        <v>5%</v>
      </c>
      <c r="BA45" s="232">
        <f t="shared" si="112"/>
        <v>1713.8130000000092</v>
      </c>
      <c r="BB45" s="175">
        <f t="shared" si="113"/>
        <v>0.42243357160463624</v>
      </c>
      <c r="BC45" s="176">
        <f t="shared" si="114"/>
        <v>277.75756642839536</v>
      </c>
      <c r="BD45" s="155">
        <f t="shared" si="98"/>
        <v>278</v>
      </c>
      <c r="BE45" s="155">
        <f t="shared" si="99"/>
        <v>278</v>
      </c>
      <c r="BF45" s="177"/>
      <c r="BG45" s="158">
        <f t="shared" si="100"/>
        <v>2</v>
      </c>
      <c r="BH45" s="158">
        <f t="shared" si="101"/>
        <v>1</v>
      </c>
      <c r="BI45" s="158">
        <f t="shared" si="102"/>
        <v>1</v>
      </c>
      <c r="BJ45" s="158">
        <f t="shared" si="103"/>
        <v>0</v>
      </c>
      <c r="BK45" s="158">
        <f t="shared" si="104"/>
        <v>1</v>
      </c>
      <c r="BL45" s="158">
        <f t="shared" si="105"/>
        <v>3</v>
      </c>
      <c r="BM45" s="158">
        <f t="shared" si="106"/>
        <v>278</v>
      </c>
      <c r="BN45" s="178"/>
      <c r="BO45" s="179"/>
      <c r="BP45" s="237"/>
      <c r="BQ45" s="234"/>
      <c r="BR45" s="235"/>
    </row>
    <row r="46" spans="1:70" s="286" customFormat="1" ht="47.25" customHeight="1">
      <c r="A46" s="158">
        <v>38</v>
      </c>
      <c r="B46" s="287" t="s">
        <v>358</v>
      </c>
      <c r="C46" s="152" t="s">
        <v>177</v>
      </c>
      <c r="D46" s="152">
        <v>130172228</v>
      </c>
      <c r="E46" s="255">
        <v>30204</v>
      </c>
      <c r="F46" s="249" t="s">
        <v>473</v>
      </c>
      <c r="G46" s="154" t="s">
        <v>88</v>
      </c>
      <c r="H46" s="154" t="s">
        <v>4</v>
      </c>
      <c r="I46" s="150" t="s">
        <v>87</v>
      </c>
      <c r="J46" s="155">
        <v>204</v>
      </c>
      <c r="K46" s="156">
        <v>43619</v>
      </c>
      <c r="L46" s="157">
        <v>26</v>
      </c>
      <c r="M46" s="158">
        <f>考勤!F42</f>
        <v>23.5</v>
      </c>
      <c r="N46" s="158">
        <f>考勤!T42</f>
        <v>1</v>
      </c>
      <c r="O46" s="158">
        <f>考勤!Q42</f>
        <v>1.5</v>
      </c>
      <c r="P46" s="159">
        <f>考勤!K42</f>
        <v>0</v>
      </c>
      <c r="Q46" s="159">
        <f>考勤!L42</f>
        <v>0</v>
      </c>
      <c r="R46" s="158">
        <f t="shared" si="107"/>
        <v>200</v>
      </c>
      <c r="S46" s="225">
        <f t="shared" si="88"/>
        <v>7.8461538461538458</v>
      </c>
      <c r="T46" s="225"/>
      <c r="U46" s="175">
        <f t="shared" si="108"/>
        <v>204</v>
      </c>
      <c r="V46" s="158">
        <f>考勤!N42</f>
        <v>20</v>
      </c>
      <c r="W46" s="158">
        <f t="shared" si="109"/>
        <v>10</v>
      </c>
      <c r="X46" s="226">
        <f t="shared" si="89"/>
        <v>29.42307692307692</v>
      </c>
      <c r="Y46" s="175">
        <f t="shared" si="90"/>
        <v>5</v>
      </c>
      <c r="Z46" s="158">
        <f>考勤!O42</f>
        <v>0</v>
      </c>
      <c r="AA46" s="226">
        <f t="shared" si="91"/>
        <v>0</v>
      </c>
      <c r="AB46" s="158">
        <f>考勤!P42</f>
        <v>0</v>
      </c>
      <c r="AC46" s="226">
        <f t="shared" si="92"/>
        <v>0</v>
      </c>
      <c r="AD46" s="274">
        <f>考勤!W42</f>
        <v>0</v>
      </c>
      <c r="AE46" s="175">
        <f>考勤!X42</f>
        <v>0</v>
      </c>
      <c r="AF46" s="175">
        <f>考勤!Y42</f>
        <v>0</v>
      </c>
      <c r="AG46" s="175">
        <f>考勤!Z42</f>
        <v>0</v>
      </c>
      <c r="AH46" s="175">
        <v>0</v>
      </c>
      <c r="AI46" s="227"/>
      <c r="AJ46" s="228">
        <f t="shared" si="93"/>
        <v>20</v>
      </c>
      <c r="AK46" s="166">
        <v>6</v>
      </c>
      <c r="AL46" s="230"/>
      <c r="AM46" s="172"/>
      <c r="AN46" s="285"/>
      <c r="AO46" s="171">
        <v>10</v>
      </c>
      <c r="AP46" s="231">
        <f t="shared" si="94"/>
        <v>10</v>
      </c>
      <c r="AQ46" s="170">
        <f t="shared" si="95"/>
        <v>284.42</v>
      </c>
      <c r="AR46" s="171">
        <v>100</v>
      </c>
      <c r="AS46" s="172">
        <f t="shared" si="96"/>
        <v>5.69</v>
      </c>
      <c r="AT46" s="170">
        <f t="shared" si="110"/>
        <v>278.73</v>
      </c>
      <c r="AU46" s="159">
        <f t="shared" si="97"/>
        <v>1130807.6100000001</v>
      </c>
      <c r="AV46" s="159">
        <v>0</v>
      </c>
      <c r="AW46" s="159">
        <v>1</v>
      </c>
      <c r="AX46" s="159">
        <f t="shared" si="81"/>
        <v>150000</v>
      </c>
      <c r="AY46" s="159">
        <f t="shared" si="82"/>
        <v>980807.6100000001</v>
      </c>
      <c r="AZ46" s="173" t="str">
        <f t="shared" si="111"/>
        <v>0%</v>
      </c>
      <c r="BA46" s="232">
        <f t="shared" si="112"/>
        <v>0</v>
      </c>
      <c r="BB46" s="175">
        <f t="shared" si="113"/>
        <v>0</v>
      </c>
      <c r="BC46" s="176">
        <f t="shared" si="114"/>
        <v>178.73000000000002</v>
      </c>
      <c r="BD46" s="155">
        <f t="shared" si="98"/>
        <v>179</v>
      </c>
      <c r="BE46" s="155">
        <f t="shared" si="99"/>
        <v>179</v>
      </c>
      <c r="BF46" s="177"/>
      <c r="BG46" s="158">
        <f t="shared" si="100"/>
        <v>1</v>
      </c>
      <c r="BH46" s="158">
        <f t="shared" si="101"/>
        <v>1</v>
      </c>
      <c r="BI46" s="158">
        <f t="shared" si="102"/>
        <v>1</v>
      </c>
      <c r="BJ46" s="158">
        <f t="shared" si="103"/>
        <v>0</v>
      </c>
      <c r="BK46" s="158">
        <f t="shared" si="104"/>
        <v>1</v>
      </c>
      <c r="BL46" s="158">
        <f t="shared" si="105"/>
        <v>4</v>
      </c>
      <c r="BM46" s="158">
        <f t="shared" si="106"/>
        <v>179</v>
      </c>
      <c r="BN46" s="178"/>
      <c r="BO46" s="179"/>
      <c r="BP46" s="237"/>
      <c r="BQ46" s="234"/>
      <c r="BR46" s="235"/>
    </row>
    <row r="47" spans="1:70" s="286" customFormat="1" ht="47.25" customHeight="1">
      <c r="A47" s="158">
        <v>39</v>
      </c>
      <c r="B47" s="287" t="s">
        <v>359</v>
      </c>
      <c r="C47" s="247" t="s">
        <v>197</v>
      </c>
      <c r="D47" s="247" t="s">
        <v>207</v>
      </c>
      <c r="E47" s="249">
        <v>33482</v>
      </c>
      <c r="F47" s="249" t="s">
        <v>473</v>
      </c>
      <c r="G47" s="154" t="s">
        <v>88</v>
      </c>
      <c r="H47" s="154" t="s">
        <v>4</v>
      </c>
      <c r="I47" s="150" t="s">
        <v>87</v>
      </c>
      <c r="J47" s="251">
        <v>204</v>
      </c>
      <c r="K47" s="156">
        <v>43832</v>
      </c>
      <c r="L47" s="157">
        <v>26</v>
      </c>
      <c r="M47" s="150">
        <f>考勤!F43</f>
        <v>24</v>
      </c>
      <c r="N47" s="150">
        <f>考勤!T43</f>
        <v>1</v>
      </c>
      <c r="O47" s="150">
        <f>考勤!Q43</f>
        <v>1</v>
      </c>
      <c r="P47" s="163">
        <f>考勤!K43</f>
        <v>0</v>
      </c>
      <c r="Q47" s="163">
        <f>考勤!L43</f>
        <v>0</v>
      </c>
      <c r="R47" s="158">
        <f t="shared" si="107"/>
        <v>200</v>
      </c>
      <c r="S47" s="160">
        <f t="shared" si="88"/>
        <v>7.8461538461538458</v>
      </c>
      <c r="T47" s="160"/>
      <c r="U47" s="175">
        <f t="shared" si="108"/>
        <v>204</v>
      </c>
      <c r="V47" s="150">
        <f>考勤!N43</f>
        <v>32</v>
      </c>
      <c r="W47" s="150">
        <f t="shared" si="109"/>
        <v>16</v>
      </c>
      <c r="X47" s="162">
        <f t="shared" si="89"/>
        <v>47.076923076923073</v>
      </c>
      <c r="Y47" s="161">
        <f t="shared" si="90"/>
        <v>8</v>
      </c>
      <c r="Z47" s="150">
        <f>考勤!O43</f>
        <v>0</v>
      </c>
      <c r="AA47" s="162">
        <f t="shared" si="91"/>
        <v>0</v>
      </c>
      <c r="AB47" s="150">
        <f>考勤!P43</f>
        <v>0</v>
      </c>
      <c r="AC47" s="162">
        <f t="shared" si="92"/>
        <v>0</v>
      </c>
      <c r="AD47" s="275">
        <f>考勤!W43</f>
        <v>0</v>
      </c>
      <c r="AE47" s="161">
        <f>考勤!X43</f>
        <v>0</v>
      </c>
      <c r="AF47" s="161">
        <f>考勤!Y43</f>
        <v>0</v>
      </c>
      <c r="AG47" s="161">
        <f>考勤!Z43</f>
        <v>0</v>
      </c>
      <c r="AH47" s="161">
        <v>0</v>
      </c>
      <c r="AI47" s="164"/>
      <c r="AJ47" s="165">
        <f t="shared" si="93"/>
        <v>20</v>
      </c>
      <c r="AK47" s="166">
        <v>5</v>
      </c>
      <c r="AL47" s="167"/>
      <c r="AM47" s="172"/>
      <c r="AN47" s="285"/>
      <c r="AO47" s="169">
        <v>10</v>
      </c>
      <c r="AP47" s="231">
        <f t="shared" si="94"/>
        <v>10</v>
      </c>
      <c r="AQ47" s="170">
        <f t="shared" si="95"/>
        <v>304.08</v>
      </c>
      <c r="AR47" s="171">
        <v>100</v>
      </c>
      <c r="AS47" s="172">
        <f t="shared" si="96"/>
        <v>5.9</v>
      </c>
      <c r="AT47" s="170">
        <f t="shared" si="110"/>
        <v>298.18</v>
      </c>
      <c r="AU47" s="159">
        <f t="shared" si="97"/>
        <v>1209716.26</v>
      </c>
      <c r="AV47" s="159">
        <v>0</v>
      </c>
      <c r="AW47" s="159">
        <v>1</v>
      </c>
      <c r="AX47" s="159">
        <f t="shared" si="81"/>
        <v>150000</v>
      </c>
      <c r="AY47" s="159">
        <f t="shared" si="82"/>
        <v>1059716.26</v>
      </c>
      <c r="AZ47" s="173" t="str">
        <f t="shared" si="111"/>
        <v>0%</v>
      </c>
      <c r="BA47" s="232">
        <f t="shared" si="112"/>
        <v>0</v>
      </c>
      <c r="BB47" s="175">
        <f t="shared" si="113"/>
        <v>0</v>
      </c>
      <c r="BC47" s="176">
        <f t="shared" si="114"/>
        <v>198.17999999999998</v>
      </c>
      <c r="BD47" s="155">
        <f t="shared" si="98"/>
        <v>198</v>
      </c>
      <c r="BE47" s="155">
        <f t="shared" si="99"/>
        <v>198</v>
      </c>
      <c r="BF47" s="177"/>
      <c r="BG47" s="158">
        <f t="shared" si="100"/>
        <v>1</v>
      </c>
      <c r="BH47" s="158">
        <f t="shared" si="101"/>
        <v>1</v>
      </c>
      <c r="BI47" s="158">
        <f t="shared" si="102"/>
        <v>2</v>
      </c>
      <c r="BJ47" s="158">
        <f t="shared" si="103"/>
        <v>0</v>
      </c>
      <c r="BK47" s="158">
        <f t="shared" si="104"/>
        <v>1</v>
      </c>
      <c r="BL47" s="158">
        <f t="shared" si="105"/>
        <v>3</v>
      </c>
      <c r="BM47" s="158">
        <f t="shared" si="106"/>
        <v>198</v>
      </c>
      <c r="BN47" s="178"/>
      <c r="BO47" s="179"/>
      <c r="BP47" s="237"/>
      <c r="BQ47" s="234"/>
      <c r="BR47" s="235"/>
    </row>
    <row r="48" spans="1:70" s="286" customFormat="1" ht="47.25" customHeight="1">
      <c r="A48" s="158">
        <v>40</v>
      </c>
      <c r="B48" s="289"/>
      <c r="C48" s="277"/>
      <c r="D48" s="277"/>
      <c r="E48" s="277"/>
      <c r="F48" s="277"/>
      <c r="G48" s="278"/>
      <c r="H48" s="278"/>
      <c r="I48" s="242"/>
      <c r="J48" s="279"/>
      <c r="K48" s="280"/>
      <c r="L48" s="281"/>
      <c r="M48" s="242"/>
      <c r="N48" s="242"/>
      <c r="O48" s="242"/>
      <c r="P48" s="263"/>
      <c r="Q48" s="263"/>
      <c r="R48" s="242"/>
      <c r="S48" s="266"/>
      <c r="T48" s="266"/>
      <c r="U48" s="240"/>
      <c r="V48" s="242"/>
      <c r="W48" s="242"/>
      <c r="X48" s="267"/>
      <c r="Y48" s="237"/>
      <c r="Z48" s="242"/>
      <c r="AA48" s="267"/>
      <c r="AB48" s="242"/>
      <c r="AC48" s="267"/>
      <c r="AD48" s="263"/>
      <c r="AE48" s="237"/>
      <c r="AF48" s="237"/>
      <c r="AG48" s="237"/>
      <c r="AH48" s="237"/>
      <c r="AI48" s="268"/>
      <c r="AJ48" s="269"/>
      <c r="AK48" s="270"/>
      <c r="AL48" s="271"/>
      <c r="AM48" s="172"/>
      <c r="AN48" s="290"/>
      <c r="AO48" s="291"/>
      <c r="AP48" s="231"/>
      <c r="AQ48" s="46">
        <f>SUM(AQ39:AQ47)</f>
        <v>2750.4799999999996</v>
      </c>
      <c r="AR48" s="46">
        <f t="shared" ref="AR48:BM48" si="115">SUM(AR39:AR47)</f>
        <v>900</v>
      </c>
      <c r="AS48" s="46">
        <f t="shared" si="115"/>
        <v>51.759999999999991</v>
      </c>
      <c r="AT48" s="46">
        <f t="shared" si="115"/>
        <v>2698.72</v>
      </c>
      <c r="AU48" s="46">
        <f t="shared" si="115"/>
        <v>10948707.039999999</v>
      </c>
      <c r="AV48" s="46">
        <f t="shared" si="115"/>
        <v>0</v>
      </c>
      <c r="AW48" s="46">
        <f t="shared" si="115"/>
        <v>5</v>
      </c>
      <c r="AX48" s="46">
        <f t="shared" si="115"/>
        <v>750000</v>
      </c>
      <c r="AY48" s="46">
        <f t="shared" si="115"/>
        <v>10198707.039999999</v>
      </c>
      <c r="AZ48" s="46">
        <f t="shared" si="115"/>
        <v>0</v>
      </c>
      <c r="BA48" s="46">
        <f t="shared" si="115"/>
        <v>1713.8130000000092</v>
      </c>
      <c r="BB48" s="46">
        <f t="shared" si="115"/>
        <v>0.42243357160463624</v>
      </c>
      <c r="BC48" s="46">
        <f t="shared" si="115"/>
        <v>1798.2975664283954</v>
      </c>
      <c r="BD48" s="46">
        <f t="shared" si="115"/>
        <v>1799</v>
      </c>
      <c r="BE48" s="46">
        <f t="shared" si="115"/>
        <v>1799</v>
      </c>
      <c r="BF48" s="46">
        <f t="shared" si="115"/>
        <v>0</v>
      </c>
      <c r="BG48" s="46">
        <f t="shared" si="115"/>
        <v>11</v>
      </c>
      <c r="BH48" s="46">
        <f t="shared" si="115"/>
        <v>7</v>
      </c>
      <c r="BI48" s="46">
        <f t="shared" si="115"/>
        <v>13</v>
      </c>
      <c r="BJ48" s="46">
        <f t="shared" si="115"/>
        <v>2</v>
      </c>
      <c r="BK48" s="46">
        <f t="shared" si="115"/>
        <v>8</v>
      </c>
      <c r="BL48" s="46">
        <f t="shared" si="115"/>
        <v>29</v>
      </c>
      <c r="BM48" s="46">
        <f t="shared" si="115"/>
        <v>1799</v>
      </c>
      <c r="BN48" s="178"/>
      <c r="BO48" s="179"/>
      <c r="BP48" s="237"/>
      <c r="BQ48" s="234"/>
      <c r="BR48" s="235"/>
    </row>
    <row r="49" spans="1:70" s="286" customFormat="1" ht="47.25" customHeight="1">
      <c r="A49" s="158">
        <v>41</v>
      </c>
      <c r="B49" s="287" t="s">
        <v>360</v>
      </c>
      <c r="C49" s="247" t="s">
        <v>106</v>
      </c>
      <c r="D49" s="247" t="s">
        <v>290</v>
      </c>
      <c r="E49" s="249">
        <v>33884</v>
      </c>
      <c r="F49" s="249" t="s">
        <v>473</v>
      </c>
      <c r="G49" s="154" t="s">
        <v>19</v>
      </c>
      <c r="H49" s="154" t="s">
        <v>4</v>
      </c>
      <c r="I49" s="150" t="s">
        <v>14</v>
      </c>
      <c r="J49" s="251">
        <v>204</v>
      </c>
      <c r="K49" s="156">
        <v>42541</v>
      </c>
      <c r="L49" s="157">
        <v>26</v>
      </c>
      <c r="M49" s="150">
        <f>考勤!F44</f>
        <v>24</v>
      </c>
      <c r="N49" s="150">
        <f>考勤!T44</f>
        <v>1</v>
      </c>
      <c r="O49" s="150">
        <f>考勤!Q44</f>
        <v>1</v>
      </c>
      <c r="P49" s="163">
        <f>考勤!K44</f>
        <v>0</v>
      </c>
      <c r="Q49" s="163">
        <f>考勤!L44</f>
        <v>0</v>
      </c>
      <c r="R49" s="150">
        <f>(M49+O49)*8</f>
        <v>200</v>
      </c>
      <c r="S49" s="160">
        <f t="shared" ref="S49:S65" si="116">J49/L49</f>
        <v>7.8461538461538458</v>
      </c>
      <c r="T49" s="160"/>
      <c r="U49" s="175">
        <f>S49*(M49+N49+O49)</f>
        <v>204</v>
      </c>
      <c r="V49" s="150">
        <f>考勤!N44</f>
        <v>32</v>
      </c>
      <c r="W49" s="150">
        <f>V49/2</f>
        <v>16</v>
      </c>
      <c r="X49" s="162">
        <f t="shared" ref="X49:X65" si="117">J49/L49/8*V49*1.5</f>
        <v>47.076923076923073</v>
      </c>
      <c r="Y49" s="161">
        <f t="shared" ref="Y49:Y65" si="118">13/L49*W49</f>
        <v>8</v>
      </c>
      <c r="Z49" s="150">
        <f>考勤!O44</f>
        <v>0</v>
      </c>
      <c r="AA49" s="162">
        <f t="shared" ref="AA49:AA65" si="119">(J49/L49*Z49)*0.5</f>
        <v>0</v>
      </c>
      <c r="AB49" s="150">
        <f>考勤!P44</f>
        <v>0</v>
      </c>
      <c r="AC49" s="162">
        <f t="shared" ref="AC49:AC65" si="120">(J49/L49*AB49)*0.8</f>
        <v>0</v>
      </c>
      <c r="AD49" s="163">
        <f>考勤!W44</f>
        <v>0</v>
      </c>
      <c r="AE49" s="161">
        <f>考勤!X44</f>
        <v>0</v>
      </c>
      <c r="AF49" s="161">
        <f>考勤!Y44</f>
        <v>0</v>
      </c>
      <c r="AG49" s="161">
        <f>考勤!Z44</f>
        <v>0</v>
      </c>
      <c r="AH49" s="161">
        <v>0</v>
      </c>
      <c r="AI49" s="164"/>
      <c r="AJ49" s="165">
        <f t="shared" ref="AJ49:AJ65" si="121">IF(M49+Q49+Z49+N49+O49+AB49&lt;=25.5,0,20)</f>
        <v>20</v>
      </c>
      <c r="AK49" s="166">
        <v>9</v>
      </c>
      <c r="AL49" s="167">
        <v>60</v>
      </c>
      <c r="AM49" s="172"/>
      <c r="AN49" s="160"/>
      <c r="AO49" s="169">
        <v>10</v>
      </c>
      <c r="AP49" s="231">
        <f t="shared" ref="AP49:AP65" si="122">10/26*(M49+N49+O49)</f>
        <v>10</v>
      </c>
      <c r="AQ49" s="170">
        <f t="shared" ref="AQ49:AQ65" si="123">ROUND(SUM(U49,X49,Y49,AA49,AE49,AF49,AJ49,AK49,AL49,AN49,AO49,AP49,AG49,AI49,AH49,AC49,AM49),2)</f>
        <v>368.08</v>
      </c>
      <c r="AR49" s="171">
        <v>100</v>
      </c>
      <c r="AS49" s="172">
        <f t="shared" ref="AS49:AS65" si="124">ROUND(IF(YEARFRAC(E49,$BS$5)&gt;=60,"0",IF(AQ49&lt;=400000/$BT$5,400000/$BT$5*$BU$5,IF(AQ49&lt;=1200000/$BT$5,AQ49*$BU$5,IF(AQ49&gt;1200000/$BT$5,1200000/$BT$5*$BU$5)))),2)</f>
        <v>5.9</v>
      </c>
      <c r="AT49" s="170">
        <f>AQ49-AS49</f>
        <v>362.18</v>
      </c>
      <c r="AU49" s="159">
        <f t="shared" ref="AU49:AU63" si="125">AT49*$AU$6</f>
        <v>1469364.26</v>
      </c>
      <c r="AV49" s="159">
        <v>0</v>
      </c>
      <c r="AW49" s="159">
        <v>2</v>
      </c>
      <c r="AX49" s="159">
        <f>(AV49+AW49)*150000</f>
        <v>300000</v>
      </c>
      <c r="AY49" s="159">
        <f>AU49-AX49</f>
        <v>1169364.26</v>
      </c>
      <c r="AZ49" s="173" t="str">
        <f>IF(AY49&lt;=1500000,"0%",IF(AY49&lt;=2000000,"5%",IF(AY49&lt;=8500000,"10%",IF(AY49&lt;=12500000,"15%",IF(AY49&lt;=12500001,"20%")))))</f>
        <v>0%</v>
      </c>
      <c r="BA49" s="232">
        <f>IF(AY49&lt;=1500000,0,IF(AND(AY49&gt;1500001,AY49&lt;=2000000),((AY49*0.05)-75000),IF(AND(AY49&gt;2000001,AY49&lt;=8500000),((AY49*0.1)-175000),IF(AND(AY49&gt;=8500001,AY49&lt;=12500000),((AY49*0.15)-600000),IF(AY49&gt;=12500001,(AY49*0.2-1225000))))))</f>
        <v>0</v>
      </c>
      <c r="BB49" s="175">
        <f>BA49/$AU$6</f>
        <v>0</v>
      </c>
      <c r="BC49" s="176">
        <f>AQ49-(AS49+BB49+AR49)</f>
        <v>262.17999999999995</v>
      </c>
      <c r="BD49" s="155">
        <f t="shared" ref="BD49:BD63" si="126">ROUND(SUM(BC49),0)</f>
        <v>262</v>
      </c>
      <c r="BE49" s="155">
        <f t="shared" ref="BE49:BE63" si="127">INT(BD49)</f>
        <v>262</v>
      </c>
      <c r="BF49" s="177"/>
      <c r="BG49" s="158">
        <f t="shared" ref="BG49:BG63" si="128">INT(BE49/100)</f>
        <v>2</v>
      </c>
      <c r="BH49" s="158">
        <f t="shared" ref="BH49:BH63" si="129">INT(MOD(BE49,100)/50)</f>
        <v>1</v>
      </c>
      <c r="BI49" s="158">
        <f t="shared" ref="BI49:BI63" si="130">INT(MOD(MOD(BE49,100),50)/20)</f>
        <v>0</v>
      </c>
      <c r="BJ49" s="158">
        <f t="shared" ref="BJ49:BJ63" si="131">INT(MOD(MOD(MOD(BE49,100),50),20)/10)</f>
        <v>1</v>
      </c>
      <c r="BK49" s="158">
        <f t="shared" ref="BK49:BK63" si="132">INT(MOD(MOD(MOD(MOD(BE49,100),50),20),10)/5)</f>
        <v>0</v>
      </c>
      <c r="BL49" s="158">
        <f t="shared" ref="BL49:BL63" si="133">INT(MOD(MOD(MOD(MOD(MOD(BE49,100),50),20),10),5)/1)</f>
        <v>2</v>
      </c>
      <c r="BM49" s="158">
        <f t="shared" ref="BM49:BM63" si="134">BG49*100+BH49*50+BI49*20+BJ49*10+BK49*5+BL49</f>
        <v>262</v>
      </c>
      <c r="BN49" s="178"/>
      <c r="BO49" s="179"/>
      <c r="BP49" s="237"/>
      <c r="BQ49" s="234"/>
      <c r="BR49" s="235"/>
    </row>
    <row r="50" spans="1:70" s="286" customFormat="1" ht="47.25" customHeight="1">
      <c r="A50" s="158">
        <v>42</v>
      </c>
      <c r="B50" s="287" t="s">
        <v>361</v>
      </c>
      <c r="C50" s="152" t="s">
        <v>107</v>
      </c>
      <c r="D50" s="152">
        <v>130158231</v>
      </c>
      <c r="E50" s="255">
        <v>36284</v>
      </c>
      <c r="F50" s="249" t="s">
        <v>473</v>
      </c>
      <c r="G50" s="154" t="s">
        <v>19</v>
      </c>
      <c r="H50" s="154" t="s">
        <v>4</v>
      </c>
      <c r="I50" s="150" t="s">
        <v>14</v>
      </c>
      <c r="J50" s="155">
        <v>204</v>
      </c>
      <c r="K50" s="156">
        <v>42948</v>
      </c>
      <c r="L50" s="157">
        <v>26</v>
      </c>
      <c r="M50" s="150">
        <f>考勤!F45</f>
        <v>24</v>
      </c>
      <c r="N50" s="150">
        <f>考勤!T45</f>
        <v>1</v>
      </c>
      <c r="O50" s="150">
        <f>考勤!Q45</f>
        <v>1</v>
      </c>
      <c r="P50" s="163">
        <f>考勤!K45</f>
        <v>0</v>
      </c>
      <c r="Q50" s="159">
        <f>考勤!L45</f>
        <v>0</v>
      </c>
      <c r="R50" s="158">
        <f t="shared" ref="R50:R65" si="135">(M50+O50)*8</f>
        <v>200</v>
      </c>
      <c r="S50" s="225">
        <f t="shared" si="116"/>
        <v>7.8461538461538458</v>
      </c>
      <c r="T50" s="225"/>
      <c r="U50" s="175">
        <f t="shared" ref="U50:U64" si="136">S50*(M50+N50+O50)</f>
        <v>204</v>
      </c>
      <c r="V50" s="158">
        <f>考勤!N45</f>
        <v>32</v>
      </c>
      <c r="W50" s="158">
        <f t="shared" ref="W50:W63" si="137">V50/2</f>
        <v>16</v>
      </c>
      <c r="X50" s="226">
        <f t="shared" si="117"/>
        <v>47.076923076923073</v>
      </c>
      <c r="Y50" s="175">
        <f t="shared" si="118"/>
        <v>8</v>
      </c>
      <c r="Z50" s="158">
        <f>考勤!O45</f>
        <v>0</v>
      </c>
      <c r="AA50" s="226">
        <f t="shared" si="119"/>
        <v>0</v>
      </c>
      <c r="AB50" s="158">
        <f>考勤!P45</f>
        <v>0</v>
      </c>
      <c r="AC50" s="162">
        <f t="shared" si="120"/>
        <v>0</v>
      </c>
      <c r="AD50" s="163">
        <f>考勤!W45</f>
        <v>0</v>
      </c>
      <c r="AE50" s="161">
        <f>考勤!X45</f>
        <v>0</v>
      </c>
      <c r="AF50" s="161">
        <f>考勤!Y45</f>
        <v>0</v>
      </c>
      <c r="AG50" s="161">
        <f>考勤!Z45</f>
        <v>0</v>
      </c>
      <c r="AH50" s="161">
        <v>0</v>
      </c>
      <c r="AI50" s="227"/>
      <c r="AJ50" s="228">
        <f t="shared" si="121"/>
        <v>20</v>
      </c>
      <c r="AK50" s="229">
        <v>9</v>
      </c>
      <c r="AL50" s="230"/>
      <c r="AM50" s="172"/>
      <c r="AN50" s="160"/>
      <c r="AO50" s="171">
        <v>10</v>
      </c>
      <c r="AP50" s="231">
        <f t="shared" si="122"/>
        <v>10</v>
      </c>
      <c r="AQ50" s="170">
        <f t="shared" si="123"/>
        <v>308.08</v>
      </c>
      <c r="AR50" s="171">
        <v>100</v>
      </c>
      <c r="AS50" s="172">
        <f t="shared" si="124"/>
        <v>5.9</v>
      </c>
      <c r="AT50" s="170">
        <f t="shared" ref="AT50:AT64" si="138">AQ50-AS50</f>
        <v>302.18</v>
      </c>
      <c r="AU50" s="159">
        <f t="shared" si="125"/>
        <v>1225944.26</v>
      </c>
      <c r="AV50" s="159">
        <v>0</v>
      </c>
      <c r="AW50" s="159">
        <v>0</v>
      </c>
      <c r="AX50" s="159">
        <f t="shared" ref="AX50:AX63" si="139">(AV50+AW50)*150000</f>
        <v>0</v>
      </c>
      <c r="AY50" s="159">
        <f t="shared" ref="AY50:AY62" si="140">AU50-AX50</f>
        <v>1225944.26</v>
      </c>
      <c r="AZ50" s="173" t="str">
        <f t="shared" ref="AZ50:AZ62" si="141">IF(AY50&lt;=1500000,"0%",IF(AY50&lt;=2000000,"5%",IF(AY50&lt;=8500000,"10%",IF(AY50&lt;=12500000,"15%",IF(AY50&lt;=12500001,"20%")))))</f>
        <v>0%</v>
      </c>
      <c r="BA50" s="232">
        <f t="shared" ref="BA50:BA63" si="142">IF(AY50&lt;=1500000,0,IF(AND(AY50&gt;1500001,AY50&lt;=2000000),((AY50*0.05)-75000),IF(AND(AY50&gt;2000001,AY50&lt;=8500000),((AY50*0.1)-175000),IF(AND(AY50&gt;=8500001,AY50&lt;=12500000),((AY50*0.15)-600000),IF(AY50&gt;=12500001,(AY50*0.2-1225000))))))</f>
        <v>0</v>
      </c>
      <c r="BB50" s="175">
        <f t="shared" ref="BB50:BB63" si="143">BA50/$AU$6</f>
        <v>0</v>
      </c>
      <c r="BC50" s="176">
        <f t="shared" ref="BC50:BC65" si="144">AQ50-(AS50+BB50+AR50)</f>
        <v>202.17999999999998</v>
      </c>
      <c r="BD50" s="155">
        <f t="shared" si="126"/>
        <v>202</v>
      </c>
      <c r="BE50" s="155">
        <f t="shared" si="127"/>
        <v>202</v>
      </c>
      <c r="BF50" s="177"/>
      <c r="BG50" s="158">
        <f t="shared" si="128"/>
        <v>2</v>
      </c>
      <c r="BH50" s="158">
        <f t="shared" si="129"/>
        <v>0</v>
      </c>
      <c r="BI50" s="158">
        <f t="shared" si="130"/>
        <v>0</v>
      </c>
      <c r="BJ50" s="158">
        <f t="shared" si="131"/>
        <v>0</v>
      </c>
      <c r="BK50" s="158">
        <f t="shared" si="132"/>
        <v>0</v>
      </c>
      <c r="BL50" s="158">
        <f t="shared" si="133"/>
        <v>2</v>
      </c>
      <c r="BM50" s="158">
        <f t="shared" si="134"/>
        <v>202</v>
      </c>
      <c r="BN50" s="178"/>
      <c r="BO50" s="179"/>
      <c r="BP50" s="237"/>
      <c r="BQ50" s="234"/>
      <c r="BR50" s="235"/>
    </row>
    <row r="51" spans="1:70" s="286" customFormat="1" ht="47.25" customHeight="1">
      <c r="A51" s="158">
        <v>43</v>
      </c>
      <c r="B51" s="287" t="s">
        <v>362</v>
      </c>
      <c r="C51" s="152" t="s">
        <v>108</v>
      </c>
      <c r="D51" s="152">
        <v>130216953</v>
      </c>
      <c r="E51" s="255">
        <v>34413</v>
      </c>
      <c r="F51" s="249" t="s">
        <v>473</v>
      </c>
      <c r="G51" s="154" t="s">
        <v>19</v>
      </c>
      <c r="H51" s="154" t="s">
        <v>4</v>
      </c>
      <c r="I51" s="150" t="s">
        <v>14</v>
      </c>
      <c r="J51" s="155">
        <v>204</v>
      </c>
      <c r="K51" s="156">
        <v>42795</v>
      </c>
      <c r="L51" s="157">
        <v>26</v>
      </c>
      <c r="M51" s="150">
        <f>考勤!F46</f>
        <v>24</v>
      </c>
      <c r="N51" s="150">
        <f>考勤!T46</f>
        <v>1</v>
      </c>
      <c r="O51" s="150">
        <f>考勤!Q46</f>
        <v>1</v>
      </c>
      <c r="P51" s="163">
        <f>考勤!K46</f>
        <v>0</v>
      </c>
      <c r="Q51" s="159">
        <f>考勤!L46</f>
        <v>0</v>
      </c>
      <c r="R51" s="158">
        <f t="shared" si="135"/>
        <v>200</v>
      </c>
      <c r="S51" s="225">
        <f t="shared" si="116"/>
        <v>7.8461538461538458</v>
      </c>
      <c r="T51" s="225"/>
      <c r="U51" s="175">
        <f t="shared" si="136"/>
        <v>204</v>
      </c>
      <c r="V51" s="158">
        <f>考勤!N46</f>
        <v>32</v>
      </c>
      <c r="W51" s="158">
        <f t="shared" si="137"/>
        <v>16</v>
      </c>
      <c r="X51" s="226">
        <f t="shared" si="117"/>
        <v>47.076923076923073</v>
      </c>
      <c r="Y51" s="175">
        <f t="shared" si="118"/>
        <v>8</v>
      </c>
      <c r="Z51" s="158">
        <f>考勤!O46</f>
        <v>0</v>
      </c>
      <c r="AA51" s="226">
        <f t="shared" si="119"/>
        <v>0</v>
      </c>
      <c r="AB51" s="158">
        <f>考勤!P46</f>
        <v>0</v>
      </c>
      <c r="AC51" s="162">
        <f t="shared" si="120"/>
        <v>0</v>
      </c>
      <c r="AD51" s="163">
        <f>考勤!W46</f>
        <v>0</v>
      </c>
      <c r="AE51" s="161">
        <f>考勤!X46</f>
        <v>0</v>
      </c>
      <c r="AF51" s="161">
        <f>考勤!Y46</f>
        <v>0</v>
      </c>
      <c r="AG51" s="161">
        <f>考勤!Z46</f>
        <v>0</v>
      </c>
      <c r="AH51" s="161">
        <v>0</v>
      </c>
      <c r="AI51" s="227"/>
      <c r="AJ51" s="228">
        <f t="shared" si="121"/>
        <v>20</v>
      </c>
      <c r="AK51" s="229">
        <v>8</v>
      </c>
      <c r="AL51" s="230"/>
      <c r="AM51" s="172"/>
      <c r="AN51" s="160"/>
      <c r="AO51" s="171">
        <v>10</v>
      </c>
      <c r="AP51" s="231">
        <f t="shared" si="122"/>
        <v>10</v>
      </c>
      <c r="AQ51" s="170">
        <f t="shared" si="123"/>
        <v>307.08</v>
      </c>
      <c r="AR51" s="171">
        <v>100</v>
      </c>
      <c r="AS51" s="172">
        <f t="shared" si="124"/>
        <v>5.9</v>
      </c>
      <c r="AT51" s="170">
        <f t="shared" si="138"/>
        <v>301.18</v>
      </c>
      <c r="AU51" s="159">
        <f t="shared" si="125"/>
        <v>1221887.26</v>
      </c>
      <c r="AV51" s="159">
        <v>0</v>
      </c>
      <c r="AW51" s="159">
        <v>1</v>
      </c>
      <c r="AX51" s="159">
        <f t="shared" si="139"/>
        <v>150000</v>
      </c>
      <c r="AY51" s="159">
        <f t="shared" si="140"/>
        <v>1071887.26</v>
      </c>
      <c r="AZ51" s="173" t="str">
        <f t="shared" si="141"/>
        <v>0%</v>
      </c>
      <c r="BA51" s="232">
        <f t="shared" si="142"/>
        <v>0</v>
      </c>
      <c r="BB51" s="175">
        <f t="shared" si="143"/>
        <v>0</v>
      </c>
      <c r="BC51" s="176">
        <f t="shared" si="144"/>
        <v>201.17999999999998</v>
      </c>
      <c r="BD51" s="155">
        <f t="shared" si="126"/>
        <v>201</v>
      </c>
      <c r="BE51" s="155">
        <f t="shared" si="127"/>
        <v>201</v>
      </c>
      <c r="BF51" s="177"/>
      <c r="BG51" s="158">
        <f t="shared" si="128"/>
        <v>2</v>
      </c>
      <c r="BH51" s="158">
        <f t="shared" si="129"/>
        <v>0</v>
      </c>
      <c r="BI51" s="158">
        <f t="shared" si="130"/>
        <v>0</v>
      </c>
      <c r="BJ51" s="158">
        <f t="shared" si="131"/>
        <v>0</v>
      </c>
      <c r="BK51" s="158">
        <f t="shared" si="132"/>
        <v>0</v>
      </c>
      <c r="BL51" s="158">
        <f t="shared" si="133"/>
        <v>1</v>
      </c>
      <c r="BM51" s="158">
        <f t="shared" si="134"/>
        <v>201</v>
      </c>
      <c r="BN51" s="178"/>
      <c r="BO51" s="179"/>
      <c r="BP51" s="237"/>
      <c r="BQ51" s="234"/>
      <c r="BR51" s="235"/>
    </row>
    <row r="52" spans="1:70" s="286" customFormat="1" ht="47.25" customHeight="1">
      <c r="A52" s="158">
        <v>44</v>
      </c>
      <c r="B52" s="287" t="s">
        <v>363</v>
      </c>
      <c r="C52" s="152" t="s">
        <v>109</v>
      </c>
      <c r="D52" s="152">
        <v>130201995</v>
      </c>
      <c r="E52" s="255">
        <v>32982</v>
      </c>
      <c r="F52" s="249" t="s">
        <v>473</v>
      </c>
      <c r="G52" s="154" t="s">
        <v>19</v>
      </c>
      <c r="H52" s="154" t="s">
        <v>4</v>
      </c>
      <c r="I52" s="150" t="s">
        <v>14</v>
      </c>
      <c r="J52" s="155">
        <v>204</v>
      </c>
      <c r="K52" s="156">
        <v>42795</v>
      </c>
      <c r="L52" s="157">
        <v>26</v>
      </c>
      <c r="M52" s="150">
        <f>考勤!F47</f>
        <v>23</v>
      </c>
      <c r="N52" s="150">
        <f>考勤!T47</f>
        <v>1</v>
      </c>
      <c r="O52" s="150">
        <f>考勤!Q47</f>
        <v>2</v>
      </c>
      <c r="P52" s="163">
        <f>考勤!K47</f>
        <v>0</v>
      </c>
      <c r="Q52" s="159">
        <f>考勤!L47</f>
        <v>0</v>
      </c>
      <c r="R52" s="158">
        <f t="shared" si="135"/>
        <v>200</v>
      </c>
      <c r="S52" s="225">
        <f t="shared" si="116"/>
        <v>7.8461538461538458</v>
      </c>
      <c r="T52" s="225"/>
      <c r="U52" s="175">
        <f t="shared" si="136"/>
        <v>204</v>
      </c>
      <c r="V52" s="158">
        <f>考勤!N47</f>
        <v>28</v>
      </c>
      <c r="W52" s="158">
        <f t="shared" si="137"/>
        <v>14</v>
      </c>
      <c r="X52" s="226">
        <f t="shared" si="117"/>
        <v>41.192307692307693</v>
      </c>
      <c r="Y52" s="175">
        <f t="shared" si="118"/>
        <v>7</v>
      </c>
      <c r="Z52" s="158">
        <f>考勤!O47</f>
        <v>0</v>
      </c>
      <c r="AA52" s="226">
        <f t="shared" si="119"/>
        <v>0</v>
      </c>
      <c r="AB52" s="158">
        <f>考勤!P47</f>
        <v>0</v>
      </c>
      <c r="AC52" s="162">
        <f t="shared" si="120"/>
        <v>0</v>
      </c>
      <c r="AD52" s="163">
        <f>考勤!W47</f>
        <v>0</v>
      </c>
      <c r="AE52" s="161">
        <f>考勤!X47</f>
        <v>0</v>
      </c>
      <c r="AF52" s="161">
        <f>考勤!Y47</f>
        <v>0</v>
      </c>
      <c r="AG52" s="161">
        <f>考勤!Z47</f>
        <v>0</v>
      </c>
      <c r="AH52" s="161">
        <v>0</v>
      </c>
      <c r="AI52" s="227"/>
      <c r="AJ52" s="228">
        <f t="shared" si="121"/>
        <v>20</v>
      </c>
      <c r="AK52" s="229">
        <v>8</v>
      </c>
      <c r="AL52" s="230"/>
      <c r="AM52" s="172"/>
      <c r="AN52" s="160"/>
      <c r="AO52" s="171">
        <v>10</v>
      </c>
      <c r="AP52" s="231">
        <f t="shared" si="122"/>
        <v>10</v>
      </c>
      <c r="AQ52" s="170">
        <f t="shared" si="123"/>
        <v>300.19</v>
      </c>
      <c r="AR52" s="171">
        <v>100</v>
      </c>
      <c r="AS52" s="172">
        <f t="shared" si="124"/>
        <v>5.9</v>
      </c>
      <c r="AT52" s="170">
        <f t="shared" si="138"/>
        <v>294.29000000000002</v>
      </c>
      <c r="AU52" s="159">
        <f t="shared" si="125"/>
        <v>1193934.53</v>
      </c>
      <c r="AV52" s="159">
        <v>0</v>
      </c>
      <c r="AW52" s="159">
        <v>1</v>
      </c>
      <c r="AX52" s="159">
        <f t="shared" si="139"/>
        <v>150000</v>
      </c>
      <c r="AY52" s="159">
        <f t="shared" si="140"/>
        <v>1043934.53</v>
      </c>
      <c r="AZ52" s="173" t="str">
        <f t="shared" si="141"/>
        <v>0%</v>
      </c>
      <c r="BA52" s="232">
        <f t="shared" si="142"/>
        <v>0</v>
      </c>
      <c r="BB52" s="175">
        <f t="shared" si="143"/>
        <v>0</v>
      </c>
      <c r="BC52" s="176">
        <f t="shared" si="144"/>
        <v>194.29</v>
      </c>
      <c r="BD52" s="155">
        <f t="shared" si="126"/>
        <v>194</v>
      </c>
      <c r="BE52" s="155">
        <f t="shared" si="127"/>
        <v>194</v>
      </c>
      <c r="BF52" s="177"/>
      <c r="BG52" s="158">
        <f t="shared" si="128"/>
        <v>1</v>
      </c>
      <c r="BH52" s="158">
        <f t="shared" si="129"/>
        <v>1</v>
      </c>
      <c r="BI52" s="158">
        <f t="shared" si="130"/>
        <v>2</v>
      </c>
      <c r="BJ52" s="158">
        <f t="shared" si="131"/>
        <v>0</v>
      </c>
      <c r="BK52" s="158">
        <f t="shared" si="132"/>
        <v>0</v>
      </c>
      <c r="BL52" s="158">
        <f t="shared" si="133"/>
        <v>4</v>
      </c>
      <c r="BM52" s="158">
        <f t="shared" si="134"/>
        <v>194</v>
      </c>
      <c r="BN52" s="178"/>
      <c r="BO52" s="179"/>
      <c r="BP52" s="237"/>
      <c r="BQ52" s="234"/>
      <c r="BR52" s="235"/>
    </row>
    <row r="53" spans="1:70" s="286" customFormat="1" ht="47.25" customHeight="1">
      <c r="A53" s="158">
        <v>45</v>
      </c>
      <c r="B53" s="287" t="s">
        <v>364</v>
      </c>
      <c r="C53" s="152" t="s">
        <v>110</v>
      </c>
      <c r="D53" s="152" t="s">
        <v>465</v>
      </c>
      <c r="E53" s="255">
        <v>31877</v>
      </c>
      <c r="F53" s="249" t="s">
        <v>473</v>
      </c>
      <c r="G53" s="154" t="s">
        <v>19</v>
      </c>
      <c r="H53" s="154" t="s">
        <v>4</v>
      </c>
      <c r="I53" s="150" t="s">
        <v>14</v>
      </c>
      <c r="J53" s="155">
        <v>204</v>
      </c>
      <c r="K53" s="156">
        <v>43081</v>
      </c>
      <c r="L53" s="157">
        <v>26</v>
      </c>
      <c r="M53" s="150">
        <f>考勤!F48</f>
        <v>24</v>
      </c>
      <c r="N53" s="150">
        <f>考勤!T48</f>
        <v>1</v>
      </c>
      <c r="O53" s="150">
        <f>考勤!Q48</f>
        <v>1</v>
      </c>
      <c r="P53" s="163">
        <f>考勤!K48</f>
        <v>0</v>
      </c>
      <c r="Q53" s="159">
        <f>考勤!L48</f>
        <v>0</v>
      </c>
      <c r="R53" s="158">
        <f t="shared" si="135"/>
        <v>200</v>
      </c>
      <c r="S53" s="225">
        <f t="shared" si="116"/>
        <v>7.8461538461538458</v>
      </c>
      <c r="T53" s="225"/>
      <c r="U53" s="175">
        <f t="shared" si="136"/>
        <v>204</v>
      </c>
      <c r="V53" s="158">
        <f>考勤!N48</f>
        <v>32</v>
      </c>
      <c r="W53" s="158">
        <f t="shared" si="137"/>
        <v>16</v>
      </c>
      <c r="X53" s="226">
        <f t="shared" si="117"/>
        <v>47.076923076923073</v>
      </c>
      <c r="Y53" s="175">
        <f t="shared" si="118"/>
        <v>8</v>
      </c>
      <c r="Z53" s="158">
        <f>考勤!O48</f>
        <v>0</v>
      </c>
      <c r="AA53" s="226">
        <f t="shared" si="119"/>
        <v>0</v>
      </c>
      <c r="AB53" s="158">
        <f>考勤!P48</f>
        <v>0</v>
      </c>
      <c r="AC53" s="162">
        <f t="shared" si="120"/>
        <v>0</v>
      </c>
      <c r="AD53" s="163">
        <f>考勤!W48</f>
        <v>0</v>
      </c>
      <c r="AE53" s="161">
        <f>考勤!X48</f>
        <v>0</v>
      </c>
      <c r="AF53" s="161">
        <f>考勤!Y48</f>
        <v>0</v>
      </c>
      <c r="AG53" s="161">
        <f>考勤!Z48</f>
        <v>0</v>
      </c>
      <c r="AH53" s="161">
        <v>0</v>
      </c>
      <c r="AI53" s="227"/>
      <c r="AJ53" s="228">
        <f t="shared" si="121"/>
        <v>20</v>
      </c>
      <c r="AK53" s="229">
        <v>7</v>
      </c>
      <c r="AL53" s="230"/>
      <c r="AM53" s="172"/>
      <c r="AN53" s="160"/>
      <c r="AO53" s="171">
        <v>10</v>
      </c>
      <c r="AP53" s="231">
        <f t="shared" si="122"/>
        <v>10</v>
      </c>
      <c r="AQ53" s="170">
        <f t="shared" si="123"/>
        <v>306.08</v>
      </c>
      <c r="AR53" s="171">
        <v>100</v>
      </c>
      <c r="AS53" s="172">
        <f t="shared" si="124"/>
        <v>5.9</v>
      </c>
      <c r="AT53" s="170">
        <f t="shared" si="138"/>
        <v>300.18</v>
      </c>
      <c r="AU53" s="159">
        <f t="shared" si="125"/>
        <v>1217830.26</v>
      </c>
      <c r="AV53" s="159">
        <v>0</v>
      </c>
      <c r="AW53" s="159">
        <v>1</v>
      </c>
      <c r="AX53" s="159">
        <f t="shared" si="139"/>
        <v>150000</v>
      </c>
      <c r="AY53" s="159">
        <f t="shared" si="140"/>
        <v>1067830.26</v>
      </c>
      <c r="AZ53" s="173" t="str">
        <f t="shared" si="141"/>
        <v>0%</v>
      </c>
      <c r="BA53" s="232">
        <f t="shared" si="142"/>
        <v>0</v>
      </c>
      <c r="BB53" s="175">
        <f t="shared" si="143"/>
        <v>0</v>
      </c>
      <c r="BC53" s="176">
        <f t="shared" si="144"/>
        <v>200.17999999999998</v>
      </c>
      <c r="BD53" s="155">
        <f t="shared" si="126"/>
        <v>200</v>
      </c>
      <c r="BE53" s="155">
        <f t="shared" si="127"/>
        <v>200</v>
      </c>
      <c r="BF53" s="177"/>
      <c r="BG53" s="158">
        <f t="shared" si="128"/>
        <v>2</v>
      </c>
      <c r="BH53" s="158">
        <f t="shared" si="129"/>
        <v>0</v>
      </c>
      <c r="BI53" s="158">
        <f t="shared" si="130"/>
        <v>0</v>
      </c>
      <c r="BJ53" s="158">
        <f t="shared" si="131"/>
        <v>0</v>
      </c>
      <c r="BK53" s="158">
        <f t="shared" si="132"/>
        <v>0</v>
      </c>
      <c r="BL53" s="158">
        <f t="shared" si="133"/>
        <v>0</v>
      </c>
      <c r="BM53" s="158">
        <f t="shared" si="134"/>
        <v>200</v>
      </c>
      <c r="BN53" s="178"/>
      <c r="BO53" s="179"/>
      <c r="BP53" s="237"/>
      <c r="BQ53" s="234"/>
      <c r="BR53" s="235"/>
    </row>
    <row r="54" spans="1:70" s="286" customFormat="1" ht="47.25" customHeight="1">
      <c r="A54" s="158">
        <v>46</v>
      </c>
      <c r="B54" s="287" t="s">
        <v>365</v>
      </c>
      <c r="C54" s="152" t="s">
        <v>178</v>
      </c>
      <c r="D54" s="152">
        <v>130182823</v>
      </c>
      <c r="E54" s="255">
        <v>36655</v>
      </c>
      <c r="F54" s="249" t="s">
        <v>473</v>
      </c>
      <c r="G54" s="154" t="s">
        <v>19</v>
      </c>
      <c r="H54" s="154" t="s">
        <v>4</v>
      </c>
      <c r="I54" s="150" t="s">
        <v>94</v>
      </c>
      <c r="J54" s="155">
        <v>204</v>
      </c>
      <c r="K54" s="156">
        <v>43486</v>
      </c>
      <c r="L54" s="157">
        <v>26</v>
      </c>
      <c r="M54" s="150">
        <f>考勤!F49</f>
        <v>24</v>
      </c>
      <c r="N54" s="150">
        <f>考勤!T49</f>
        <v>1</v>
      </c>
      <c r="O54" s="150">
        <f>考勤!Q49</f>
        <v>1</v>
      </c>
      <c r="P54" s="163">
        <f>考勤!K49</f>
        <v>0</v>
      </c>
      <c r="Q54" s="159">
        <f>考勤!L49</f>
        <v>0</v>
      </c>
      <c r="R54" s="158">
        <f t="shared" si="135"/>
        <v>200</v>
      </c>
      <c r="S54" s="225">
        <f t="shared" si="116"/>
        <v>7.8461538461538458</v>
      </c>
      <c r="T54" s="225"/>
      <c r="U54" s="175">
        <f t="shared" si="136"/>
        <v>204</v>
      </c>
      <c r="V54" s="158">
        <f>考勤!N49</f>
        <v>28</v>
      </c>
      <c r="W54" s="158">
        <f t="shared" si="137"/>
        <v>14</v>
      </c>
      <c r="X54" s="226">
        <f t="shared" si="117"/>
        <v>41.192307692307693</v>
      </c>
      <c r="Y54" s="175">
        <f t="shared" si="118"/>
        <v>7</v>
      </c>
      <c r="Z54" s="158">
        <f>考勤!O49</f>
        <v>0</v>
      </c>
      <c r="AA54" s="226">
        <f t="shared" si="119"/>
        <v>0</v>
      </c>
      <c r="AB54" s="158">
        <f>考勤!P49</f>
        <v>0</v>
      </c>
      <c r="AC54" s="162">
        <f t="shared" si="120"/>
        <v>0</v>
      </c>
      <c r="AD54" s="163">
        <f>考勤!W49</f>
        <v>0</v>
      </c>
      <c r="AE54" s="161">
        <f>考勤!X49</f>
        <v>0</v>
      </c>
      <c r="AF54" s="161">
        <f>考勤!Y49</f>
        <v>0</v>
      </c>
      <c r="AG54" s="161">
        <f>考勤!Z49</f>
        <v>0</v>
      </c>
      <c r="AH54" s="161">
        <v>0</v>
      </c>
      <c r="AI54" s="227"/>
      <c r="AJ54" s="228">
        <f t="shared" si="121"/>
        <v>20</v>
      </c>
      <c r="AK54" s="229">
        <v>6</v>
      </c>
      <c r="AL54" s="230">
        <v>50</v>
      </c>
      <c r="AM54" s="172"/>
      <c r="AN54" s="160"/>
      <c r="AO54" s="171">
        <v>10</v>
      </c>
      <c r="AP54" s="231">
        <f t="shared" si="122"/>
        <v>10</v>
      </c>
      <c r="AQ54" s="170">
        <f t="shared" si="123"/>
        <v>348.19</v>
      </c>
      <c r="AR54" s="171">
        <v>100</v>
      </c>
      <c r="AS54" s="172">
        <f t="shared" si="124"/>
        <v>5.9</v>
      </c>
      <c r="AT54" s="170">
        <f t="shared" si="138"/>
        <v>342.29</v>
      </c>
      <c r="AU54" s="159">
        <f t="shared" si="125"/>
        <v>1388670.53</v>
      </c>
      <c r="AV54" s="159">
        <v>0</v>
      </c>
      <c r="AW54" s="159">
        <v>1</v>
      </c>
      <c r="AX54" s="159">
        <f t="shared" si="139"/>
        <v>150000</v>
      </c>
      <c r="AY54" s="159">
        <f t="shared" si="140"/>
        <v>1238670.53</v>
      </c>
      <c r="AZ54" s="173" t="str">
        <f t="shared" si="141"/>
        <v>0%</v>
      </c>
      <c r="BA54" s="232">
        <f t="shared" si="142"/>
        <v>0</v>
      </c>
      <c r="BB54" s="175">
        <f t="shared" si="143"/>
        <v>0</v>
      </c>
      <c r="BC54" s="176">
        <f t="shared" si="144"/>
        <v>242.29</v>
      </c>
      <c r="BD54" s="155">
        <f t="shared" si="126"/>
        <v>242</v>
      </c>
      <c r="BE54" s="155">
        <f t="shared" si="127"/>
        <v>242</v>
      </c>
      <c r="BF54" s="177"/>
      <c r="BG54" s="158">
        <f t="shared" si="128"/>
        <v>2</v>
      </c>
      <c r="BH54" s="158">
        <f t="shared" si="129"/>
        <v>0</v>
      </c>
      <c r="BI54" s="158">
        <f t="shared" si="130"/>
        <v>2</v>
      </c>
      <c r="BJ54" s="158">
        <f t="shared" si="131"/>
        <v>0</v>
      </c>
      <c r="BK54" s="158">
        <f t="shared" si="132"/>
        <v>0</v>
      </c>
      <c r="BL54" s="158">
        <f t="shared" si="133"/>
        <v>2</v>
      </c>
      <c r="BM54" s="158">
        <f t="shared" si="134"/>
        <v>242</v>
      </c>
      <c r="BN54" s="178"/>
      <c r="BO54" s="179"/>
      <c r="BP54" s="237"/>
      <c r="BQ54" s="234"/>
      <c r="BR54" s="235"/>
    </row>
    <row r="55" spans="1:70" s="286" customFormat="1" ht="51" customHeight="1">
      <c r="A55" s="158">
        <v>47</v>
      </c>
      <c r="B55" s="287" t="s">
        <v>366</v>
      </c>
      <c r="C55" s="152" t="s">
        <v>183</v>
      </c>
      <c r="D55" s="152">
        <v>130155336</v>
      </c>
      <c r="E55" s="255">
        <v>36046</v>
      </c>
      <c r="F55" s="249" t="s">
        <v>473</v>
      </c>
      <c r="G55" s="154" t="s">
        <v>19</v>
      </c>
      <c r="H55" s="154" t="s">
        <v>4</v>
      </c>
      <c r="I55" s="150" t="s">
        <v>87</v>
      </c>
      <c r="J55" s="155">
        <v>204</v>
      </c>
      <c r="K55" s="156">
        <v>43662</v>
      </c>
      <c r="L55" s="157">
        <v>26</v>
      </c>
      <c r="M55" s="150">
        <f>考勤!F50</f>
        <v>23</v>
      </c>
      <c r="N55" s="150">
        <f>考勤!T50</f>
        <v>1</v>
      </c>
      <c r="O55" s="150">
        <f>考勤!Q50</f>
        <v>2</v>
      </c>
      <c r="P55" s="163">
        <f>考勤!K50</f>
        <v>0</v>
      </c>
      <c r="Q55" s="159">
        <f>考勤!L50</f>
        <v>0</v>
      </c>
      <c r="R55" s="158">
        <f t="shared" si="135"/>
        <v>200</v>
      </c>
      <c r="S55" s="225">
        <f t="shared" si="116"/>
        <v>7.8461538461538458</v>
      </c>
      <c r="T55" s="225"/>
      <c r="U55" s="175">
        <f t="shared" si="136"/>
        <v>204</v>
      </c>
      <c r="V55" s="158">
        <f>考勤!N50</f>
        <v>32</v>
      </c>
      <c r="W55" s="158">
        <f t="shared" si="137"/>
        <v>16</v>
      </c>
      <c r="X55" s="226">
        <f t="shared" si="117"/>
        <v>47.076923076923073</v>
      </c>
      <c r="Y55" s="175">
        <f t="shared" si="118"/>
        <v>8</v>
      </c>
      <c r="Z55" s="158">
        <f>考勤!O50</f>
        <v>0</v>
      </c>
      <c r="AA55" s="226">
        <f t="shared" si="119"/>
        <v>0</v>
      </c>
      <c r="AB55" s="158">
        <f>考勤!P50</f>
        <v>0</v>
      </c>
      <c r="AC55" s="162">
        <f t="shared" si="120"/>
        <v>0</v>
      </c>
      <c r="AD55" s="163">
        <f>考勤!W50</f>
        <v>0</v>
      </c>
      <c r="AE55" s="161">
        <f>考勤!X50</f>
        <v>0</v>
      </c>
      <c r="AF55" s="161">
        <f>考勤!Y50</f>
        <v>0</v>
      </c>
      <c r="AG55" s="161">
        <f>考勤!Z50</f>
        <v>0</v>
      </c>
      <c r="AH55" s="161">
        <v>0</v>
      </c>
      <c r="AI55" s="227"/>
      <c r="AJ55" s="228">
        <f t="shared" si="121"/>
        <v>20</v>
      </c>
      <c r="AK55" s="229">
        <v>6</v>
      </c>
      <c r="AL55" s="230"/>
      <c r="AM55" s="172"/>
      <c r="AN55" s="160"/>
      <c r="AO55" s="171">
        <v>10</v>
      </c>
      <c r="AP55" s="231">
        <f t="shared" si="122"/>
        <v>10</v>
      </c>
      <c r="AQ55" s="170">
        <f t="shared" si="123"/>
        <v>305.08</v>
      </c>
      <c r="AR55" s="171">
        <v>100</v>
      </c>
      <c r="AS55" s="172">
        <f t="shared" si="124"/>
        <v>5.9</v>
      </c>
      <c r="AT55" s="170">
        <f t="shared" si="138"/>
        <v>299.18</v>
      </c>
      <c r="AU55" s="159">
        <f t="shared" si="125"/>
        <v>1213773.26</v>
      </c>
      <c r="AV55" s="159">
        <v>0</v>
      </c>
      <c r="AW55" s="159">
        <v>1</v>
      </c>
      <c r="AX55" s="159">
        <f t="shared" si="139"/>
        <v>150000</v>
      </c>
      <c r="AY55" s="159">
        <f t="shared" si="140"/>
        <v>1063773.26</v>
      </c>
      <c r="AZ55" s="173" t="str">
        <f t="shared" si="141"/>
        <v>0%</v>
      </c>
      <c r="BA55" s="232">
        <f t="shared" si="142"/>
        <v>0</v>
      </c>
      <c r="BB55" s="175">
        <f t="shared" si="143"/>
        <v>0</v>
      </c>
      <c r="BC55" s="176">
        <f t="shared" si="144"/>
        <v>199.17999999999998</v>
      </c>
      <c r="BD55" s="155">
        <f t="shared" si="126"/>
        <v>199</v>
      </c>
      <c r="BE55" s="155">
        <f t="shared" si="127"/>
        <v>199</v>
      </c>
      <c r="BF55" s="177"/>
      <c r="BG55" s="158">
        <f t="shared" si="128"/>
        <v>1</v>
      </c>
      <c r="BH55" s="158">
        <f t="shared" si="129"/>
        <v>1</v>
      </c>
      <c r="BI55" s="158">
        <f t="shared" si="130"/>
        <v>2</v>
      </c>
      <c r="BJ55" s="158">
        <f t="shared" si="131"/>
        <v>0</v>
      </c>
      <c r="BK55" s="158">
        <f t="shared" si="132"/>
        <v>1</v>
      </c>
      <c r="BL55" s="158">
        <f t="shared" si="133"/>
        <v>4</v>
      </c>
      <c r="BM55" s="158">
        <f t="shared" si="134"/>
        <v>199</v>
      </c>
      <c r="BN55" s="178"/>
      <c r="BO55" s="179"/>
      <c r="BP55" s="237"/>
      <c r="BQ55" s="234"/>
      <c r="BR55" s="235"/>
    </row>
    <row r="56" spans="1:70" s="286" customFormat="1" ht="50.25" customHeight="1">
      <c r="A56" s="158">
        <v>48</v>
      </c>
      <c r="B56" s="287" t="s">
        <v>367</v>
      </c>
      <c r="C56" s="152" t="s">
        <v>211</v>
      </c>
      <c r="D56" s="152" t="s">
        <v>214</v>
      </c>
      <c r="E56" s="255">
        <v>34817</v>
      </c>
      <c r="F56" s="249" t="s">
        <v>473</v>
      </c>
      <c r="G56" s="221" t="s">
        <v>118</v>
      </c>
      <c r="H56" s="154" t="s">
        <v>4</v>
      </c>
      <c r="I56" s="150" t="s">
        <v>87</v>
      </c>
      <c r="J56" s="155">
        <v>204</v>
      </c>
      <c r="K56" s="156">
        <v>44074</v>
      </c>
      <c r="L56" s="157">
        <v>26</v>
      </c>
      <c r="M56" s="150">
        <f>考勤!F51</f>
        <v>24</v>
      </c>
      <c r="N56" s="150">
        <f>考勤!T51</f>
        <v>1</v>
      </c>
      <c r="O56" s="150">
        <f>考勤!Q51</f>
        <v>1</v>
      </c>
      <c r="P56" s="163">
        <f>考勤!K51</f>
        <v>0</v>
      </c>
      <c r="Q56" s="159">
        <f>考勤!L51</f>
        <v>0</v>
      </c>
      <c r="R56" s="158">
        <f t="shared" si="135"/>
        <v>200</v>
      </c>
      <c r="S56" s="225">
        <f t="shared" si="116"/>
        <v>7.8461538461538458</v>
      </c>
      <c r="T56" s="225"/>
      <c r="U56" s="175">
        <f t="shared" si="136"/>
        <v>204</v>
      </c>
      <c r="V56" s="158">
        <f>考勤!N51</f>
        <v>32</v>
      </c>
      <c r="W56" s="158">
        <f t="shared" si="137"/>
        <v>16</v>
      </c>
      <c r="X56" s="226">
        <f t="shared" si="117"/>
        <v>47.076923076923073</v>
      </c>
      <c r="Y56" s="175">
        <f t="shared" si="118"/>
        <v>8</v>
      </c>
      <c r="Z56" s="158">
        <f>考勤!O51</f>
        <v>0</v>
      </c>
      <c r="AA56" s="226">
        <f t="shared" si="119"/>
        <v>0</v>
      </c>
      <c r="AB56" s="158">
        <f>考勤!P51</f>
        <v>0</v>
      </c>
      <c r="AC56" s="162">
        <f t="shared" si="120"/>
        <v>0</v>
      </c>
      <c r="AD56" s="163">
        <f>考勤!W51</f>
        <v>0</v>
      </c>
      <c r="AE56" s="161">
        <f>考勤!X51</f>
        <v>0</v>
      </c>
      <c r="AF56" s="161">
        <f>考勤!Y51</f>
        <v>0</v>
      </c>
      <c r="AG56" s="161">
        <f>考勤!Z51</f>
        <v>0</v>
      </c>
      <c r="AH56" s="161">
        <v>0</v>
      </c>
      <c r="AI56" s="227"/>
      <c r="AJ56" s="228">
        <f t="shared" si="121"/>
        <v>20</v>
      </c>
      <c r="AK56" s="229">
        <v>4</v>
      </c>
      <c r="AL56" s="230"/>
      <c r="AM56" s="172"/>
      <c r="AN56" s="160"/>
      <c r="AO56" s="171">
        <v>10</v>
      </c>
      <c r="AP56" s="231">
        <f t="shared" si="122"/>
        <v>10</v>
      </c>
      <c r="AQ56" s="170">
        <f t="shared" si="123"/>
        <v>303.08</v>
      </c>
      <c r="AR56" s="171">
        <v>100</v>
      </c>
      <c r="AS56" s="172">
        <f t="shared" si="124"/>
        <v>5.9</v>
      </c>
      <c r="AT56" s="170">
        <f t="shared" si="138"/>
        <v>297.18</v>
      </c>
      <c r="AU56" s="159">
        <f t="shared" si="125"/>
        <v>1205659.26</v>
      </c>
      <c r="AV56" s="159">
        <v>0</v>
      </c>
      <c r="AW56" s="159">
        <v>2</v>
      </c>
      <c r="AX56" s="159">
        <f t="shared" si="139"/>
        <v>300000</v>
      </c>
      <c r="AY56" s="159">
        <f t="shared" si="140"/>
        <v>905659.26</v>
      </c>
      <c r="AZ56" s="173" t="str">
        <f t="shared" si="141"/>
        <v>0%</v>
      </c>
      <c r="BA56" s="232">
        <f t="shared" si="142"/>
        <v>0</v>
      </c>
      <c r="BB56" s="175">
        <f t="shared" si="143"/>
        <v>0</v>
      </c>
      <c r="BC56" s="176">
        <f t="shared" si="144"/>
        <v>197.17999999999998</v>
      </c>
      <c r="BD56" s="155">
        <f t="shared" si="126"/>
        <v>197</v>
      </c>
      <c r="BE56" s="155">
        <f t="shared" si="127"/>
        <v>197</v>
      </c>
      <c r="BF56" s="177"/>
      <c r="BG56" s="158">
        <f t="shared" si="128"/>
        <v>1</v>
      </c>
      <c r="BH56" s="158">
        <f t="shared" si="129"/>
        <v>1</v>
      </c>
      <c r="BI56" s="158">
        <f t="shared" si="130"/>
        <v>2</v>
      </c>
      <c r="BJ56" s="158">
        <f t="shared" si="131"/>
        <v>0</v>
      </c>
      <c r="BK56" s="158">
        <f t="shared" si="132"/>
        <v>1</v>
      </c>
      <c r="BL56" s="158">
        <f t="shared" si="133"/>
        <v>2</v>
      </c>
      <c r="BM56" s="158">
        <f t="shared" si="134"/>
        <v>197</v>
      </c>
      <c r="BN56" s="178"/>
      <c r="BO56" s="179"/>
      <c r="BP56" s="237"/>
      <c r="BQ56" s="234"/>
      <c r="BR56" s="235"/>
    </row>
    <row r="57" spans="1:70" s="286" customFormat="1" ht="50.25" customHeight="1">
      <c r="A57" s="158">
        <v>49</v>
      </c>
      <c r="B57" s="287" t="s">
        <v>368</v>
      </c>
      <c r="C57" s="152" t="s">
        <v>212</v>
      </c>
      <c r="D57" s="152" t="s">
        <v>215</v>
      </c>
      <c r="E57" s="255">
        <v>34916</v>
      </c>
      <c r="F57" s="249" t="s">
        <v>473</v>
      </c>
      <c r="G57" s="221" t="s">
        <v>118</v>
      </c>
      <c r="H57" s="154" t="s">
        <v>4</v>
      </c>
      <c r="I57" s="150" t="s">
        <v>94</v>
      </c>
      <c r="J57" s="155">
        <v>204</v>
      </c>
      <c r="K57" s="156">
        <v>44075</v>
      </c>
      <c r="L57" s="157">
        <v>26</v>
      </c>
      <c r="M57" s="150">
        <f>考勤!F52</f>
        <v>23</v>
      </c>
      <c r="N57" s="150">
        <f>考勤!T52</f>
        <v>1</v>
      </c>
      <c r="O57" s="150">
        <f>考勤!Q52</f>
        <v>2</v>
      </c>
      <c r="P57" s="163">
        <f>考勤!K52</f>
        <v>0</v>
      </c>
      <c r="Q57" s="159">
        <f>考勤!L52</f>
        <v>0</v>
      </c>
      <c r="R57" s="158">
        <f t="shared" si="135"/>
        <v>200</v>
      </c>
      <c r="S57" s="225">
        <f t="shared" si="116"/>
        <v>7.8461538461538458</v>
      </c>
      <c r="T57" s="225"/>
      <c r="U57" s="175">
        <f t="shared" si="136"/>
        <v>204</v>
      </c>
      <c r="V57" s="158">
        <f>考勤!N52</f>
        <v>28</v>
      </c>
      <c r="W57" s="158">
        <f t="shared" si="137"/>
        <v>14</v>
      </c>
      <c r="X57" s="226">
        <f t="shared" si="117"/>
        <v>41.192307692307693</v>
      </c>
      <c r="Y57" s="175">
        <f t="shared" si="118"/>
        <v>7</v>
      </c>
      <c r="Z57" s="158">
        <f>考勤!O52</f>
        <v>0</v>
      </c>
      <c r="AA57" s="226">
        <f t="shared" si="119"/>
        <v>0</v>
      </c>
      <c r="AB57" s="158">
        <f>考勤!P52</f>
        <v>0</v>
      </c>
      <c r="AC57" s="162">
        <f t="shared" si="120"/>
        <v>0</v>
      </c>
      <c r="AD57" s="163">
        <f>考勤!W52</f>
        <v>0</v>
      </c>
      <c r="AE57" s="161">
        <f>考勤!X52</f>
        <v>0</v>
      </c>
      <c r="AF57" s="161">
        <f>考勤!Y52</f>
        <v>0</v>
      </c>
      <c r="AG57" s="161">
        <f>考勤!Z52</f>
        <v>0</v>
      </c>
      <c r="AH57" s="161">
        <v>0</v>
      </c>
      <c r="AI57" s="227"/>
      <c r="AJ57" s="228">
        <f t="shared" si="121"/>
        <v>20</v>
      </c>
      <c r="AK57" s="229">
        <v>4</v>
      </c>
      <c r="AL57" s="230">
        <v>80</v>
      </c>
      <c r="AM57" s="172"/>
      <c r="AN57" s="160"/>
      <c r="AO57" s="171">
        <v>10</v>
      </c>
      <c r="AP57" s="231">
        <f t="shared" si="122"/>
        <v>10</v>
      </c>
      <c r="AQ57" s="170">
        <f t="shared" si="123"/>
        <v>376.19</v>
      </c>
      <c r="AR57" s="171">
        <v>100</v>
      </c>
      <c r="AS57" s="172">
        <f t="shared" si="124"/>
        <v>5.9</v>
      </c>
      <c r="AT57" s="170">
        <f t="shared" si="138"/>
        <v>370.29</v>
      </c>
      <c r="AU57" s="159">
        <f t="shared" si="125"/>
        <v>1502266.53</v>
      </c>
      <c r="AV57" s="159">
        <v>0</v>
      </c>
      <c r="AW57" s="159">
        <v>1</v>
      </c>
      <c r="AX57" s="159">
        <f t="shared" si="139"/>
        <v>150000</v>
      </c>
      <c r="AY57" s="159">
        <f t="shared" si="140"/>
        <v>1352266.53</v>
      </c>
      <c r="AZ57" s="173" t="str">
        <f t="shared" si="141"/>
        <v>0%</v>
      </c>
      <c r="BA57" s="232">
        <f t="shared" si="142"/>
        <v>0</v>
      </c>
      <c r="BB57" s="175">
        <f t="shared" si="143"/>
        <v>0</v>
      </c>
      <c r="BC57" s="176">
        <f t="shared" si="144"/>
        <v>270.28999999999996</v>
      </c>
      <c r="BD57" s="155">
        <f t="shared" si="126"/>
        <v>270</v>
      </c>
      <c r="BE57" s="155">
        <f t="shared" si="127"/>
        <v>270</v>
      </c>
      <c r="BF57" s="177"/>
      <c r="BG57" s="158">
        <f t="shared" si="128"/>
        <v>2</v>
      </c>
      <c r="BH57" s="158">
        <f t="shared" si="129"/>
        <v>1</v>
      </c>
      <c r="BI57" s="158">
        <f t="shared" si="130"/>
        <v>1</v>
      </c>
      <c r="BJ57" s="158">
        <f t="shared" si="131"/>
        <v>0</v>
      </c>
      <c r="BK57" s="158">
        <f t="shared" si="132"/>
        <v>0</v>
      </c>
      <c r="BL57" s="158">
        <f t="shared" si="133"/>
        <v>0</v>
      </c>
      <c r="BM57" s="158">
        <f t="shared" si="134"/>
        <v>270</v>
      </c>
      <c r="BN57" s="178"/>
      <c r="BO57" s="179"/>
      <c r="BP57" s="237"/>
      <c r="BQ57" s="234"/>
      <c r="BR57" s="235"/>
    </row>
    <row r="58" spans="1:70" s="286" customFormat="1" ht="50.25" customHeight="1">
      <c r="A58" s="158">
        <v>50</v>
      </c>
      <c r="B58" s="287" t="s">
        <v>369</v>
      </c>
      <c r="C58" s="152" t="s">
        <v>218</v>
      </c>
      <c r="D58" s="152" t="s">
        <v>466</v>
      </c>
      <c r="E58" s="255">
        <v>34859</v>
      </c>
      <c r="F58" s="249" t="s">
        <v>473</v>
      </c>
      <c r="G58" s="221" t="s">
        <v>118</v>
      </c>
      <c r="H58" s="154" t="s">
        <v>4</v>
      </c>
      <c r="I58" s="150" t="s">
        <v>87</v>
      </c>
      <c r="J58" s="155">
        <v>204</v>
      </c>
      <c r="K58" s="156">
        <v>44166</v>
      </c>
      <c r="L58" s="157">
        <v>26</v>
      </c>
      <c r="M58" s="150">
        <f>考勤!F53</f>
        <v>24</v>
      </c>
      <c r="N58" s="150">
        <f>考勤!T53</f>
        <v>1</v>
      </c>
      <c r="O58" s="150">
        <f>考勤!Q53</f>
        <v>1</v>
      </c>
      <c r="P58" s="163">
        <f>考勤!K53</f>
        <v>0</v>
      </c>
      <c r="Q58" s="159">
        <f>考勤!L53</f>
        <v>0</v>
      </c>
      <c r="R58" s="158">
        <f t="shared" si="135"/>
        <v>200</v>
      </c>
      <c r="S58" s="225">
        <f t="shared" si="116"/>
        <v>7.8461538461538458</v>
      </c>
      <c r="T58" s="225"/>
      <c r="U58" s="175">
        <f t="shared" si="136"/>
        <v>204</v>
      </c>
      <c r="V58" s="158">
        <f>考勤!N53</f>
        <v>32</v>
      </c>
      <c r="W58" s="158">
        <f t="shared" si="137"/>
        <v>16</v>
      </c>
      <c r="X58" s="226">
        <f t="shared" si="117"/>
        <v>47.076923076923073</v>
      </c>
      <c r="Y58" s="175">
        <f t="shared" si="118"/>
        <v>8</v>
      </c>
      <c r="Z58" s="158">
        <f>考勤!O53</f>
        <v>0</v>
      </c>
      <c r="AA58" s="226">
        <f t="shared" si="119"/>
        <v>0</v>
      </c>
      <c r="AB58" s="158">
        <f>考勤!P53</f>
        <v>0</v>
      </c>
      <c r="AC58" s="162">
        <f t="shared" si="120"/>
        <v>0</v>
      </c>
      <c r="AD58" s="163">
        <f>考勤!W53</f>
        <v>0</v>
      </c>
      <c r="AE58" s="161">
        <f>考勤!X53</f>
        <v>0</v>
      </c>
      <c r="AF58" s="161">
        <f>考勤!Y53</f>
        <v>0</v>
      </c>
      <c r="AG58" s="161">
        <f>考勤!Z53</f>
        <v>0</v>
      </c>
      <c r="AH58" s="161">
        <v>0</v>
      </c>
      <c r="AI58" s="227"/>
      <c r="AJ58" s="228">
        <f t="shared" si="121"/>
        <v>20</v>
      </c>
      <c r="AK58" s="229">
        <v>4</v>
      </c>
      <c r="AL58" s="230">
        <v>90</v>
      </c>
      <c r="AM58" s="172"/>
      <c r="AN58" s="160"/>
      <c r="AO58" s="171">
        <v>10</v>
      </c>
      <c r="AP58" s="231">
        <f t="shared" si="122"/>
        <v>10</v>
      </c>
      <c r="AQ58" s="170">
        <f t="shared" si="123"/>
        <v>393.08</v>
      </c>
      <c r="AR58" s="171">
        <v>100</v>
      </c>
      <c r="AS58" s="172">
        <f t="shared" si="124"/>
        <v>5.9</v>
      </c>
      <c r="AT58" s="170">
        <f t="shared" si="138"/>
        <v>387.18</v>
      </c>
      <c r="AU58" s="159">
        <f t="shared" si="125"/>
        <v>1570789.26</v>
      </c>
      <c r="AV58" s="159">
        <v>0</v>
      </c>
      <c r="AW58" s="159">
        <v>0</v>
      </c>
      <c r="AX58" s="159">
        <f t="shared" si="139"/>
        <v>0</v>
      </c>
      <c r="AY58" s="159">
        <f t="shared" si="140"/>
        <v>1570789.26</v>
      </c>
      <c r="AZ58" s="173" t="str">
        <f t="shared" si="141"/>
        <v>5%</v>
      </c>
      <c r="BA58" s="232">
        <f t="shared" si="142"/>
        <v>3539.4630000000034</v>
      </c>
      <c r="BB58" s="175">
        <f t="shared" si="143"/>
        <v>0.87243357160463475</v>
      </c>
      <c r="BC58" s="176">
        <f t="shared" si="144"/>
        <v>286.30756642839538</v>
      </c>
      <c r="BD58" s="227">
        <f t="shared" si="126"/>
        <v>286</v>
      </c>
      <c r="BE58" s="227">
        <f t="shared" si="127"/>
        <v>286</v>
      </c>
      <c r="BF58" s="177"/>
      <c r="BG58" s="158">
        <f t="shared" si="128"/>
        <v>2</v>
      </c>
      <c r="BH58" s="158">
        <f t="shared" si="129"/>
        <v>1</v>
      </c>
      <c r="BI58" s="158">
        <f t="shared" si="130"/>
        <v>1</v>
      </c>
      <c r="BJ58" s="158">
        <f t="shared" si="131"/>
        <v>1</v>
      </c>
      <c r="BK58" s="158">
        <f t="shared" si="132"/>
        <v>1</v>
      </c>
      <c r="BL58" s="158">
        <f t="shared" si="133"/>
        <v>1</v>
      </c>
      <c r="BM58" s="158">
        <f t="shared" si="134"/>
        <v>286</v>
      </c>
      <c r="BN58" s="178"/>
      <c r="BO58" s="179"/>
      <c r="BP58" s="237"/>
      <c r="BQ58" s="234"/>
      <c r="BR58" s="235"/>
    </row>
    <row r="59" spans="1:70" s="286" customFormat="1" ht="51.75" customHeight="1">
      <c r="A59" s="158">
        <v>51</v>
      </c>
      <c r="B59" s="287" t="s">
        <v>370</v>
      </c>
      <c r="C59" s="152" t="s">
        <v>225</v>
      </c>
      <c r="D59" s="152" t="s">
        <v>227</v>
      </c>
      <c r="E59" s="255">
        <v>34819</v>
      </c>
      <c r="F59" s="249" t="s">
        <v>473</v>
      </c>
      <c r="G59" s="221" t="s">
        <v>118</v>
      </c>
      <c r="H59" s="154" t="s">
        <v>4</v>
      </c>
      <c r="I59" s="150" t="s">
        <v>219</v>
      </c>
      <c r="J59" s="155">
        <v>204</v>
      </c>
      <c r="K59" s="156">
        <v>44245</v>
      </c>
      <c r="L59" s="157">
        <v>26</v>
      </c>
      <c r="M59" s="150">
        <f>考勤!F54</f>
        <v>23</v>
      </c>
      <c r="N59" s="150">
        <f>考勤!T54</f>
        <v>1</v>
      </c>
      <c r="O59" s="150">
        <f>考勤!Q54</f>
        <v>2</v>
      </c>
      <c r="P59" s="163">
        <f>考勤!K54</f>
        <v>0</v>
      </c>
      <c r="Q59" s="159">
        <f>考勤!L54</f>
        <v>0</v>
      </c>
      <c r="R59" s="158">
        <f t="shared" si="135"/>
        <v>200</v>
      </c>
      <c r="S59" s="225">
        <f t="shared" si="116"/>
        <v>7.8461538461538458</v>
      </c>
      <c r="T59" s="225"/>
      <c r="U59" s="175">
        <f t="shared" si="136"/>
        <v>204</v>
      </c>
      <c r="V59" s="158">
        <f>考勤!N54</f>
        <v>26</v>
      </c>
      <c r="W59" s="158">
        <f t="shared" si="137"/>
        <v>13</v>
      </c>
      <c r="X59" s="226">
        <f t="shared" si="117"/>
        <v>38.25</v>
      </c>
      <c r="Y59" s="175">
        <f t="shared" si="118"/>
        <v>6.5</v>
      </c>
      <c r="Z59" s="158">
        <f>考勤!O54</f>
        <v>0</v>
      </c>
      <c r="AA59" s="226">
        <f t="shared" si="119"/>
        <v>0</v>
      </c>
      <c r="AB59" s="158">
        <f>考勤!P54</f>
        <v>0</v>
      </c>
      <c r="AC59" s="162">
        <f t="shared" si="120"/>
        <v>0</v>
      </c>
      <c r="AD59" s="163">
        <f>考勤!W54</f>
        <v>0</v>
      </c>
      <c r="AE59" s="161">
        <f>考勤!X54</f>
        <v>0</v>
      </c>
      <c r="AF59" s="161">
        <f>考勤!Y54</f>
        <v>0</v>
      </c>
      <c r="AG59" s="161">
        <f>考勤!Z54</f>
        <v>0</v>
      </c>
      <c r="AH59" s="161">
        <v>0</v>
      </c>
      <c r="AI59" s="227"/>
      <c r="AJ59" s="228">
        <f t="shared" si="121"/>
        <v>20</v>
      </c>
      <c r="AK59" s="229">
        <v>4</v>
      </c>
      <c r="AL59" s="230"/>
      <c r="AM59" s="172"/>
      <c r="AN59" s="160"/>
      <c r="AO59" s="171">
        <v>10</v>
      </c>
      <c r="AP59" s="231">
        <f t="shared" si="122"/>
        <v>10</v>
      </c>
      <c r="AQ59" s="170">
        <f t="shared" si="123"/>
        <v>292.75</v>
      </c>
      <c r="AR59" s="171">
        <v>100</v>
      </c>
      <c r="AS59" s="172">
        <f t="shared" si="124"/>
        <v>5.86</v>
      </c>
      <c r="AT59" s="170">
        <f t="shared" si="138"/>
        <v>286.89</v>
      </c>
      <c r="AU59" s="159">
        <f t="shared" si="125"/>
        <v>1163912.73</v>
      </c>
      <c r="AV59" s="159">
        <v>0</v>
      </c>
      <c r="AW59" s="159">
        <v>1</v>
      </c>
      <c r="AX59" s="159">
        <f t="shared" si="139"/>
        <v>150000</v>
      </c>
      <c r="AY59" s="159">
        <f t="shared" si="140"/>
        <v>1013912.73</v>
      </c>
      <c r="AZ59" s="173" t="str">
        <f t="shared" si="141"/>
        <v>0%</v>
      </c>
      <c r="BA59" s="232">
        <f t="shared" si="142"/>
        <v>0</v>
      </c>
      <c r="BB59" s="175">
        <f t="shared" si="143"/>
        <v>0</v>
      </c>
      <c r="BC59" s="176">
        <f t="shared" si="144"/>
        <v>186.89</v>
      </c>
      <c r="BD59" s="155">
        <f t="shared" si="126"/>
        <v>187</v>
      </c>
      <c r="BE59" s="155">
        <f t="shared" si="127"/>
        <v>187</v>
      </c>
      <c r="BF59" s="177"/>
      <c r="BG59" s="158">
        <f t="shared" si="128"/>
        <v>1</v>
      </c>
      <c r="BH59" s="158">
        <f t="shared" si="129"/>
        <v>1</v>
      </c>
      <c r="BI59" s="158">
        <f t="shared" si="130"/>
        <v>1</v>
      </c>
      <c r="BJ59" s="158">
        <f t="shared" si="131"/>
        <v>1</v>
      </c>
      <c r="BK59" s="158">
        <f t="shared" si="132"/>
        <v>1</v>
      </c>
      <c r="BL59" s="158">
        <f t="shared" si="133"/>
        <v>2</v>
      </c>
      <c r="BM59" s="158">
        <f t="shared" si="134"/>
        <v>187</v>
      </c>
      <c r="BN59" s="178"/>
      <c r="BO59" s="179"/>
      <c r="BP59" s="237"/>
      <c r="BQ59" s="234"/>
      <c r="BR59" s="235"/>
    </row>
    <row r="60" spans="1:70" s="286" customFormat="1" ht="50.25" customHeight="1">
      <c r="A60" s="158">
        <v>52</v>
      </c>
      <c r="B60" s="287" t="s">
        <v>371</v>
      </c>
      <c r="C60" s="152" t="s">
        <v>239</v>
      </c>
      <c r="D60" s="152" t="s">
        <v>252</v>
      </c>
      <c r="E60" s="255">
        <v>36955</v>
      </c>
      <c r="F60" s="249" t="s">
        <v>473</v>
      </c>
      <c r="G60" s="221" t="s">
        <v>118</v>
      </c>
      <c r="H60" s="154" t="s">
        <v>4</v>
      </c>
      <c r="I60" s="150" t="s">
        <v>243</v>
      </c>
      <c r="J60" s="155">
        <v>204</v>
      </c>
      <c r="K60" s="156">
        <v>44348</v>
      </c>
      <c r="L60" s="157">
        <v>26</v>
      </c>
      <c r="M60" s="150">
        <f>考勤!F55</f>
        <v>22.5</v>
      </c>
      <c r="N60" s="150">
        <f>考勤!T55</f>
        <v>1</v>
      </c>
      <c r="O60" s="150">
        <f>考勤!Q55</f>
        <v>2.5</v>
      </c>
      <c r="P60" s="163">
        <f>考勤!K55</f>
        <v>0</v>
      </c>
      <c r="Q60" s="159">
        <f>考勤!L55</f>
        <v>0</v>
      </c>
      <c r="R60" s="158">
        <f t="shared" si="135"/>
        <v>200</v>
      </c>
      <c r="S60" s="225">
        <f t="shared" si="116"/>
        <v>7.8461538461538458</v>
      </c>
      <c r="T60" s="225"/>
      <c r="U60" s="175">
        <f t="shared" si="136"/>
        <v>204</v>
      </c>
      <c r="V60" s="158">
        <f>考勤!N55</f>
        <v>26</v>
      </c>
      <c r="W60" s="158">
        <f t="shared" si="137"/>
        <v>13</v>
      </c>
      <c r="X60" s="226">
        <f t="shared" si="117"/>
        <v>38.25</v>
      </c>
      <c r="Y60" s="175">
        <f t="shared" si="118"/>
        <v>6.5</v>
      </c>
      <c r="Z60" s="158">
        <f>考勤!O55</f>
        <v>0</v>
      </c>
      <c r="AA60" s="226">
        <f t="shared" si="119"/>
        <v>0</v>
      </c>
      <c r="AB60" s="158">
        <f>考勤!P55</f>
        <v>0</v>
      </c>
      <c r="AC60" s="162">
        <f t="shared" si="120"/>
        <v>0</v>
      </c>
      <c r="AD60" s="163">
        <f>考勤!W55</f>
        <v>0</v>
      </c>
      <c r="AE60" s="161">
        <f>考勤!X55</f>
        <v>0</v>
      </c>
      <c r="AF60" s="161">
        <f>考勤!Y55</f>
        <v>0</v>
      </c>
      <c r="AG60" s="161">
        <f>考勤!Z55</f>
        <v>0</v>
      </c>
      <c r="AH60" s="161">
        <v>0</v>
      </c>
      <c r="AI60" s="227"/>
      <c r="AJ60" s="228">
        <f t="shared" si="121"/>
        <v>20</v>
      </c>
      <c r="AK60" s="229">
        <v>4</v>
      </c>
      <c r="AL60" s="230">
        <v>50</v>
      </c>
      <c r="AM60" s="172"/>
      <c r="AN60" s="160"/>
      <c r="AO60" s="171">
        <v>10</v>
      </c>
      <c r="AP60" s="231">
        <f t="shared" si="122"/>
        <v>10</v>
      </c>
      <c r="AQ60" s="170">
        <f t="shared" si="123"/>
        <v>342.75</v>
      </c>
      <c r="AR60" s="171">
        <v>100</v>
      </c>
      <c r="AS60" s="172">
        <f t="shared" si="124"/>
        <v>5.9</v>
      </c>
      <c r="AT60" s="170">
        <f t="shared" si="138"/>
        <v>336.85</v>
      </c>
      <c r="AU60" s="159">
        <f t="shared" si="125"/>
        <v>1366600.4500000002</v>
      </c>
      <c r="AV60" s="159">
        <v>0</v>
      </c>
      <c r="AW60" s="159">
        <v>0</v>
      </c>
      <c r="AX60" s="159">
        <f t="shared" si="139"/>
        <v>0</v>
      </c>
      <c r="AY60" s="159">
        <f t="shared" si="140"/>
        <v>1366600.4500000002</v>
      </c>
      <c r="AZ60" s="173" t="str">
        <f t="shared" si="141"/>
        <v>0%</v>
      </c>
      <c r="BA60" s="232">
        <f t="shared" si="142"/>
        <v>0</v>
      </c>
      <c r="BB60" s="175">
        <f t="shared" si="143"/>
        <v>0</v>
      </c>
      <c r="BC60" s="176">
        <f t="shared" si="144"/>
        <v>236.85</v>
      </c>
      <c r="BD60" s="155">
        <f t="shared" si="126"/>
        <v>237</v>
      </c>
      <c r="BE60" s="155">
        <f t="shared" si="127"/>
        <v>237</v>
      </c>
      <c r="BF60" s="177"/>
      <c r="BG60" s="158">
        <f t="shared" si="128"/>
        <v>2</v>
      </c>
      <c r="BH60" s="158">
        <f t="shared" si="129"/>
        <v>0</v>
      </c>
      <c r="BI60" s="158">
        <f t="shared" si="130"/>
        <v>1</v>
      </c>
      <c r="BJ60" s="158">
        <f t="shared" si="131"/>
        <v>1</v>
      </c>
      <c r="BK60" s="158">
        <f t="shared" si="132"/>
        <v>1</v>
      </c>
      <c r="BL60" s="158">
        <f t="shared" si="133"/>
        <v>2</v>
      </c>
      <c r="BM60" s="158">
        <f t="shared" si="134"/>
        <v>237</v>
      </c>
      <c r="BN60" s="178"/>
      <c r="BO60" s="179"/>
      <c r="BP60" s="237"/>
      <c r="BQ60" s="234"/>
      <c r="BR60" s="235"/>
    </row>
    <row r="61" spans="1:70" s="286" customFormat="1" ht="50.25" customHeight="1">
      <c r="A61" s="158">
        <v>53</v>
      </c>
      <c r="B61" s="287" t="s">
        <v>372</v>
      </c>
      <c r="C61" s="152" t="s">
        <v>240</v>
      </c>
      <c r="D61" s="152" t="s">
        <v>253</v>
      </c>
      <c r="E61" s="255">
        <v>33427</v>
      </c>
      <c r="F61" s="249" t="s">
        <v>473</v>
      </c>
      <c r="G61" s="221" t="s">
        <v>118</v>
      </c>
      <c r="H61" s="154" t="s">
        <v>4</v>
      </c>
      <c r="I61" s="150" t="s">
        <v>244</v>
      </c>
      <c r="J61" s="155">
        <v>204</v>
      </c>
      <c r="K61" s="156">
        <v>44352</v>
      </c>
      <c r="L61" s="157">
        <v>26</v>
      </c>
      <c r="M61" s="150">
        <f>考勤!F56</f>
        <v>23</v>
      </c>
      <c r="N61" s="150">
        <f>考勤!T56</f>
        <v>1</v>
      </c>
      <c r="O61" s="150">
        <f>考勤!Q56</f>
        <v>2</v>
      </c>
      <c r="P61" s="163">
        <f>考勤!K56</f>
        <v>0</v>
      </c>
      <c r="Q61" s="159">
        <f>考勤!L56</f>
        <v>0</v>
      </c>
      <c r="R61" s="158">
        <f t="shared" si="135"/>
        <v>200</v>
      </c>
      <c r="S61" s="225">
        <f t="shared" si="116"/>
        <v>7.8461538461538458</v>
      </c>
      <c r="T61" s="225"/>
      <c r="U61" s="175">
        <f t="shared" si="136"/>
        <v>204</v>
      </c>
      <c r="V61" s="158">
        <f>考勤!N56</f>
        <v>32</v>
      </c>
      <c r="W61" s="158">
        <f t="shared" si="137"/>
        <v>16</v>
      </c>
      <c r="X61" s="226">
        <f t="shared" si="117"/>
        <v>47.076923076923073</v>
      </c>
      <c r="Y61" s="175">
        <f t="shared" si="118"/>
        <v>8</v>
      </c>
      <c r="Z61" s="158">
        <f>考勤!O56</f>
        <v>0</v>
      </c>
      <c r="AA61" s="226">
        <f t="shared" si="119"/>
        <v>0</v>
      </c>
      <c r="AB61" s="158">
        <f>考勤!P56</f>
        <v>0</v>
      </c>
      <c r="AC61" s="162">
        <f t="shared" si="120"/>
        <v>0</v>
      </c>
      <c r="AD61" s="163">
        <f>考勤!W56</f>
        <v>0</v>
      </c>
      <c r="AE61" s="161">
        <f>考勤!X56</f>
        <v>0</v>
      </c>
      <c r="AF61" s="161">
        <f>考勤!Y56</f>
        <v>0</v>
      </c>
      <c r="AG61" s="161">
        <f>考勤!Z56</f>
        <v>0</v>
      </c>
      <c r="AH61" s="161">
        <v>0</v>
      </c>
      <c r="AI61" s="227"/>
      <c r="AJ61" s="228">
        <f t="shared" si="121"/>
        <v>20</v>
      </c>
      <c r="AK61" s="229">
        <v>4</v>
      </c>
      <c r="AL61" s="230"/>
      <c r="AM61" s="172"/>
      <c r="AN61" s="160"/>
      <c r="AO61" s="171">
        <v>10</v>
      </c>
      <c r="AP61" s="231">
        <f t="shared" si="122"/>
        <v>10</v>
      </c>
      <c r="AQ61" s="170">
        <f t="shared" si="123"/>
        <v>303.08</v>
      </c>
      <c r="AR61" s="171">
        <v>100</v>
      </c>
      <c r="AS61" s="172">
        <f t="shared" si="124"/>
        <v>5.9</v>
      </c>
      <c r="AT61" s="170">
        <f t="shared" si="138"/>
        <v>297.18</v>
      </c>
      <c r="AU61" s="159">
        <f t="shared" si="125"/>
        <v>1205659.26</v>
      </c>
      <c r="AV61" s="159">
        <v>0</v>
      </c>
      <c r="AW61" s="159">
        <v>2</v>
      </c>
      <c r="AX61" s="159">
        <f t="shared" si="139"/>
        <v>300000</v>
      </c>
      <c r="AY61" s="159">
        <f t="shared" si="140"/>
        <v>905659.26</v>
      </c>
      <c r="AZ61" s="173" t="str">
        <f t="shared" si="141"/>
        <v>0%</v>
      </c>
      <c r="BA61" s="232">
        <f t="shared" si="142"/>
        <v>0</v>
      </c>
      <c r="BB61" s="175">
        <f t="shared" si="143"/>
        <v>0</v>
      </c>
      <c r="BC61" s="176">
        <f t="shared" si="144"/>
        <v>197.17999999999998</v>
      </c>
      <c r="BD61" s="155">
        <f t="shared" si="126"/>
        <v>197</v>
      </c>
      <c r="BE61" s="155">
        <f t="shared" si="127"/>
        <v>197</v>
      </c>
      <c r="BF61" s="177"/>
      <c r="BG61" s="158">
        <f t="shared" si="128"/>
        <v>1</v>
      </c>
      <c r="BH61" s="158">
        <f t="shared" si="129"/>
        <v>1</v>
      </c>
      <c r="BI61" s="158">
        <f t="shared" si="130"/>
        <v>2</v>
      </c>
      <c r="BJ61" s="158">
        <f t="shared" si="131"/>
        <v>0</v>
      </c>
      <c r="BK61" s="158">
        <f t="shared" si="132"/>
        <v>1</v>
      </c>
      <c r="BL61" s="158">
        <f t="shared" si="133"/>
        <v>2</v>
      </c>
      <c r="BM61" s="158">
        <f t="shared" si="134"/>
        <v>197</v>
      </c>
      <c r="BN61" s="178"/>
      <c r="BO61" s="179"/>
      <c r="BP61" s="237"/>
      <c r="BQ61" s="234"/>
      <c r="BR61" s="235"/>
    </row>
    <row r="62" spans="1:70" s="286" customFormat="1" ht="50.25" customHeight="1">
      <c r="A62" s="158">
        <v>54</v>
      </c>
      <c r="B62" s="287" t="s">
        <v>373</v>
      </c>
      <c r="C62" s="152" t="s">
        <v>241</v>
      </c>
      <c r="D62" s="152" t="s">
        <v>254</v>
      </c>
      <c r="E62" s="255">
        <v>33208</v>
      </c>
      <c r="F62" s="249" t="s">
        <v>473</v>
      </c>
      <c r="G62" s="221" t="s">
        <v>118</v>
      </c>
      <c r="H62" s="154" t="s">
        <v>4</v>
      </c>
      <c r="I62" s="150" t="s">
        <v>244</v>
      </c>
      <c r="J62" s="155">
        <v>204</v>
      </c>
      <c r="K62" s="156">
        <v>44355</v>
      </c>
      <c r="L62" s="157">
        <v>26</v>
      </c>
      <c r="M62" s="150">
        <f>考勤!F57</f>
        <v>24</v>
      </c>
      <c r="N62" s="150">
        <f>考勤!T57</f>
        <v>1</v>
      </c>
      <c r="O62" s="150">
        <f>考勤!Q57</f>
        <v>1</v>
      </c>
      <c r="P62" s="163">
        <f>考勤!K57</f>
        <v>0</v>
      </c>
      <c r="Q62" s="159">
        <f>考勤!L57</f>
        <v>0</v>
      </c>
      <c r="R62" s="158">
        <f t="shared" si="135"/>
        <v>200</v>
      </c>
      <c r="S62" s="225">
        <f t="shared" si="116"/>
        <v>7.8461538461538458</v>
      </c>
      <c r="T62" s="225"/>
      <c r="U62" s="175">
        <f t="shared" si="136"/>
        <v>204</v>
      </c>
      <c r="V62" s="158">
        <f>考勤!N57</f>
        <v>32</v>
      </c>
      <c r="W62" s="158">
        <f t="shared" si="137"/>
        <v>16</v>
      </c>
      <c r="X62" s="226">
        <f t="shared" si="117"/>
        <v>47.076923076923073</v>
      </c>
      <c r="Y62" s="175">
        <f t="shared" si="118"/>
        <v>8</v>
      </c>
      <c r="Z62" s="158">
        <f>考勤!O57</f>
        <v>0</v>
      </c>
      <c r="AA62" s="226">
        <f t="shared" si="119"/>
        <v>0</v>
      </c>
      <c r="AB62" s="158">
        <f>考勤!P57</f>
        <v>0</v>
      </c>
      <c r="AC62" s="162">
        <f t="shared" si="120"/>
        <v>0</v>
      </c>
      <c r="AD62" s="163">
        <f>考勤!W57</f>
        <v>0</v>
      </c>
      <c r="AE62" s="161">
        <f>考勤!X57</f>
        <v>0</v>
      </c>
      <c r="AF62" s="161">
        <f>考勤!Y57</f>
        <v>0</v>
      </c>
      <c r="AG62" s="161">
        <f>考勤!Z57</f>
        <v>0</v>
      </c>
      <c r="AH62" s="161">
        <v>0</v>
      </c>
      <c r="AI62" s="227"/>
      <c r="AJ62" s="228">
        <f t="shared" si="121"/>
        <v>20</v>
      </c>
      <c r="AK62" s="229">
        <v>4</v>
      </c>
      <c r="AL62" s="230"/>
      <c r="AM62" s="172"/>
      <c r="AN62" s="160"/>
      <c r="AO62" s="171">
        <v>10</v>
      </c>
      <c r="AP62" s="231">
        <f t="shared" si="122"/>
        <v>10</v>
      </c>
      <c r="AQ62" s="170">
        <f t="shared" si="123"/>
        <v>303.08</v>
      </c>
      <c r="AR62" s="171">
        <v>100</v>
      </c>
      <c r="AS62" s="172">
        <f t="shared" si="124"/>
        <v>5.9</v>
      </c>
      <c r="AT62" s="170">
        <f t="shared" si="138"/>
        <v>297.18</v>
      </c>
      <c r="AU62" s="159">
        <f t="shared" si="125"/>
        <v>1205659.26</v>
      </c>
      <c r="AV62" s="159">
        <v>0</v>
      </c>
      <c r="AW62" s="159">
        <v>1</v>
      </c>
      <c r="AX62" s="159">
        <f t="shared" si="139"/>
        <v>150000</v>
      </c>
      <c r="AY62" s="159">
        <f t="shared" si="140"/>
        <v>1055659.26</v>
      </c>
      <c r="AZ62" s="173" t="str">
        <f t="shared" si="141"/>
        <v>0%</v>
      </c>
      <c r="BA62" s="232">
        <f t="shared" si="142"/>
        <v>0</v>
      </c>
      <c r="BB62" s="175">
        <f t="shared" si="143"/>
        <v>0</v>
      </c>
      <c r="BC62" s="176">
        <f t="shared" si="144"/>
        <v>197.17999999999998</v>
      </c>
      <c r="BD62" s="155">
        <f t="shared" si="126"/>
        <v>197</v>
      </c>
      <c r="BE62" s="155">
        <f t="shared" si="127"/>
        <v>197</v>
      </c>
      <c r="BF62" s="177"/>
      <c r="BG62" s="158">
        <f t="shared" si="128"/>
        <v>1</v>
      </c>
      <c r="BH62" s="158">
        <f t="shared" si="129"/>
        <v>1</v>
      </c>
      <c r="BI62" s="158">
        <f t="shared" si="130"/>
        <v>2</v>
      </c>
      <c r="BJ62" s="158">
        <f t="shared" si="131"/>
        <v>0</v>
      </c>
      <c r="BK62" s="158">
        <f t="shared" si="132"/>
        <v>1</v>
      </c>
      <c r="BL62" s="158">
        <f t="shared" si="133"/>
        <v>2</v>
      </c>
      <c r="BM62" s="158">
        <f t="shared" si="134"/>
        <v>197</v>
      </c>
      <c r="BN62" s="178"/>
      <c r="BO62" s="179"/>
      <c r="BP62" s="237"/>
      <c r="BQ62" s="234"/>
      <c r="BR62" s="235"/>
    </row>
    <row r="63" spans="1:70" s="286" customFormat="1" ht="50.25" customHeight="1">
      <c r="A63" s="158">
        <v>55</v>
      </c>
      <c r="B63" s="287" t="s">
        <v>374</v>
      </c>
      <c r="C63" s="152" t="s">
        <v>248</v>
      </c>
      <c r="D63" s="152" t="s">
        <v>255</v>
      </c>
      <c r="E63" s="255">
        <v>31657</v>
      </c>
      <c r="F63" s="249" t="s">
        <v>473</v>
      </c>
      <c r="G63" s="221" t="s">
        <v>118</v>
      </c>
      <c r="H63" s="154" t="s">
        <v>4</v>
      </c>
      <c r="I63" s="150" t="s">
        <v>250</v>
      </c>
      <c r="J63" s="155">
        <v>204</v>
      </c>
      <c r="K63" s="156">
        <v>44375</v>
      </c>
      <c r="L63" s="157">
        <v>26</v>
      </c>
      <c r="M63" s="150">
        <f>考勤!F58</f>
        <v>22</v>
      </c>
      <c r="N63" s="150">
        <f>考勤!T58</f>
        <v>1</v>
      </c>
      <c r="O63" s="150">
        <f>考勤!Q58</f>
        <v>3</v>
      </c>
      <c r="P63" s="163">
        <f>考勤!K58</f>
        <v>0</v>
      </c>
      <c r="Q63" s="159">
        <f>考勤!L58</f>
        <v>0</v>
      </c>
      <c r="R63" s="158">
        <f t="shared" si="135"/>
        <v>200</v>
      </c>
      <c r="S63" s="225">
        <f t="shared" si="116"/>
        <v>7.8461538461538458</v>
      </c>
      <c r="T63" s="225"/>
      <c r="U63" s="175">
        <f t="shared" si="136"/>
        <v>204</v>
      </c>
      <c r="V63" s="158">
        <f>考勤!N58</f>
        <v>28</v>
      </c>
      <c r="W63" s="158">
        <f t="shared" si="137"/>
        <v>14</v>
      </c>
      <c r="X63" s="226">
        <f t="shared" si="117"/>
        <v>41.192307692307693</v>
      </c>
      <c r="Y63" s="175">
        <f t="shared" si="118"/>
        <v>7</v>
      </c>
      <c r="Z63" s="158">
        <f>考勤!O58</f>
        <v>0</v>
      </c>
      <c r="AA63" s="226">
        <f t="shared" si="119"/>
        <v>0</v>
      </c>
      <c r="AB63" s="158">
        <f>考勤!P58</f>
        <v>0</v>
      </c>
      <c r="AC63" s="162">
        <f t="shared" si="120"/>
        <v>0</v>
      </c>
      <c r="AD63" s="163">
        <f>考勤!W58</f>
        <v>0</v>
      </c>
      <c r="AE63" s="161">
        <f>考勤!X58</f>
        <v>0</v>
      </c>
      <c r="AF63" s="161">
        <f>考勤!Y58</f>
        <v>0</v>
      </c>
      <c r="AG63" s="161">
        <f>考勤!Z58</f>
        <v>0</v>
      </c>
      <c r="AH63" s="161">
        <v>0</v>
      </c>
      <c r="AI63" s="227"/>
      <c r="AJ63" s="228">
        <f t="shared" si="121"/>
        <v>20</v>
      </c>
      <c r="AK63" s="229">
        <v>4</v>
      </c>
      <c r="AL63" s="230">
        <v>40</v>
      </c>
      <c r="AM63" s="172"/>
      <c r="AN63" s="160"/>
      <c r="AO63" s="171">
        <v>10</v>
      </c>
      <c r="AP63" s="231">
        <f t="shared" si="122"/>
        <v>10</v>
      </c>
      <c r="AQ63" s="170">
        <f t="shared" si="123"/>
        <v>336.19</v>
      </c>
      <c r="AR63" s="171">
        <v>50</v>
      </c>
      <c r="AS63" s="172">
        <f t="shared" si="124"/>
        <v>5.9</v>
      </c>
      <c r="AT63" s="170">
        <f t="shared" si="138"/>
        <v>330.29</v>
      </c>
      <c r="AU63" s="159">
        <f t="shared" si="125"/>
        <v>1339986.53</v>
      </c>
      <c r="AV63" s="159">
        <v>0</v>
      </c>
      <c r="AW63" s="159">
        <v>3</v>
      </c>
      <c r="AX63" s="159">
        <f t="shared" si="139"/>
        <v>450000</v>
      </c>
      <c r="AY63" s="159">
        <f>AU63-AX63</f>
        <v>889986.53</v>
      </c>
      <c r="AZ63" s="173" t="str">
        <f>IF(AY63&lt;=1500000,"0%",IF(AY63&lt;=2000000,"5%",IF(AY63&lt;=8500000,"10%",IF(AY63&lt;=12500000,"15%",IF(AY63&lt;=12500001,"20%")))))</f>
        <v>0%</v>
      </c>
      <c r="BA63" s="232">
        <f t="shared" si="142"/>
        <v>0</v>
      </c>
      <c r="BB63" s="175">
        <f t="shared" si="143"/>
        <v>0</v>
      </c>
      <c r="BC63" s="176">
        <f t="shared" si="144"/>
        <v>280.29000000000002</v>
      </c>
      <c r="BD63" s="155">
        <f t="shared" si="126"/>
        <v>280</v>
      </c>
      <c r="BE63" s="155">
        <f t="shared" si="127"/>
        <v>280</v>
      </c>
      <c r="BF63" s="177"/>
      <c r="BG63" s="158">
        <f t="shared" si="128"/>
        <v>2</v>
      </c>
      <c r="BH63" s="158">
        <f t="shared" si="129"/>
        <v>1</v>
      </c>
      <c r="BI63" s="158">
        <f t="shared" si="130"/>
        <v>1</v>
      </c>
      <c r="BJ63" s="158">
        <f t="shared" si="131"/>
        <v>1</v>
      </c>
      <c r="BK63" s="158">
        <f t="shared" si="132"/>
        <v>0</v>
      </c>
      <c r="BL63" s="158">
        <f t="shared" si="133"/>
        <v>0</v>
      </c>
      <c r="BM63" s="158">
        <f t="shared" si="134"/>
        <v>280</v>
      </c>
      <c r="BN63" s="178"/>
      <c r="BO63" s="179"/>
      <c r="BP63" s="237"/>
      <c r="BQ63" s="234"/>
      <c r="BR63" s="235"/>
    </row>
    <row r="64" spans="1:70" s="295" customFormat="1" ht="50.25" customHeight="1">
      <c r="A64" s="158">
        <v>56</v>
      </c>
      <c r="B64" s="287" t="s">
        <v>375</v>
      </c>
      <c r="C64" s="247" t="s">
        <v>313</v>
      </c>
      <c r="D64" s="247" t="s">
        <v>314</v>
      </c>
      <c r="E64" s="249">
        <v>33791</v>
      </c>
      <c r="F64" s="249" t="s">
        <v>473</v>
      </c>
      <c r="G64" s="221" t="s">
        <v>118</v>
      </c>
      <c r="H64" s="154" t="s">
        <v>4</v>
      </c>
      <c r="I64" s="150" t="s">
        <v>319</v>
      </c>
      <c r="J64" s="251">
        <v>204</v>
      </c>
      <c r="K64" s="156">
        <v>45092</v>
      </c>
      <c r="L64" s="157">
        <v>26</v>
      </c>
      <c r="M64" s="150">
        <f>考勤!F59</f>
        <v>22.5</v>
      </c>
      <c r="N64" s="150">
        <f>考勤!T59</f>
        <v>1</v>
      </c>
      <c r="O64" s="150">
        <f>考勤!Q59</f>
        <v>2.5</v>
      </c>
      <c r="P64" s="163">
        <f>考勤!K59</f>
        <v>0</v>
      </c>
      <c r="Q64" s="163">
        <f>考勤!L59</f>
        <v>0</v>
      </c>
      <c r="R64" s="158">
        <f t="shared" si="135"/>
        <v>200</v>
      </c>
      <c r="S64" s="160">
        <f t="shared" si="116"/>
        <v>7.8461538461538458</v>
      </c>
      <c r="T64" s="160"/>
      <c r="U64" s="175">
        <f t="shared" si="136"/>
        <v>204</v>
      </c>
      <c r="V64" s="150">
        <f>考勤!N59</f>
        <v>20</v>
      </c>
      <c r="W64" s="150">
        <f>V64/2</f>
        <v>10</v>
      </c>
      <c r="X64" s="162">
        <f t="shared" si="117"/>
        <v>29.42307692307692</v>
      </c>
      <c r="Y64" s="161">
        <f t="shared" si="118"/>
        <v>5</v>
      </c>
      <c r="Z64" s="150">
        <f>考勤!O59</f>
        <v>0</v>
      </c>
      <c r="AA64" s="162">
        <f t="shared" si="119"/>
        <v>0</v>
      </c>
      <c r="AB64" s="150">
        <f>考勤!P59</f>
        <v>0</v>
      </c>
      <c r="AC64" s="162">
        <f t="shared" si="120"/>
        <v>0</v>
      </c>
      <c r="AD64" s="163">
        <f>考勤!W59</f>
        <v>0</v>
      </c>
      <c r="AE64" s="161">
        <f>考勤!X59</f>
        <v>0</v>
      </c>
      <c r="AF64" s="161">
        <f>考勤!Y59</f>
        <v>0</v>
      </c>
      <c r="AG64" s="161">
        <f>考勤!Z59</f>
        <v>0</v>
      </c>
      <c r="AH64" s="161">
        <v>0</v>
      </c>
      <c r="AI64" s="164"/>
      <c r="AJ64" s="165">
        <f t="shared" si="121"/>
        <v>20</v>
      </c>
      <c r="AK64" s="166">
        <v>2</v>
      </c>
      <c r="AL64" s="167"/>
      <c r="AM64" s="172"/>
      <c r="AN64" s="160"/>
      <c r="AO64" s="169">
        <v>10</v>
      </c>
      <c r="AP64" s="231">
        <f t="shared" si="122"/>
        <v>10</v>
      </c>
      <c r="AQ64" s="170">
        <f t="shared" si="123"/>
        <v>280.42</v>
      </c>
      <c r="AR64" s="169">
        <v>100</v>
      </c>
      <c r="AS64" s="172">
        <f t="shared" si="124"/>
        <v>5.61</v>
      </c>
      <c r="AT64" s="170">
        <f t="shared" si="138"/>
        <v>274.81</v>
      </c>
      <c r="AU64" s="163">
        <f>AT64*$AU$6</f>
        <v>1114904.17</v>
      </c>
      <c r="AV64" s="163">
        <v>0</v>
      </c>
      <c r="AW64" s="163">
        <v>0</v>
      </c>
      <c r="AX64" s="163">
        <f>(AV64+AW64)*150000</f>
        <v>0</v>
      </c>
      <c r="AY64" s="163">
        <f>AU64-AX64</f>
        <v>1114904.17</v>
      </c>
      <c r="AZ64" s="285" t="str">
        <f>IF(AY64&lt;=1500000,"0%",IF(AY64&lt;=2000000,"5%",IF(AY64&lt;=8500000,"10%",IF(AY64&lt;=12500000,"15%",IF(AY64&lt;=12500001,"20%")))))</f>
        <v>0%</v>
      </c>
      <c r="BA64" s="292">
        <f>IF(AY64&lt;=1500000,0,IF(AND(AY64&gt;1500001,AY64&lt;=2000000),((AY64*0.05)-75000),IF(AND(AY64&gt;2000001,AY64&lt;=8500000),((AY64*0.1)-175000),IF(AND(AY64&gt;=8500001,AY64&lt;=12500000),((AY64*0.15)-600000),IF(AY64&gt;=12500001,(AY64*0.2-1225000))))))</f>
        <v>0</v>
      </c>
      <c r="BB64" s="161">
        <f>BA64/$AU$6</f>
        <v>0</v>
      </c>
      <c r="BC64" s="176">
        <f t="shared" si="144"/>
        <v>174.81</v>
      </c>
      <c r="BD64" s="251">
        <f>ROUND(SUM(BC64),0)</f>
        <v>175</v>
      </c>
      <c r="BE64" s="251">
        <f>INT(BD64)</f>
        <v>175</v>
      </c>
      <c r="BF64" s="293"/>
      <c r="BG64" s="150">
        <f>INT(BE64/100)</f>
        <v>1</v>
      </c>
      <c r="BH64" s="150">
        <f>INT(MOD(BE64,100)/50)</f>
        <v>1</v>
      </c>
      <c r="BI64" s="150">
        <f>INT(MOD(MOD(BE64,100),50)/20)</f>
        <v>1</v>
      </c>
      <c r="BJ64" s="150">
        <f>INT(MOD(MOD(MOD(BE64,100),50),20)/10)</f>
        <v>0</v>
      </c>
      <c r="BK64" s="150">
        <f>INT(MOD(MOD(MOD(MOD(BE64,100),50),20),10)/5)</f>
        <v>1</v>
      </c>
      <c r="BL64" s="150">
        <f>INT(MOD(MOD(MOD(MOD(MOD(BE64,100),50),20),10),5)/1)</f>
        <v>0</v>
      </c>
      <c r="BM64" s="150">
        <f>BG64*100+BH64*50+BI64*20+BJ64*10+BK64*5+BL64</f>
        <v>175</v>
      </c>
      <c r="BN64" s="294"/>
      <c r="BO64" s="179"/>
      <c r="BP64" s="237"/>
      <c r="BQ64" s="234"/>
      <c r="BR64" s="234"/>
    </row>
    <row r="65" spans="1:70" s="295" customFormat="1" ht="50.25" customHeight="1">
      <c r="A65" s="158">
        <v>57</v>
      </c>
      <c r="B65" s="287" t="s">
        <v>376</v>
      </c>
      <c r="C65" s="247" t="s">
        <v>323</v>
      </c>
      <c r="D65" s="247">
        <v>250379487</v>
      </c>
      <c r="E65" s="249">
        <v>38698</v>
      </c>
      <c r="F65" s="249" t="s">
        <v>473</v>
      </c>
      <c r="G65" s="221" t="s">
        <v>118</v>
      </c>
      <c r="H65" s="154" t="s">
        <v>4</v>
      </c>
      <c r="I65" s="150" t="s">
        <v>87</v>
      </c>
      <c r="J65" s="251">
        <v>204</v>
      </c>
      <c r="K65" s="156">
        <v>45282</v>
      </c>
      <c r="L65" s="157">
        <v>26</v>
      </c>
      <c r="M65" s="150">
        <f>考勤!F60</f>
        <v>4</v>
      </c>
      <c r="N65" s="150">
        <f>考勤!T60</f>
        <v>0</v>
      </c>
      <c r="O65" s="150">
        <f>考勤!Q60</f>
        <v>0</v>
      </c>
      <c r="P65" s="163">
        <f>考勤!K60</f>
        <v>0</v>
      </c>
      <c r="Q65" s="163">
        <f>考勤!L60</f>
        <v>0</v>
      </c>
      <c r="R65" s="158">
        <f t="shared" si="135"/>
        <v>32</v>
      </c>
      <c r="S65" s="160">
        <f t="shared" si="116"/>
        <v>7.8461538461538458</v>
      </c>
      <c r="T65" s="160"/>
      <c r="U65" s="175">
        <f>S65*(M65+N65+O65)</f>
        <v>31.384615384615383</v>
      </c>
      <c r="V65" s="150">
        <f>考勤!N60</f>
        <v>0</v>
      </c>
      <c r="W65" s="150">
        <f>V65/2</f>
        <v>0</v>
      </c>
      <c r="X65" s="162">
        <f t="shared" si="117"/>
        <v>0</v>
      </c>
      <c r="Y65" s="161">
        <f t="shared" si="118"/>
        <v>0</v>
      </c>
      <c r="Z65" s="150">
        <f>考勤!O60</f>
        <v>0</v>
      </c>
      <c r="AA65" s="162">
        <f t="shared" si="119"/>
        <v>0</v>
      </c>
      <c r="AB65" s="150">
        <f>考勤!P60</f>
        <v>0</v>
      </c>
      <c r="AC65" s="162">
        <f t="shared" si="120"/>
        <v>0</v>
      </c>
      <c r="AD65" s="163">
        <f>考勤!W60</f>
        <v>0</v>
      </c>
      <c r="AE65" s="161">
        <f>考勤!X60</f>
        <v>0</v>
      </c>
      <c r="AF65" s="161">
        <f>考勤!Y60</f>
        <v>0</v>
      </c>
      <c r="AG65" s="161">
        <f>考勤!Z60</f>
        <v>0</v>
      </c>
      <c r="AH65" s="161">
        <v>0</v>
      </c>
      <c r="AI65" s="164"/>
      <c r="AJ65" s="165">
        <f t="shared" si="121"/>
        <v>0</v>
      </c>
      <c r="AK65" s="166"/>
      <c r="AL65" s="167"/>
      <c r="AM65" s="172"/>
      <c r="AN65" s="160"/>
      <c r="AO65" s="169">
        <v>10</v>
      </c>
      <c r="AP65" s="231">
        <f t="shared" si="122"/>
        <v>1.5384615384615385</v>
      </c>
      <c r="AQ65" s="170">
        <f t="shared" si="123"/>
        <v>42.92</v>
      </c>
      <c r="AR65" s="169">
        <v>0</v>
      </c>
      <c r="AS65" s="172">
        <f t="shared" si="124"/>
        <v>1.97</v>
      </c>
      <c r="AT65" s="170">
        <f>AQ65-AS65</f>
        <v>40.950000000000003</v>
      </c>
      <c r="AU65" s="163">
        <f>AT65*$AU$6</f>
        <v>166134.15000000002</v>
      </c>
      <c r="AV65" s="163">
        <v>0</v>
      </c>
      <c r="AW65" s="163">
        <v>0</v>
      </c>
      <c r="AX65" s="163">
        <f>(AV65+AW65)*150000</f>
        <v>0</v>
      </c>
      <c r="AY65" s="163">
        <f>AU65-AX65</f>
        <v>166134.15000000002</v>
      </c>
      <c r="AZ65" s="285" t="str">
        <f>IF(AY65&lt;=1500000,"0%",IF(AY65&lt;=2000000,"5%",IF(AY65&lt;=8500000,"10%",IF(AY65&lt;=12500000,"15%",IF(AY65&lt;=12500001,"20%")))))</f>
        <v>0%</v>
      </c>
      <c r="BA65" s="296">
        <f>IF(AY65&lt;=1500000,0,IF(AND(AY65&gt;1500001,AY65&lt;=2000000),((AY65*0.05)-75000),IF(AND(AY65&gt;2000001,AY65&lt;=8500000),((AY65*0.1)-175000),IF(AND(AY65&gt;=8500001,AY65&lt;=12500000),((AY65*0.15)-600000),IF(AY65&gt;=12500001,(AY65*0.2-1225000))))))</f>
        <v>0</v>
      </c>
      <c r="BB65" s="161">
        <f>BA65/$AU$6</f>
        <v>0</v>
      </c>
      <c r="BC65" s="176">
        <f t="shared" si="144"/>
        <v>40.950000000000003</v>
      </c>
      <c r="BD65" s="251">
        <f>ROUND(SUM(BC65),0)</f>
        <v>41</v>
      </c>
      <c r="BE65" s="251">
        <f>INT(BD65)</f>
        <v>41</v>
      </c>
      <c r="BF65" s="293"/>
      <c r="BG65" s="150">
        <f>INT(BE65/100)</f>
        <v>0</v>
      </c>
      <c r="BH65" s="150">
        <f>INT(MOD(BE65,100)/50)</f>
        <v>0</v>
      </c>
      <c r="BI65" s="150">
        <f>INT(MOD(MOD(BE65,100),50)/20)</f>
        <v>2</v>
      </c>
      <c r="BJ65" s="150">
        <f>INT(MOD(MOD(MOD(BE65,100),50),20)/10)</f>
        <v>0</v>
      </c>
      <c r="BK65" s="150">
        <f>INT(MOD(MOD(MOD(MOD(BE65,100),50),20),10)/5)</f>
        <v>0</v>
      </c>
      <c r="BL65" s="150">
        <f>INT(MOD(MOD(MOD(MOD(MOD(BE65,100),50),20),10),5)/1)</f>
        <v>1</v>
      </c>
      <c r="BM65" s="150">
        <f>BG65*100+BH65*50+BI65*20+BJ65*10+BK65*5+BL65</f>
        <v>41</v>
      </c>
      <c r="BN65" s="294"/>
      <c r="BO65" s="179"/>
      <c r="BP65" s="237"/>
      <c r="BQ65" s="234"/>
      <c r="BR65" s="234"/>
    </row>
    <row r="66" spans="1:70" s="286" customFormat="1" ht="47.25" customHeight="1">
      <c r="A66" s="158">
        <v>58</v>
      </c>
      <c r="B66" s="289"/>
      <c r="C66" s="277"/>
      <c r="D66" s="277"/>
      <c r="E66" s="277"/>
      <c r="F66" s="277"/>
      <c r="G66" s="278"/>
      <c r="H66" s="278"/>
      <c r="I66" s="242"/>
      <c r="J66" s="279"/>
      <c r="K66" s="280"/>
      <c r="L66" s="281"/>
      <c r="M66" s="242"/>
      <c r="N66" s="242"/>
      <c r="O66" s="242"/>
      <c r="P66" s="263"/>
      <c r="Q66" s="263"/>
      <c r="R66" s="242"/>
      <c r="S66" s="266"/>
      <c r="T66" s="266"/>
      <c r="U66" s="175"/>
      <c r="V66" s="242"/>
      <c r="W66" s="242"/>
      <c r="X66" s="267"/>
      <c r="Y66" s="237"/>
      <c r="Z66" s="242"/>
      <c r="AA66" s="267"/>
      <c r="AB66" s="242"/>
      <c r="AC66" s="267"/>
      <c r="AD66" s="263"/>
      <c r="AE66" s="237"/>
      <c r="AF66" s="237"/>
      <c r="AG66" s="237"/>
      <c r="AH66" s="237"/>
      <c r="AI66" s="268"/>
      <c r="AJ66" s="269"/>
      <c r="AK66" s="270"/>
      <c r="AL66" s="271"/>
      <c r="AM66" s="172"/>
      <c r="AN66" s="266"/>
      <c r="AO66" s="291"/>
      <c r="AP66" s="231"/>
      <c r="AQ66" s="297">
        <f>SUM(AQ49:AQ65)</f>
        <v>5216.32</v>
      </c>
      <c r="AR66" s="297">
        <f t="shared" ref="AR66:BM66" si="145">SUM(AR49:AR65)</f>
        <v>1550</v>
      </c>
      <c r="AS66" s="297">
        <f t="shared" si="145"/>
        <v>96.04000000000002</v>
      </c>
      <c r="AT66" s="297">
        <f t="shared" si="145"/>
        <v>5120.28</v>
      </c>
      <c r="AU66" s="297">
        <f t="shared" si="145"/>
        <v>20772975.960000001</v>
      </c>
      <c r="AV66" s="297">
        <f t="shared" si="145"/>
        <v>0</v>
      </c>
      <c r="AW66" s="297">
        <f t="shared" si="145"/>
        <v>17</v>
      </c>
      <c r="AX66" s="297">
        <f t="shared" si="145"/>
        <v>2550000</v>
      </c>
      <c r="AY66" s="297">
        <f t="shared" si="145"/>
        <v>18222975.960000001</v>
      </c>
      <c r="AZ66" s="297">
        <f t="shared" si="145"/>
        <v>0</v>
      </c>
      <c r="BA66" s="297">
        <f t="shared" si="145"/>
        <v>3539.4630000000034</v>
      </c>
      <c r="BB66" s="297">
        <f t="shared" si="145"/>
        <v>0.87243357160463475</v>
      </c>
      <c r="BC66" s="297">
        <f t="shared" si="145"/>
        <v>3569.4075664283941</v>
      </c>
      <c r="BD66" s="297">
        <f t="shared" si="145"/>
        <v>3567</v>
      </c>
      <c r="BE66" s="297">
        <f t="shared" si="145"/>
        <v>3567</v>
      </c>
      <c r="BF66" s="297">
        <f t="shared" si="145"/>
        <v>0</v>
      </c>
      <c r="BG66" s="297">
        <f t="shared" si="145"/>
        <v>25</v>
      </c>
      <c r="BH66" s="297">
        <f t="shared" si="145"/>
        <v>11</v>
      </c>
      <c r="BI66" s="297">
        <f t="shared" si="145"/>
        <v>20</v>
      </c>
      <c r="BJ66" s="297">
        <f t="shared" si="145"/>
        <v>5</v>
      </c>
      <c r="BK66" s="297">
        <f t="shared" si="145"/>
        <v>8</v>
      </c>
      <c r="BL66" s="297">
        <f t="shared" si="145"/>
        <v>27</v>
      </c>
      <c r="BM66" s="297">
        <f t="shared" si="145"/>
        <v>3567</v>
      </c>
      <c r="BN66" s="178"/>
      <c r="BO66" s="179"/>
      <c r="BP66" s="237"/>
      <c r="BQ66" s="234"/>
      <c r="BR66" s="235"/>
    </row>
    <row r="67" spans="1:70" s="286" customFormat="1" ht="47.25" customHeight="1">
      <c r="A67" s="158">
        <v>59</v>
      </c>
      <c r="B67" s="287" t="s">
        <v>377</v>
      </c>
      <c r="C67" s="247" t="s">
        <v>111</v>
      </c>
      <c r="D67" s="247" t="s">
        <v>467</v>
      </c>
      <c r="E67" s="249">
        <v>31151</v>
      </c>
      <c r="F67" s="249" t="s">
        <v>473</v>
      </c>
      <c r="G67" s="154" t="s">
        <v>483</v>
      </c>
      <c r="H67" s="154" t="s">
        <v>23</v>
      </c>
      <c r="I67" s="298" t="s">
        <v>14</v>
      </c>
      <c r="J67" s="251">
        <v>204</v>
      </c>
      <c r="K67" s="156">
        <v>41806</v>
      </c>
      <c r="L67" s="157">
        <v>26</v>
      </c>
      <c r="M67" s="150">
        <f>考勤!F61</f>
        <v>24</v>
      </c>
      <c r="N67" s="150">
        <f>考勤!T61</f>
        <v>1</v>
      </c>
      <c r="O67" s="150">
        <f>考勤!Q61</f>
        <v>1</v>
      </c>
      <c r="P67" s="163">
        <f>考勤!K61</f>
        <v>0</v>
      </c>
      <c r="Q67" s="163">
        <f>考勤!L61</f>
        <v>0</v>
      </c>
      <c r="R67" s="150">
        <f>(M67+O67)*8</f>
        <v>200</v>
      </c>
      <c r="S67" s="161">
        <f t="shared" ref="S67:S81" si="146">ROUND(SUM(J67/L67/8*2.5),2)+ROUND(SUM(J67/L67/8*5.5*1.3),2)</f>
        <v>9.4600000000000009</v>
      </c>
      <c r="T67" s="161"/>
      <c r="U67" s="175">
        <f>S67*(M67+N67+O67)</f>
        <v>245.96000000000004</v>
      </c>
      <c r="V67" s="150">
        <f>考勤!N61</f>
        <v>45</v>
      </c>
      <c r="W67" s="150">
        <f>V67/2</f>
        <v>22.5</v>
      </c>
      <c r="X67" s="161">
        <f t="shared" ref="X67:X81" si="147">ROUND(SUM(J67/L67/8*V67*2),2)</f>
        <v>88.27</v>
      </c>
      <c r="Y67" s="161">
        <f t="shared" ref="Y67:Y81" si="148">13/L67*W67</f>
        <v>11.25</v>
      </c>
      <c r="Z67" s="150">
        <f>考勤!O61</f>
        <v>0</v>
      </c>
      <c r="AA67" s="162">
        <f t="shared" ref="AA67:AA81" si="149">(J67/L67*Z67)*0.5</f>
        <v>0</v>
      </c>
      <c r="AB67" s="150">
        <f>考勤!P61</f>
        <v>0</v>
      </c>
      <c r="AC67" s="162">
        <f t="shared" ref="AC67:AC81" si="150">(J67/L67*AB67)*0.8</f>
        <v>0</v>
      </c>
      <c r="AD67" s="163">
        <f>考勤!W61</f>
        <v>0</v>
      </c>
      <c r="AE67" s="161">
        <f>考勤!X61</f>
        <v>0</v>
      </c>
      <c r="AF67" s="161">
        <f>考勤!Y61</f>
        <v>0</v>
      </c>
      <c r="AG67" s="161">
        <f>考勤!Z61</f>
        <v>0</v>
      </c>
      <c r="AH67" s="161">
        <v>0</v>
      </c>
      <c r="AI67" s="164"/>
      <c r="AJ67" s="228">
        <f t="shared" ref="AJ67:AJ80" si="151">IF(M67+Q67+Z67+N67+O67+AB67&lt;=25.5,0,20)</f>
        <v>20</v>
      </c>
      <c r="AK67" s="166">
        <v>11</v>
      </c>
      <c r="AL67" s="167">
        <v>90</v>
      </c>
      <c r="AM67" s="172"/>
      <c r="AN67" s="160"/>
      <c r="AO67" s="169">
        <v>10</v>
      </c>
      <c r="AP67" s="231">
        <f t="shared" ref="AP67:AP81" si="152">10/26*(M67+N67+O67)</f>
        <v>10</v>
      </c>
      <c r="AQ67" s="170">
        <f t="shared" ref="AQ67:AQ81" si="153">ROUND(SUM(U67,X67,Y67,AA67,AE67,AF67,AJ67,AK67,AL67,AN67,AO67,AP67,AG67,AI67,AH67,AC67,AM67),2)</f>
        <v>486.48</v>
      </c>
      <c r="AR67" s="171">
        <v>100</v>
      </c>
      <c r="AS67" s="172">
        <f t="shared" ref="AS67:AS79" si="154">ROUND(IF(YEARFRAC(E67,$BS$5)&gt;=60,"0",IF(AQ67&lt;=400000/$BT$5,400000/$BT$5*$BU$5,IF(AQ67&lt;=1200000/$BT$5,AQ67*$BU$5,IF(AQ67&gt;1200000/$BT$5,1200000/$BT$5*$BU$5)))),2)</f>
        <v>5.9</v>
      </c>
      <c r="AT67" s="170">
        <f>AQ67-AS67</f>
        <v>480.58000000000004</v>
      </c>
      <c r="AU67" s="159">
        <f t="shared" ref="AU67:AU81" si="155">AT67*$AU$6</f>
        <v>1949713.06</v>
      </c>
      <c r="AV67" s="159">
        <v>0</v>
      </c>
      <c r="AW67" s="159">
        <v>0</v>
      </c>
      <c r="AX67" s="159">
        <f>(AV67+AW67)*150000</f>
        <v>0</v>
      </c>
      <c r="AY67" s="159">
        <f>AU67-AX67</f>
        <v>1949713.06</v>
      </c>
      <c r="AZ67" s="173" t="str">
        <f>IF(AY67&lt;=1500000,"0%",IF(AY67&lt;=2000000,"5%",IF(AY67&lt;=8500000,"10%",IF(AY67&lt;=12500000,"15%",IF(AY67&lt;=12500001,"20%")))))</f>
        <v>5%</v>
      </c>
      <c r="BA67" s="232">
        <f>IF(AY67&lt;=1500000,0,IF(AND(AY67&gt;1500001,AY67&lt;=2000000),((AY67*0.05)-75000),IF(AND(AY67&gt;2000001,AY67&lt;=8500000),((AY67*0.1)-175000),IF(AND(AY67&gt;=8500001,AY67&lt;=12500000),((AY67*0.15)-600000),IF(AY67&gt;=12500001,(AY67*0.2-1225000))))))</f>
        <v>22485.653000000006</v>
      </c>
      <c r="BB67" s="175">
        <f>BA67/$AU$6</f>
        <v>5.5424335716046356</v>
      </c>
      <c r="BC67" s="176">
        <f>AQ67-(AS67+BB67+AR67)</f>
        <v>375.03756642839539</v>
      </c>
      <c r="BD67" s="227">
        <f t="shared" ref="BD67:BD81" si="156">ROUND(SUM(BC67),0)</f>
        <v>375</v>
      </c>
      <c r="BE67" s="155">
        <f>INT(BD67)</f>
        <v>375</v>
      </c>
      <c r="BF67" s="177"/>
      <c r="BG67" s="158">
        <f t="shared" ref="BG67:BG81" si="157">INT(BE67/100)</f>
        <v>3</v>
      </c>
      <c r="BH67" s="158">
        <f t="shared" ref="BH67:BH81" si="158">INT(MOD(BE67,100)/50)</f>
        <v>1</v>
      </c>
      <c r="BI67" s="158">
        <f t="shared" ref="BI67:BI81" si="159">INT(MOD(MOD(BE67,100),50)/20)</f>
        <v>1</v>
      </c>
      <c r="BJ67" s="158">
        <f t="shared" ref="BJ67:BJ81" si="160">INT(MOD(MOD(MOD(BE67,100),50),20)/10)</f>
        <v>0</v>
      </c>
      <c r="BK67" s="158">
        <f t="shared" ref="BK67:BK81" si="161">INT(MOD(MOD(MOD(MOD(BE67,100),50),20),10)/5)</f>
        <v>1</v>
      </c>
      <c r="BL67" s="158">
        <f t="shared" ref="BL67:BL81" si="162">INT(MOD(MOD(MOD(MOD(MOD(BE67,100),50),20),10),5)/1)</f>
        <v>0</v>
      </c>
      <c r="BM67" s="158">
        <f t="shared" ref="BM67:BM81" si="163">BG67*100+BH67*50+BI67*20+BJ67*10+BK67*5+BL67</f>
        <v>375</v>
      </c>
      <c r="BN67" s="178"/>
      <c r="BO67" s="179"/>
      <c r="BP67" s="237"/>
      <c r="BQ67" s="234"/>
      <c r="BR67" s="235"/>
    </row>
    <row r="68" spans="1:70" s="286" customFormat="1" ht="47.25" customHeight="1">
      <c r="A68" s="158">
        <v>60</v>
      </c>
      <c r="B68" s="287" t="s">
        <v>378</v>
      </c>
      <c r="C68" s="152" t="s">
        <v>112</v>
      </c>
      <c r="D68" s="152">
        <v>110536361</v>
      </c>
      <c r="E68" s="255">
        <v>31627</v>
      </c>
      <c r="F68" s="249" t="s">
        <v>473</v>
      </c>
      <c r="G68" s="154" t="s">
        <v>483</v>
      </c>
      <c r="H68" s="298" t="s">
        <v>4</v>
      </c>
      <c r="I68" s="298" t="s">
        <v>14</v>
      </c>
      <c r="J68" s="155">
        <v>204</v>
      </c>
      <c r="K68" s="156">
        <v>42156</v>
      </c>
      <c r="L68" s="157">
        <v>26</v>
      </c>
      <c r="M68" s="158">
        <f>考勤!F62</f>
        <v>24</v>
      </c>
      <c r="N68" s="158">
        <f>考勤!T62</f>
        <v>1</v>
      </c>
      <c r="O68" s="158">
        <f>考勤!Q62</f>
        <v>1</v>
      </c>
      <c r="P68" s="159">
        <f>考勤!K62</f>
        <v>0</v>
      </c>
      <c r="Q68" s="159">
        <f>考勤!L62</f>
        <v>0</v>
      </c>
      <c r="R68" s="158">
        <f t="shared" ref="R68:R81" si="164">(M68+O68)*8</f>
        <v>200</v>
      </c>
      <c r="S68" s="175">
        <f t="shared" si="146"/>
        <v>9.4600000000000009</v>
      </c>
      <c r="T68" s="175"/>
      <c r="U68" s="175">
        <f t="shared" ref="U68:U81" si="165">S68*(M68+N68+O68)</f>
        <v>245.96000000000004</v>
      </c>
      <c r="V68" s="158">
        <f>考勤!N62</f>
        <v>45</v>
      </c>
      <c r="W68" s="158">
        <f t="shared" ref="W68:W81" si="166">V68/2</f>
        <v>22.5</v>
      </c>
      <c r="X68" s="161">
        <f t="shared" si="147"/>
        <v>88.27</v>
      </c>
      <c r="Y68" s="175">
        <f t="shared" si="148"/>
        <v>11.25</v>
      </c>
      <c r="Z68" s="158">
        <f>考勤!O62</f>
        <v>0</v>
      </c>
      <c r="AA68" s="226">
        <f t="shared" si="149"/>
        <v>0</v>
      </c>
      <c r="AB68" s="158">
        <f>考勤!P62</f>
        <v>0</v>
      </c>
      <c r="AC68" s="226">
        <f t="shared" si="150"/>
        <v>0</v>
      </c>
      <c r="AD68" s="159">
        <f>考勤!W62</f>
        <v>0</v>
      </c>
      <c r="AE68" s="175">
        <f>考勤!X62</f>
        <v>0</v>
      </c>
      <c r="AF68" s="161">
        <f>考勤!Y62</f>
        <v>0</v>
      </c>
      <c r="AG68" s="161">
        <f>考勤!Z62</f>
        <v>0</v>
      </c>
      <c r="AH68" s="161">
        <v>0</v>
      </c>
      <c r="AI68" s="227"/>
      <c r="AJ68" s="228">
        <f>IF(M68+Q68+Z68+N68+O68+AB68&lt;=25.5,0,20)</f>
        <v>20</v>
      </c>
      <c r="AK68" s="229">
        <v>10</v>
      </c>
      <c r="AL68" s="230">
        <v>40</v>
      </c>
      <c r="AM68" s="172"/>
      <c r="AN68" s="160"/>
      <c r="AO68" s="171">
        <v>10</v>
      </c>
      <c r="AP68" s="231">
        <f>10/26*(M68+N68+O68)</f>
        <v>10</v>
      </c>
      <c r="AQ68" s="170">
        <f t="shared" si="153"/>
        <v>435.48</v>
      </c>
      <c r="AR68" s="171">
        <v>100</v>
      </c>
      <c r="AS68" s="172">
        <f t="shared" si="154"/>
        <v>5.9</v>
      </c>
      <c r="AT68" s="170">
        <f t="shared" ref="AT68:AT81" si="167">AQ68-AS68</f>
        <v>429.58000000000004</v>
      </c>
      <c r="AU68" s="159">
        <f t="shared" si="155"/>
        <v>1742806.06</v>
      </c>
      <c r="AV68" s="159">
        <v>0</v>
      </c>
      <c r="AW68" s="159">
        <v>1</v>
      </c>
      <c r="AX68" s="159">
        <f t="shared" ref="AX68:AX81" si="168">(AV68+AW68)*150000</f>
        <v>150000</v>
      </c>
      <c r="AY68" s="159">
        <f t="shared" ref="AY68:AY81" si="169">AU68-AX68</f>
        <v>1592806.06</v>
      </c>
      <c r="AZ68" s="173" t="str">
        <f t="shared" ref="AZ68:AZ81" si="170">IF(AY68&lt;=1500000,"0%",IF(AY68&lt;=2000000,"5%",IF(AY68&lt;=8500000,"10%",IF(AY68&lt;=12500000,"15%",IF(AY68&lt;=12500001,"20%")))))</f>
        <v>5%</v>
      </c>
      <c r="BA68" s="232">
        <f t="shared" ref="BA68:BA81" si="171">IF(AY68&lt;=1500000,0,IF(AND(AY68&gt;1500001,AY68&lt;=2000000),((AY68*0.05)-75000),IF(AND(AY68&gt;2000001,AY68&lt;=8500000),((AY68*0.1)-175000),IF(AND(AY68&gt;=8500001,AY68&lt;=12500000),((AY68*0.15)-600000),IF(AY68&gt;=12500001,(AY68*0.2-1225000))))))</f>
        <v>4640.3030000000144</v>
      </c>
      <c r="BB68" s="175">
        <f t="shared" ref="BB68:BB81" si="172">BA68/$AU$6</f>
        <v>1.143776928765101</v>
      </c>
      <c r="BC68" s="176">
        <f t="shared" ref="BC68:BC81" si="173">AQ68-(AS68+BB68+AR68)</f>
        <v>328.43622307123491</v>
      </c>
      <c r="BD68" s="155">
        <f t="shared" si="156"/>
        <v>328</v>
      </c>
      <c r="BE68" s="155">
        <f t="shared" ref="BE68:BE81" si="174">INT(BD68)</f>
        <v>328</v>
      </c>
      <c r="BF68" s="177"/>
      <c r="BG68" s="158">
        <f t="shared" si="157"/>
        <v>3</v>
      </c>
      <c r="BH68" s="158">
        <f t="shared" si="158"/>
        <v>0</v>
      </c>
      <c r="BI68" s="158">
        <f t="shared" si="159"/>
        <v>1</v>
      </c>
      <c r="BJ68" s="158">
        <f t="shared" si="160"/>
        <v>0</v>
      </c>
      <c r="BK68" s="158">
        <f t="shared" si="161"/>
        <v>1</v>
      </c>
      <c r="BL68" s="158">
        <f t="shared" si="162"/>
        <v>3</v>
      </c>
      <c r="BM68" s="158">
        <f t="shared" si="163"/>
        <v>328</v>
      </c>
      <c r="BN68" s="178"/>
      <c r="BO68" s="179"/>
      <c r="BP68" s="237"/>
      <c r="BQ68" s="234"/>
      <c r="BR68" s="235"/>
    </row>
    <row r="69" spans="1:70" s="286" customFormat="1" ht="47.25" customHeight="1">
      <c r="A69" s="158">
        <v>61</v>
      </c>
      <c r="B69" s="287" t="s">
        <v>379</v>
      </c>
      <c r="C69" s="152" t="s">
        <v>113</v>
      </c>
      <c r="D69" s="152">
        <v>110536324</v>
      </c>
      <c r="E69" s="255">
        <v>36180</v>
      </c>
      <c r="F69" s="249" t="s">
        <v>473</v>
      </c>
      <c r="G69" s="154" t="s">
        <v>483</v>
      </c>
      <c r="H69" s="298" t="s">
        <v>4</v>
      </c>
      <c r="I69" s="298" t="s">
        <v>14</v>
      </c>
      <c r="J69" s="155">
        <v>204</v>
      </c>
      <c r="K69" s="156">
        <v>42948</v>
      </c>
      <c r="L69" s="157">
        <v>26</v>
      </c>
      <c r="M69" s="158">
        <f>考勤!F63</f>
        <v>24</v>
      </c>
      <c r="N69" s="158">
        <f>考勤!T63</f>
        <v>1</v>
      </c>
      <c r="O69" s="158">
        <f>考勤!Q63</f>
        <v>1</v>
      </c>
      <c r="P69" s="159">
        <f>考勤!K63</f>
        <v>0</v>
      </c>
      <c r="Q69" s="159">
        <f>考勤!L63</f>
        <v>0</v>
      </c>
      <c r="R69" s="158">
        <f t="shared" si="164"/>
        <v>200</v>
      </c>
      <c r="S69" s="175">
        <f t="shared" si="146"/>
        <v>9.4600000000000009</v>
      </c>
      <c r="T69" s="175"/>
      <c r="U69" s="175">
        <f t="shared" si="165"/>
        <v>245.96000000000004</v>
      </c>
      <c r="V69" s="158">
        <f>考勤!N63</f>
        <v>45</v>
      </c>
      <c r="W69" s="158">
        <f t="shared" si="166"/>
        <v>22.5</v>
      </c>
      <c r="X69" s="161">
        <f t="shared" si="147"/>
        <v>88.27</v>
      </c>
      <c r="Y69" s="175">
        <f t="shared" si="148"/>
        <v>11.25</v>
      </c>
      <c r="Z69" s="158">
        <f>考勤!O63</f>
        <v>0</v>
      </c>
      <c r="AA69" s="226">
        <f t="shared" si="149"/>
        <v>0</v>
      </c>
      <c r="AB69" s="158">
        <f>考勤!P63</f>
        <v>0</v>
      </c>
      <c r="AC69" s="226">
        <f t="shared" si="150"/>
        <v>0</v>
      </c>
      <c r="AD69" s="159">
        <f>考勤!W63</f>
        <v>0</v>
      </c>
      <c r="AE69" s="175">
        <f>考勤!X63</f>
        <v>0</v>
      </c>
      <c r="AF69" s="161">
        <f>考勤!Y63</f>
        <v>0</v>
      </c>
      <c r="AG69" s="161">
        <f>考勤!Z63</f>
        <v>0</v>
      </c>
      <c r="AH69" s="161">
        <v>0</v>
      </c>
      <c r="AI69" s="227"/>
      <c r="AJ69" s="228">
        <f t="shared" si="151"/>
        <v>20</v>
      </c>
      <c r="AK69" s="229">
        <v>9</v>
      </c>
      <c r="AL69" s="230"/>
      <c r="AM69" s="172"/>
      <c r="AN69" s="160"/>
      <c r="AO69" s="171">
        <v>10</v>
      </c>
      <c r="AP69" s="231">
        <f t="shared" si="152"/>
        <v>10</v>
      </c>
      <c r="AQ69" s="170">
        <f t="shared" si="153"/>
        <v>394.48</v>
      </c>
      <c r="AR69" s="171">
        <v>100</v>
      </c>
      <c r="AS69" s="172">
        <f t="shared" si="154"/>
        <v>5.9</v>
      </c>
      <c r="AT69" s="170">
        <f t="shared" si="167"/>
        <v>388.58000000000004</v>
      </c>
      <c r="AU69" s="159">
        <f t="shared" si="155"/>
        <v>1576469.06</v>
      </c>
      <c r="AV69" s="159">
        <v>0</v>
      </c>
      <c r="AW69" s="159">
        <v>0</v>
      </c>
      <c r="AX69" s="159">
        <f t="shared" si="168"/>
        <v>0</v>
      </c>
      <c r="AY69" s="159">
        <f t="shared" si="169"/>
        <v>1576469.06</v>
      </c>
      <c r="AZ69" s="173" t="str">
        <f t="shared" si="170"/>
        <v>5%</v>
      </c>
      <c r="BA69" s="232">
        <f t="shared" si="171"/>
        <v>3823.4530000000086</v>
      </c>
      <c r="BB69" s="175">
        <f t="shared" si="172"/>
        <v>0.94243357160463614</v>
      </c>
      <c r="BC69" s="176">
        <f t="shared" si="173"/>
        <v>287.63756642839542</v>
      </c>
      <c r="BD69" s="155">
        <f t="shared" si="156"/>
        <v>288</v>
      </c>
      <c r="BE69" s="155">
        <f t="shared" si="174"/>
        <v>288</v>
      </c>
      <c r="BF69" s="177"/>
      <c r="BG69" s="158">
        <f t="shared" si="157"/>
        <v>2</v>
      </c>
      <c r="BH69" s="158">
        <f t="shared" si="158"/>
        <v>1</v>
      </c>
      <c r="BI69" s="158">
        <f t="shared" si="159"/>
        <v>1</v>
      </c>
      <c r="BJ69" s="158">
        <f t="shared" si="160"/>
        <v>1</v>
      </c>
      <c r="BK69" s="158">
        <f t="shared" si="161"/>
        <v>1</v>
      </c>
      <c r="BL69" s="158">
        <f t="shared" si="162"/>
        <v>3</v>
      </c>
      <c r="BM69" s="158">
        <f t="shared" si="163"/>
        <v>288</v>
      </c>
      <c r="BN69" s="178"/>
      <c r="BO69" s="179"/>
      <c r="BP69" s="237"/>
      <c r="BQ69" s="234"/>
      <c r="BR69" s="235"/>
    </row>
    <row r="70" spans="1:70" s="286" customFormat="1" ht="47.25" customHeight="1">
      <c r="A70" s="158">
        <v>62</v>
      </c>
      <c r="B70" s="287" t="s">
        <v>380</v>
      </c>
      <c r="C70" s="152" t="s">
        <v>114</v>
      </c>
      <c r="D70" s="152" t="s">
        <v>468</v>
      </c>
      <c r="E70" s="255">
        <v>33240</v>
      </c>
      <c r="F70" s="249" t="s">
        <v>473</v>
      </c>
      <c r="G70" s="154" t="s">
        <v>483</v>
      </c>
      <c r="H70" s="298" t="s">
        <v>4</v>
      </c>
      <c r="I70" s="298" t="s">
        <v>15</v>
      </c>
      <c r="J70" s="155">
        <v>204</v>
      </c>
      <c r="K70" s="156">
        <v>41908</v>
      </c>
      <c r="L70" s="157">
        <v>26</v>
      </c>
      <c r="M70" s="158">
        <f>考勤!F64</f>
        <v>23</v>
      </c>
      <c r="N70" s="158">
        <f>考勤!T64</f>
        <v>1</v>
      </c>
      <c r="O70" s="158">
        <f>考勤!Q64</f>
        <v>2</v>
      </c>
      <c r="P70" s="159">
        <f>考勤!K64</f>
        <v>0</v>
      </c>
      <c r="Q70" s="159">
        <f>考勤!L64</f>
        <v>0</v>
      </c>
      <c r="R70" s="158">
        <f t="shared" si="164"/>
        <v>200</v>
      </c>
      <c r="S70" s="175">
        <f t="shared" si="146"/>
        <v>9.4600000000000009</v>
      </c>
      <c r="T70" s="175"/>
      <c r="U70" s="175">
        <f t="shared" si="165"/>
        <v>245.96000000000004</v>
      </c>
      <c r="V70" s="158">
        <f>考勤!N64</f>
        <v>43</v>
      </c>
      <c r="W70" s="158">
        <f t="shared" si="166"/>
        <v>21.5</v>
      </c>
      <c r="X70" s="161">
        <f t="shared" si="147"/>
        <v>84.35</v>
      </c>
      <c r="Y70" s="175">
        <f t="shared" si="148"/>
        <v>10.75</v>
      </c>
      <c r="Z70" s="158">
        <f>考勤!O64</f>
        <v>0</v>
      </c>
      <c r="AA70" s="226">
        <f t="shared" si="149"/>
        <v>0</v>
      </c>
      <c r="AB70" s="158">
        <f>考勤!P64</f>
        <v>0</v>
      </c>
      <c r="AC70" s="226">
        <f t="shared" si="150"/>
        <v>0</v>
      </c>
      <c r="AD70" s="159">
        <f>考勤!W64</f>
        <v>0</v>
      </c>
      <c r="AE70" s="175">
        <f>考勤!X64</f>
        <v>0</v>
      </c>
      <c r="AF70" s="161">
        <f>考勤!Y64</f>
        <v>0</v>
      </c>
      <c r="AG70" s="161">
        <f>考勤!Z64</f>
        <v>0</v>
      </c>
      <c r="AH70" s="161">
        <v>0</v>
      </c>
      <c r="AI70" s="227"/>
      <c r="AJ70" s="228">
        <f t="shared" si="151"/>
        <v>20</v>
      </c>
      <c r="AK70" s="229">
        <v>10</v>
      </c>
      <c r="AL70" s="230">
        <v>60</v>
      </c>
      <c r="AM70" s="172"/>
      <c r="AN70" s="160"/>
      <c r="AO70" s="171">
        <v>10</v>
      </c>
      <c r="AP70" s="231">
        <f t="shared" si="152"/>
        <v>10</v>
      </c>
      <c r="AQ70" s="170">
        <f t="shared" si="153"/>
        <v>451.06</v>
      </c>
      <c r="AR70" s="171">
        <v>100</v>
      </c>
      <c r="AS70" s="172">
        <f t="shared" si="154"/>
        <v>5.9</v>
      </c>
      <c r="AT70" s="170">
        <f t="shared" si="167"/>
        <v>445.16</v>
      </c>
      <c r="AU70" s="159">
        <f t="shared" si="155"/>
        <v>1806014.12</v>
      </c>
      <c r="AV70" s="159">
        <v>0</v>
      </c>
      <c r="AW70" s="159">
        <v>1</v>
      </c>
      <c r="AX70" s="159">
        <f t="shared" si="168"/>
        <v>150000</v>
      </c>
      <c r="AY70" s="159">
        <f t="shared" si="169"/>
        <v>1656014.12</v>
      </c>
      <c r="AZ70" s="173" t="str">
        <f t="shared" si="170"/>
        <v>5%</v>
      </c>
      <c r="BA70" s="174">
        <f t="shared" si="171"/>
        <v>7800.7060000000056</v>
      </c>
      <c r="BB70" s="175">
        <f t="shared" si="172"/>
        <v>1.9227769287650986</v>
      </c>
      <c r="BC70" s="176">
        <f t="shared" si="173"/>
        <v>343.23722307123489</v>
      </c>
      <c r="BD70" s="155">
        <f t="shared" si="156"/>
        <v>343</v>
      </c>
      <c r="BE70" s="155">
        <f t="shared" si="174"/>
        <v>343</v>
      </c>
      <c r="BF70" s="177"/>
      <c r="BG70" s="158">
        <f t="shared" si="157"/>
        <v>3</v>
      </c>
      <c r="BH70" s="158">
        <f t="shared" si="158"/>
        <v>0</v>
      </c>
      <c r="BI70" s="158">
        <f t="shared" si="159"/>
        <v>2</v>
      </c>
      <c r="BJ70" s="158">
        <f t="shared" si="160"/>
        <v>0</v>
      </c>
      <c r="BK70" s="158">
        <f t="shared" si="161"/>
        <v>0</v>
      </c>
      <c r="BL70" s="158">
        <f t="shared" si="162"/>
        <v>3</v>
      </c>
      <c r="BM70" s="158">
        <f t="shared" si="163"/>
        <v>343</v>
      </c>
      <c r="BN70" s="178"/>
      <c r="BO70" s="179"/>
      <c r="BP70" s="237"/>
      <c r="BQ70" s="234"/>
      <c r="BR70" s="235"/>
    </row>
    <row r="71" spans="1:70" s="286" customFormat="1" ht="47.25" customHeight="1">
      <c r="A71" s="158">
        <v>63</v>
      </c>
      <c r="B71" s="287" t="s">
        <v>381</v>
      </c>
      <c r="C71" s="152" t="s">
        <v>115</v>
      </c>
      <c r="D71" s="152">
        <v>110481086</v>
      </c>
      <c r="E71" s="255">
        <v>34975</v>
      </c>
      <c r="F71" s="249" t="s">
        <v>473</v>
      </c>
      <c r="G71" s="154" t="s">
        <v>483</v>
      </c>
      <c r="H71" s="298" t="s">
        <v>4</v>
      </c>
      <c r="I71" s="298" t="s">
        <v>15</v>
      </c>
      <c r="J71" s="155">
        <v>204</v>
      </c>
      <c r="K71" s="156">
        <v>42203</v>
      </c>
      <c r="L71" s="157">
        <v>26</v>
      </c>
      <c r="M71" s="158">
        <f>考勤!F65</f>
        <v>23.5</v>
      </c>
      <c r="N71" s="158">
        <f>考勤!T65</f>
        <v>1</v>
      </c>
      <c r="O71" s="158">
        <f>考勤!Q65</f>
        <v>1.5</v>
      </c>
      <c r="P71" s="159">
        <f>考勤!K65</f>
        <v>0</v>
      </c>
      <c r="Q71" s="159">
        <f>考勤!L65</f>
        <v>0</v>
      </c>
      <c r="R71" s="158">
        <f t="shared" si="164"/>
        <v>200</v>
      </c>
      <c r="S71" s="175">
        <f t="shared" si="146"/>
        <v>9.4600000000000009</v>
      </c>
      <c r="T71" s="175"/>
      <c r="U71" s="175">
        <f t="shared" si="165"/>
        <v>245.96000000000004</v>
      </c>
      <c r="V71" s="158">
        <f>考勤!N65</f>
        <v>43</v>
      </c>
      <c r="W71" s="158">
        <f t="shared" si="166"/>
        <v>21.5</v>
      </c>
      <c r="X71" s="161">
        <f t="shared" si="147"/>
        <v>84.35</v>
      </c>
      <c r="Y71" s="175">
        <f t="shared" si="148"/>
        <v>10.75</v>
      </c>
      <c r="Z71" s="158">
        <f>考勤!O65</f>
        <v>0</v>
      </c>
      <c r="AA71" s="226">
        <f t="shared" si="149"/>
        <v>0</v>
      </c>
      <c r="AB71" s="158">
        <f>考勤!P65</f>
        <v>0</v>
      </c>
      <c r="AC71" s="226">
        <f t="shared" si="150"/>
        <v>0</v>
      </c>
      <c r="AD71" s="159">
        <f>考勤!W65</f>
        <v>0</v>
      </c>
      <c r="AE71" s="175">
        <f>考勤!X65</f>
        <v>0</v>
      </c>
      <c r="AF71" s="161">
        <f>考勤!Y65</f>
        <v>0</v>
      </c>
      <c r="AG71" s="161">
        <f>考勤!Z65</f>
        <v>0</v>
      </c>
      <c r="AH71" s="161">
        <v>0</v>
      </c>
      <c r="AI71" s="227"/>
      <c r="AJ71" s="228">
        <f t="shared" si="151"/>
        <v>20</v>
      </c>
      <c r="AK71" s="229">
        <v>10</v>
      </c>
      <c r="AL71" s="230">
        <v>60</v>
      </c>
      <c r="AM71" s="172"/>
      <c r="AN71" s="160"/>
      <c r="AO71" s="171">
        <v>10</v>
      </c>
      <c r="AP71" s="231">
        <f t="shared" si="152"/>
        <v>10</v>
      </c>
      <c r="AQ71" s="170">
        <f t="shared" si="153"/>
        <v>451.06</v>
      </c>
      <c r="AR71" s="171">
        <v>100</v>
      </c>
      <c r="AS71" s="172">
        <f t="shared" si="154"/>
        <v>5.9</v>
      </c>
      <c r="AT71" s="170">
        <f t="shared" si="167"/>
        <v>445.16</v>
      </c>
      <c r="AU71" s="159">
        <f t="shared" si="155"/>
        <v>1806014.12</v>
      </c>
      <c r="AV71" s="159">
        <v>0</v>
      </c>
      <c r="AW71" s="159">
        <v>2</v>
      </c>
      <c r="AX71" s="159">
        <f t="shared" si="168"/>
        <v>300000</v>
      </c>
      <c r="AY71" s="159">
        <f t="shared" si="169"/>
        <v>1506014.12</v>
      </c>
      <c r="AZ71" s="173" t="str">
        <f t="shared" si="170"/>
        <v>5%</v>
      </c>
      <c r="BA71" s="174">
        <f t="shared" si="171"/>
        <v>300.70600000000559</v>
      </c>
      <c r="BB71" s="175">
        <f t="shared" si="172"/>
        <v>7.4120285925562135E-2</v>
      </c>
      <c r="BC71" s="176">
        <f t="shared" si="173"/>
        <v>345.08587971407445</v>
      </c>
      <c r="BD71" s="155">
        <f t="shared" si="156"/>
        <v>345</v>
      </c>
      <c r="BE71" s="155">
        <f t="shared" si="174"/>
        <v>345</v>
      </c>
      <c r="BF71" s="177"/>
      <c r="BG71" s="158">
        <f t="shared" si="157"/>
        <v>3</v>
      </c>
      <c r="BH71" s="158">
        <f t="shared" si="158"/>
        <v>0</v>
      </c>
      <c r="BI71" s="158">
        <f t="shared" si="159"/>
        <v>2</v>
      </c>
      <c r="BJ71" s="158">
        <f t="shared" si="160"/>
        <v>0</v>
      </c>
      <c r="BK71" s="158">
        <f t="shared" si="161"/>
        <v>1</v>
      </c>
      <c r="BL71" s="158">
        <f t="shared" si="162"/>
        <v>0</v>
      </c>
      <c r="BM71" s="158">
        <f t="shared" si="163"/>
        <v>345</v>
      </c>
      <c r="BN71" s="178"/>
      <c r="BO71" s="179"/>
      <c r="BP71" s="237"/>
      <c r="BQ71" s="234"/>
      <c r="BR71" s="235"/>
    </row>
    <row r="72" spans="1:70" s="286" customFormat="1" ht="47.25" customHeight="1">
      <c r="A72" s="158">
        <v>64</v>
      </c>
      <c r="B72" s="287" t="s">
        <v>382</v>
      </c>
      <c r="C72" s="152" t="s">
        <v>116</v>
      </c>
      <c r="D72" s="152">
        <v>110584803</v>
      </c>
      <c r="E72" s="255">
        <v>33823</v>
      </c>
      <c r="F72" s="249" t="s">
        <v>473</v>
      </c>
      <c r="G72" s="154" t="s">
        <v>483</v>
      </c>
      <c r="H72" s="298" t="s">
        <v>4</v>
      </c>
      <c r="I72" s="298" t="s">
        <v>15</v>
      </c>
      <c r="J72" s="155">
        <v>204</v>
      </c>
      <c r="K72" s="156">
        <v>41989</v>
      </c>
      <c r="L72" s="157">
        <v>26</v>
      </c>
      <c r="M72" s="158">
        <f>考勤!F66</f>
        <v>22</v>
      </c>
      <c r="N72" s="158">
        <f>考勤!T66</f>
        <v>1</v>
      </c>
      <c r="O72" s="158">
        <f>考勤!Q66</f>
        <v>2</v>
      </c>
      <c r="P72" s="159">
        <f>考勤!K66</f>
        <v>0</v>
      </c>
      <c r="Q72" s="159">
        <f>考勤!L66</f>
        <v>1</v>
      </c>
      <c r="R72" s="158">
        <f t="shared" si="164"/>
        <v>192</v>
      </c>
      <c r="S72" s="175">
        <f t="shared" si="146"/>
        <v>9.4600000000000009</v>
      </c>
      <c r="T72" s="175"/>
      <c r="U72" s="175">
        <f t="shared" si="165"/>
        <v>236.50000000000003</v>
      </c>
      <c r="V72" s="158">
        <f>考勤!N66</f>
        <v>41</v>
      </c>
      <c r="W72" s="158">
        <f t="shared" si="166"/>
        <v>20.5</v>
      </c>
      <c r="X72" s="161">
        <f t="shared" si="147"/>
        <v>80.42</v>
      </c>
      <c r="Y72" s="175">
        <f t="shared" si="148"/>
        <v>10.25</v>
      </c>
      <c r="Z72" s="158">
        <f>考勤!O66</f>
        <v>0</v>
      </c>
      <c r="AA72" s="226">
        <f t="shared" si="149"/>
        <v>0</v>
      </c>
      <c r="AB72" s="158">
        <f>考勤!P66</f>
        <v>0</v>
      </c>
      <c r="AC72" s="226">
        <f t="shared" si="150"/>
        <v>0</v>
      </c>
      <c r="AD72" s="159">
        <f>考勤!W66</f>
        <v>0</v>
      </c>
      <c r="AE72" s="175">
        <f>考勤!X66</f>
        <v>0</v>
      </c>
      <c r="AF72" s="161">
        <f>考勤!Y66</f>
        <v>0</v>
      </c>
      <c r="AG72" s="161">
        <f>考勤!Z66</f>
        <v>0</v>
      </c>
      <c r="AH72" s="161">
        <v>0</v>
      </c>
      <c r="AI72" s="227"/>
      <c r="AJ72" s="228">
        <f t="shared" si="151"/>
        <v>20</v>
      </c>
      <c r="AK72" s="229">
        <v>10</v>
      </c>
      <c r="AL72" s="230">
        <v>60</v>
      </c>
      <c r="AM72" s="172"/>
      <c r="AN72" s="160"/>
      <c r="AO72" s="171">
        <v>10</v>
      </c>
      <c r="AP72" s="231">
        <f t="shared" si="152"/>
        <v>9.6153846153846168</v>
      </c>
      <c r="AQ72" s="170">
        <f t="shared" si="153"/>
        <v>436.79</v>
      </c>
      <c r="AR72" s="171">
        <v>100</v>
      </c>
      <c r="AS72" s="172">
        <f t="shared" si="154"/>
        <v>5.9</v>
      </c>
      <c r="AT72" s="170">
        <f t="shared" si="167"/>
        <v>430.89000000000004</v>
      </c>
      <c r="AU72" s="159">
        <f t="shared" si="155"/>
        <v>1748120.7300000002</v>
      </c>
      <c r="AV72" s="159">
        <v>0</v>
      </c>
      <c r="AW72" s="159">
        <v>1</v>
      </c>
      <c r="AX72" s="159">
        <f t="shared" si="168"/>
        <v>150000</v>
      </c>
      <c r="AY72" s="159">
        <f t="shared" si="169"/>
        <v>1598120.7300000002</v>
      </c>
      <c r="AZ72" s="173" t="str">
        <f t="shared" si="170"/>
        <v>5%</v>
      </c>
      <c r="BA72" s="174">
        <f>IF(AY72&lt;=1500000,0,IF(AND(AY72&gt;1500001,AY72&lt;=2000000),((AY72*0.05)-75000),IF(AND(AY72&gt;2000001,AY72&lt;=8500000),((AY72*0.1)-175000),IF(AND(AY72&gt;=8500001,AY72&lt;=12500000),((AY72*0.15)-600000),IF(AY72&gt;=12500001,(AY72*0.2-1225000))))))</f>
        <v>4906.0365000000165</v>
      </c>
      <c r="BB72" s="175">
        <f t="shared" si="172"/>
        <v>1.2092769287651015</v>
      </c>
      <c r="BC72" s="176">
        <f t="shared" si="173"/>
        <v>329.68072307123492</v>
      </c>
      <c r="BD72" s="155">
        <f t="shared" si="156"/>
        <v>330</v>
      </c>
      <c r="BE72" s="155">
        <f t="shared" si="174"/>
        <v>330</v>
      </c>
      <c r="BF72" s="177"/>
      <c r="BG72" s="158">
        <f t="shared" si="157"/>
        <v>3</v>
      </c>
      <c r="BH72" s="158">
        <f t="shared" si="158"/>
        <v>0</v>
      </c>
      <c r="BI72" s="158">
        <f t="shared" si="159"/>
        <v>1</v>
      </c>
      <c r="BJ72" s="158">
        <f t="shared" si="160"/>
        <v>1</v>
      </c>
      <c r="BK72" s="158">
        <f t="shared" si="161"/>
        <v>0</v>
      </c>
      <c r="BL72" s="158">
        <f t="shared" si="162"/>
        <v>0</v>
      </c>
      <c r="BM72" s="158">
        <f t="shared" si="163"/>
        <v>330</v>
      </c>
      <c r="BN72" s="178"/>
      <c r="BO72" s="179"/>
      <c r="BP72" s="237"/>
      <c r="BQ72" s="234"/>
      <c r="BR72" s="235"/>
    </row>
    <row r="73" spans="1:70" s="286" customFormat="1" ht="47.25" customHeight="1">
      <c r="A73" s="158">
        <v>65</v>
      </c>
      <c r="B73" s="287" t="s">
        <v>383</v>
      </c>
      <c r="C73" s="152" t="s">
        <v>117</v>
      </c>
      <c r="D73" s="152">
        <v>110454425</v>
      </c>
      <c r="E73" s="255">
        <v>34156</v>
      </c>
      <c r="F73" s="249" t="s">
        <v>473</v>
      </c>
      <c r="G73" s="154" t="s">
        <v>483</v>
      </c>
      <c r="H73" s="298" t="s">
        <v>4</v>
      </c>
      <c r="I73" s="298" t="s">
        <v>15</v>
      </c>
      <c r="J73" s="155">
        <v>204</v>
      </c>
      <c r="K73" s="156">
        <v>42328</v>
      </c>
      <c r="L73" s="157">
        <v>26</v>
      </c>
      <c r="M73" s="158">
        <f>考勤!F67</f>
        <v>24</v>
      </c>
      <c r="N73" s="158">
        <f>考勤!T67</f>
        <v>1</v>
      </c>
      <c r="O73" s="158">
        <f>考勤!Q67</f>
        <v>1</v>
      </c>
      <c r="P73" s="159">
        <f>考勤!K67</f>
        <v>0</v>
      </c>
      <c r="Q73" s="159">
        <f>考勤!L67</f>
        <v>0</v>
      </c>
      <c r="R73" s="158">
        <f t="shared" si="164"/>
        <v>200</v>
      </c>
      <c r="S73" s="175">
        <f t="shared" si="146"/>
        <v>9.4600000000000009</v>
      </c>
      <c r="T73" s="175">
        <f>J73/L73</f>
        <v>7.8461538461538458</v>
      </c>
      <c r="U73" s="175">
        <f t="shared" si="165"/>
        <v>245.96000000000004</v>
      </c>
      <c r="V73" s="158">
        <f>考勤!N67</f>
        <v>43</v>
      </c>
      <c r="W73" s="158">
        <f t="shared" si="166"/>
        <v>21.5</v>
      </c>
      <c r="X73" s="161">
        <f t="shared" si="147"/>
        <v>84.35</v>
      </c>
      <c r="Y73" s="175">
        <f t="shared" si="148"/>
        <v>10.75</v>
      </c>
      <c r="Z73" s="158">
        <f>考勤!O67</f>
        <v>0</v>
      </c>
      <c r="AA73" s="226">
        <f t="shared" si="149"/>
        <v>0</v>
      </c>
      <c r="AB73" s="158">
        <f>考勤!P67</f>
        <v>0</v>
      </c>
      <c r="AC73" s="226">
        <f t="shared" si="150"/>
        <v>0</v>
      </c>
      <c r="AD73" s="159">
        <f>考勤!W67</f>
        <v>0</v>
      </c>
      <c r="AE73" s="175">
        <f>考勤!X67</f>
        <v>0</v>
      </c>
      <c r="AF73" s="161">
        <f>考勤!Y67</f>
        <v>0</v>
      </c>
      <c r="AG73" s="161">
        <f>考勤!Z67</f>
        <v>0</v>
      </c>
      <c r="AH73" s="161">
        <v>0</v>
      </c>
      <c r="AI73" s="227"/>
      <c r="AJ73" s="228">
        <f t="shared" si="151"/>
        <v>20</v>
      </c>
      <c r="AK73" s="229">
        <v>9</v>
      </c>
      <c r="AL73" s="230"/>
      <c r="AM73" s="172"/>
      <c r="AN73" s="160"/>
      <c r="AO73" s="171">
        <v>10</v>
      </c>
      <c r="AP73" s="231">
        <f t="shared" si="152"/>
        <v>10</v>
      </c>
      <c r="AQ73" s="170">
        <f t="shared" si="153"/>
        <v>390.06</v>
      </c>
      <c r="AR73" s="171">
        <v>100</v>
      </c>
      <c r="AS73" s="172">
        <f t="shared" si="154"/>
        <v>5.9</v>
      </c>
      <c r="AT73" s="170">
        <f t="shared" si="167"/>
        <v>384.16</v>
      </c>
      <c r="AU73" s="159">
        <f t="shared" si="155"/>
        <v>1558537.12</v>
      </c>
      <c r="AV73" s="159">
        <v>0</v>
      </c>
      <c r="AW73" s="159">
        <v>0</v>
      </c>
      <c r="AX73" s="159">
        <f t="shared" si="168"/>
        <v>0</v>
      </c>
      <c r="AY73" s="159">
        <f t="shared" si="169"/>
        <v>1558537.12</v>
      </c>
      <c r="AZ73" s="173" t="str">
        <f t="shared" si="170"/>
        <v>5%</v>
      </c>
      <c r="BA73" s="174">
        <f t="shared" si="171"/>
        <v>2926.8560000000143</v>
      </c>
      <c r="BB73" s="175">
        <f>BA73/$AU$6</f>
        <v>0.7214335716046375</v>
      </c>
      <c r="BC73" s="176">
        <f t="shared" si="173"/>
        <v>283.43856642839535</v>
      </c>
      <c r="BD73" s="155">
        <f t="shared" si="156"/>
        <v>283</v>
      </c>
      <c r="BE73" s="155">
        <f t="shared" si="174"/>
        <v>283</v>
      </c>
      <c r="BF73" s="177"/>
      <c r="BG73" s="158">
        <f t="shared" si="157"/>
        <v>2</v>
      </c>
      <c r="BH73" s="158">
        <f t="shared" si="158"/>
        <v>1</v>
      </c>
      <c r="BI73" s="158">
        <f t="shared" si="159"/>
        <v>1</v>
      </c>
      <c r="BJ73" s="158">
        <f t="shared" si="160"/>
        <v>1</v>
      </c>
      <c r="BK73" s="158">
        <f t="shared" si="161"/>
        <v>0</v>
      </c>
      <c r="BL73" s="158">
        <f t="shared" si="162"/>
        <v>3</v>
      </c>
      <c r="BM73" s="158">
        <f t="shared" si="163"/>
        <v>283</v>
      </c>
      <c r="BN73" s="178"/>
      <c r="BO73" s="179"/>
      <c r="BP73" s="237"/>
      <c r="BQ73" s="234"/>
      <c r="BR73" s="235"/>
    </row>
    <row r="74" spans="1:70" s="286" customFormat="1" ht="47.25" customHeight="1">
      <c r="A74" s="158">
        <v>66</v>
      </c>
      <c r="B74" s="287" t="s">
        <v>384</v>
      </c>
      <c r="C74" s="152" t="s">
        <v>135</v>
      </c>
      <c r="D74" s="152" t="s">
        <v>469</v>
      </c>
      <c r="E74" s="255">
        <v>30106</v>
      </c>
      <c r="F74" s="249" t="s">
        <v>473</v>
      </c>
      <c r="G74" s="154" t="s">
        <v>483</v>
      </c>
      <c r="H74" s="154" t="s">
        <v>4</v>
      </c>
      <c r="I74" s="150" t="s">
        <v>14</v>
      </c>
      <c r="J74" s="155">
        <v>204</v>
      </c>
      <c r="K74" s="156">
        <v>43262</v>
      </c>
      <c r="L74" s="157">
        <v>26</v>
      </c>
      <c r="M74" s="158">
        <f>考勤!F68</f>
        <v>24</v>
      </c>
      <c r="N74" s="158">
        <f>考勤!T68</f>
        <v>1</v>
      </c>
      <c r="O74" s="158">
        <f>考勤!Q68</f>
        <v>1</v>
      </c>
      <c r="P74" s="159">
        <f>考勤!K68</f>
        <v>0</v>
      </c>
      <c r="Q74" s="159">
        <f>考勤!L68</f>
        <v>0</v>
      </c>
      <c r="R74" s="158">
        <f t="shared" si="164"/>
        <v>200</v>
      </c>
      <c r="S74" s="175">
        <f t="shared" si="146"/>
        <v>9.4600000000000009</v>
      </c>
      <c r="T74" s="175">
        <f>J74/L74</f>
        <v>7.8461538461538458</v>
      </c>
      <c r="U74" s="175">
        <f t="shared" si="165"/>
        <v>245.96000000000004</v>
      </c>
      <c r="V74" s="158">
        <f>考勤!N68</f>
        <v>45</v>
      </c>
      <c r="W74" s="158">
        <f t="shared" si="166"/>
        <v>22.5</v>
      </c>
      <c r="X74" s="161">
        <f t="shared" si="147"/>
        <v>88.27</v>
      </c>
      <c r="Y74" s="175">
        <f t="shared" si="148"/>
        <v>11.25</v>
      </c>
      <c r="Z74" s="158">
        <f>考勤!O68</f>
        <v>0</v>
      </c>
      <c r="AA74" s="226">
        <f t="shared" si="149"/>
        <v>0</v>
      </c>
      <c r="AB74" s="158">
        <f>考勤!P68</f>
        <v>0</v>
      </c>
      <c r="AC74" s="226">
        <f t="shared" si="150"/>
        <v>0</v>
      </c>
      <c r="AD74" s="159">
        <f>考勤!W68</f>
        <v>0</v>
      </c>
      <c r="AE74" s="175">
        <f>考勤!X68</f>
        <v>0</v>
      </c>
      <c r="AF74" s="161">
        <f>考勤!Y68</f>
        <v>0</v>
      </c>
      <c r="AG74" s="161">
        <f>考勤!Z68</f>
        <v>0</v>
      </c>
      <c r="AH74" s="161">
        <v>0</v>
      </c>
      <c r="AI74" s="227"/>
      <c r="AJ74" s="228">
        <f t="shared" si="151"/>
        <v>20</v>
      </c>
      <c r="AK74" s="229">
        <v>7</v>
      </c>
      <c r="AL74" s="230"/>
      <c r="AM74" s="172"/>
      <c r="AN74" s="160"/>
      <c r="AO74" s="171">
        <v>10</v>
      </c>
      <c r="AP74" s="231">
        <f t="shared" si="152"/>
        <v>10</v>
      </c>
      <c r="AQ74" s="170">
        <f t="shared" si="153"/>
        <v>392.48</v>
      </c>
      <c r="AR74" s="171">
        <v>100</v>
      </c>
      <c r="AS74" s="172">
        <f t="shared" si="154"/>
        <v>5.9</v>
      </c>
      <c r="AT74" s="170">
        <f t="shared" si="167"/>
        <v>386.58000000000004</v>
      </c>
      <c r="AU74" s="159">
        <f t="shared" si="155"/>
        <v>1568355.06</v>
      </c>
      <c r="AV74" s="159">
        <v>0</v>
      </c>
      <c r="AW74" s="159">
        <v>2</v>
      </c>
      <c r="AX74" s="159">
        <f t="shared" si="168"/>
        <v>300000</v>
      </c>
      <c r="AY74" s="159">
        <f t="shared" si="169"/>
        <v>1268355.06</v>
      </c>
      <c r="AZ74" s="173" t="str">
        <f t="shared" si="170"/>
        <v>0%</v>
      </c>
      <c r="BA74" s="174">
        <f t="shared" si="171"/>
        <v>0</v>
      </c>
      <c r="BB74" s="175">
        <f t="shared" si="172"/>
        <v>0</v>
      </c>
      <c r="BC74" s="176">
        <f t="shared" si="173"/>
        <v>286.58000000000004</v>
      </c>
      <c r="BD74" s="155">
        <f t="shared" si="156"/>
        <v>287</v>
      </c>
      <c r="BE74" s="155">
        <f t="shared" si="174"/>
        <v>287</v>
      </c>
      <c r="BF74" s="177"/>
      <c r="BG74" s="158">
        <f t="shared" si="157"/>
        <v>2</v>
      </c>
      <c r="BH74" s="158">
        <f t="shared" si="158"/>
        <v>1</v>
      </c>
      <c r="BI74" s="158">
        <f t="shared" si="159"/>
        <v>1</v>
      </c>
      <c r="BJ74" s="158">
        <f t="shared" si="160"/>
        <v>1</v>
      </c>
      <c r="BK74" s="158">
        <f t="shared" si="161"/>
        <v>1</v>
      </c>
      <c r="BL74" s="158">
        <f t="shared" si="162"/>
        <v>2</v>
      </c>
      <c r="BM74" s="158">
        <f t="shared" si="163"/>
        <v>287</v>
      </c>
      <c r="BN74" s="178"/>
      <c r="BO74" s="179"/>
      <c r="BP74" s="237"/>
      <c r="BQ74" s="234"/>
      <c r="BR74" s="235"/>
    </row>
    <row r="75" spans="1:70" s="286" customFormat="1" ht="47.25" customHeight="1">
      <c r="A75" s="158">
        <v>67</v>
      </c>
      <c r="B75" s="287" t="s">
        <v>385</v>
      </c>
      <c r="C75" s="152" t="s">
        <v>170</v>
      </c>
      <c r="D75" s="152" t="s">
        <v>208</v>
      </c>
      <c r="E75" s="255">
        <v>34769</v>
      </c>
      <c r="F75" s="249" t="s">
        <v>473</v>
      </c>
      <c r="G75" s="154" t="s">
        <v>95</v>
      </c>
      <c r="H75" s="154" t="s">
        <v>4</v>
      </c>
      <c r="I75" s="298" t="s">
        <v>226</v>
      </c>
      <c r="J75" s="155">
        <v>204</v>
      </c>
      <c r="K75" s="156">
        <v>43474</v>
      </c>
      <c r="L75" s="157">
        <v>26</v>
      </c>
      <c r="M75" s="158">
        <f>考勤!F69</f>
        <v>23</v>
      </c>
      <c r="N75" s="158">
        <f>考勤!T69</f>
        <v>1</v>
      </c>
      <c r="O75" s="158">
        <f>考勤!Q69</f>
        <v>2</v>
      </c>
      <c r="P75" s="159">
        <f>考勤!K69</f>
        <v>0</v>
      </c>
      <c r="Q75" s="159">
        <f>考勤!L69</f>
        <v>0</v>
      </c>
      <c r="R75" s="158">
        <f t="shared" si="164"/>
        <v>200</v>
      </c>
      <c r="S75" s="175">
        <f t="shared" si="146"/>
        <v>9.4600000000000009</v>
      </c>
      <c r="T75" s="175"/>
      <c r="U75" s="175">
        <f t="shared" si="165"/>
        <v>245.96000000000004</v>
      </c>
      <c r="V75" s="158">
        <f>考勤!N69</f>
        <v>43</v>
      </c>
      <c r="W75" s="158">
        <f t="shared" si="166"/>
        <v>21.5</v>
      </c>
      <c r="X75" s="161">
        <f t="shared" si="147"/>
        <v>84.35</v>
      </c>
      <c r="Y75" s="175">
        <f t="shared" si="148"/>
        <v>10.75</v>
      </c>
      <c r="Z75" s="158">
        <f>考勤!O69</f>
        <v>0</v>
      </c>
      <c r="AA75" s="226">
        <f t="shared" si="149"/>
        <v>0</v>
      </c>
      <c r="AB75" s="158">
        <f>考勤!P69</f>
        <v>0</v>
      </c>
      <c r="AC75" s="226">
        <f t="shared" si="150"/>
        <v>0</v>
      </c>
      <c r="AD75" s="159">
        <f>考勤!W69</f>
        <v>0</v>
      </c>
      <c r="AE75" s="175">
        <f>考勤!X69</f>
        <v>0</v>
      </c>
      <c r="AF75" s="161">
        <f>考勤!Y69</f>
        <v>0</v>
      </c>
      <c r="AG75" s="161">
        <f>考勤!Z69</f>
        <v>0</v>
      </c>
      <c r="AH75" s="161">
        <v>0</v>
      </c>
      <c r="AI75" s="227"/>
      <c r="AJ75" s="228">
        <f t="shared" si="151"/>
        <v>20</v>
      </c>
      <c r="AK75" s="229">
        <v>6</v>
      </c>
      <c r="AL75" s="230">
        <v>20</v>
      </c>
      <c r="AM75" s="172"/>
      <c r="AN75" s="160"/>
      <c r="AO75" s="171">
        <v>10</v>
      </c>
      <c r="AP75" s="231">
        <f t="shared" si="152"/>
        <v>10</v>
      </c>
      <c r="AQ75" s="170">
        <f t="shared" si="153"/>
        <v>407.06</v>
      </c>
      <c r="AR75" s="171">
        <v>100</v>
      </c>
      <c r="AS75" s="172">
        <f t="shared" si="154"/>
        <v>5.9</v>
      </c>
      <c r="AT75" s="170">
        <f t="shared" si="167"/>
        <v>401.16</v>
      </c>
      <c r="AU75" s="159">
        <f t="shared" si="155"/>
        <v>1627506.12</v>
      </c>
      <c r="AV75" s="159">
        <v>0</v>
      </c>
      <c r="AW75" s="159">
        <v>1</v>
      </c>
      <c r="AX75" s="159">
        <f t="shared" si="168"/>
        <v>150000</v>
      </c>
      <c r="AY75" s="159">
        <f t="shared" si="169"/>
        <v>1477506.12</v>
      </c>
      <c r="AZ75" s="173" t="str">
        <f t="shared" si="170"/>
        <v>0%</v>
      </c>
      <c r="BA75" s="174">
        <f t="shared" si="171"/>
        <v>0</v>
      </c>
      <c r="BB75" s="175">
        <f t="shared" si="172"/>
        <v>0</v>
      </c>
      <c r="BC75" s="176">
        <f t="shared" si="173"/>
        <v>301.15999999999997</v>
      </c>
      <c r="BD75" s="155">
        <f t="shared" si="156"/>
        <v>301</v>
      </c>
      <c r="BE75" s="155">
        <f t="shared" si="174"/>
        <v>301</v>
      </c>
      <c r="BF75" s="177"/>
      <c r="BG75" s="158">
        <f t="shared" si="157"/>
        <v>3</v>
      </c>
      <c r="BH75" s="158">
        <f t="shared" si="158"/>
        <v>0</v>
      </c>
      <c r="BI75" s="158">
        <f t="shared" si="159"/>
        <v>0</v>
      </c>
      <c r="BJ75" s="158">
        <f t="shared" si="160"/>
        <v>0</v>
      </c>
      <c r="BK75" s="158">
        <f t="shared" si="161"/>
        <v>0</v>
      </c>
      <c r="BL75" s="158">
        <f t="shared" si="162"/>
        <v>1</v>
      </c>
      <c r="BM75" s="158">
        <f t="shared" si="163"/>
        <v>301</v>
      </c>
      <c r="BN75" s="178"/>
      <c r="BO75" s="179"/>
      <c r="BP75" s="237"/>
      <c r="BQ75" s="234"/>
      <c r="BR75" s="235"/>
    </row>
    <row r="76" spans="1:70" s="286" customFormat="1" ht="47.25" customHeight="1">
      <c r="A76" s="158">
        <v>68</v>
      </c>
      <c r="B76" s="287" t="s">
        <v>386</v>
      </c>
      <c r="C76" s="152" t="s">
        <v>242</v>
      </c>
      <c r="D76" s="152" t="s">
        <v>256</v>
      </c>
      <c r="E76" s="255">
        <v>32882</v>
      </c>
      <c r="F76" s="249" t="s">
        <v>473</v>
      </c>
      <c r="G76" s="154" t="s">
        <v>95</v>
      </c>
      <c r="H76" s="154" t="s">
        <v>4</v>
      </c>
      <c r="I76" s="298" t="s">
        <v>244</v>
      </c>
      <c r="J76" s="155">
        <v>204</v>
      </c>
      <c r="K76" s="156">
        <v>44351</v>
      </c>
      <c r="L76" s="157">
        <v>26</v>
      </c>
      <c r="M76" s="158">
        <f>考勤!F70</f>
        <v>23</v>
      </c>
      <c r="N76" s="158">
        <f>考勤!T70</f>
        <v>1</v>
      </c>
      <c r="O76" s="158">
        <f>考勤!Q70</f>
        <v>2</v>
      </c>
      <c r="P76" s="159">
        <f>考勤!K70</f>
        <v>0</v>
      </c>
      <c r="Q76" s="159">
        <f>考勤!L70</f>
        <v>0</v>
      </c>
      <c r="R76" s="158">
        <f t="shared" si="164"/>
        <v>200</v>
      </c>
      <c r="S76" s="175">
        <f t="shared" si="146"/>
        <v>9.4600000000000009</v>
      </c>
      <c r="T76" s="175"/>
      <c r="U76" s="175">
        <f t="shared" si="165"/>
        <v>245.96000000000004</v>
      </c>
      <c r="V76" s="158">
        <f>考勤!N70</f>
        <v>43</v>
      </c>
      <c r="W76" s="158">
        <f t="shared" si="166"/>
        <v>21.5</v>
      </c>
      <c r="X76" s="161">
        <f t="shared" si="147"/>
        <v>84.35</v>
      </c>
      <c r="Y76" s="175">
        <f t="shared" si="148"/>
        <v>10.75</v>
      </c>
      <c r="Z76" s="158">
        <f>考勤!O70</f>
        <v>0</v>
      </c>
      <c r="AA76" s="226">
        <f t="shared" si="149"/>
        <v>0</v>
      </c>
      <c r="AB76" s="158">
        <f>考勤!P70</f>
        <v>0</v>
      </c>
      <c r="AC76" s="226">
        <f t="shared" si="150"/>
        <v>0</v>
      </c>
      <c r="AD76" s="159">
        <f>考勤!W70</f>
        <v>0</v>
      </c>
      <c r="AE76" s="175">
        <f>考勤!X70</f>
        <v>0</v>
      </c>
      <c r="AF76" s="161">
        <f>考勤!Y70</f>
        <v>0</v>
      </c>
      <c r="AG76" s="161">
        <f>考勤!Z70</f>
        <v>0</v>
      </c>
      <c r="AH76" s="161">
        <v>0</v>
      </c>
      <c r="AI76" s="227"/>
      <c r="AJ76" s="228">
        <f t="shared" si="151"/>
        <v>20</v>
      </c>
      <c r="AK76" s="166">
        <v>4</v>
      </c>
      <c r="AL76" s="167"/>
      <c r="AM76" s="172"/>
      <c r="AN76" s="160"/>
      <c r="AO76" s="171">
        <v>10</v>
      </c>
      <c r="AP76" s="231">
        <f t="shared" si="152"/>
        <v>10</v>
      </c>
      <c r="AQ76" s="170">
        <f t="shared" si="153"/>
        <v>385.06</v>
      </c>
      <c r="AR76" s="171">
        <v>100</v>
      </c>
      <c r="AS76" s="172">
        <f t="shared" si="154"/>
        <v>5.9</v>
      </c>
      <c r="AT76" s="170">
        <f t="shared" si="167"/>
        <v>379.16</v>
      </c>
      <c r="AU76" s="159">
        <f t="shared" si="155"/>
        <v>1538252.12</v>
      </c>
      <c r="AV76" s="159">
        <v>0</v>
      </c>
      <c r="AW76" s="159">
        <v>2</v>
      </c>
      <c r="AX76" s="159">
        <f t="shared" si="168"/>
        <v>300000</v>
      </c>
      <c r="AY76" s="159">
        <f t="shared" si="169"/>
        <v>1238252.1200000001</v>
      </c>
      <c r="AZ76" s="173" t="str">
        <f t="shared" si="170"/>
        <v>0%</v>
      </c>
      <c r="BA76" s="174">
        <f t="shared" si="171"/>
        <v>0</v>
      </c>
      <c r="BB76" s="175">
        <f t="shared" si="172"/>
        <v>0</v>
      </c>
      <c r="BC76" s="176">
        <f t="shared" si="173"/>
        <v>279.15999999999997</v>
      </c>
      <c r="BD76" s="155">
        <f t="shared" si="156"/>
        <v>279</v>
      </c>
      <c r="BE76" s="155">
        <f t="shared" si="174"/>
        <v>279</v>
      </c>
      <c r="BF76" s="177"/>
      <c r="BG76" s="158">
        <f t="shared" si="157"/>
        <v>2</v>
      </c>
      <c r="BH76" s="158">
        <f t="shared" si="158"/>
        <v>1</v>
      </c>
      <c r="BI76" s="158">
        <f t="shared" si="159"/>
        <v>1</v>
      </c>
      <c r="BJ76" s="158">
        <f t="shared" si="160"/>
        <v>0</v>
      </c>
      <c r="BK76" s="158">
        <f t="shared" si="161"/>
        <v>1</v>
      </c>
      <c r="BL76" s="158">
        <f t="shared" si="162"/>
        <v>4</v>
      </c>
      <c r="BM76" s="158">
        <f t="shared" si="163"/>
        <v>279</v>
      </c>
      <c r="BN76" s="178"/>
      <c r="BO76" s="179"/>
      <c r="BP76" s="237"/>
      <c r="BQ76" s="234"/>
      <c r="BR76" s="235"/>
    </row>
    <row r="77" spans="1:70" s="286" customFormat="1" ht="47.25" customHeight="1">
      <c r="A77" s="158">
        <v>69</v>
      </c>
      <c r="B77" s="287" t="s">
        <v>387</v>
      </c>
      <c r="C77" s="152" t="s">
        <v>264</v>
      </c>
      <c r="D77" s="152" t="s">
        <v>257</v>
      </c>
      <c r="E77" s="255">
        <v>34760</v>
      </c>
      <c r="F77" s="249" t="s">
        <v>473</v>
      </c>
      <c r="G77" s="154" t="s">
        <v>95</v>
      </c>
      <c r="H77" s="154" t="s">
        <v>4</v>
      </c>
      <c r="I77" s="298" t="s">
        <v>243</v>
      </c>
      <c r="J77" s="155">
        <v>204</v>
      </c>
      <c r="K77" s="156">
        <v>44355</v>
      </c>
      <c r="L77" s="157">
        <v>26</v>
      </c>
      <c r="M77" s="158">
        <f>考勤!F71</f>
        <v>24</v>
      </c>
      <c r="N77" s="158">
        <f>考勤!T71</f>
        <v>1</v>
      </c>
      <c r="O77" s="158">
        <f>考勤!Q71</f>
        <v>1</v>
      </c>
      <c r="P77" s="159">
        <f>考勤!K71</f>
        <v>0</v>
      </c>
      <c r="Q77" s="159">
        <f>考勤!L71</f>
        <v>0</v>
      </c>
      <c r="R77" s="158">
        <f t="shared" si="164"/>
        <v>200</v>
      </c>
      <c r="S77" s="175">
        <f t="shared" si="146"/>
        <v>9.4600000000000009</v>
      </c>
      <c r="T77" s="175"/>
      <c r="U77" s="175">
        <f t="shared" si="165"/>
        <v>245.96000000000004</v>
      </c>
      <c r="V77" s="158">
        <f>考勤!N71</f>
        <v>45</v>
      </c>
      <c r="W77" s="158">
        <f t="shared" si="166"/>
        <v>22.5</v>
      </c>
      <c r="X77" s="161">
        <f t="shared" si="147"/>
        <v>88.27</v>
      </c>
      <c r="Y77" s="175">
        <f t="shared" si="148"/>
        <v>11.25</v>
      </c>
      <c r="Z77" s="158">
        <f>考勤!O71</f>
        <v>0</v>
      </c>
      <c r="AA77" s="226">
        <f t="shared" si="149"/>
        <v>0</v>
      </c>
      <c r="AB77" s="158">
        <f>考勤!P71</f>
        <v>0</v>
      </c>
      <c r="AC77" s="226">
        <f t="shared" si="150"/>
        <v>0</v>
      </c>
      <c r="AD77" s="159">
        <f>考勤!W71</f>
        <v>0</v>
      </c>
      <c r="AE77" s="175">
        <f>考勤!X71</f>
        <v>0</v>
      </c>
      <c r="AF77" s="161">
        <f>考勤!Y71</f>
        <v>0</v>
      </c>
      <c r="AG77" s="161">
        <f>考勤!Z71</f>
        <v>0</v>
      </c>
      <c r="AH77" s="161">
        <v>0</v>
      </c>
      <c r="AI77" s="227"/>
      <c r="AJ77" s="228">
        <f t="shared" si="151"/>
        <v>20</v>
      </c>
      <c r="AK77" s="166">
        <v>4</v>
      </c>
      <c r="AL77" s="167"/>
      <c r="AM77" s="172"/>
      <c r="AN77" s="160"/>
      <c r="AO77" s="171">
        <v>10</v>
      </c>
      <c r="AP77" s="231">
        <f t="shared" si="152"/>
        <v>10</v>
      </c>
      <c r="AQ77" s="170">
        <f t="shared" si="153"/>
        <v>389.48</v>
      </c>
      <c r="AR77" s="171">
        <v>100</v>
      </c>
      <c r="AS77" s="172">
        <f t="shared" si="154"/>
        <v>5.9</v>
      </c>
      <c r="AT77" s="170">
        <f t="shared" si="167"/>
        <v>383.58000000000004</v>
      </c>
      <c r="AU77" s="159">
        <f t="shared" si="155"/>
        <v>1556184.06</v>
      </c>
      <c r="AV77" s="159">
        <v>0</v>
      </c>
      <c r="AW77" s="159">
        <v>2</v>
      </c>
      <c r="AX77" s="159">
        <f t="shared" si="168"/>
        <v>300000</v>
      </c>
      <c r="AY77" s="159">
        <f t="shared" si="169"/>
        <v>1256184.06</v>
      </c>
      <c r="AZ77" s="173" t="str">
        <f t="shared" si="170"/>
        <v>0%</v>
      </c>
      <c r="BA77" s="174">
        <f t="shared" si="171"/>
        <v>0</v>
      </c>
      <c r="BB77" s="175">
        <f t="shared" si="172"/>
        <v>0</v>
      </c>
      <c r="BC77" s="176">
        <f t="shared" si="173"/>
        <v>283.58000000000004</v>
      </c>
      <c r="BD77" s="155">
        <f t="shared" si="156"/>
        <v>284</v>
      </c>
      <c r="BE77" s="155">
        <f t="shared" si="174"/>
        <v>284</v>
      </c>
      <c r="BF77" s="177"/>
      <c r="BG77" s="158">
        <f t="shared" si="157"/>
        <v>2</v>
      </c>
      <c r="BH77" s="158">
        <f t="shared" si="158"/>
        <v>1</v>
      </c>
      <c r="BI77" s="158">
        <f t="shared" si="159"/>
        <v>1</v>
      </c>
      <c r="BJ77" s="158">
        <f t="shared" si="160"/>
        <v>1</v>
      </c>
      <c r="BK77" s="158">
        <f t="shared" si="161"/>
        <v>0</v>
      </c>
      <c r="BL77" s="158">
        <f t="shared" si="162"/>
        <v>4</v>
      </c>
      <c r="BM77" s="158">
        <f t="shared" si="163"/>
        <v>284</v>
      </c>
      <c r="BN77" s="178"/>
      <c r="BO77" s="179"/>
      <c r="BP77" s="237"/>
      <c r="BQ77" s="234"/>
      <c r="BR77" s="235"/>
    </row>
    <row r="78" spans="1:70" s="286" customFormat="1" ht="47.25" customHeight="1">
      <c r="A78" s="158">
        <v>70</v>
      </c>
      <c r="B78" s="287" t="s">
        <v>388</v>
      </c>
      <c r="C78" s="152" t="s">
        <v>245</v>
      </c>
      <c r="D78" s="152" t="s">
        <v>258</v>
      </c>
      <c r="E78" s="255">
        <v>33980</v>
      </c>
      <c r="F78" s="249" t="s">
        <v>473</v>
      </c>
      <c r="G78" s="154" t="s">
        <v>95</v>
      </c>
      <c r="H78" s="154" t="s">
        <v>4</v>
      </c>
      <c r="I78" s="298" t="s">
        <v>244</v>
      </c>
      <c r="J78" s="155">
        <v>204</v>
      </c>
      <c r="K78" s="156">
        <v>44355</v>
      </c>
      <c r="L78" s="157">
        <v>26</v>
      </c>
      <c r="M78" s="158">
        <f>考勤!F72</f>
        <v>23</v>
      </c>
      <c r="N78" s="158">
        <f>考勤!T72</f>
        <v>1</v>
      </c>
      <c r="O78" s="158">
        <f>考勤!Q72</f>
        <v>2</v>
      </c>
      <c r="P78" s="159">
        <f>考勤!K72</f>
        <v>0</v>
      </c>
      <c r="Q78" s="159">
        <f>考勤!L72</f>
        <v>0</v>
      </c>
      <c r="R78" s="158">
        <f t="shared" si="164"/>
        <v>200</v>
      </c>
      <c r="S78" s="175">
        <f t="shared" si="146"/>
        <v>9.4600000000000009</v>
      </c>
      <c r="T78" s="175"/>
      <c r="U78" s="175">
        <f t="shared" si="165"/>
        <v>245.96000000000004</v>
      </c>
      <c r="V78" s="158">
        <f>考勤!N72</f>
        <v>43</v>
      </c>
      <c r="W78" s="158">
        <f t="shared" si="166"/>
        <v>21.5</v>
      </c>
      <c r="X78" s="161">
        <f t="shared" si="147"/>
        <v>84.35</v>
      </c>
      <c r="Y78" s="175">
        <f t="shared" si="148"/>
        <v>10.75</v>
      </c>
      <c r="Z78" s="158">
        <f>考勤!O72</f>
        <v>0</v>
      </c>
      <c r="AA78" s="226">
        <f t="shared" si="149"/>
        <v>0</v>
      </c>
      <c r="AB78" s="158">
        <f>考勤!P72</f>
        <v>0</v>
      </c>
      <c r="AC78" s="226">
        <f t="shared" si="150"/>
        <v>0</v>
      </c>
      <c r="AD78" s="159">
        <f>考勤!W72</f>
        <v>0</v>
      </c>
      <c r="AE78" s="175">
        <f>考勤!X72</f>
        <v>0</v>
      </c>
      <c r="AF78" s="161">
        <f>考勤!Y72</f>
        <v>0</v>
      </c>
      <c r="AG78" s="161">
        <f>考勤!Z72</f>
        <v>0</v>
      </c>
      <c r="AH78" s="161">
        <v>0</v>
      </c>
      <c r="AI78" s="227"/>
      <c r="AJ78" s="228">
        <f t="shared" si="151"/>
        <v>20</v>
      </c>
      <c r="AK78" s="166">
        <v>4</v>
      </c>
      <c r="AL78" s="167"/>
      <c r="AM78" s="172"/>
      <c r="AN78" s="160"/>
      <c r="AO78" s="171">
        <v>10</v>
      </c>
      <c r="AP78" s="231">
        <f t="shared" si="152"/>
        <v>10</v>
      </c>
      <c r="AQ78" s="170">
        <f t="shared" si="153"/>
        <v>385.06</v>
      </c>
      <c r="AR78" s="171">
        <v>100</v>
      </c>
      <c r="AS78" s="172">
        <f t="shared" si="154"/>
        <v>5.9</v>
      </c>
      <c r="AT78" s="170">
        <f t="shared" si="167"/>
        <v>379.16</v>
      </c>
      <c r="AU78" s="159">
        <f t="shared" si="155"/>
        <v>1538252.12</v>
      </c>
      <c r="AV78" s="159">
        <v>0</v>
      </c>
      <c r="AW78" s="159">
        <v>1</v>
      </c>
      <c r="AX78" s="159">
        <f t="shared" si="168"/>
        <v>150000</v>
      </c>
      <c r="AY78" s="159">
        <f t="shared" si="169"/>
        <v>1388252.12</v>
      </c>
      <c r="AZ78" s="173" t="str">
        <f t="shared" si="170"/>
        <v>0%</v>
      </c>
      <c r="BA78" s="174">
        <f t="shared" si="171"/>
        <v>0</v>
      </c>
      <c r="BB78" s="175">
        <f t="shared" si="172"/>
        <v>0</v>
      </c>
      <c r="BC78" s="176">
        <f t="shared" si="173"/>
        <v>279.15999999999997</v>
      </c>
      <c r="BD78" s="155">
        <f t="shared" si="156"/>
        <v>279</v>
      </c>
      <c r="BE78" s="155">
        <f t="shared" si="174"/>
        <v>279</v>
      </c>
      <c r="BF78" s="177"/>
      <c r="BG78" s="158">
        <f t="shared" si="157"/>
        <v>2</v>
      </c>
      <c r="BH78" s="158">
        <f t="shared" si="158"/>
        <v>1</v>
      </c>
      <c r="BI78" s="158">
        <f t="shared" si="159"/>
        <v>1</v>
      </c>
      <c r="BJ78" s="158">
        <f t="shared" si="160"/>
        <v>0</v>
      </c>
      <c r="BK78" s="158">
        <f t="shared" si="161"/>
        <v>1</v>
      </c>
      <c r="BL78" s="158">
        <f t="shared" si="162"/>
        <v>4</v>
      </c>
      <c r="BM78" s="158">
        <f t="shared" si="163"/>
        <v>279</v>
      </c>
      <c r="BN78" s="178"/>
      <c r="BO78" s="179"/>
      <c r="BP78" s="237"/>
      <c r="BQ78" s="234"/>
      <c r="BR78" s="235"/>
    </row>
    <row r="79" spans="1:70" s="286" customFormat="1" ht="47.25" customHeight="1">
      <c r="A79" s="158">
        <v>71</v>
      </c>
      <c r="B79" s="287" t="s">
        <v>389</v>
      </c>
      <c r="C79" s="152" t="s">
        <v>275</v>
      </c>
      <c r="D79" s="152" t="s">
        <v>281</v>
      </c>
      <c r="E79" s="255">
        <v>35982</v>
      </c>
      <c r="F79" s="249" t="s">
        <v>473</v>
      </c>
      <c r="G79" s="154" t="s">
        <v>95</v>
      </c>
      <c r="H79" s="154" t="s">
        <v>4</v>
      </c>
      <c r="I79" s="298" t="s">
        <v>87</v>
      </c>
      <c r="J79" s="155">
        <v>204</v>
      </c>
      <c r="K79" s="156">
        <v>44356</v>
      </c>
      <c r="L79" s="157">
        <v>26</v>
      </c>
      <c r="M79" s="158">
        <f>考勤!F73</f>
        <v>19.5</v>
      </c>
      <c r="N79" s="158">
        <f>考勤!T73</f>
        <v>1</v>
      </c>
      <c r="O79" s="158">
        <f>考勤!Q73</f>
        <v>2.5</v>
      </c>
      <c r="P79" s="159">
        <f>考勤!K73</f>
        <v>0</v>
      </c>
      <c r="Q79" s="159">
        <f>考勤!L73</f>
        <v>3</v>
      </c>
      <c r="R79" s="158">
        <f t="shared" si="164"/>
        <v>176</v>
      </c>
      <c r="S79" s="175">
        <f t="shared" si="146"/>
        <v>9.4600000000000009</v>
      </c>
      <c r="T79" s="175">
        <f>J79/L79</f>
        <v>7.8461538461538458</v>
      </c>
      <c r="U79" s="175">
        <f t="shared" si="165"/>
        <v>217.58</v>
      </c>
      <c r="V79" s="158">
        <f>考勤!N73</f>
        <v>35</v>
      </c>
      <c r="W79" s="158">
        <f t="shared" si="166"/>
        <v>17.5</v>
      </c>
      <c r="X79" s="161">
        <f t="shared" si="147"/>
        <v>68.650000000000006</v>
      </c>
      <c r="Y79" s="175">
        <f t="shared" si="148"/>
        <v>8.75</v>
      </c>
      <c r="Z79" s="158">
        <f>考勤!O73</f>
        <v>0</v>
      </c>
      <c r="AA79" s="226">
        <f t="shared" si="149"/>
        <v>0</v>
      </c>
      <c r="AB79" s="158">
        <f>考勤!P73</f>
        <v>0</v>
      </c>
      <c r="AC79" s="226">
        <f t="shared" si="150"/>
        <v>0</v>
      </c>
      <c r="AD79" s="159">
        <f>考勤!W73</f>
        <v>0</v>
      </c>
      <c r="AE79" s="175">
        <f>考勤!X73</f>
        <v>0</v>
      </c>
      <c r="AF79" s="161">
        <f>考勤!Y73</f>
        <v>0</v>
      </c>
      <c r="AG79" s="161">
        <f>考勤!Z73</f>
        <v>0</v>
      </c>
      <c r="AH79" s="161">
        <v>0</v>
      </c>
      <c r="AI79" s="227"/>
      <c r="AJ79" s="228">
        <f t="shared" si="151"/>
        <v>20</v>
      </c>
      <c r="AK79" s="166">
        <v>4</v>
      </c>
      <c r="AL79" s="167"/>
      <c r="AM79" s="172"/>
      <c r="AN79" s="160"/>
      <c r="AO79" s="171">
        <v>10</v>
      </c>
      <c r="AP79" s="231">
        <f t="shared" si="152"/>
        <v>8.8461538461538467</v>
      </c>
      <c r="AQ79" s="170">
        <f t="shared" si="153"/>
        <v>337.83</v>
      </c>
      <c r="AR79" s="171">
        <v>100</v>
      </c>
      <c r="AS79" s="172">
        <f t="shared" si="154"/>
        <v>5.9</v>
      </c>
      <c r="AT79" s="170">
        <f t="shared" si="167"/>
        <v>331.93</v>
      </c>
      <c r="AU79" s="159">
        <f t="shared" si="155"/>
        <v>1346640.01</v>
      </c>
      <c r="AV79" s="159">
        <v>0</v>
      </c>
      <c r="AW79" s="159">
        <v>2</v>
      </c>
      <c r="AX79" s="159">
        <f t="shared" si="168"/>
        <v>300000</v>
      </c>
      <c r="AY79" s="159">
        <f t="shared" si="169"/>
        <v>1046640.01</v>
      </c>
      <c r="AZ79" s="173" t="str">
        <f t="shared" si="170"/>
        <v>0%</v>
      </c>
      <c r="BA79" s="174">
        <f t="shared" si="171"/>
        <v>0</v>
      </c>
      <c r="BB79" s="175">
        <f t="shared" si="172"/>
        <v>0</v>
      </c>
      <c r="BC79" s="176">
        <f t="shared" si="173"/>
        <v>231.92999999999998</v>
      </c>
      <c r="BD79" s="155">
        <f t="shared" si="156"/>
        <v>232</v>
      </c>
      <c r="BE79" s="155">
        <f t="shared" si="174"/>
        <v>232</v>
      </c>
      <c r="BF79" s="177"/>
      <c r="BG79" s="158">
        <f t="shared" si="157"/>
        <v>2</v>
      </c>
      <c r="BH79" s="158">
        <f t="shared" si="158"/>
        <v>0</v>
      </c>
      <c r="BI79" s="158">
        <f t="shared" si="159"/>
        <v>1</v>
      </c>
      <c r="BJ79" s="158">
        <f t="shared" si="160"/>
        <v>1</v>
      </c>
      <c r="BK79" s="158">
        <f t="shared" si="161"/>
        <v>0</v>
      </c>
      <c r="BL79" s="158">
        <f t="shared" si="162"/>
        <v>2</v>
      </c>
      <c r="BM79" s="158">
        <f t="shared" si="163"/>
        <v>232</v>
      </c>
      <c r="BN79" s="178"/>
      <c r="BO79" s="179"/>
      <c r="BP79" s="237"/>
      <c r="BQ79" s="234"/>
      <c r="BR79" s="235"/>
    </row>
    <row r="80" spans="1:70" s="286" customFormat="1" ht="47.25" customHeight="1">
      <c r="A80" s="158">
        <v>72</v>
      </c>
      <c r="B80" s="287" t="s">
        <v>390</v>
      </c>
      <c r="C80" s="152" t="s">
        <v>278</v>
      </c>
      <c r="D80" s="152" t="s">
        <v>282</v>
      </c>
      <c r="E80" s="255">
        <v>34133</v>
      </c>
      <c r="F80" s="249" t="s">
        <v>473</v>
      </c>
      <c r="G80" s="154" t="s">
        <v>484</v>
      </c>
      <c r="H80" s="154" t="s">
        <v>284</v>
      </c>
      <c r="I80" s="298" t="s">
        <v>244</v>
      </c>
      <c r="J80" s="155">
        <v>204</v>
      </c>
      <c r="K80" s="156">
        <v>44656</v>
      </c>
      <c r="L80" s="157">
        <v>26</v>
      </c>
      <c r="M80" s="158">
        <f>考勤!F74</f>
        <v>19</v>
      </c>
      <c r="N80" s="158">
        <f>考勤!T74</f>
        <v>1</v>
      </c>
      <c r="O80" s="158">
        <f>考勤!Q74</f>
        <v>2</v>
      </c>
      <c r="P80" s="159">
        <f>考勤!K74</f>
        <v>4</v>
      </c>
      <c r="Q80" s="159">
        <f>考勤!L74</f>
        <v>0</v>
      </c>
      <c r="R80" s="158">
        <f t="shared" si="164"/>
        <v>168</v>
      </c>
      <c r="S80" s="175">
        <f t="shared" si="146"/>
        <v>9.4600000000000009</v>
      </c>
      <c r="T80" s="175"/>
      <c r="U80" s="175">
        <f t="shared" si="165"/>
        <v>208.12</v>
      </c>
      <c r="V80" s="158">
        <f>考勤!N74</f>
        <v>36</v>
      </c>
      <c r="W80" s="158">
        <f t="shared" si="166"/>
        <v>18</v>
      </c>
      <c r="X80" s="161">
        <f t="shared" si="147"/>
        <v>70.62</v>
      </c>
      <c r="Y80" s="175">
        <f t="shared" si="148"/>
        <v>9</v>
      </c>
      <c r="Z80" s="158">
        <f>考勤!O74</f>
        <v>0</v>
      </c>
      <c r="AA80" s="226">
        <f t="shared" si="149"/>
        <v>0</v>
      </c>
      <c r="AB80" s="158">
        <f>考勤!P74</f>
        <v>0</v>
      </c>
      <c r="AC80" s="226">
        <f t="shared" si="150"/>
        <v>0</v>
      </c>
      <c r="AD80" s="159">
        <f>考勤!W74</f>
        <v>0</v>
      </c>
      <c r="AE80" s="175">
        <f>考勤!X74</f>
        <v>0</v>
      </c>
      <c r="AF80" s="161">
        <f>考勤!Y74</f>
        <v>0</v>
      </c>
      <c r="AG80" s="161">
        <f>考勤!Z74</f>
        <v>0</v>
      </c>
      <c r="AH80" s="161">
        <v>0</v>
      </c>
      <c r="AI80" s="227"/>
      <c r="AJ80" s="228">
        <f t="shared" si="151"/>
        <v>0</v>
      </c>
      <c r="AK80" s="166">
        <v>3</v>
      </c>
      <c r="AL80" s="167"/>
      <c r="AM80" s="172"/>
      <c r="AN80" s="160"/>
      <c r="AO80" s="171">
        <v>10</v>
      </c>
      <c r="AP80" s="231">
        <f t="shared" si="152"/>
        <v>8.4615384615384617</v>
      </c>
      <c r="AQ80" s="170">
        <f t="shared" si="153"/>
        <v>309.2</v>
      </c>
      <c r="AR80" s="171">
        <v>100</v>
      </c>
      <c r="AS80" s="172">
        <f>ROUND(IF(YEARFRAC(E80,$BS$5)&gt;=60,"0",IF(AQ80&lt;=400000/$BT$5,400000/$BT$5*$BU$5,IF(AQ80&lt;=1200000/$BT$5,AQ80*$BU$5,IF(AQ80&gt;1200000/$BT$5,1200000/$BT$5*$BU$5)))),2)</f>
        <v>5.9</v>
      </c>
      <c r="AT80" s="170">
        <f t="shared" si="167"/>
        <v>303.3</v>
      </c>
      <c r="AU80" s="159">
        <f t="shared" si="155"/>
        <v>1230488.1000000001</v>
      </c>
      <c r="AV80" s="159">
        <v>0</v>
      </c>
      <c r="AW80" s="159">
        <v>2</v>
      </c>
      <c r="AX80" s="159">
        <f t="shared" si="168"/>
        <v>300000</v>
      </c>
      <c r="AY80" s="159">
        <f t="shared" si="169"/>
        <v>930488.10000000009</v>
      </c>
      <c r="AZ80" s="173" t="str">
        <f t="shared" si="170"/>
        <v>0%</v>
      </c>
      <c r="BA80" s="174">
        <f t="shared" si="171"/>
        <v>0</v>
      </c>
      <c r="BB80" s="175">
        <f t="shared" si="172"/>
        <v>0</v>
      </c>
      <c r="BC80" s="176">
        <f t="shared" si="173"/>
        <v>203.29999999999998</v>
      </c>
      <c r="BD80" s="155">
        <f t="shared" si="156"/>
        <v>203</v>
      </c>
      <c r="BE80" s="155">
        <f t="shared" si="174"/>
        <v>203</v>
      </c>
      <c r="BF80" s="177"/>
      <c r="BG80" s="158">
        <f t="shared" si="157"/>
        <v>2</v>
      </c>
      <c r="BH80" s="158">
        <f t="shared" si="158"/>
        <v>0</v>
      </c>
      <c r="BI80" s="158">
        <f t="shared" si="159"/>
        <v>0</v>
      </c>
      <c r="BJ80" s="158">
        <f t="shared" si="160"/>
        <v>0</v>
      </c>
      <c r="BK80" s="158">
        <f t="shared" si="161"/>
        <v>0</v>
      </c>
      <c r="BL80" s="158">
        <f t="shared" si="162"/>
        <v>3</v>
      </c>
      <c r="BM80" s="158">
        <f t="shared" si="163"/>
        <v>203</v>
      </c>
      <c r="BN80" s="178"/>
      <c r="BO80" s="179"/>
      <c r="BP80" s="237"/>
      <c r="BQ80" s="234"/>
      <c r="BR80" s="235"/>
    </row>
    <row r="81" spans="1:70" s="286" customFormat="1" ht="47.25" customHeight="1">
      <c r="A81" s="158">
        <v>73</v>
      </c>
      <c r="B81" s="287" t="s">
        <v>391</v>
      </c>
      <c r="C81" s="152" t="s">
        <v>283</v>
      </c>
      <c r="D81" s="152" t="s">
        <v>288</v>
      </c>
      <c r="E81" s="255">
        <v>38110</v>
      </c>
      <c r="F81" s="249" t="s">
        <v>473</v>
      </c>
      <c r="G81" s="154" t="s">
        <v>95</v>
      </c>
      <c r="H81" s="154" t="s">
        <v>4</v>
      </c>
      <c r="I81" s="298" t="s">
        <v>15</v>
      </c>
      <c r="J81" s="155">
        <v>204</v>
      </c>
      <c r="K81" s="156">
        <v>44732</v>
      </c>
      <c r="L81" s="157">
        <v>26</v>
      </c>
      <c r="M81" s="158">
        <f>考勤!F75</f>
        <v>22.5</v>
      </c>
      <c r="N81" s="158">
        <f>考勤!T75</f>
        <v>1</v>
      </c>
      <c r="O81" s="158">
        <f>考勤!Q75</f>
        <v>1.5</v>
      </c>
      <c r="P81" s="159">
        <f>考勤!K75</f>
        <v>0</v>
      </c>
      <c r="Q81" s="159">
        <f>考勤!L75</f>
        <v>0</v>
      </c>
      <c r="R81" s="158">
        <f t="shared" si="164"/>
        <v>192</v>
      </c>
      <c r="S81" s="175">
        <f t="shared" si="146"/>
        <v>9.4600000000000009</v>
      </c>
      <c r="T81" s="175"/>
      <c r="U81" s="175">
        <f t="shared" si="165"/>
        <v>236.50000000000003</v>
      </c>
      <c r="V81" s="158">
        <f>考勤!N75</f>
        <v>30</v>
      </c>
      <c r="W81" s="158">
        <f t="shared" si="166"/>
        <v>15</v>
      </c>
      <c r="X81" s="161">
        <f t="shared" si="147"/>
        <v>58.85</v>
      </c>
      <c r="Y81" s="175">
        <f t="shared" si="148"/>
        <v>7.5</v>
      </c>
      <c r="Z81" s="158">
        <f>考勤!O75</f>
        <v>1</v>
      </c>
      <c r="AA81" s="226">
        <f t="shared" si="149"/>
        <v>3.9230769230769229</v>
      </c>
      <c r="AB81" s="158">
        <f>考勤!P75</f>
        <v>0</v>
      </c>
      <c r="AC81" s="226">
        <f t="shared" si="150"/>
        <v>0</v>
      </c>
      <c r="AD81" s="159">
        <f>考勤!W75</f>
        <v>0</v>
      </c>
      <c r="AE81" s="175">
        <f>考勤!X75</f>
        <v>0</v>
      </c>
      <c r="AF81" s="161">
        <f>考勤!Y75</f>
        <v>0</v>
      </c>
      <c r="AG81" s="161">
        <f>考勤!Z75</f>
        <v>0</v>
      </c>
      <c r="AH81" s="161">
        <v>0</v>
      </c>
      <c r="AI81" s="227"/>
      <c r="AJ81" s="228">
        <f>IF(M81+Q81+Z81+N81+O81+AB81&lt;=25.5,0,20)</f>
        <v>20</v>
      </c>
      <c r="AK81" s="166">
        <v>3</v>
      </c>
      <c r="AL81" s="167">
        <v>40</v>
      </c>
      <c r="AM81" s="172"/>
      <c r="AN81" s="160"/>
      <c r="AO81" s="171">
        <v>10</v>
      </c>
      <c r="AP81" s="231">
        <f t="shared" si="152"/>
        <v>9.6153846153846168</v>
      </c>
      <c r="AQ81" s="170">
        <f t="shared" si="153"/>
        <v>389.39</v>
      </c>
      <c r="AR81" s="171">
        <v>100</v>
      </c>
      <c r="AS81" s="172">
        <f>ROUND(IF(YEARFRAC(E81,$BS$5)&gt;=60,"0",IF(AQ81&lt;=400000/$BT$5,400000/$BT$5*$BU$5,IF(AQ81&lt;=1200000/$BT$5,AQ81*$BU$5,IF(AQ81&gt;1200000/$BT$5,1200000/$BT$5*$BU$5)))),2)</f>
        <v>5.9</v>
      </c>
      <c r="AT81" s="170">
        <f t="shared" si="167"/>
        <v>383.49</v>
      </c>
      <c r="AU81" s="159">
        <f t="shared" si="155"/>
        <v>1555818.93</v>
      </c>
      <c r="AV81" s="159">
        <v>0</v>
      </c>
      <c r="AW81" s="159">
        <v>0</v>
      </c>
      <c r="AX81" s="159">
        <f t="shared" si="168"/>
        <v>0</v>
      </c>
      <c r="AY81" s="159">
        <f t="shared" si="169"/>
        <v>1555818.93</v>
      </c>
      <c r="AZ81" s="173" t="str">
        <f t="shared" si="170"/>
        <v>5%</v>
      </c>
      <c r="BA81" s="174">
        <f t="shared" si="171"/>
        <v>2790.9465000000055</v>
      </c>
      <c r="BB81" s="175">
        <f t="shared" si="172"/>
        <v>0.68793357160463531</v>
      </c>
      <c r="BC81" s="176">
        <f t="shared" si="173"/>
        <v>282.80206642839534</v>
      </c>
      <c r="BD81" s="155">
        <f t="shared" si="156"/>
        <v>283</v>
      </c>
      <c r="BE81" s="155">
        <f t="shared" si="174"/>
        <v>283</v>
      </c>
      <c r="BF81" s="177"/>
      <c r="BG81" s="158">
        <f t="shared" si="157"/>
        <v>2</v>
      </c>
      <c r="BH81" s="158">
        <f t="shared" si="158"/>
        <v>1</v>
      </c>
      <c r="BI81" s="158">
        <f t="shared" si="159"/>
        <v>1</v>
      </c>
      <c r="BJ81" s="158">
        <f t="shared" si="160"/>
        <v>1</v>
      </c>
      <c r="BK81" s="158">
        <f t="shared" si="161"/>
        <v>0</v>
      </c>
      <c r="BL81" s="158">
        <f t="shared" si="162"/>
        <v>3</v>
      </c>
      <c r="BM81" s="158">
        <f t="shared" si="163"/>
        <v>283</v>
      </c>
      <c r="BN81" s="178"/>
      <c r="BO81" s="179"/>
      <c r="BP81" s="237"/>
      <c r="BQ81" s="234"/>
      <c r="BR81" s="235"/>
    </row>
    <row r="82" spans="1:70" ht="39.75" customHeight="1">
      <c r="B82" s="108"/>
      <c r="C82" s="108"/>
      <c r="D82" s="101"/>
      <c r="E82" s="101"/>
      <c r="F82" s="101"/>
      <c r="G82" s="22"/>
      <c r="H82" s="22"/>
      <c r="I82" s="22"/>
      <c r="J82" s="116"/>
      <c r="K82" s="116"/>
      <c r="L82" s="116"/>
      <c r="P82" s="117"/>
      <c r="Q82" s="117"/>
      <c r="R82" s="117"/>
      <c r="S82" s="117"/>
      <c r="T82" s="117"/>
      <c r="U82" s="117"/>
      <c r="AG82" s="40"/>
      <c r="AH82" s="40"/>
      <c r="AI82" s="40"/>
      <c r="AJ82" s="78"/>
      <c r="AK82" s="40"/>
      <c r="AQ82" s="118">
        <f t="shared" ref="AQ82:BM82" si="175">SUM(AQ67:AQ81)</f>
        <v>6040.97</v>
      </c>
      <c r="AR82" s="118">
        <f t="shared" si="175"/>
        <v>1500</v>
      </c>
      <c r="AS82" s="118">
        <f t="shared" si="175"/>
        <v>88.500000000000014</v>
      </c>
      <c r="AT82" s="118">
        <f t="shared" si="175"/>
        <v>5952.47</v>
      </c>
      <c r="AU82" s="118">
        <f t="shared" si="175"/>
        <v>24149170.790000003</v>
      </c>
      <c r="AV82" s="118">
        <f t="shared" si="175"/>
        <v>0</v>
      </c>
      <c r="AW82" s="118">
        <f t="shared" si="175"/>
        <v>17</v>
      </c>
      <c r="AX82" s="118">
        <f t="shared" si="175"/>
        <v>2550000</v>
      </c>
      <c r="AY82" s="118">
        <f t="shared" si="175"/>
        <v>21599170.790000003</v>
      </c>
      <c r="AZ82" s="118">
        <f t="shared" si="175"/>
        <v>0</v>
      </c>
      <c r="BA82" s="118">
        <f t="shared" si="175"/>
        <v>49674.660000000076</v>
      </c>
      <c r="BB82" s="118">
        <f t="shared" si="175"/>
        <v>12.244185358639408</v>
      </c>
      <c r="BC82" s="118">
        <f t="shared" si="175"/>
        <v>4440.2258146413596</v>
      </c>
      <c r="BD82" s="118">
        <f t="shared" si="175"/>
        <v>4440</v>
      </c>
      <c r="BE82" s="118">
        <f t="shared" si="175"/>
        <v>4440</v>
      </c>
      <c r="BF82" s="118">
        <f t="shared" si="175"/>
        <v>0</v>
      </c>
      <c r="BG82" s="118">
        <f t="shared" si="175"/>
        <v>36</v>
      </c>
      <c r="BH82" s="118">
        <f t="shared" si="175"/>
        <v>8</v>
      </c>
      <c r="BI82" s="118">
        <f t="shared" si="175"/>
        <v>15</v>
      </c>
      <c r="BJ82" s="118">
        <f t="shared" si="175"/>
        <v>7</v>
      </c>
      <c r="BK82" s="118">
        <f t="shared" si="175"/>
        <v>7</v>
      </c>
      <c r="BL82" s="118">
        <f t="shared" si="175"/>
        <v>35</v>
      </c>
      <c r="BM82" s="118">
        <f t="shared" si="175"/>
        <v>4440</v>
      </c>
      <c r="BN82" s="130"/>
      <c r="BO82" s="133"/>
      <c r="BP82" s="71"/>
      <c r="BQ82" s="134"/>
      <c r="BR82" s="131"/>
    </row>
    <row r="83" spans="1:70" ht="36.75">
      <c r="B83" s="108"/>
      <c r="C83" s="108"/>
      <c r="D83" s="101"/>
      <c r="E83" s="101"/>
      <c r="F83" s="101"/>
      <c r="G83" s="22"/>
      <c r="H83" s="22"/>
      <c r="I83" s="22"/>
      <c r="J83" s="109"/>
      <c r="K83" s="109"/>
      <c r="L83" s="109"/>
      <c r="P83" s="110"/>
      <c r="Q83" s="110"/>
      <c r="R83" s="110"/>
      <c r="S83" s="110"/>
      <c r="T83" s="110"/>
      <c r="U83" s="110"/>
      <c r="AG83" s="40"/>
      <c r="AH83" s="40"/>
      <c r="AI83" s="40"/>
      <c r="AJ83" s="78"/>
      <c r="AK83" s="40"/>
      <c r="BO83" s="1"/>
      <c r="BP83" s="1"/>
      <c r="BQ83" s="1"/>
    </row>
    <row r="84" spans="1:70" ht="27">
      <c r="B84" s="106"/>
      <c r="C84" s="106"/>
      <c r="D84" s="102"/>
      <c r="E84" s="102"/>
      <c r="F84" s="102"/>
      <c r="G84" s="22"/>
      <c r="H84" s="22"/>
      <c r="I84" s="22"/>
      <c r="J84" s="22"/>
      <c r="K84" s="106"/>
      <c r="L84" s="106"/>
      <c r="P84" s="107"/>
      <c r="Q84" s="107"/>
      <c r="R84" s="107"/>
      <c r="S84" s="107"/>
      <c r="T84" s="107"/>
      <c r="U84" s="107"/>
      <c r="AG84" s="40"/>
      <c r="AH84" s="40"/>
      <c r="AI84" s="40"/>
      <c r="AJ84" s="78"/>
      <c r="AK84" s="40"/>
    </row>
    <row r="85" spans="1:70">
      <c r="AG85" s="40"/>
      <c r="AH85" s="40"/>
      <c r="AI85" s="40"/>
      <c r="AJ85" s="78"/>
      <c r="AK85" s="40"/>
      <c r="BM85" s="80" t="s">
        <v>273</v>
      </c>
    </row>
    <row r="86" spans="1:70">
      <c r="AG86" s="40"/>
      <c r="AH86" s="40"/>
      <c r="AI86" s="40"/>
      <c r="AJ86" s="78"/>
      <c r="AK86" s="40"/>
    </row>
    <row r="87" spans="1:70">
      <c r="AG87" s="40"/>
      <c r="AH87" s="40"/>
      <c r="AI87" s="40"/>
      <c r="AJ87" s="78"/>
      <c r="AK87" s="40"/>
    </row>
    <row r="88" spans="1:70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77"/>
      <c r="T88" s="77"/>
      <c r="U88" s="72"/>
      <c r="W88" s="40"/>
      <c r="X88" s="78"/>
      <c r="Y88" s="40"/>
      <c r="AD88" s="22"/>
      <c r="AE88" s="22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70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77"/>
      <c r="T89" s="77"/>
      <c r="U89" s="72"/>
      <c r="W89" s="40"/>
      <c r="X89" s="40"/>
      <c r="Y89" s="40"/>
      <c r="AD89" s="22"/>
      <c r="AE89" s="22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70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77"/>
      <c r="T90" s="77"/>
      <c r="U90" s="72"/>
      <c r="AD90" s="22"/>
      <c r="AE90" s="22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70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77"/>
      <c r="T91" s="77"/>
      <c r="U91" s="72"/>
      <c r="AD91" s="22"/>
      <c r="AE91" s="22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70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77"/>
      <c r="T92" s="77"/>
      <c r="U92" s="72"/>
      <c r="AD92" s="22"/>
      <c r="AE92" s="2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70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77"/>
      <c r="T93" s="77"/>
      <c r="U93" s="72"/>
      <c r="AD93" s="22"/>
      <c r="AE93" s="22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70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77"/>
      <c r="T94" s="77"/>
      <c r="U94" s="72"/>
      <c r="AD94" s="22"/>
      <c r="AE94" s="22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70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77"/>
      <c r="T95" s="77"/>
      <c r="U95" s="72"/>
      <c r="AD95" s="22"/>
      <c r="AE95" s="22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70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77"/>
      <c r="T96" s="77"/>
      <c r="U96" s="72"/>
      <c r="AD96" s="22"/>
      <c r="AE96" s="22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2:57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77"/>
      <c r="T97" s="77"/>
      <c r="U97" s="72"/>
      <c r="AD97" s="22"/>
      <c r="AE97" s="22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2:57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77"/>
      <c r="T98" s="77"/>
      <c r="U98" s="72"/>
      <c r="AD98" s="22"/>
      <c r="AE98" s="22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2:57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77"/>
      <c r="T99" s="77"/>
      <c r="U99" s="72"/>
      <c r="AD99" s="22"/>
      <c r="AE99" s="22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</sheetData>
  <autoFilter ref="A8:BE84"/>
  <phoneticPr fontId="49" type="noConversion"/>
  <pageMargins left="0.23622047244094491" right="0.19685039370078741" top="0.39370078740157483" bottom="0.31496062992125984" header="0" footer="0"/>
  <pageSetup paperSize="9" scale="28" orientation="landscape" verticalDpi="4294967293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BU27"/>
  <sheetViews>
    <sheetView showGridLines="0" view="pageBreakPreview" zoomScale="40" zoomScaleNormal="55" zoomScaleSheetLayoutView="40" zoomScalePageLayoutView="55" workbookViewId="0">
      <pane xSplit="14" ySplit="8" topLeftCell="O9" activePane="bottomRight" state="frozen"/>
      <selection pane="topRight" activeCell="P1" sqref="P1"/>
      <selection pane="bottomLeft" activeCell="A9" sqref="A9"/>
      <selection pane="bottomRight" activeCell="J26" sqref="J26"/>
    </sheetView>
  </sheetViews>
  <sheetFormatPr defaultRowHeight="21"/>
  <cols>
    <col min="1" max="1" width="7.5" style="2" customWidth="1"/>
    <col min="2" max="2" width="18.125" customWidth="1"/>
    <col min="3" max="3" width="17.5" customWidth="1"/>
    <col min="4" max="4" width="15.625" hidden="1" customWidth="1"/>
    <col min="5" max="6" width="15" hidden="1" customWidth="1"/>
    <col min="7" max="7" width="10" customWidth="1"/>
    <col min="8" max="8" width="13.125" customWidth="1"/>
    <col min="9" max="9" width="6.25" customWidth="1"/>
    <col min="10" max="10" width="10.125" customWidth="1"/>
    <col min="11" max="11" width="18.125" customWidth="1"/>
    <col min="12" max="12" width="10.625" customWidth="1"/>
    <col min="13" max="13" width="11.375" style="22" customWidth="1"/>
    <col min="14" max="14" width="11.75" style="22" customWidth="1"/>
    <col min="15" max="15" width="9.875" style="22" customWidth="1"/>
    <col min="16" max="16" width="6.875" style="22" customWidth="1"/>
    <col min="17" max="17" width="7.625" style="22" customWidth="1"/>
    <col min="18" max="18" width="11.375" style="22" customWidth="1"/>
    <col min="19" max="19" width="12" style="22" customWidth="1"/>
    <col min="20" max="20" width="9.25" style="22" hidden="1" customWidth="1"/>
    <col min="21" max="21" width="15.25" style="22" customWidth="1"/>
    <col min="22" max="23" width="8" style="22" customWidth="1"/>
    <col min="24" max="24" width="14.75" style="22" customWidth="1"/>
    <col min="25" max="25" width="11.75" style="22" customWidth="1"/>
    <col min="26" max="26" width="6.625" style="22" hidden="1" customWidth="1"/>
    <col min="27" max="27" width="11.875" style="22" hidden="1" customWidth="1"/>
    <col min="28" max="28" width="7.75" style="22" hidden="1" customWidth="1"/>
    <col min="29" max="29" width="12.25" style="22" hidden="1" customWidth="1"/>
    <col min="30" max="30" width="8.375" style="77" customWidth="1"/>
    <col min="31" max="31" width="13.375" style="72" customWidth="1"/>
    <col min="32" max="32" width="12.25" style="22" customWidth="1"/>
    <col min="33" max="33" width="12.875" style="22" customWidth="1"/>
    <col min="34" max="34" width="12.375" style="22" hidden="1" customWidth="1"/>
    <col min="35" max="35" width="8.75" style="22" hidden="1" customWidth="1"/>
    <col min="36" max="36" width="9" style="22" customWidth="1"/>
    <col min="37" max="37" width="7.375" style="22" customWidth="1"/>
    <col min="38" max="38" width="10.25" style="115" customWidth="1"/>
    <col min="39" max="39" width="10.25" style="22" hidden="1" customWidth="1"/>
    <col min="40" max="40" width="12.625" style="22" hidden="1" customWidth="1"/>
    <col min="41" max="41" width="11" style="22" customWidth="1"/>
    <col min="42" max="42" width="11.375" style="22" customWidth="1"/>
    <col min="43" max="43" width="16" style="22" customWidth="1"/>
    <col min="44" max="44" width="12.625" style="22" customWidth="1"/>
    <col min="45" max="45" width="12.5" style="22" customWidth="1"/>
    <col min="46" max="46" width="15.5" style="22" customWidth="1"/>
    <col min="47" max="47" width="19.5" style="22" hidden="1" customWidth="1"/>
    <col min="48" max="48" width="8.25" style="22" hidden="1" customWidth="1"/>
    <col min="49" max="49" width="9.125" style="22" hidden="1" customWidth="1"/>
    <col min="50" max="50" width="17.625" style="22" hidden="1" customWidth="1"/>
    <col min="51" max="51" width="20.75" style="22" hidden="1" customWidth="1"/>
    <col min="52" max="52" width="10" style="22" customWidth="1"/>
    <col min="53" max="53" width="15" style="22" hidden="1" customWidth="1"/>
    <col min="54" max="54" width="11.875" style="22" customWidth="1"/>
    <col min="55" max="55" width="16.375" style="22" customWidth="1"/>
    <col min="56" max="56" width="14.25" style="22" customWidth="1"/>
    <col min="57" max="57" width="14.75" style="22" customWidth="1"/>
    <col min="58" max="58" width="16.5" customWidth="1"/>
    <col min="59" max="64" width="11.25" hidden="1" customWidth="1"/>
    <col min="65" max="65" width="16.375" hidden="1" customWidth="1"/>
    <col min="66" max="66" width="11.75" bestFit="1" customWidth="1"/>
    <col min="67" max="67" width="45.375" customWidth="1"/>
    <col min="68" max="68" width="15.125" customWidth="1"/>
    <col min="69" max="69" width="23.125" bestFit="1" customWidth="1"/>
    <col min="71" max="71" width="11.625" bestFit="1" customWidth="1"/>
  </cols>
  <sheetData>
    <row r="2" spans="1:73" s="4" customFormat="1" ht="36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73"/>
      <c r="AE2" s="65"/>
      <c r="AF2" s="43"/>
      <c r="AG2" s="43"/>
      <c r="AH2" s="43"/>
      <c r="AI2" s="43"/>
      <c r="AJ2" s="43"/>
      <c r="AK2" s="43"/>
      <c r="AL2" s="112"/>
      <c r="AM2" s="43"/>
      <c r="AN2" s="43"/>
      <c r="AO2" s="43"/>
      <c r="AP2" s="43"/>
      <c r="AQ2" s="43"/>
      <c r="AR2" s="43"/>
      <c r="AS2" s="43"/>
      <c r="AT2" s="43"/>
      <c r="AU2" s="19"/>
      <c r="AV2" s="19"/>
      <c r="AW2" s="19"/>
      <c r="AX2" s="19"/>
      <c r="AY2" s="19"/>
      <c r="AZ2" s="43"/>
      <c r="BA2" s="43"/>
      <c r="BB2" s="43"/>
      <c r="BC2" s="43"/>
      <c r="BD2" s="43"/>
      <c r="BE2" s="43"/>
      <c r="BF2" s="11"/>
    </row>
    <row r="3" spans="1:73" s="4" customFormat="1" ht="33" customHeight="1">
      <c r="A3" s="12"/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74"/>
      <c r="AE3" s="66"/>
      <c r="AF3" s="44"/>
      <c r="AG3" s="44"/>
      <c r="AH3" s="44"/>
      <c r="AI3" s="44"/>
      <c r="AJ3" s="44"/>
      <c r="AK3" s="44"/>
      <c r="AL3" s="113"/>
      <c r="AM3" s="44"/>
      <c r="AN3" s="44"/>
      <c r="AO3" s="44"/>
      <c r="AP3" s="44"/>
      <c r="AQ3" s="67"/>
      <c r="AR3" s="44"/>
      <c r="AS3" s="44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44"/>
      <c r="BE3" s="44"/>
      <c r="BF3" s="12"/>
    </row>
    <row r="4" spans="1:73" s="4" customFormat="1" ht="36.75" customHeight="1">
      <c r="A4" s="5"/>
      <c r="B4" s="10"/>
      <c r="C4" s="10"/>
      <c r="D4" s="10"/>
      <c r="E4" s="10"/>
      <c r="F4" s="10"/>
      <c r="G4" s="17" t="s">
        <v>80</v>
      </c>
      <c r="H4" s="18"/>
      <c r="I4" s="18"/>
      <c r="J4" s="18"/>
      <c r="K4" s="18"/>
      <c r="L4" s="18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75"/>
      <c r="AE4" s="50"/>
      <c r="AF4" s="50"/>
      <c r="AG4" s="50"/>
      <c r="AH4" s="50"/>
      <c r="AI4" s="50"/>
      <c r="AJ4" s="50"/>
      <c r="AK4" s="50"/>
      <c r="AL4" s="114"/>
      <c r="AM4" s="45"/>
      <c r="AN4" s="45"/>
      <c r="AO4" s="45"/>
      <c r="AP4" s="45"/>
      <c r="AQ4" s="68"/>
      <c r="AR4" s="45"/>
      <c r="AS4" s="45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45"/>
      <c r="BE4" s="45"/>
      <c r="BF4" s="5"/>
      <c r="BG4" s="103" t="s">
        <v>131</v>
      </c>
      <c r="BH4" s="103">
        <f>COUNTIF(I9:I10,"F")</f>
        <v>1</v>
      </c>
      <c r="BI4" s="104">
        <f>BH4+BH6</f>
        <v>1</v>
      </c>
    </row>
    <row r="5" spans="1:73" s="4" customFormat="1" ht="33" customHeight="1">
      <c r="A5" s="5"/>
      <c r="B5" s="10"/>
      <c r="C5" s="10"/>
      <c r="D5" s="10"/>
      <c r="E5" s="10"/>
      <c r="F5" s="10"/>
      <c r="G5" s="17"/>
      <c r="H5" s="18"/>
      <c r="I5" s="18"/>
      <c r="J5" s="18"/>
      <c r="K5" s="18"/>
      <c r="L5" s="18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75"/>
      <c r="AE5" s="50"/>
      <c r="AF5" s="50"/>
      <c r="AG5" s="50"/>
      <c r="AH5" s="50"/>
      <c r="AI5" s="50"/>
      <c r="AJ5" s="50"/>
      <c r="AK5" s="50"/>
      <c r="AL5" s="114"/>
      <c r="AM5" s="45"/>
      <c r="AN5" s="45"/>
      <c r="AO5" s="45"/>
      <c r="AP5" s="45"/>
      <c r="AQ5" s="68"/>
      <c r="AR5" s="45"/>
      <c r="AS5" s="45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45"/>
      <c r="BE5" s="45"/>
      <c r="BF5" s="5"/>
      <c r="BG5" s="103"/>
      <c r="BH5" s="103"/>
      <c r="BI5" s="104"/>
      <c r="BS5" s="128">
        <v>45536</v>
      </c>
      <c r="BT5" s="4">
        <v>4066</v>
      </c>
      <c r="BU5" s="129">
        <v>0.02</v>
      </c>
    </row>
    <row r="6" spans="1:73" s="4" customFormat="1" ht="46.5" customHeight="1">
      <c r="A6" s="16"/>
      <c r="B6" s="10"/>
      <c r="C6" s="10"/>
      <c r="D6" s="10"/>
      <c r="E6" s="10"/>
      <c r="F6" s="10"/>
      <c r="G6" s="14"/>
      <c r="H6" s="15"/>
      <c r="I6" s="15"/>
      <c r="J6" s="15"/>
      <c r="K6" s="15"/>
      <c r="L6" s="15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76"/>
      <c r="AE6" s="69"/>
      <c r="AF6" s="51"/>
      <c r="AG6" s="51"/>
      <c r="AH6" s="51"/>
      <c r="AI6" s="51"/>
      <c r="AJ6" s="51"/>
      <c r="AK6" s="51"/>
      <c r="AL6" s="114"/>
      <c r="AM6" s="45"/>
      <c r="AN6" s="45"/>
      <c r="AO6" s="45"/>
      <c r="AP6" s="45"/>
      <c r="AQ6" s="68"/>
      <c r="AR6" s="45"/>
      <c r="AS6" s="45"/>
      <c r="AT6" s="68"/>
      <c r="AU6" s="68">
        <v>4057</v>
      </c>
      <c r="AV6" s="68"/>
      <c r="AW6" s="68"/>
      <c r="AX6" s="68"/>
      <c r="AY6" s="68"/>
      <c r="AZ6" s="68"/>
      <c r="BA6" s="68"/>
      <c r="BB6" s="68"/>
      <c r="BC6" s="68"/>
      <c r="BD6" s="45"/>
      <c r="BE6" s="45"/>
      <c r="BF6" s="5"/>
      <c r="BG6" s="103" t="s">
        <v>15</v>
      </c>
      <c r="BH6" s="103">
        <f>COUNTIF(I9:I10,"M")</f>
        <v>0</v>
      </c>
      <c r="BI6" s="105"/>
    </row>
    <row r="7" spans="1:73" s="4" customFormat="1" ht="132.75" customHeight="1">
      <c r="A7" s="140" t="s">
        <v>17</v>
      </c>
      <c r="B7" s="140" t="s">
        <v>5</v>
      </c>
      <c r="C7" s="140" t="s">
        <v>47</v>
      </c>
      <c r="D7" s="139" t="s">
        <v>201</v>
      </c>
      <c r="E7" s="139" t="s">
        <v>202</v>
      </c>
      <c r="F7" s="139" t="s">
        <v>470</v>
      </c>
      <c r="G7" s="140" t="s">
        <v>6</v>
      </c>
      <c r="H7" s="140" t="s">
        <v>7</v>
      </c>
      <c r="I7" s="140" t="s">
        <v>8</v>
      </c>
      <c r="J7" s="140" t="s">
        <v>10</v>
      </c>
      <c r="K7" s="140" t="s">
        <v>9</v>
      </c>
      <c r="L7" s="140" t="s">
        <v>24</v>
      </c>
      <c r="M7" s="140" t="s">
        <v>41</v>
      </c>
      <c r="N7" s="140" t="s">
        <v>43</v>
      </c>
      <c r="O7" s="140" t="s">
        <v>192</v>
      </c>
      <c r="P7" s="140" t="s">
        <v>40</v>
      </c>
      <c r="Q7" s="140" t="s">
        <v>25</v>
      </c>
      <c r="R7" s="140" t="s">
        <v>38</v>
      </c>
      <c r="S7" s="140" t="s">
        <v>82</v>
      </c>
      <c r="T7" s="136"/>
      <c r="U7" s="140" t="s">
        <v>83</v>
      </c>
      <c r="V7" s="140" t="s">
        <v>30</v>
      </c>
      <c r="W7" s="140" t="s">
        <v>31</v>
      </c>
      <c r="X7" s="140" t="s">
        <v>32</v>
      </c>
      <c r="Y7" s="140" t="s">
        <v>34</v>
      </c>
      <c r="Z7" s="140" t="s">
        <v>26</v>
      </c>
      <c r="AA7" s="140" t="s">
        <v>18</v>
      </c>
      <c r="AB7" s="140" t="s">
        <v>231</v>
      </c>
      <c r="AC7" s="140" t="s">
        <v>232</v>
      </c>
      <c r="AD7" s="141" t="s">
        <v>42</v>
      </c>
      <c r="AE7" s="140" t="s">
        <v>77</v>
      </c>
      <c r="AF7" s="140" t="s">
        <v>37</v>
      </c>
      <c r="AG7" s="140" t="s">
        <v>176</v>
      </c>
      <c r="AH7" s="140" t="s">
        <v>217</v>
      </c>
      <c r="AI7" s="143" t="s">
        <v>228</v>
      </c>
      <c r="AJ7" s="140" t="s">
        <v>27</v>
      </c>
      <c r="AK7" s="140" t="s">
        <v>12</v>
      </c>
      <c r="AL7" s="142" t="s">
        <v>28</v>
      </c>
      <c r="AM7" s="140" t="s">
        <v>267</v>
      </c>
      <c r="AN7" s="140" t="s">
        <v>29</v>
      </c>
      <c r="AO7" s="140" t="s">
        <v>81</v>
      </c>
      <c r="AP7" s="140" t="s">
        <v>33</v>
      </c>
      <c r="AQ7" s="140" t="s">
        <v>209</v>
      </c>
      <c r="AR7" s="140" t="s">
        <v>210</v>
      </c>
      <c r="AS7" s="140" t="s">
        <v>316</v>
      </c>
      <c r="AT7" s="140" t="s">
        <v>295</v>
      </c>
      <c r="AU7" s="140" t="s">
        <v>296</v>
      </c>
      <c r="AV7" s="140" t="s">
        <v>297</v>
      </c>
      <c r="AW7" s="140" t="s">
        <v>298</v>
      </c>
      <c r="AX7" s="140" t="s">
        <v>299</v>
      </c>
      <c r="AY7" s="140" t="s">
        <v>300</v>
      </c>
      <c r="AZ7" s="140" t="s">
        <v>39</v>
      </c>
      <c r="BA7" s="140" t="s">
        <v>36</v>
      </c>
      <c r="BB7" s="140" t="s">
        <v>36</v>
      </c>
      <c r="BC7" s="140" t="s">
        <v>318</v>
      </c>
      <c r="BD7" s="140" t="s">
        <v>35</v>
      </c>
      <c r="BE7" s="140" t="s">
        <v>199</v>
      </c>
      <c r="BF7" s="140" t="s">
        <v>46</v>
      </c>
      <c r="BG7" s="103"/>
      <c r="BH7" s="103"/>
      <c r="BI7" s="135"/>
    </row>
    <row r="8" spans="1:73" s="81" customFormat="1" ht="79.5" customHeight="1">
      <c r="A8" s="123" t="s">
        <v>48</v>
      </c>
      <c r="B8" s="123" t="s">
        <v>49</v>
      </c>
      <c r="C8" s="123" t="s">
        <v>308</v>
      </c>
      <c r="D8" s="123" t="s">
        <v>203</v>
      </c>
      <c r="E8" s="123" t="s">
        <v>204</v>
      </c>
      <c r="F8" s="123" t="s">
        <v>471</v>
      </c>
      <c r="G8" s="123" t="s">
        <v>50</v>
      </c>
      <c r="H8" s="123" t="s">
        <v>51</v>
      </c>
      <c r="I8" s="123" t="s">
        <v>52</v>
      </c>
      <c r="J8" s="123" t="s">
        <v>53</v>
      </c>
      <c r="K8" s="123" t="s">
        <v>54</v>
      </c>
      <c r="L8" s="124" t="s">
        <v>55</v>
      </c>
      <c r="M8" s="124" t="s">
        <v>56</v>
      </c>
      <c r="N8" s="124" t="s">
        <v>57</v>
      </c>
      <c r="O8" s="124" t="s">
        <v>191</v>
      </c>
      <c r="P8" s="124" t="s">
        <v>58</v>
      </c>
      <c r="Q8" s="124" t="s">
        <v>59</v>
      </c>
      <c r="R8" s="124" t="s">
        <v>60</v>
      </c>
      <c r="S8" s="124" t="s">
        <v>84</v>
      </c>
      <c r="T8" s="124"/>
      <c r="U8" s="124" t="s">
        <v>85</v>
      </c>
      <c r="V8" s="124" t="s">
        <v>61</v>
      </c>
      <c r="W8" s="124" t="s">
        <v>62</v>
      </c>
      <c r="X8" s="124" t="s">
        <v>76</v>
      </c>
      <c r="Y8" s="124" t="s">
        <v>63</v>
      </c>
      <c r="Z8" s="124" t="s">
        <v>64</v>
      </c>
      <c r="AA8" s="124" t="s">
        <v>65</v>
      </c>
      <c r="AB8" s="124" t="s">
        <v>233</v>
      </c>
      <c r="AC8" s="124" t="s">
        <v>234</v>
      </c>
      <c r="AD8" s="125" t="s">
        <v>66</v>
      </c>
      <c r="AE8" s="124" t="s">
        <v>220</v>
      </c>
      <c r="AF8" s="124" t="s">
        <v>222</v>
      </c>
      <c r="AG8" s="124" t="s">
        <v>224</v>
      </c>
      <c r="AH8" s="124" t="s">
        <v>221</v>
      </c>
      <c r="AI8" s="124" t="s">
        <v>213</v>
      </c>
      <c r="AJ8" s="124" t="s">
        <v>292</v>
      </c>
      <c r="AK8" s="124" t="s">
        <v>67</v>
      </c>
      <c r="AL8" s="126" t="s">
        <v>291</v>
      </c>
      <c r="AM8" s="124" t="s">
        <v>268</v>
      </c>
      <c r="AN8" s="124" t="s">
        <v>68</v>
      </c>
      <c r="AO8" s="124" t="s">
        <v>69</v>
      </c>
      <c r="AP8" s="124" t="s">
        <v>70</v>
      </c>
      <c r="AQ8" s="124" t="s">
        <v>293</v>
      </c>
      <c r="AR8" s="124" t="s">
        <v>237</v>
      </c>
      <c r="AS8" s="124" t="s">
        <v>317</v>
      </c>
      <c r="AT8" s="124" t="s">
        <v>301</v>
      </c>
      <c r="AU8" s="124" t="s">
        <v>302</v>
      </c>
      <c r="AV8" s="124" t="s">
        <v>303</v>
      </c>
      <c r="AW8" s="124" t="s">
        <v>304</v>
      </c>
      <c r="AX8" s="124" t="s">
        <v>305</v>
      </c>
      <c r="AY8" s="124" t="s">
        <v>306</v>
      </c>
      <c r="AZ8" s="124" t="s">
        <v>294</v>
      </c>
      <c r="BA8" s="124" t="s">
        <v>307</v>
      </c>
      <c r="BB8" s="124" t="s">
        <v>71</v>
      </c>
      <c r="BC8" s="124" t="s">
        <v>72</v>
      </c>
      <c r="BD8" s="124" t="s">
        <v>73</v>
      </c>
      <c r="BE8" s="124" t="s">
        <v>74</v>
      </c>
      <c r="BF8" s="124" t="s">
        <v>75</v>
      </c>
      <c r="BG8" s="127">
        <v>100</v>
      </c>
      <c r="BH8" s="127">
        <v>50</v>
      </c>
      <c r="BI8" s="127">
        <v>20</v>
      </c>
      <c r="BJ8" s="127">
        <v>10</v>
      </c>
      <c r="BK8" s="127">
        <v>5</v>
      </c>
      <c r="BL8" s="127">
        <v>1</v>
      </c>
      <c r="BM8" s="127" t="s">
        <v>16</v>
      </c>
      <c r="BP8" s="132"/>
    </row>
    <row r="9" spans="1:73" s="219" customFormat="1" ht="81" customHeight="1">
      <c r="A9" s="183">
        <v>1</v>
      </c>
      <c r="B9" s="184" t="s">
        <v>329</v>
      </c>
      <c r="C9" s="185" t="s">
        <v>259</v>
      </c>
      <c r="D9" s="186" t="s">
        <v>289</v>
      </c>
      <c r="E9" s="187">
        <v>36939</v>
      </c>
      <c r="F9" s="187" t="s">
        <v>472</v>
      </c>
      <c r="G9" s="188" t="s">
        <v>265</v>
      </c>
      <c r="H9" s="189" t="s">
        <v>260</v>
      </c>
      <c r="I9" s="183" t="s">
        <v>14</v>
      </c>
      <c r="J9" s="190">
        <v>340</v>
      </c>
      <c r="K9" s="191">
        <v>44389</v>
      </c>
      <c r="L9" s="192">
        <v>26</v>
      </c>
      <c r="M9" s="193">
        <f>考勤!F10</f>
        <v>8</v>
      </c>
      <c r="N9" s="193">
        <f>考勤!T10</f>
        <v>0</v>
      </c>
      <c r="O9" s="193">
        <f>考勤!Q10</f>
        <v>2.5</v>
      </c>
      <c r="P9" s="194">
        <f>考勤!K10</f>
        <v>0</v>
      </c>
      <c r="Q9" s="194">
        <f>考勤!L10</f>
        <v>0</v>
      </c>
      <c r="R9" s="193">
        <f t="shared" ref="R9" si="0">(M9+O9)*8</f>
        <v>84</v>
      </c>
      <c r="S9" s="195">
        <f t="shared" ref="S9" si="1">J9/L9</f>
        <v>13.076923076923077</v>
      </c>
      <c r="T9" s="195"/>
      <c r="U9" s="196">
        <f t="shared" ref="U9" si="2">S9*(M9+N9+O9)</f>
        <v>137.30769230769229</v>
      </c>
      <c r="V9" s="183">
        <f>考勤!N10</f>
        <v>10</v>
      </c>
      <c r="W9" s="183">
        <f t="shared" ref="W9" si="3">V9/2</f>
        <v>5</v>
      </c>
      <c r="X9" s="197">
        <f t="shared" ref="X9" si="4">J9/L9/8*V9*1.5</f>
        <v>24.51923076923077</v>
      </c>
      <c r="Y9" s="196">
        <f t="shared" ref="Y9" si="5">13/L9*W9</f>
        <v>2.5</v>
      </c>
      <c r="Z9" s="183">
        <f>考勤!O10</f>
        <v>0</v>
      </c>
      <c r="AA9" s="197">
        <f t="shared" ref="AA9" si="6">(J9/L9*Z9)*0.5</f>
        <v>0</v>
      </c>
      <c r="AB9" s="198">
        <f>考勤!P10</f>
        <v>0</v>
      </c>
      <c r="AC9" s="197">
        <f t="shared" ref="AC9" si="7">(J9/L9*AB9)*0.8</f>
        <v>0</v>
      </c>
      <c r="AD9" s="198">
        <f>考勤!W10</f>
        <v>0</v>
      </c>
      <c r="AE9" s="196">
        <f>考勤!X10</f>
        <v>0</v>
      </c>
      <c r="AF9" s="196">
        <f>考勤!Y10</f>
        <v>0</v>
      </c>
      <c r="AG9" s="196">
        <f>考勤!Z10</f>
        <v>0</v>
      </c>
      <c r="AH9" s="196">
        <v>0</v>
      </c>
      <c r="AI9" s="199"/>
      <c r="AJ9" s="200">
        <f t="shared" ref="AJ9" si="8">IF(M9+Q9+Z9+N9+O9+AB9&lt;=25.5,0,20)</f>
        <v>0</v>
      </c>
      <c r="AK9" s="201">
        <v>4</v>
      </c>
      <c r="AL9" s="202">
        <f>100/26*10.5</f>
        <v>40.384615384615387</v>
      </c>
      <c r="AM9" s="203"/>
      <c r="AN9" s="201"/>
      <c r="AO9" s="204">
        <v>10</v>
      </c>
      <c r="AP9" s="205">
        <f t="shared" ref="AP9" si="9">10/26*(M9+N9+O9)</f>
        <v>4.0384615384615383</v>
      </c>
      <c r="AQ9" s="206">
        <f t="shared" ref="AQ9" si="10">ROUND(SUM(U9,X9,Y9,AA9,AE9,AF9,AJ9,AK9,AL9,AN9,AO9,AP9,AG9,AI9,AH9,AC9,AM9),2)</f>
        <v>222.75</v>
      </c>
      <c r="AR9" s="207">
        <v>0</v>
      </c>
      <c r="AS9" s="208">
        <f>ROUND(IF(YEARFRAC(E9,$BS$5)&gt;=60,"0",IF(AQ9&lt;=400000/$BT$5,400000/$BT$5*$BU$5,IF(AQ9&lt;=1200000/$BT$5,AQ9*$BU$5,IF(AQ9&gt;1200000/$BT$5,1200000/$BT$5*$BU$5)))),2)</f>
        <v>4.46</v>
      </c>
      <c r="AT9" s="206">
        <f t="shared" ref="AT9" si="11">AQ9-AS9</f>
        <v>218.29</v>
      </c>
      <c r="AU9" s="194">
        <f t="shared" ref="AU9" si="12">AT9*$AU$6</f>
        <v>885602.52999999991</v>
      </c>
      <c r="AV9" s="194">
        <v>0</v>
      </c>
      <c r="AW9" s="194">
        <v>0</v>
      </c>
      <c r="AX9" s="194">
        <f t="shared" ref="AX9" si="13">(AV9+AW9)*150000</f>
        <v>0</v>
      </c>
      <c r="AY9" s="194">
        <f t="shared" ref="AY9" si="14">AU9-AX9</f>
        <v>885602.52999999991</v>
      </c>
      <c r="AZ9" s="209" t="str">
        <f t="shared" ref="AZ9" si="15">IF(AY9&lt;=1500000,"0%",IF(AY9&lt;=2000000,"5%",IF(AY9&lt;=8500000,"10%",IF(AY9&lt;=12500000,"15%",IF(AY9&lt;=12500001,"20%")))))</f>
        <v>0%</v>
      </c>
      <c r="BA9" s="210">
        <f t="shared" ref="BA9" si="16">IF(AY9&lt;=1500000,0,IF(AND(AY9&gt;1500001,AY9&lt;=2000000),((AY9*0.05)-75000),IF(AND(AY9&gt;2000001,AY9&lt;=8500000),((AY9*0.1)-175000),IF(AND(AY9&gt;=8500001,AY9&lt;=12500000),((AY9*0.15)-600000),IF(AY9&gt;=12500001,(AY9*0.2-1225000))))))</f>
        <v>0</v>
      </c>
      <c r="BB9" s="211">
        <f t="shared" ref="BB9" si="17">BA9/$AU$6</f>
        <v>0</v>
      </c>
      <c r="BC9" s="212">
        <f t="shared" ref="BC9" si="18">AQ9-(AS9+BB9+AR9)</f>
        <v>218.29</v>
      </c>
      <c r="BD9" s="190">
        <f t="shared" ref="BD9" si="19">ROUND(SUM(BC9),0)</f>
        <v>218</v>
      </c>
      <c r="BE9" s="190">
        <f t="shared" ref="BE9" si="20">INT(BD9)</f>
        <v>218</v>
      </c>
      <c r="BF9" s="213"/>
      <c r="BG9" s="193">
        <f t="shared" ref="BG9" si="21">INT(BE9/100)</f>
        <v>2</v>
      </c>
      <c r="BH9" s="193">
        <f t="shared" ref="BH9" si="22">INT(MOD(BE9,100)/50)</f>
        <v>0</v>
      </c>
      <c r="BI9" s="193">
        <f t="shared" ref="BI9" si="23">INT(MOD(MOD(BE9,100),50)/20)</f>
        <v>0</v>
      </c>
      <c r="BJ9" s="193">
        <f t="shared" ref="BJ9" si="24">INT(MOD(MOD(MOD(BE9,100),50),20)/10)</f>
        <v>1</v>
      </c>
      <c r="BK9" s="193">
        <f t="shared" ref="BK9" si="25">INT(MOD(MOD(MOD(MOD(BE9,100),50),20),10)/5)</f>
        <v>1</v>
      </c>
      <c r="BL9" s="193">
        <f t="shared" ref="BL9" si="26">INT(MOD(MOD(MOD(MOD(MOD(BE9,100),50),20),10),5)/1)</f>
        <v>3</v>
      </c>
      <c r="BM9" s="193">
        <f t="shared" ref="BM9" si="27">BG9*100+BH9*50+BI9*20+BJ9*10+BK9*5+BL9</f>
        <v>218</v>
      </c>
      <c r="BN9" s="214"/>
      <c r="BO9" s="215"/>
      <c r="BP9" s="216"/>
      <c r="BQ9" s="216">
        <v>2000001</v>
      </c>
      <c r="BR9" s="217">
        <v>0.1</v>
      </c>
      <c r="BS9" s="216"/>
      <c r="BT9" s="218"/>
    </row>
    <row r="10" spans="1:73" s="21" customFormat="1" ht="47.25" customHeight="1">
      <c r="A10" s="7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71"/>
      <c r="V10" s="120"/>
      <c r="W10" s="120"/>
      <c r="X10" s="121"/>
      <c r="Y10" s="120"/>
      <c r="Z10" s="120"/>
      <c r="AA10" s="120"/>
      <c r="AB10" s="70"/>
      <c r="AC10" s="120"/>
      <c r="AD10" s="120"/>
      <c r="AE10" s="120"/>
      <c r="AF10" s="120"/>
      <c r="AG10" s="120"/>
      <c r="AH10" s="120"/>
      <c r="AI10" s="119"/>
      <c r="AJ10" s="120"/>
      <c r="AK10" s="120"/>
      <c r="AL10" s="122"/>
      <c r="AM10" s="148"/>
      <c r="AN10" s="120"/>
      <c r="AO10" s="120"/>
      <c r="AP10" s="149"/>
      <c r="AQ10" s="46">
        <f t="shared" ref="AQ10:BM10" si="28">SUM(AQ9:AQ9)</f>
        <v>222.75</v>
      </c>
      <c r="AR10" s="138">
        <f t="shared" si="28"/>
        <v>0</v>
      </c>
      <c r="AS10" s="138">
        <f t="shared" si="28"/>
        <v>4.46</v>
      </c>
      <c r="AT10" s="138">
        <f t="shared" si="28"/>
        <v>218.29</v>
      </c>
      <c r="AU10" s="138">
        <f t="shared" si="28"/>
        <v>885602.52999999991</v>
      </c>
      <c r="AV10" s="138">
        <f t="shared" si="28"/>
        <v>0</v>
      </c>
      <c r="AW10" s="138">
        <f t="shared" si="28"/>
        <v>0</v>
      </c>
      <c r="AX10" s="138">
        <f t="shared" si="28"/>
        <v>0</v>
      </c>
      <c r="AY10" s="138">
        <f t="shared" si="28"/>
        <v>885602.52999999991</v>
      </c>
      <c r="AZ10" s="138">
        <f t="shared" si="28"/>
        <v>0</v>
      </c>
      <c r="BA10" s="138">
        <f t="shared" si="28"/>
        <v>0</v>
      </c>
      <c r="BB10" s="138">
        <f t="shared" si="28"/>
        <v>0</v>
      </c>
      <c r="BC10" s="138">
        <f t="shared" si="28"/>
        <v>218.29</v>
      </c>
      <c r="BD10" s="138">
        <f t="shared" si="28"/>
        <v>218</v>
      </c>
      <c r="BE10" s="138">
        <f t="shared" si="28"/>
        <v>218</v>
      </c>
      <c r="BF10" s="138">
        <f t="shared" si="28"/>
        <v>0</v>
      </c>
      <c r="BG10" s="138">
        <f t="shared" si="28"/>
        <v>2</v>
      </c>
      <c r="BH10" s="138">
        <f t="shared" si="28"/>
        <v>0</v>
      </c>
      <c r="BI10" s="138">
        <f t="shared" si="28"/>
        <v>0</v>
      </c>
      <c r="BJ10" s="138">
        <f t="shared" si="28"/>
        <v>1</v>
      </c>
      <c r="BK10" s="138">
        <f t="shared" si="28"/>
        <v>1</v>
      </c>
      <c r="BL10" s="138">
        <f t="shared" si="28"/>
        <v>3</v>
      </c>
      <c r="BM10" s="138">
        <f t="shared" si="28"/>
        <v>218</v>
      </c>
      <c r="BN10" s="130"/>
      <c r="BO10" s="133"/>
      <c r="BP10" s="137"/>
      <c r="BQ10" s="137"/>
      <c r="BR10" s="137"/>
      <c r="BS10" s="137"/>
      <c r="BT10" s="137"/>
    </row>
    <row r="11" spans="1:73" ht="36.75">
      <c r="B11" s="108" t="s">
        <v>78</v>
      </c>
      <c r="C11" s="108"/>
      <c r="D11" s="101"/>
      <c r="E11" s="101"/>
      <c r="F11" s="101"/>
      <c r="G11" s="22"/>
      <c r="H11" s="22"/>
      <c r="I11" s="22"/>
      <c r="J11" s="109" t="s">
        <v>168</v>
      </c>
      <c r="K11" s="109"/>
      <c r="L11" s="109"/>
      <c r="P11" s="110" t="s">
        <v>44</v>
      </c>
      <c r="Q11" s="110"/>
      <c r="R11" s="110"/>
      <c r="S11" s="110"/>
      <c r="T11" s="110"/>
      <c r="U11" s="110"/>
      <c r="AG11" s="40"/>
      <c r="AH11" s="40"/>
      <c r="AI11" s="40"/>
      <c r="AJ11" s="78"/>
      <c r="AK11" s="40"/>
      <c r="BO11" s="1"/>
      <c r="BP11" s="1"/>
      <c r="BQ11" s="1"/>
    </row>
    <row r="12" spans="1:73" ht="27">
      <c r="B12" s="106" t="s">
        <v>2</v>
      </c>
      <c r="C12" s="106"/>
      <c r="D12" s="102"/>
      <c r="E12" s="102"/>
      <c r="F12" s="102"/>
      <c r="G12" s="22"/>
      <c r="H12" s="22"/>
      <c r="I12" s="22"/>
      <c r="J12" s="22"/>
      <c r="K12" s="106" t="s">
        <v>3</v>
      </c>
      <c r="L12" s="106"/>
      <c r="P12" s="107" t="s">
        <v>45</v>
      </c>
      <c r="Q12" s="107"/>
      <c r="R12" s="107"/>
      <c r="S12" s="107"/>
      <c r="T12" s="107"/>
      <c r="U12" s="107"/>
      <c r="AG12" s="40"/>
      <c r="AH12" s="40"/>
      <c r="AI12" s="40"/>
      <c r="AJ12" s="78"/>
      <c r="AK12" s="40"/>
    </row>
    <row r="13" spans="1:73">
      <c r="AG13" s="40"/>
      <c r="AH13" s="40"/>
      <c r="AI13" s="40"/>
      <c r="AJ13" s="78"/>
      <c r="AK13" s="40"/>
      <c r="BM13" s="80" t="s">
        <v>273</v>
      </c>
    </row>
    <row r="14" spans="1:73">
      <c r="AG14" s="40"/>
      <c r="AH14" s="40"/>
      <c r="AI14" s="40"/>
      <c r="AJ14" s="78"/>
      <c r="AK14" s="40"/>
    </row>
    <row r="15" spans="1:73">
      <c r="AG15" s="40"/>
      <c r="AH15" s="40"/>
      <c r="AI15" s="40"/>
      <c r="AJ15" s="78"/>
      <c r="AK15" s="40"/>
    </row>
    <row r="16" spans="1:7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S16" s="77"/>
      <c r="T16" s="77"/>
      <c r="U16" s="72"/>
      <c r="W16" s="40"/>
      <c r="X16" s="78"/>
      <c r="Y16" s="40"/>
      <c r="AD16" s="22"/>
      <c r="AE16" s="22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</row>
    <row r="17" spans="2:57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77"/>
      <c r="T17" s="77"/>
      <c r="U17" s="72"/>
      <c r="W17" s="40"/>
      <c r="X17" s="40"/>
      <c r="Y17" s="40"/>
      <c r="AD17" s="22"/>
      <c r="AE17" s="22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</row>
    <row r="18" spans="2:57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77"/>
      <c r="T18" s="77"/>
      <c r="U18" s="72"/>
      <c r="AD18" s="22"/>
      <c r="AE18" s="22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</row>
    <row r="19" spans="2:57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77"/>
      <c r="T19" s="77"/>
      <c r="U19" s="72"/>
      <c r="AD19" s="22"/>
      <c r="AE19" s="22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</row>
    <row r="20" spans="2:57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77"/>
      <c r="T20" s="77"/>
      <c r="U20" s="72"/>
      <c r="AD20" s="22"/>
      <c r="AE20" s="22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</row>
    <row r="21" spans="2:57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77"/>
      <c r="T21" s="77"/>
      <c r="U21" s="72"/>
      <c r="AD21" s="22"/>
      <c r="AE21" s="22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</row>
    <row r="22" spans="2:57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77"/>
      <c r="T22" s="77"/>
      <c r="U22" s="72"/>
      <c r="AD22" s="22"/>
      <c r="AE22" s="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</row>
    <row r="23" spans="2:57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77"/>
      <c r="T23" s="77"/>
      <c r="U23" s="72"/>
      <c r="AD23" s="22"/>
      <c r="AE23" s="22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</row>
    <row r="24" spans="2:57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77"/>
      <c r="T24" s="77"/>
      <c r="U24" s="72"/>
      <c r="AD24" s="22"/>
      <c r="AE24" s="22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</row>
    <row r="25" spans="2:57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77"/>
      <c r="T25" s="77"/>
      <c r="U25" s="72"/>
      <c r="AD25" s="22"/>
      <c r="AE25" s="22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</row>
    <row r="26" spans="2:57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77"/>
      <c r="T26" s="77"/>
      <c r="U26" s="72"/>
      <c r="AD26" s="22"/>
      <c r="AE26" s="22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2:57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77"/>
      <c r="T27" s="77"/>
      <c r="U27" s="72"/>
      <c r="AD27" s="22"/>
      <c r="AE27" s="22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</sheetData>
  <autoFilter ref="A8:BE12"/>
  <phoneticPr fontId="28" type="noConversion"/>
  <pageMargins left="0.23622047244094491" right="0.19685039370078741" top="0.39370078740157483" bottom="0.31496062992125984" header="0" footer="0"/>
  <pageSetup paperSize="9" scale="29" orientation="landscape" verticalDpi="4294967293" r:id="rId1"/>
  <headerFooter>
    <oddFooter>Page &amp;P</oddFooter>
  </headerFooter>
  <colBreaks count="1" manualBreakCount="1">
    <brk id="58" max="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考勤</vt:lpstr>
      <vt:lpstr>working staff</vt:lpstr>
      <vt:lpstr>离职</vt:lpstr>
      <vt:lpstr>'working staff'!Print_Area</vt:lpstr>
      <vt:lpstr>离职!Print_Area</vt:lpstr>
      <vt:lpstr>'working staff'!Print_Titles</vt:lpstr>
      <vt:lpstr>离职!Print_Titles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2024-10-28T08:47:35Z</cp:lastPrinted>
  <dcterms:created xsi:type="dcterms:W3CDTF">2014-06-30T06:26:23Z</dcterms:created>
  <dcterms:modified xsi:type="dcterms:W3CDTF">2024-11-02T08:11:09Z</dcterms:modified>
</cp:coreProperties>
</file>