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"/>
  </bookViews>
  <sheets>
    <sheet name="Sheet2" sheetId="2" r:id="rId1"/>
    <sheet name="交社保" sheetId="4" r:id="rId2"/>
  </sheets>
  <definedNames>
    <definedName name="_xlnm._FilterDatabase" localSheetId="0" hidden="1">Sheet2!$A$5:$BP$21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<sst xmlns="http://schemas.openxmlformats.org/spreadsheetml/2006/main" count="650" uniqueCount="222">
  <si>
    <t>តារាង​បើកប្រាក់បៀវត្ស</t>
  </si>
  <si>
    <t>2024年11月下半月工资单（15人）</t>
  </si>
  <si>
    <t>Chang Zhou Hua Mei Da Textiles （Cambodia）Co.,Ltd                                                          
21/08/2024
5/10/2024
25/10/2024
23/11/2024</t>
  </si>
  <si>
    <t>ល.រ</t>
  </si>
  <si>
    <t>ឈ្មោះ</t>
  </si>
  <si>
    <t>គោតនាម</t>
  </si>
  <si>
    <t>នាម</t>
  </si>
  <si>
    <t>អត្តលេខ.ប.ស​.ស</t>
  </si>
  <si>
    <t>លេខកាត</t>
  </si>
  <si>
    <t>ផ្នែក</t>
  </si>
  <si>
    <t>មុខងារ</t>
  </si>
  <si>
    <t>ភេទ</t>
  </si>
  <si>
    <t>សញ្ជាត្តិ</t>
  </si>
  <si>
    <t>ថ្ងៃចូលធ្វើការ</t>
  </si>
  <si>
    <t>លេខ/អត្តសញ្ញាណប័ណ្ណ</t>
  </si>
  <si>
    <t>ថ្ងៃខែឆ្នាំកំណើត</t>
  </si>
  <si>
    <t>ប្រាក់​មូលដ្ឋាន</t>
  </si>
  <si>
    <t>ចំនួនធ្វើការពេលថ្ងៃ</t>
  </si>
  <si>
    <t>ប្រាក់ខែធ្វើការពេលថ្ងៃ</t>
  </si>
  <si>
    <t>ចំនួនម៉ោងថែមពេលថ្ងៃ</t>
  </si>
  <si>
    <t>ប្រាក់ខែថែមម៉ោងពេលយថ្ងៃ</t>
  </si>
  <si>
    <t>ចំនួនធ្វើការពេលយប់</t>
  </si>
  <si>
    <t>ចំនួនម៉ោងថែមពេលយប់</t>
  </si>
  <si>
    <t>ប្រាក់ខែថែមម៉ោងពេលយប់</t>
  </si>
  <si>
    <t>ចំនួនថ្ងៃនៃការឈប់សម្រាកប្រចាំឆ្នាំ</t>
  </si>
  <si>
    <t>ឈប់សម្រាកប្រចាំឆ្នាំ</t>
  </si>
  <si>
    <t>ប្រាក់រង្វាន់ លើសចំនួន</t>
  </si>
  <si>
    <t>ប្រាក់ធ្វើដំណើរ</t>
  </si>
  <si>
    <t>ប្រាក់អាហារ</t>
  </si>
  <si>
    <t>រង្វាន់​ធ្វើការទៀងទាត់</t>
  </si>
  <si>
    <t>ប្រាក់បាយថែមម៉ោង</t>
  </si>
  <si>
    <t>ប្រាក់ជំនាញ</t>
  </si>
  <si>
    <t>ប្រាក់ឈ្នួលអតីតភាពការងារ</t>
  </si>
  <si>
    <t>5% នៃប្រាក់កិច្ចសន្យា</t>
  </si>
  <si>
    <t>ប្រាក់ខែជាមុន</t>
  </si>
  <si>
    <t>សៀវភៅការងារ</t>
  </si>
  <si>
    <t>សរុប</t>
  </si>
  <si>
    <t>ហត្ថលេខា</t>
  </si>
  <si>
    <t>ធានារាប់រង</t>
  </si>
  <si>
    <t>ប្រាក់ខែសរុប</t>
  </si>
  <si>
    <t>社保汇率</t>
  </si>
  <si>
    <t>扣社保 柬币</t>
  </si>
  <si>
    <r>
      <rPr>
        <sz val="12"/>
        <color theme="1"/>
        <rFont val="宋体"/>
        <charset val="134"/>
        <scheme val="minor"/>
      </rPr>
      <t xml:space="preserve">扣社保 </t>
    </r>
    <r>
      <rPr>
        <u/>
        <sz val="12"/>
        <color theme="1"/>
        <rFont val="宋体"/>
        <charset val="134"/>
        <scheme val="minor"/>
      </rPr>
      <t>$</t>
    </r>
  </si>
  <si>
    <r>
      <rPr>
        <sz val="11"/>
        <color theme="1"/>
        <rFont val="华文中宋"/>
        <charset val="134"/>
      </rPr>
      <t>序号</t>
    </r>
  </si>
  <si>
    <r>
      <rPr>
        <sz val="11"/>
        <color theme="1"/>
        <rFont val="华文中宋"/>
        <charset val="134"/>
      </rPr>
      <t>姓名</t>
    </r>
  </si>
  <si>
    <r>
      <rPr>
        <sz val="11"/>
        <color theme="1"/>
        <rFont val="华文中宋"/>
        <charset val="134"/>
      </rPr>
      <t>姓</t>
    </r>
  </si>
  <si>
    <r>
      <rPr>
        <sz val="11"/>
        <color theme="1"/>
        <rFont val="华文中宋"/>
        <charset val="134"/>
      </rPr>
      <t>名</t>
    </r>
  </si>
  <si>
    <r>
      <rPr>
        <sz val="11"/>
        <color theme="1"/>
        <rFont val="华文中宋"/>
        <charset val="134"/>
      </rPr>
      <t>英文姓名</t>
    </r>
  </si>
  <si>
    <t>姓</t>
  </si>
  <si>
    <r>
      <rPr>
        <sz val="9"/>
        <color theme="1"/>
        <rFont val="华文中宋"/>
        <charset val="134"/>
      </rPr>
      <t>名</t>
    </r>
  </si>
  <si>
    <r>
      <rPr>
        <sz val="11"/>
        <color theme="1"/>
        <rFont val="华文中宋"/>
        <charset val="134"/>
      </rPr>
      <t>医保卡号</t>
    </r>
  </si>
  <si>
    <r>
      <rPr>
        <sz val="11"/>
        <color theme="1"/>
        <rFont val="华文中宋"/>
        <charset val="134"/>
      </rPr>
      <t>工号</t>
    </r>
  </si>
  <si>
    <r>
      <rPr>
        <sz val="11"/>
        <color theme="1"/>
        <rFont val="华文中宋"/>
        <charset val="134"/>
      </rPr>
      <t>部门</t>
    </r>
  </si>
  <si>
    <r>
      <rPr>
        <sz val="11"/>
        <color theme="1"/>
        <rFont val="华文中宋"/>
        <charset val="134"/>
      </rPr>
      <t>职位</t>
    </r>
  </si>
  <si>
    <r>
      <rPr>
        <sz val="11"/>
        <color theme="1"/>
        <rFont val="华文中宋"/>
        <charset val="134"/>
      </rPr>
      <t>性别</t>
    </r>
  </si>
  <si>
    <r>
      <rPr>
        <sz val="11"/>
        <color theme="1"/>
        <rFont val="华文中宋"/>
        <charset val="134"/>
      </rPr>
      <t>国籍</t>
    </r>
  </si>
  <si>
    <r>
      <rPr>
        <sz val="11"/>
        <color theme="1"/>
        <rFont val="华文中宋"/>
        <charset val="134"/>
      </rPr>
      <t>入厂日期</t>
    </r>
  </si>
  <si>
    <t>身份证号</t>
  </si>
  <si>
    <r>
      <rPr>
        <sz val="11"/>
        <color theme="1"/>
        <rFont val="华文中宋"/>
        <charset val="134"/>
      </rPr>
      <t>出生日期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</si>
  <si>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</si>
  <si>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白天出勤</t>
    </r>
  </si>
  <si>
    <r>
      <rPr>
        <sz val="11"/>
        <rFont val="宋体"/>
        <charset val="134"/>
      </rPr>
      <t>白班工资</t>
    </r>
  </si>
  <si>
    <r>
      <rPr>
        <sz val="10"/>
        <rFont val="宋体"/>
        <charset val="134"/>
      </rPr>
      <t>白班加班小时数</t>
    </r>
  </si>
  <si>
    <r>
      <rPr>
        <sz val="11"/>
        <rFont val="宋体"/>
        <charset val="134"/>
      </rPr>
      <t>白班加班工资</t>
    </r>
  </si>
  <si>
    <r>
      <rPr>
        <sz val="11"/>
        <rFont val="宋体"/>
        <charset val="134"/>
      </rPr>
      <t>夜班出勤</t>
    </r>
  </si>
  <si>
    <r>
      <rPr>
        <sz val="11"/>
        <rFont val="宋体"/>
        <charset val="134"/>
      </rPr>
      <t>夜班工资</t>
    </r>
  </si>
  <si>
    <r>
      <rPr>
        <sz val="11"/>
        <color rgb="FF00B050"/>
        <rFont val="宋体"/>
        <charset val="134"/>
      </rPr>
      <t>夜班加班小时数</t>
    </r>
  </si>
  <si>
    <r>
      <rPr>
        <sz val="11"/>
        <color rgb="FF00B050"/>
        <rFont val="宋体"/>
        <charset val="134"/>
      </rPr>
      <t>夜班加班工资</t>
    </r>
  </si>
  <si>
    <r>
      <rPr>
        <sz val="11"/>
        <rFont val="宋体"/>
        <charset val="134"/>
      </rPr>
      <t>假期天数</t>
    </r>
  </si>
  <si>
    <r>
      <rPr>
        <sz val="11"/>
        <rFont val="宋体"/>
        <charset val="134"/>
      </rPr>
      <t>假期工资</t>
    </r>
  </si>
  <si>
    <r>
      <rPr>
        <sz val="11"/>
        <rFont val="宋体"/>
        <charset val="134"/>
      </rPr>
      <t>年假天数</t>
    </r>
  </si>
  <si>
    <r>
      <rPr>
        <sz val="11"/>
        <rFont val="宋体"/>
        <charset val="134"/>
      </rPr>
      <t>年假工资</t>
    </r>
  </si>
  <si>
    <r>
      <rPr>
        <sz val="11"/>
        <rFont val="宋体"/>
        <charset val="134"/>
      </rPr>
      <t>计件</t>
    </r>
    <r>
      <rPr>
        <sz val="11"/>
        <rFont val="Khmer OS Content"/>
        <charset val="134"/>
      </rPr>
      <t>/</t>
    </r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</si>
  <si>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车费补贴</t>
    </r>
  </si>
  <si>
    <r>
      <rPr>
        <sz val="11"/>
        <rFont val="宋体"/>
        <charset val="134"/>
      </rPr>
      <t>餐费补贴</t>
    </r>
  </si>
  <si>
    <r>
      <rPr>
        <sz val="11"/>
        <rFont val="宋体"/>
        <charset val="134"/>
      </rPr>
      <t>全勤奖</t>
    </r>
  </si>
  <si>
    <r>
      <rPr>
        <sz val="11"/>
        <rFont val="宋体"/>
        <charset val="134"/>
      </rPr>
      <t>加班饭补</t>
    </r>
  </si>
  <si>
    <r>
      <rPr>
        <sz val="11"/>
        <rFont val="宋体"/>
        <charset val="134"/>
      </rPr>
      <t>职务津贴</t>
    </r>
  </si>
  <si>
    <r>
      <rPr>
        <sz val="11"/>
        <rFont val="宋体"/>
        <charset val="134"/>
      </rPr>
      <t>工龄工资</t>
    </r>
  </si>
  <si>
    <r>
      <rPr>
        <sz val="11"/>
        <rFont val="Khmer OS Content"/>
        <charset val="134"/>
      </rPr>
      <t>5%</t>
    </r>
    <r>
      <rPr>
        <sz val="11"/>
        <rFont val="宋体"/>
        <charset val="134"/>
      </rPr>
      <t>合同款</t>
    </r>
  </si>
  <si>
    <r>
      <rPr>
        <sz val="11"/>
        <rFont val="宋体"/>
        <charset val="134"/>
      </rPr>
      <t>预发工资</t>
    </r>
  </si>
  <si>
    <t>劳工证</t>
  </si>
  <si>
    <t>合计</t>
  </si>
  <si>
    <r>
      <rPr>
        <sz val="11"/>
        <rFont val="宋体"/>
        <charset val="134"/>
      </rPr>
      <t>签章</t>
    </r>
  </si>
  <si>
    <r>
      <rPr>
        <sz val="11"/>
        <rFont val="宋体"/>
        <charset val="134"/>
      </rPr>
      <t>扣保险</t>
    </r>
  </si>
  <si>
    <r>
      <rPr>
        <sz val="11"/>
        <rFont val="宋体"/>
        <charset val="134"/>
      </rPr>
      <t>总工资上半月</t>
    </r>
    <r>
      <rPr>
        <sz val="11"/>
        <rFont val="Khmer OS Content"/>
        <charset val="134"/>
      </rPr>
      <t>+</t>
    </r>
    <r>
      <rPr>
        <sz val="11"/>
        <rFont val="宋体"/>
        <charset val="134"/>
      </rPr>
      <t>下半月</t>
    </r>
  </si>
  <si>
    <r>
      <rPr>
        <sz val="11"/>
        <rFont val="宋体"/>
        <charset val="134"/>
      </rPr>
      <t>合计</t>
    </r>
  </si>
  <si>
    <t>កប សុខគាន</t>
  </si>
  <si>
    <t>កប</t>
  </si>
  <si>
    <t>សុខគាន</t>
  </si>
  <si>
    <t>KOB SOKEAN</t>
  </si>
  <si>
    <t>KOB</t>
  </si>
  <si>
    <t>SOKEAN</t>
  </si>
  <si>
    <t>29210160398499ហ</t>
  </si>
  <si>
    <t>HMD1006</t>
  </si>
  <si>
    <t>រដ្ឋបាល</t>
  </si>
  <si>
    <t>ស្រី</t>
  </si>
  <si>
    <t>ខ្មែរ</t>
  </si>
  <si>
    <t>17/06/2024</t>
  </si>
  <si>
    <t>ណូ ស្រ៊ុល</t>
  </si>
  <si>
    <t xml:space="preserve">ណូ </t>
  </si>
  <si>
    <t>ស្រ៊ុល</t>
  </si>
  <si>
    <t>NO SROL</t>
  </si>
  <si>
    <t xml:space="preserve">NO </t>
  </si>
  <si>
    <t>SROL</t>
  </si>
  <si>
    <t>19602191995946ច</t>
  </si>
  <si>
    <t>កម្មករ</t>
  </si>
  <si>
    <t>កម្មករផ្សាដែក</t>
  </si>
  <si>
    <t>M</t>
  </si>
  <si>
    <t>100705700(01)</t>
  </si>
  <si>
    <t>ឆេង រីឆាត</t>
  </si>
  <si>
    <t xml:space="preserve">ឆេង </t>
  </si>
  <si>
    <t>រីឆាត</t>
  </si>
  <si>
    <t>CHHENG RECHAT</t>
  </si>
  <si>
    <t xml:space="preserve">CHHENG </t>
  </si>
  <si>
    <t>RECHAT</t>
  </si>
  <si>
    <t>10503243466835ទ</t>
  </si>
  <si>
    <t>ឆោម ភារឹម</t>
  </si>
  <si>
    <t xml:space="preserve">ឆោម </t>
  </si>
  <si>
    <t>ភារឹម</t>
  </si>
  <si>
    <t>CHHOM PHEAROEN</t>
  </si>
  <si>
    <t xml:space="preserve">CHHOM </t>
  </si>
  <si>
    <t>PHEAROEN</t>
  </si>
  <si>
    <t>19904170689746ច</t>
  </si>
  <si>
    <t>ឆេង ប៉ូច</t>
  </si>
  <si>
    <t>ប៉ូច</t>
  </si>
  <si>
    <t>CHHENG PAUCH</t>
  </si>
  <si>
    <t>PAUCH</t>
  </si>
  <si>
    <t>19203170677622ប</t>
  </si>
  <si>
    <t>បោយ សាវឿន</t>
  </si>
  <si>
    <t xml:space="preserve">បោយ </t>
  </si>
  <si>
    <t xml:space="preserve"> សាវឿន</t>
  </si>
  <si>
    <t>BAOY SAVOEUN</t>
  </si>
  <si>
    <t xml:space="preserve">BAOY </t>
  </si>
  <si>
    <t xml:space="preserve"> SAVOEUN</t>
  </si>
  <si>
    <t>លិន ឡេត</t>
  </si>
  <si>
    <t xml:space="preserve">លិន </t>
  </si>
  <si>
    <t>ឡេត</t>
  </si>
  <si>
    <t>LIN LET</t>
  </si>
  <si>
    <t xml:space="preserve">LIN </t>
  </si>
  <si>
    <t>LET</t>
  </si>
  <si>
    <t>18503170678045ព</t>
  </si>
  <si>
    <t>កម្មករឡរ</t>
  </si>
  <si>
    <t>ពាង សារិ</t>
  </si>
  <si>
    <t xml:space="preserve">ពាង </t>
  </si>
  <si>
    <t>សារិ</t>
  </si>
  <si>
    <t>PEANG SARE</t>
  </si>
  <si>
    <t xml:space="preserve">PEANG </t>
  </si>
  <si>
    <t>SARE</t>
  </si>
  <si>
    <t>10107192134015គ</t>
  </si>
  <si>
    <t>ភឹម សុភ័ក្ត</t>
  </si>
  <si>
    <t xml:space="preserve">ភឹម </t>
  </si>
  <si>
    <t>សុភ័ក្ត</t>
  </si>
  <si>
    <t>PHOEM SOPHEAK</t>
  </si>
  <si>
    <t xml:space="preserve">PHOEM </t>
  </si>
  <si>
    <t>SOPHEAK</t>
  </si>
  <si>
    <t>10104170691769ន</t>
  </si>
  <si>
    <t>សម័យ ពិសី</t>
  </si>
  <si>
    <t>សម័យ</t>
  </si>
  <si>
    <t xml:space="preserve"> ពិសី</t>
  </si>
  <si>
    <t>SAKMAI PESEY</t>
  </si>
  <si>
    <t>SAKMAI</t>
  </si>
  <si>
    <t xml:space="preserve"> PESEY</t>
  </si>
  <si>
    <t>10202222770968ត</t>
  </si>
  <si>
    <t>ប្រុស</t>
  </si>
  <si>
    <t>សេន  រឹត</t>
  </si>
  <si>
    <t xml:space="preserve">សេន </t>
  </si>
  <si>
    <t xml:space="preserve"> រឹត</t>
  </si>
  <si>
    <t>SEN  RIT</t>
  </si>
  <si>
    <t xml:space="preserve">SEN  </t>
  </si>
  <si>
    <t>RIT</t>
  </si>
  <si>
    <t>10605243559673ភ</t>
  </si>
  <si>
    <t>រី ហាម៉ាត់</t>
  </si>
  <si>
    <t>រី</t>
  </si>
  <si>
    <t>ហាម៉ាត់</t>
  </si>
  <si>
    <t>RY HAMATH</t>
  </si>
  <si>
    <t>RY</t>
  </si>
  <si>
    <t>HAMATH</t>
  </si>
  <si>
    <t>ឆាង វណ្ណឈាន</t>
  </si>
  <si>
    <t>ឆាង</t>
  </si>
  <si>
    <t xml:space="preserve"> វណ្ណឈាន</t>
  </si>
  <si>
    <t>CHHANH VANCHHEAN</t>
  </si>
  <si>
    <t xml:space="preserve">CHHANH </t>
  </si>
  <si>
    <t>VANCHHEAN</t>
  </si>
  <si>
    <t>19906233124751ប</t>
  </si>
  <si>
    <t>电焊</t>
  </si>
  <si>
    <t>110645578</t>
  </si>
  <si>
    <t>ប៊ុន វ៉ាន់</t>
  </si>
  <si>
    <t>ប៊ុន</t>
  </si>
  <si>
    <t>វ៉ាន់</t>
  </si>
  <si>
    <t>BUN VANN</t>
  </si>
  <si>
    <t>BUN</t>
  </si>
  <si>
    <t>VANN</t>
  </si>
  <si>
    <t>19003243426694ប</t>
  </si>
  <si>
    <t>កម្មករវេចខ្ចប់</t>
  </si>
  <si>
    <t>តឹម ត្រើក</t>
  </si>
  <si>
    <t>តឹម</t>
  </si>
  <si>
    <t>ត្រើក</t>
  </si>
  <si>
    <t>TOEM TREUK</t>
  </si>
  <si>
    <t xml:space="preserve">TOEM </t>
  </si>
  <si>
    <t>TREUK</t>
  </si>
  <si>
    <t>19310160379600ឍ</t>
  </si>
  <si>
    <t>ប្រធាន</t>
  </si>
  <si>
    <t>ប្រធានវេចខ្ចប់</t>
  </si>
  <si>
    <t>11-03-1993</t>
  </si>
  <si>
    <t>审批：</t>
  </si>
  <si>
    <t>审核：</t>
  </si>
  <si>
    <t>复核：</t>
  </si>
  <si>
    <t>制表：KIM SAMET</t>
  </si>
  <si>
    <t>10012244068984ថ</t>
  </si>
  <si>
    <t>CHI LINGJUAN</t>
  </si>
  <si>
    <t>27303243458507ប</t>
  </si>
  <si>
    <t>HMD1001</t>
  </si>
  <si>
    <t>GUO JUNTAO</t>
  </si>
  <si>
    <t>17503243458532ន</t>
  </si>
  <si>
    <t>HMD1003</t>
  </si>
  <si>
    <t>ZHANG JINGMING</t>
  </si>
  <si>
    <t>17910160396065ផ</t>
  </si>
  <si>
    <t>HMD1004</t>
  </si>
  <si>
    <t>LU FAN</t>
  </si>
  <si>
    <t>19107243700462ឍ</t>
  </si>
  <si>
    <t>HMD1007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</si>
</sst>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26">
    <numFmt numFmtId="7" formatCode="&quot;$&quot;#,##0.00_);\(&quot;$&quot;#,##0.00\)"/>
    <numFmt numFmtId="41" formatCode="_(* #,##0_);_(* \(#,##0\);_(* &quot;-&quot;_);_(@_)"/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  <numFmt numFmtId="178" formatCode="[$-10453]yyyy\-mm\-dd;@"/>
    <numFmt numFmtId="179" formatCode="[$-409]d/mmm/yy;@"/>
    <numFmt numFmtId="180" formatCode="[$-409]d/mmm/yyyy;@"/>
    <numFmt numFmtId="181" formatCode="0_);[Red]\(0\)"/>
    <numFmt numFmtId="182" formatCode="0.0"/>
    <numFmt numFmtId="183" formatCode="[$-409]d\-mmm\-yy;@"/>
    <numFmt numFmtId="184" formatCode="0########"/>
    <numFmt numFmtId="185" formatCode="dd/mm/yyyy;@"/>
    <numFmt numFmtId="186" formatCode="[$-10453]yyyy/mm/dd;@"/>
    <numFmt numFmtId="187" formatCode="[$-409]d\-mmm\-yyyy;@"/>
    <numFmt numFmtId="188" formatCode="000000000"/>
    <numFmt numFmtId="189" formatCode="0.00_);\(0.00\)"/>
    <numFmt numFmtId="190" formatCode="0.00_);[Red]\(0.00\)"/>
    <numFmt numFmtId="191" formatCode="0.00_ "/>
    <numFmt numFmtId="192" formatCode="_(* #,##0.00_);_(* \(#,##0.00\);_(* &quot;-&quot;_);_(@_)"/>
    <numFmt numFmtId="193" formatCode="0.0_);[Red]\(0.0\)"/>
    <numFmt numFmtId="194" formatCode="0.0_ "/>
    <numFmt numFmtId="195" formatCode="_(* #,##0.0_);_(* \(#,##0.0\);_(* &quot;-&quot;_);_(@_)"/>
    <numFmt numFmtId="196" formatCode="[$KHR]\ #,##0.00;[$KHR]\ \-#,##0.00"/>
    <numFmt numFmtId="197" formatCode="[$KHR]\ #,##0.00_);[Red]\([$KHR]\ #,##0.00\)"/>
  </numFmts>
  <fonts count="74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sz val="22"/>
      <name val="Khmer OS Muol Light"/>
      <charset val="134"/>
    </font>
    <font>
      <sz val="22"/>
      <name val="宋体"/>
      <charset val="134"/>
    </font>
    <font>
      <b/>
      <sz val="16"/>
      <color theme="1"/>
      <name val="宋体"/>
      <charset val="134"/>
      <scheme val="minor"/>
    </font>
    <font>
      <sz val="10"/>
      <color theme="1"/>
      <name val="Khmer OS Content"/>
      <charset val="134"/>
    </font>
    <font>
      <sz val="9"/>
      <color theme="1"/>
      <name val="Khmer OS Freehand"/>
      <charset val="134"/>
    </font>
    <font>
      <sz val="11"/>
      <color theme="1"/>
      <name val="Khmer OS Content"/>
      <charset val="134"/>
    </font>
    <font>
      <sz val="9"/>
      <color theme="1"/>
      <name val="宋体"/>
      <charset val="134"/>
    </font>
    <font>
      <sz val="11"/>
      <color theme="1"/>
      <name val="Times New Roman"/>
      <charset val="134"/>
    </font>
    <font>
      <sz val="11"/>
      <color theme="1"/>
      <name val="宋体"/>
      <charset val="134"/>
    </font>
    <font>
      <sz val="11"/>
      <color theme="1"/>
      <name val="Khmer OS Freehand"/>
      <charset val="134"/>
    </font>
    <font>
      <sz val="12"/>
      <color theme="1"/>
      <name val="Khmer OS Freehand"/>
      <charset val="134"/>
    </font>
    <font>
      <b/>
      <sz val="10"/>
      <color theme="1"/>
      <name val="Khmer OS Content"/>
      <charset val="134"/>
    </font>
    <font>
      <b/>
      <sz val="10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theme="1"/>
      <name val="华文中宋"/>
      <charset val="134"/>
    </font>
    <font>
      <b/>
      <sz val="12"/>
      <color theme="1"/>
      <name val="Khmer OS Content"/>
      <charset val="134"/>
    </font>
    <font>
      <sz val="11"/>
      <name val="Khmer OS Content"/>
      <charset val="134"/>
    </font>
    <font>
      <b/>
      <sz val="12"/>
      <name val="Khmer OS Content"/>
      <charset val="134"/>
    </font>
    <font>
      <sz val="12"/>
      <color theme="1"/>
      <name val="Khmer OS Content"/>
      <charset val="134"/>
    </font>
    <font>
      <sz val="12"/>
      <color theme="1"/>
      <name val="Times New Roman"/>
      <charset val="134"/>
    </font>
    <font>
      <sz val="10"/>
      <name val="Khmer OS Content"/>
      <charset val="134"/>
    </font>
    <font>
      <sz val="11"/>
      <color rgb="FF00B050"/>
      <name val="Khmer OS Content"/>
      <charset val="134"/>
    </font>
    <font>
      <b/>
      <sz val="11"/>
      <name val="Arial"/>
      <charset val="134"/>
    </font>
    <font>
      <sz val="11"/>
      <color theme="1"/>
      <name val="Arial"/>
      <charset val="134"/>
    </font>
    <font>
      <sz val="11"/>
      <name val="Arial"/>
      <charset val="134"/>
    </font>
    <font>
      <sz val="12"/>
      <name val="Arial"/>
      <charset val="134"/>
    </font>
    <font>
      <sz val="12"/>
      <color theme="1"/>
      <name val="Arial"/>
      <charset val="134"/>
    </font>
    <font>
      <b/>
      <sz val="10"/>
      <color theme="1"/>
      <name val="Arial"/>
      <charset val="134"/>
    </font>
    <font>
      <sz val="18"/>
      <name val="Khmer OS Muol Light"/>
      <charset val="134"/>
    </font>
    <font>
      <sz val="18"/>
      <name val="宋体"/>
      <charset val="134"/>
    </font>
    <font>
      <sz val="14"/>
      <color theme="1"/>
      <name val="Khmer OS Content"/>
      <charset val="134"/>
    </font>
    <font>
      <sz val="11"/>
      <name val="宋体"/>
      <charset val="134"/>
    </font>
    <font>
      <sz val="14"/>
      <name val="宋体"/>
      <charset val="134"/>
    </font>
    <font>
      <b/>
      <sz val="18"/>
      <color theme="1"/>
      <name val="Arial"/>
      <charset val="134"/>
    </font>
    <font>
      <sz val="12"/>
      <color rgb="FFFF0000"/>
      <name val="Arial"/>
      <charset val="134"/>
    </font>
    <font>
      <b/>
      <sz val="14"/>
      <color theme="1"/>
      <name val="宋体"/>
      <charset val="134"/>
      <scheme val="minor"/>
    </font>
    <font>
      <sz val="11"/>
      <color rgb="FFFF0000"/>
      <name val="Arial"/>
      <charset val="134"/>
    </font>
    <font>
      <b/>
      <sz val="16"/>
      <color theme="1"/>
      <name val="Arial"/>
      <charset val="134"/>
    </font>
    <font>
      <sz val="12"/>
      <name val="Khmer OS Content"/>
      <charset val="134"/>
    </font>
    <font>
      <sz val="12"/>
      <color rgb="FFFF0000"/>
      <name val="Khmer OS Content"/>
      <charset val="134"/>
    </font>
    <font>
      <sz val="14"/>
      <color rgb="FFFF0000"/>
      <name val="Khmer OS Content"/>
      <charset val="134"/>
    </font>
    <font>
      <b/>
      <sz val="12"/>
      <color theme="1"/>
      <name val="宋体"/>
      <charset val="134"/>
      <scheme val="minor"/>
    </font>
    <font>
      <b/>
      <sz val="14"/>
      <color theme="1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sz val="11"/>
      <color rgb="FF00B050"/>
      <name val="宋体"/>
      <charset val="134"/>
    </font>
    <font>
      <sz val="10"/>
      <name val="宋体"/>
      <charset val="134"/>
    </font>
    <font>
      <sz val="9"/>
      <color theme="1"/>
      <name val="华文中宋"/>
      <charset val="134"/>
    </font>
    <font>
      <u/>
      <sz val="12"/>
      <color theme="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11" applyNumberFormat="0" applyFill="0" applyAlignment="0" applyProtection="0">
      <alignment vertical="center"/>
    </xf>
    <xf numFmtId="0" fontId="54" fillId="0" borderId="11" applyNumberFormat="0" applyFill="0" applyAlignment="0" applyProtection="0">
      <alignment vertical="center"/>
    </xf>
    <xf numFmtId="0" fontId="55" fillId="0" borderId="12" applyNumberFormat="0" applyFill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7" borderId="13" applyNumberFormat="0" applyAlignment="0" applyProtection="0">
      <alignment vertical="center"/>
    </xf>
    <xf numFmtId="0" fontId="57" fillId="8" borderId="14" applyNumberFormat="0" applyAlignment="0" applyProtection="0">
      <alignment vertical="center"/>
    </xf>
    <xf numFmtId="0" fontId="58" fillId="8" borderId="13" applyNumberFormat="0" applyAlignment="0" applyProtection="0">
      <alignment vertical="center"/>
    </xf>
    <xf numFmtId="0" fontId="59" fillId="9" borderId="15" applyNumberFormat="0" applyAlignment="0" applyProtection="0">
      <alignment vertical="center"/>
    </xf>
    <xf numFmtId="0" fontId="60" fillId="0" borderId="16" applyNumberFormat="0" applyFill="0" applyAlignment="0" applyProtection="0">
      <alignment vertical="center"/>
    </xf>
    <xf numFmtId="0" fontId="61" fillId="0" borderId="17" applyNumberFormat="0" applyFill="0" applyAlignment="0" applyProtection="0">
      <alignment vertical="center"/>
    </xf>
    <xf numFmtId="0" fontId="62" fillId="10" borderId="0" applyNumberFormat="0" applyBorder="0" applyAlignment="0" applyProtection="0">
      <alignment vertical="center"/>
    </xf>
    <xf numFmtId="0" fontId="63" fillId="11" borderId="0" applyNumberFormat="0" applyBorder="0" applyAlignment="0" applyProtection="0">
      <alignment vertical="center"/>
    </xf>
    <xf numFmtId="0" fontId="64" fillId="12" borderId="0" applyNumberFormat="0" applyBorder="0" applyAlignment="0" applyProtection="0">
      <alignment vertical="center"/>
    </xf>
    <xf numFmtId="0" fontId="65" fillId="13" borderId="0" applyNumberFormat="0" applyBorder="0" applyAlignment="0" applyProtection="0">
      <alignment vertical="center"/>
    </xf>
    <xf numFmtId="0" fontId="66" fillId="14" borderId="0" applyNumberFormat="0" applyBorder="0" applyAlignment="0" applyProtection="0">
      <alignment vertical="center"/>
    </xf>
    <xf numFmtId="0" fontId="66" fillId="15" borderId="0" applyNumberFormat="0" applyBorder="0" applyAlignment="0" applyProtection="0">
      <alignment vertical="center"/>
    </xf>
    <xf numFmtId="0" fontId="65" fillId="16" borderId="0" applyNumberFormat="0" applyBorder="0" applyAlignment="0" applyProtection="0">
      <alignment vertical="center"/>
    </xf>
    <xf numFmtId="0" fontId="65" fillId="17" borderId="0" applyNumberFormat="0" applyBorder="0" applyAlignment="0" applyProtection="0">
      <alignment vertical="center"/>
    </xf>
    <xf numFmtId="0" fontId="66" fillId="18" borderId="0" applyNumberFormat="0" applyBorder="0" applyAlignment="0" applyProtection="0">
      <alignment vertical="center"/>
    </xf>
    <xf numFmtId="0" fontId="66" fillId="19" borderId="0" applyNumberFormat="0" applyBorder="0" applyAlignment="0" applyProtection="0">
      <alignment vertical="center"/>
    </xf>
    <xf numFmtId="0" fontId="65" fillId="20" borderId="0" applyNumberFormat="0" applyBorder="0" applyAlignment="0" applyProtection="0">
      <alignment vertical="center"/>
    </xf>
    <xf numFmtId="0" fontId="65" fillId="21" borderId="0" applyNumberFormat="0" applyBorder="0" applyAlignment="0" applyProtection="0">
      <alignment vertical="center"/>
    </xf>
    <xf numFmtId="0" fontId="66" fillId="22" borderId="0" applyNumberFormat="0" applyBorder="0" applyAlignment="0" applyProtection="0">
      <alignment vertical="center"/>
    </xf>
    <xf numFmtId="0" fontId="66" fillId="23" borderId="0" applyNumberFormat="0" applyBorder="0" applyAlignment="0" applyProtection="0">
      <alignment vertical="center"/>
    </xf>
    <xf numFmtId="0" fontId="65" fillId="24" borderId="0" applyNumberFormat="0" applyBorder="0" applyAlignment="0" applyProtection="0">
      <alignment vertical="center"/>
    </xf>
    <xf numFmtId="0" fontId="65" fillId="25" borderId="0" applyNumberFormat="0" applyBorder="0" applyAlignment="0" applyProtection="0">
      <alignment vertical="center"/>
    </xf>
    <xf numFmtId="0" fontId="66" fillId="26" borderId="0" applyNumberFormat="0" applyBorder="0" applyAlignment="0" applyProtection="0">
      <alignment vertical="center"/>
    </xf>
    <xf numFmtId="0" fontId="66" fillId="27" borderId="0" applyNumberFormat="0" applyBorder="0" applyAlignment="0" applyProtection="0">
      <alignment vertical="center"/>
    </xf>
    <xf numFmtId="0" fontId="65" fillId="28" borderId="0" applyNumberFormat="0" applyBorder="0" applyAlignment="0" applyProtection="0">
      <alignment vertical="center"/>
    </xf>
    <xf numFmtId="0" fontId="65" fillId="29" borderId="0" applyNumberFormat="0" applyBorder="0" applyAlignment="0" applyProtection="0">
      <alignment vertical="center"/>
    </xf>
    <xf numFmtId="0" fontId="66" fillId="30" borderId="0" applyNumberFormat="0" applyBorder="0" applyAlignment="0" applyProtection="0">
      <alignment vertical="center"/>
    </xf>
    <xf numFmtId="0" fontId="66" fillId="31" borderId="0" applyNumberFormat="0" applyBorder="0" applyAlignment="0" applyProtection="0">
      <alignment vertical="center"/>
    </xf>
    <xf numFmtId="0" fontId="65" fillId="32" borderId="0" applyNumberFormat="0" applyBorder="0" applyAlignment="0" applyProtection="0">
      <alignment vertical="center"/>
    </xf>
    <xf numFmtId="0" fontId="65" fillId="33" borderId="0" applyNumberFormat="0" applyBorder="0" applyAlignment="0" applyProtection="0">
      <alignment vertical="center"/>
    </xf>
    <xf numFmtId="0" fontId="66" fillId="34" borderId="0" applyNumberFormat="0" applyBorder="0" applyAlignment="0" applyProtection="0">
      <alignment vertical="center"/>
    </xf>
    <xf numFmtId="0" fontId="66" fillId="35" borderId="0" applyNumberFormat="0" applyBorder="0" applyAlignment="0" applyProtection="0">
      <alignment vertical="center"/>
    </xf>
    <xf numFmtId="0" fontId="65" fillId="36" borderId="0" applyNumberFormat="0" applyBorder="0" applyAlignment="0" applyProtection="0">
      <alignment vertical="center"/>
    </xf>
    <xf numFmtId="178" fontId="67" fillId="0" borderId="0"/>
    <xf numFmtId="178" fontId="68" fillId="0" borderId="0"/>
    <xf numFmtId="178" fontId="0" fillId="0" borderId="0"/>
    <xf numFmtId="178" fontId="0" fillId="0" borderId="0"/>
    <xf numFmtId="178" fontId="0" fillId="0" borderId="0"/>
    <xf numFmtId="178" fontId="0" fillId="0" borderId="0"/>
    <xf numFmtId="179" fontId="69" fillId="0" borderId="0">
      <alignment vertical="center"/>
    </xf>
  </cellStyleXfs>
  <cellXfs count="173">
    <xf numFmtId="0" fontId="0" fillId="0" borderId="0" xfId="0"/>
    <xf numFmtId="0" fontId="0" fillId="2" borderId="0" xfId="0" applyFill="1"/>
    <xf numFmtId="0" fontId="1" fillId="0" borderId="0" xfId="0" applyFont="1"/>
    <xf numFmtId="0" fontId="2" fillId="2" borderId="0" xfId="0" applyFont="1" applyFill="1"/>
    <xf numFmtId="0" fontId="0" fillId="2" borderId="0" xfId="0" applyNumberFormat="1" applyFill="1"/>
    <xf numFmtId="0" fontId="3" fillId="2" borderId="0" xfId="0" applyFont="1" applyFill="1"/>
    <xf numFmtId="0" fontId="0" fillId="2" borderId="0" xfId="0" applyFont="1" applyFill="1" applyAlignment="1">
      <alignment horizontal="center"/>
    </xf>
    <xf numFmtId="180" fontId="0" fillId="2" borderId="0" xfId="0" applyNumberFormat="1" applyFill="1" applyAlignment="1">
      <alignment horizontal="center"/>
    </xf>
    <xf numFmtId="181" fontId="0" fillId="2" borderId="0" xfId="0" applyNumberFormat="1" applyFill="1"/>
    <xf numFmtId="182" fontId="0" fillId="2" borderId="0" xfId="0" applyNumberFormat="1" applyFill="1"/>
    <xf numFmtId="38" fontId="0" fillId="2" borderId="0" xfId="0" applyNumberFormat="1" applyFill="1"/>
    <xf numFmtId="0" fontId="4" fillId="2" borderId="0" xfId="0" applyFont="1" applyFill="1"/>
    <xf numFmtId="0" fontId="1" fillId="2" borderId="0" xfId="0" applyFont="1" applyFill="1"/>
    <xf numFmtId="183" fontId="5" fillId="2" borderId="0" xfId="0" applyNumberFormat="1" applyFont="1" applyFill="1" applyAlignment="1">
      <alignment horizontal="center" vertical="center"/>
    </xf>
    <xf numFmtId="183" fontId="6" fillId="2" borderId="0" xfId="0" applyNumberFormat="1" applyFont="1" applyFill="1" applyAlignment="1">
      <alignment horizontal="center" vertical="center"/>
    </xf>
    <xf numFmtId="0" fontId="7" fillId="2" borderId="1" xfId="0" applyNumberFormat="1" applyFont="1" applyFill="1" applyBorder="1" applyAlignment="1">
      <alignment horizontal="left" vertical="center" wrapText="1"/>
    </xf>
    <xf numFmtId="0" fontId="8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0" fillId="2" borderId="3" xfId="0" applyNumberFormat="1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12" fillId="2" borderId="3" xfId="0" applyNumberFormat="1" applyFont="1" applyFill="1" applyBorder="1" applyAlignment="1">
      <alignment horizontal="center" vertical="center"/>
    </xf>
    <xf numFmtId="0" fontId="13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/>
    </xf>
    <xf numFmtId="0" fontId="10" fillId="2" borderId="3" xfId="0" applyNumberFormat="1" applyFont="1" applyFill="1" applyBorder="1" applyAlignment="1">
      <alignment horizontal="center" vertical="center"/>
    </xf>
    <xf numFmtId="178" fontId="10" fillId="2" borderId="3" xfId="54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6" fillId="2" borderId="3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6" fillId="2" borderId="5" xfId="0" applyFont="1" applyFill="1" applyBorder="1" applyAlignment="1">
      <alignment horizontal="center" vertical="center"/>
    </xf>
    <xf numFmtId="0" fontId="18" fillId="2" borderId="0" xfId="0" applyFont="1" applyFill="1" applyAlignment="1">
      <alignment horizontal="center" vertical="center"/>
    </xf>
    <xf numFmtId="0" fontId="18" fillId="2" borderId="0" xfId="0" applyFont="1" applyFill="1"/>
    <xf numFmtId="183" fontId="8" fillId="2" borderId="2" xfId="0" applyNumberFormat="1" applyFont="1" applyFill="1" applyBorder="1" applyAlignment="1">
      <alignment horizontal="center" vertical="center" wrapText="1"/>
    </xf>
    <xf numFmtId="184" fontId="10" fillId="2" borderId="2" xfId="0" applyNumberFormat="1" applyFont="1" applyFill="1" applyBorder="1" applyAlignment="1">
      <alignment horizontal="center" vertical="center" wrapText="1"/>
    </xf>
    <xf numFmtId="180" fontId="8" fillId="2" borderId="2" xfId="0" applyNumberFormat="1" applyFont="1" applyFill="1" applyBorder="1" applyAlignment="1">
      <alignment horizontal="center" vertical="center" wrapText="1"/>
    </xf>
    <xf numFmtId="183" fontId="10" fillId="2" borderId="3" xfId="0" applyNumberFormat="1" applyFont="1" applyFill="1" applyBorder="1" applyAlignment="1">
      <alignment horizontal="center" vertical="center" wrapText="1"/>
    </xf>
    <xf numFmtId="183" fontId="19" fillId="2" borderId="3" xfId="0" applyNumberFormat="1" applyFont="1" applyFill="1" applyBorder="1" applyAlignment="1">
      <alignment horizontal="center" vertical="center" wrapText="1"/>
    </xf>
    <xf numFmtId="180" fontId="10" fillId="2" borderId="3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 wrapText="1"/>
    </xf>
    <xf numFmtId="49" fontId="19" fillId="2" borderId="3" xfId="0" applyNumberFormat="1" applyFont="1" applyFill="1" applyBorder="1" applyAlignment="1">
      <alignment horizontal="center" vertical="center" wrapText="1"/>
    </xf>
    <xf numFmtId="0" fontId="20" fillId="2" borderId="3" xfId="0" applyNumberFormat="1" applyFont="1" applyFill="1" applyBorder="1" applyAlignment="1">
      <alignment horizontal="center" vertical="center"/>
    </xf>
    <xf numFmtId="185" fontId="21" fillId="2" borderId="3" xfId="0" applyNumberFormat="1" applyFont="1" applyFill="1" applyBorder="1" applyAlignment="1">
      <alignment horizontal="center" vertical="center"/>
    </xf>
    <xf numFmtId="58" fontId="10" fillId="2" borderId="3" xfId="0" applyNumberFormat="1" applyFont="1" applyFill="1" applyBorder="1" applyAlignment="1">
      <alignment horizontal="center" vertical="center"/>
    </xf>
    <xf numFmtId="0" fontId="20" fillId="2" borderId="6" xfId="54" applyNumberFormat="1" applyFont="1" applyFill="1" applyBorder="1" applyAlignment="1">
      <alignment horizontal="center" vertical="center"/>
    </xf>
    <xf numFmtId="178" fontId="10" fillId="2" borderId="6" xfId="54" applyFont="1" applyFill="1" applyBorder="1" applyAlignment="1">
      <alignment horizontal="center" vertical="center"/>
    </xf>
    <xf numFmtId="185" fontId="10" fillId="2" borderId="3" xfId="54" applyNumberFormat="1" applyFont="1" applyFill="1" applyBorder="1" applyAlignment="1">
      <alignment horizontal="center" vertical="center"/>
    </xf>
    <xf numFmtId="0" fontId="10" fillId="2" borderId="3" xfId="51" applyNumberFormat="1" applyFont="1" applyFill="1" applyBorder="1" applyAlignment="1">
      <alignment horizontal="center" vertical="center"/>
    </xf>
    <xf numFmtId="58" fontId="10" fillId="2" borderId="0" xfId="51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185" fontId="10" fillId="2" borderId="3" xfId="0" applyNumberFormat="1" applyFont="1" applyFill="1" applyBorder="1" applyAlignment="1">
      <alignment horizontal="center" vertical="center"/>
    </xf>
    <xf numFmtId="186" fontId="10" fillId="2" borderId="3" xfId="0" applyNumberFormat="1" applyFont="1" applyFill="1" applyBorder="1" applyAlignment="1">
      <alignment horizontal="center" vertical="center"/>
    </xf>
    <xf numFmtId="0" fontId="22" fillId="2" borderId="3" xfId="0" applyNumberFormat="1" applyFont="1" applyFill="1" applyBorder="1" applyAlignment="1">
      <alignment horizontal="center" vertical="center"/>
    </xf>
    <xf numFmtId="187" fontId="10" fillId="2" borderId="3" xfId="0" applyNumberFormat="1" applyFont="1" applyFill="1" applyBorder="1" applyAlignment="1">
      <alignment horizontal="center" vertical="center"/>
    </xf>
    <xf numFmtId="0" fontId="23" fillId="2" borderId="3" xfId="0" applyFont="1" applyFill="1" applyBorder="1" applyAlignment="1">
      <alignment horizontal="center" vertical="center"/>
    </xf>
    <xf numFmtId="187" fontId="23" fillId="2" borderId="3" xfId="0" applyNumberFormat="1" applyFont="1" applyFill="1" applyBorder="1" applyAlignment="1">
      <alignment horizontal="center" vertical="center"/>
    </xf>
    <xf numFmtId="188" fontId="24" fillId="2" borderId="3" xfId="0" applyNumberFormat="1" applyFont="1" applyFill="1" applyBorder="1" applyAlignment="1">
      <alignment horizontal="center" vertical="center"/>
    </xf>
    <xf numFmtId="0" fontId="16" fillId="2" borderId="7" xfId="0" applyFont="1" applyFill="1" applyBorder="1" applyAlignment="1">
      <alignment horizontal="center" vertical="center"/>
    </xf>
    <xf numFmtId="0" fontId="16" fillId="2" borderId="3" xfId="0" applyFont="1" applyFill="1" applyBorder="1" applyAlignment="1">
      <alignment horizontal="center"/>
    </xf>
    <xf numFmtId="180" fontId="16" fillId="2" borderId="3" xfId="0" applyNumberFormat="1" applyFont="1" applyFill="1" applyBorder="1" applyAlignment="1">
      <alignment horizontal="center"/>
    </xf>
    <xf numFmtId="0" fontId="18" fillId="2" borderId="0" xfId="0" applyNumberFormat="1" applyFont="1" applyFill="1"/>
    <xf numFmtId="0" fontId="18" fillId="2" borderId="0" xfId="0" applyFont="1" applyFill="1" applyAlignment="1">
      <alignment horizontal="center"/>
    </xf>
    <xf numFmtId="180" fontId="18" fillId="2" borderId="0" xfId="0" applyNumberFormat="1" applyFont="1" applyFill="1" applyAlignment="1">
      <alignment horizontal="center"/>
    </xf>
    <xf numFmtId="189" fontId="8" fillId="2" borderId="2" xfId="0" applyNumberFormat="1" applyFont="1" applyFill="1" applyBorder="1" applyAlignment="1">
      <alignment horizontal="center" vertical="center" wrapText="1"/>
    </xf>
    <xf numFmtId="7" fontId="8" fillId="2" borderId="2" xfId="0" applyNumberFormat="1" applyFont="1" applyFill="1" applyBorder="1" applyAlignment="1">
      <alignment horizontal="center" vertical="center" wrapText="1"/>
    </xf>
    <xf numFmtId="181" fontId="8" fillId="2" borderId="2" xfId="0" applyNumberFormat="1" applyFont="1" applyFill="1" applyBorder="1" applyAlignment="1">
      <alignment horizontal="center" vertical="center" wrapText="1"/>
    </xf>
    <xf numFmtId="0" fontId="21" fillId="2" borderId="3" xfId="55" applyNumberFormat="1" applyFont="1" applyFill="1" applyBorder="1" applyAlignment="1">
      <alignment horizontal="center" vertical="center" wrapText="1"/>
    </xf>
    <xf numFmtId="0" fontId="21" fillId="2" borderId="3" xfId="0" applyNumberFormat="1" applyFont="1" applyFill="1" applyBorder="1" applyAlignment="1">
      <alignment horizontal="center" vertical="center" wrapText="1"/>
    </xf>
    <xf numFmtId="189" fontId="21" fillId="2" borderId="3" xfId="0" applyNumberFormat="1" applyFont="1" applyFill="1" applyBorder="1" applyAlignment="1">
      <alignment horizontal="center" vertical="center" wrapText="1"/>
    </xf>
    <xf numFmtId="0" fontId="25" fillId="2" borderId="3" xfId="55" applyNumberFormat="1" applyFont="1" applyFill="1" applyBorder="1" applyAlignment="1">
      <alignment horizontal="center" vertical="center" wrapText="1"/>
    </xf>
    <xf numFmtId="189" fontId="21" fillId="2" borderId="3" xfId="1" applyNumberFormat="1" applyFont="1" applyFill="1" applyBorder="1" applyAlignment="1">
      <alignment horizontal="center" vertical="center" wrapText="1"/>
    </xf>
    <xf numFmtId="7" fontId="21" fillId="2" borderId="3" xfId="55" applyNumberFormat="1" applyFont="1" applyFill="1" applyBorder="1" applyAlignment="1">
      <alignment horizontal="center" vertical="center" wrapText="1"/>
    </xf>
    <xf numFmtId="181" fontId="26" fillId="2" borderId="3" xfId="55" applyNumberFormat="1" applyFont="1" applyFill="1" applyBorder="1" applyAlignment="1">
      <alignment horizontal="center" vertical="center" wrapText="1"/>
    </xf>
    <xf numFmtId="0" fontId="27" fillId="2" borderId="3" xfId="55" applyNumberFormat="1" applyFont="1" applyFill="1" applyBorder="1" applyAlignment="1">
      <alignment horizontal="center" vertical="center" wrapText="1"/>
    </xf>
    <xf numFmtId="176" fontId="28" fillId="2" borderId="3" xfId="0" applyNumberFormat="1" applyFont="1" applyFill="1" applyBorder="1" applyAlignment="1">
      <alignment horizontal="center" vertical="center"/>
    </xf>
    <xf numFmtId="176" fontId="29" fillId="2" borderId="3" xfId="1" applyNumberFormat="1" applyFont="1" applyFill="1" applyBorder="1" applyAlignment="1">
      <alignment horizontal="center" vertical="center" wrapText="1"/>
    </xf>
    <xf numFmtId="0" fontId="30" fillId="2" borderId="3" xfId="55" applyNumberFormat="1" applyFont="1" applyFill="1" applyBorder="1" applyAlignment="1">
      <alignment horizontal="center" vertical="center" wrapText="1"/>
    </xf>
    <xf numFmtId="0" fontId="31" fillId="2" borderId="3" xfId="0" applyNumberFormat="1" applyFont="1" applyFill="1" applyBorder="1" applyAlignment="1">
      <alignment horizontal="center" vertical="center"/>
    </xf>
    <xf numFmtId="190" fontId="31" fillId="2" borderId="3" xfId="0" applyNumberFormat="1" applyFont="1" applyFill="1" applyBorder="1" applyAlignment="1">
      <alignment horizontal="center" vertical="center"/>
    </xf>
    <xf numFmtId="189" fontId="30" fillId="2" borderId="3" xfId="1" applyNumberFormat="1" applyFont="1" applyFill="1" applyBorder="1" applyAlignment="1">
      <alignment horizontal="center" vertical="center" wrapText="1"/>
    </xf>
    <xf numFmtId="0" fontId="30" fillId="2" borderId="6" xfId="1" applyNumberFormat="1" applyFont="1" applyFill="1" applyBorder="1" applyAlignment="1">
      <alignment horizontal="center" vertical="center" wrapText="1"/>
    </xf>
    <xf numFmtId="181" fontId="30" fillId="2" borderId="6" xfId="55" applyNumberFormat="1" applyFont="1" applyFill="1" applyBorder="1" applyAlignment="1">
      <alignment horizontal="center" vertical="center" wrapText="1"/>
    </xf>
    <xf numFmtId="0" fontId="16" fillId="2" borderId="3" xfId="0" applyNumberFormat="1" applyFont="1" applyFill="1" applyBorder="1"/>
    <xf numFmtId="191" fontId="32" fillId="2" borderId="3" xfId="0" applyNumberFormat="1" applyFont="1" applyFill="1" applyBorder="1" applyAlignment="1">
      <alignment horizontal="center" vertical="center"/>
    </xf>
    <xf numFmtId="0" fontId="18" fillId="2" borderId="0" xfId="0" applyNumberFormat="1" applyFont="1" applyFill="1" applyAlignment="1">
      <alignment horizontal="right" vertical="center"/>
    </xf>
    <xf numFmtId="0" fontId="18" fillId="2" borderId="0" xfId="0" applyNumberFormat="1" applyFont="1" applyFill="1" applyAlignment="1">
      <alignment vertical="center"/>
    </xf>
    <xf numFmtId="0" fontId="18" fillId="2" borderId="0" xfId="0" applyFont="1" applyFill="1" applyAlignment="1">
      <alignment horizontal="right" vertical="center"/>
    </xf>
    <xf numFmtId="181" fontId="18" fillId="2" borderId="0" xfId="0" applyNumberFormat="1" applyFont="1" applyFill="1"/>
    <xf numFmtId="190" fontId="8" fillId="2" borderId="2" xfId="0" applyNumberFormat="1" applyFont="1" applyFill="1" applyBorder="1" applyAlignment="1">
      <alignment horizontal="center" vertical="center" wrapText="1"/>
    </xf>
    <xf numFmtId="40" fontId="8" fillId="2" borderId="2" xfId="0" applyNumberFormat="1" applyFont="1" applyFill="1" applyBorder="1" applyAlignment="1">
      <alignment horizontal="center" vertical="center" wrapText="1"/>
    </xf>
    <xf numFmtId="0" fontId="25" fillId="2" borderId="2" xfId="0" applyNumberFormat="1" applyFont="1" applyFill="1" applyBorder="1" applyAlignment="1">
      <alignment horizontal="center" vertical="center" wrapText="1"/>
    </xf>
    <xf numFmtId="7" fontId="26" fillId="2" borderId="3" xfId="1" applyNumberFormat="1" applyFont="1" applyFill="1" applyBorder="1" applyAlignment="1">
      <alignment horizontal="center" vertical="center" wrapText="1"/>
    </xf>
    <xf numFmtId="190" fontId="21" fillId="2" borderId="3" xfId="1" applyNumberFormat="1" applyFont="1" applyFill="1" applyBorder="1" applyAlignment="1">
      <alignment horizontal="center" vertical="center" wrapText="1"/>
    </xf>
    <xf numFmtId="0" fontId="21" fillId="2" borderId="3" xfId="1" applyNumberFormat="1" applyFont="1" applyFill="1" applyBorder="1" applyAlignment="1">
      <alignment horizontal="center" vertical="center" wrapText="1"/>
    </xf>
    <xf numFmtId="40" fontId="21" fillId="2" borderId="3" xfId="1" applyNumberFormat="1" applyFont="1" applyFill="1" applyBorder="1" applyAlignment="1">
      <alignment horizontal="center" vertical="center" wrapText="1"/>
    </xf>
    <xf numFmtId="192" fontId="29" fillId="2" borderId="3" xfId="1" applyNumberFormat="1" applyFont="1" applyFill="1" applyBorder="1" applyAlignment="1">
      <alignment horizontal="center" vertical="center" wrapText="1"/>
    </xf>
    <xf numFmtId="192" fontId="28" fillId="2" borderId="3" xfId="0" applyNumberFormat="1" applyFont="1" applyFill="1" applyBorder="1" applyAlignment="1">
      <alignment horizontal="center" vertical="center"/>
    </xf>
    <xf numFmtId="192" fontId="28" fillId="3" borderId="3" xfId="0" applyNumberFormat="1" applyFont="1" applyFill="1" applyBorder="1" applyAlignment="1">
      <alignment horizontal="center" vertical="center"/>
    </xf>
    <xf numFmtId="0" fontId="30" fillId="2" borderId="3" xfId="1" applyNumberFormat="1" applyFont="1" applyFill="1" applyBorder="1" applyAlignment="1">
      <alignment horizontal="center" vertical="center" wrapText="1"/>
    </xf>
    <xf numFmtId="40" fontId="30" fillId="2" borderId="3" xfId="1" applyNumberFormat="1" applyFont="1" applyFill="1" applyBorder="1" applyAlignment="1">
      <alignment horizontal="center" vertical="center" wrapText="1"/>
    </xf>
    <xf numFmtId="193" fontId="31" fillId="2" borderId="3" xfId="0" applyNumberFormat="1" applyFont="1" applyFill="1" applyBorder="1" applyAlignment="1">
      <alignment horizontal="center" vertical="center"/>
    </xf>
    <xf numFmtId="190" fontId="0" fillId="2" borderId="0" xfId="0" applyNumberFormat="1" applyFill="1"/>
    <xf numFmtId="40" fontId="0" fillId="2" borderId="0" xfId="0" applyNumberFormat="1" applyFill="1"/>
    <xf numFmtId="183" fontId="33" fillId="2" borderId="0" xfId="0" applyNumberFormat="1" applyFont="1" applyFill="1" applyAlignment="1">
      <alignment horizontal="center" vertical="center"/>
    </xf>
    <xf numFmtId="183" fontId="34" fillId="2" borderId="0" xfId="0" applyNumberFormat="1" applyFont="1" applyFill="1" applyAlignment="1">
      <alignment horizontal="center" vertical="center"/>
    </xf>
    <xf numFmtId="182" fontId="8" fillId="2" borderId="2" xfId="0" applyNumberFormat="1" applyFont="1" applyFill="1" applyBorder="1" applyAlignment="1">
      <alignment horizontal="center" vertical="center" wrapText="1"/>
    </xf>
    <xf numFmtId="38" fontId="8" fillId="2" borderId="2" xfId="0" applyNumberFormat="1" applyFont="1" applyFill="1" applyBorder="1" applyAlignment="1">
      <alignment horizontal="center" vertical="center" wrapText="1"/>
    </xf>
    <xf numFmtId="189" fontId="35" fillId="2" borderId="2" xfId="0" applyNumberFormat="1" applyFont="1" applyFill="1" applyBorder="1" applyAlignment="1">
      <alignment horizontal="center" vertical="center" wrapText="1"/>
    </xf>
    <xf numFmtId="182" fontId="21" fillId="2" borderId="3" xfId="1" applyNumberFormat="1" applyFont="1" applyFill="1" applyBorder="1" applyAlignment="1">
      <alignment horizontal="center" vertical="center" wrapText="1"/>
    </xf>
    <xf numFmtId="38" fontId="21" fillId="2" borderId="3" xfId="0" applyNumberFormat="1" applyFont="1" applyFill="1" applyBorder="1" applyAlignment="1">
      <alignment horizontal="center" vertical="center" wrapText="1"/>
    </xf>
    <xf numFmtId="38" fontId="36" fillId="2" borderId="3" xfId="1" applyNumberFormat="1" applyFont="1" applyFill="1" applyBorder="1" applyAlignment="1">
      <alignment horizontal="center" vertical="center" wrapText="1"/>
    </xf>
    <xf numFmtId="189" fontId="37" fillId="2" borderId="3" xfId="0" applyNumberFormat="1" applyFont="1" applyFill="1" applyBorder="1" applyAlignment="1">
      <alignment horizontal="center" vertical="center" wrapText="1"/>
    </xf>
    <xf numFmtId="0" fontId="29" fillId="2" borderId="3" xfId="1" applyNumberFormat="1" applyFont="1" applyFill="1" applyBorder="1" applyAlignment="1">
      <alignment horizontal="center" vertical="center" wrapText="1"/>
    </xf>
    <xf numFmtId="183" fontId="29" fillId="2" borderId="3" xfId="1" applyNumberFormat="1" applyFont="1" applyFill="1" applyBorder="1" applyAlignment="1">
      <alignment horizontal="center" vertical="center" wrapText="1"/>
    </xf>
    <xf numFmtId="190" fontId="38" fillId="2" borderId="3" xfId="0" applyNumberFormat="1" applyFont="1" applyFill="1" applyBorder="1" applyAlignment="1">
      <alignment horizontal="center" vertical="center"/>
    </xf>
    <xf numFmtId="38" fontId="29" fillId="2" borderId="3" xfId="1" applyNumberFormat="1" applyFont="1" applyFill="1" applyBorder="1" applyAlignment="1">
      <alignment horizontal="center" vertical="center" wrapText="1"/>
    </xf>
    <xf numFmtId="191" fontId="29" fillId="2" borderId="3" xfId="1" applyNumberFormat="1" applyFont="1" applyFill="1" applyBorder="1" applyAlignment="1">
      <alignment horizontal="center" vertical="center" wrapText="1"/>
    </xf>
    <xf numFmtId="182" fontId="29" fillId="2" borderId="3" xfId="1" applyNumberFormat="1" applyFont="1" applyFill="1" applyBorder="1" applyAlignment="1">
      <alignment horizontal="center" vertical="center" wrapText="1"/>
    </xf>
    <xf numFmtId="182" fontId="29" fillId="0" borderId="3" xfId="1" applyNumberFormat="1" applyFont="1" applyFill="1" applyBorder="1" applyAlignment="1">
      <alignment horizontal="center" vertical="center" wrapText="1"/>
    </xf>
    <xf numFmtId="194" fontId="31" fillId="2" borderId="3" xfId="0" applyNumberFormat="1" applyFont="1" applyFill="1" applyBorder="1" applyAlignment="1">
      <alignment horizontal="center" vertical="center"/>
    </xf>
    <xf numFmtId="182" fontId="31" fillId="2" borderId="3" xfId="0" applyNumberFormat="1" applyFont="1" applyFill="1" applyBorder="1" applyAlignment="1">
      <alignment horizontal="center" vertical="center"/>
    </xf>
    <xf numFmtId="182" fontId="30" fillId="2" borderId="3" xfId="1" applyNumberFormat="1" applyFont="1" applyFill="1" applyBorder="1" applyAlignment="1">
      <alignment horizontal="center" vertical="center" wrapText="1"/>
    </xf>
    <xf numFmtId="2" fontId="39" fillId="2" borderId="3" xfId="1" applyNumberFormat="1" applyFont="1" applyFill="1" applyBorder="1" applyAlignment="1">
      <alignment horizontal="center" vertical="center" wrapText="1"/>
    </xf>
    <xf numFmtId="191" fontId="38" fillId="2" borderId="3" xfId="0" applyNumberFormat="1" applyFont="1" applyFill="1" applyBorder="1" applyAlignment="1">
      <alignment horizontal="center" vertical="center"/>
    </xf>
    <xf numFmtId="183" fontId="0" fillId="2" borderId="0" xfId="0" applyNumberFormat="1" applyFill="1"/>
    <xf numFmtId="182" fontId="18" fillId="2" borderId="0" xfId="0" applyNumberFormat="1" applyFont="1" applyFill="1" applyAlignment="1">
      <alignment vertical="center"/>
    </xf>
    <xf numFmtId="38" fontId="18" fillId="2" borderId="0" xfId="0" applyNumberFormat="1" applyFont="1" applyFill="1"/>
    <xf numFmtId="183" fontId="18" fillId="2" borderId="0" xfId="0" applyNumberFormat="1" applyFont="1" applyFill="1" applyAlignment="1">
      <alignment vertical="center"/>
    </xf>
    <xf numFmtId="0" fontId="4" fillId="2" borderId="0" xfId="0" applyFont="1" applyFill="1" applyAlignment="1"/>
    <xf numFmtId="0" fontId="7" fillId="2" borderId="1" xfId="0" applyNumberFormat="1" applyFont="1" applyFill="1" applyBorder="1" applyAlignment="1">
      <alignment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9" fillId="2" borderId="3" xfId="55" applyNumberFormat="1" applyFont="1" applyFill="1" applyBorder="1" applyAlignment="1">
      <alignment horizontal="center" vertical="center" wrapText="1"/>
    </xf>
    <xf numFmtId="41" fontId="28" fillId="2" borderId="3" xfId="0" applyNumberFormat="1" applyFont="1" applyFill="1" applyBorder="1" applyAlignment="1">
      <alignment horizontal="center" vertical="center"/>
    </xf>
    <xf numFmtId="41" fontId="29" fillId="2" borderId="3" xfId="1" applyNumberFormat="1" applyFont="1" applyFill="1" applyBorder="1" applyAlignment="1">
      <alignment horizontal="center" vertical="center" wrapText="1"/>
    </xf>
    <xf numFmtId="0" fontId="0" fillId="2" borderId="3" xfId="0" applyFill="1" applyBorder="1"/>
    <xf numFmtId="41" fontId="29" fillId="2" borderId="6" xfId="1" applyNumberFormat="1" applyFont="1" applyFill="1" applyBorder="1" applyAlignment="1">
      <alignment horizontal="center" vertical="center" wrapText="1"/>
    </xf>
    <xf numFmtId="0" fontId="10" fillId="2" borderId="3" xfId="0" applyFont="1" applyFill="1" applyBorder="1"/>
    <xf numFmtId="41" fontId="29" fillId="2" borderId="3" xfId="55" applyNumberFormat="1" applyFont="1" applyFill="1" applyBorder="1" applyAlignment="1">
      <alignment horizontal="center" vertical="center" wrapText="1"/>
    </xf>
    <xf numFmtId="195" fontId="28" fillId="2" borderId="3" xfId="0" applyNumberFormat="1" applyFont="1" applyFill="1" applyBorder="1" applyAlignment="1">
      <alignment horizontal="center" vertical="center"/>
    </xf>
    <xf numFmtId="183" fontId="16" fillId="2" borderId="3" xfId="0" applyNumberFormat="1" applyFont="1" applyFill="1" applyBorder="1" applyAlignment="1">
      <alignment horizontal="center" vertical="center"/>
    </xf>
    <xf numFmtId="183" fontId="5" fillId="0" borderId="0" xfId="0" applyNumberFormat="1" applyFont="1" applyFill="1" applyAlignment="1">
      <alignment horizontal="center" vertical="center"/>
    </xf>
    <xf numFmtId="183" fontId="6" fillId="0" borderId="0" xfId="0" applyNumberFormat="1" applyFont="1" applyFill="1" applyAlignment="1">
      <alignment horizontal="center" vertical="center"/>
    </xf>
    <xf numFmtId="0" fontId="40" fillId="2" borderId="1" xfId="0" applyNumberFormat="1" applyFont="1" applyFill="1" applyBorder="1" applyAlignment="1">
      <alignment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21" fillId="0" borderId="3" xfId="1" applyNumberFormat="1" applyFont="1" applyFill="1" applyBorder="1" applyAlignment="1">
      <alignment horizontal="center" vertical="center" wrapText="1"/>
    </xf>
    <xf numFmtId="41" fontId="29" fillId="0" borderId="3" xfId="1" applyNumberFormat="1" applyFont="1" applyFill="1" applyBorder="1" applyAlignment="1">
      <alignment horizontal="center" vertical="center" wrapText="1"/>
    </xf>
    <xf numFmtId="41" fontId="29" fillId="2" borderId="6" xfId="55" applyNumberFormat="1" applyFont="1" applyFill="1" applyBorder="1" applyAlignment="1">
      <alignment horizontal="center" vertical="center" wrapText="1"/>
    </xf>
    <xf numFmtId="38" fontId="21" fillId="2" borderId="3" xfId="1" applyNumberFormat="1" applyFont="1" applyFill="1" applyBorder="1" applyAlignment="1">
      <alignment horizontal="center" vertical="center" wrapText="1"/>
    </xf>
    <xf numFmtId="192" fontId="41" fillId="2" borderId="3" xfId="1" applyNumberFormat="1" applyFont="1" applyFill="1" applyBorder="1" applyAlignment="1">
      <alignment horizontal="center" vertical="center" wrapText="1"/>
    </xf>
    <xf numFmtId="192" fontId="30" fillId="2" borderId="3" xfId="1" applyNumberFormat="1" applyFont="1" applyFill="1" applyBorder="1" applyAlignment="1">
      <alignment horizontal="center" vertical="center" wrapText="1"/>
    </xf>
    <xf numFmtId="58" fontId="18" fillId="2" borderId="1" xfId="0" applyNumberFormat="1" applyFont="1" applyFill="1" applyBorder="1" applyAlignment="1">
      <alignment vertical="center" wrapText="1"/>
    </xf>
    <xf numFmtId="0" fontId="1" fillId="4" borderId="6" xfId="0" applyFont="1" applyFill="1" applyBorder="1" applyAlignment="1">
      <alignment horizontal="center" vertical="center"/>
    </xf>
    <xf numFmtId="189" fontId="36" fillId="2" borderId="3" xfId="0" applyNumberFormat="1" applyFont="1" applyFill="1" applyBorder="1" applyAlignment="1">
      <alignment horizontal="center" vertical="center" wrapText="1"/>
    </xf>
    <xf numFmtId="196" fontId="1" fillId="4" borderId="8" xfId="0" applyNumberFormat="1" applyFont="1" applyFill="1" applyBorder="1" applyAlignment="1">
      <alignment horizontal="center" vertical="center"/>
    </xf>
    <xf numFmtId="0" fontId="1" fillId="4" borderId="8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190" fontId="42" fillId="5" borderId="3" xfId="0" applyNumberFormat="1" applyFont="1" applyFill="1" applyBorder="1" applyAlignment="1">
      <alignment horizontal="center" vertical="center"/>
    </xf>
    <xf numFmtId="190" fontId="42" fillId="2" borderId="3" xfId="0" applyNumberFormat="1" applyFont="1" applyFill="1" applyBorder="1" applyAlignment="1">
      <alignment horizontal="center" vertical="center"/>
    </xf>
    <xf numFmtId="0" fontId="43" fillId="2" borderId="3" xfId="0" applyFont="1" applyFill="1" applyBorder="1" applyAlignment="1">
      <alignment horizontal="center" vertical="center" wrapText="1"/>
    </xf>
    <xf numFmtId="197" fontId="23" fillId="2" borderId="2" xfId="0" applyNumberFormat="1" applyFont="1" applyFill="1" applyBorder="1" applyAlignment="1">
      <alignment horizontal="center" vertical="center"/>
    </xf>
    <xf numFmtId="191" fontId="23" fillId="2" borderId="2" xfId="0" applyNumberFormat="1" applyFont="1" applyFill="1" applyBorder="1" applyAlignment="1">
      <alignment horizontal="center" vertical="center"/>
    </xf>
    <xf numFmtId="191" fontId="44" fillId="2" borderId="2" xfId="0" applyNumberFormat="1" applyFont="1" applyFill="1" applyBorder="1" applyAlignment="1">
      <alignment horizontal="center" vertical="center"/>
    </xf>
    <xf numFmtId="197" fontId="35" fillId="2" borderId="2" xfId="0" applyNumberFormat="1" applyFont="1" applyFill="1" applyBorder="1" applyAlignment="1">
      <alignment horizontal="center" vertical="center"/>
    </xf>
    <xf numFmtId="191" fontId="35" fillId="2" borderId="2" xfId="0" applyNumberFormat="1" applyFont="1" applyFill="1" applyBorder="1" applyAlignment="1">
      <alignment horizontal="center" vertical="center"/>
    </xf>
    <xf numFmtId="191" fontId="45" fillId="2" borderId="2" xfId="0" applyNumberFormat="1" applyFont="1" applyFill="1" applyBorder="1" applyAlignment="1">
      <alignment horizontal="center" vertical="center"/>
    </xf>
    <xf numFmtId="0" fontId="46" fillId="2" borderId="0" xfId="0" applyFont="1" applyFill="1"/>
    <xf numFmtId="0" fontId="0" fillId="0" borderId="0" xfId="0" applyFill="1"/>
    <xf numFmtId="176" fontId="32" fillId="2" borderId="3" xfId="0" applyNumberFormat="1" applyFont="1" applyFill="1" applyBorder="1" applyAlignment="1">
      <alignment horizontal="center" vertical="center"/>
    </xf>
    <xf numFmtId="176" fontId="47" fillId="2" borderId="3" xfId="0" applyNumberFormat="1" applyFont="1" applyFill="1" applyBorder="1" applyAlignment="1">
      <alignment horizontal="center" vertical="center"/>
    </xf>
    <xf numFmtId="0" fontId="18" fillId="2" borderId="0" xfId="0" applyFont="1" applyFill="1" applyAlignment="1"/>
    <xf numFmtId="0" fontId="18" fillId="0" borderId="0" xfId="0" applyFont="1" applyFill="1"/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Sheet1" xfId="50"/>
    <cellStyle name="常规 2" xfId="51"/>
    <cellStyle name="常规 3" xfId="52"/>
    <cellStyle name="常规 4" xfId="53"/>
    <cellStyle name="常规 5" xfId="54"/>
    <cellStyle name="常规_happy_7" xfId="55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T27"/>
  <sheetViews>
    <sheetView zoomScale="85" zoomScaleNormal="85" topLeftCell="B11" workbookViewId="0">
      <selection activeCell="AP26" sqref="AP26"/>
    </sheetView>
  </sheetViews>
  <sheetFormatPr defaultColWidth="9" defaultRowHeight="22.5"/>
  <cols>
    <col min="1" max="1" width="5.625" style="4" customWidth="1"/>
    <col min="2" max="2" width="15.25" style="1" customWidth="1"/>
    <col min="3" max="4" width="9" style="1" hidden="1" customWidth="1"/>
    <col min="5" max="5" width="22.5" style="1" hidden="1" customWidth="1"/>
    <col min="6" max="7" width="15.625" style="1" hidden="1" customWidth="1"/>
    <col min="8" max="8" width="21.5" style="1" hidden="1" customWidth="1"/>
    <col min="9" max="9" width="14.125" style="4" customWidth="1"/>
    <col min="10" max="10" width="9" style="5" hidden="1" customWidth="1"/>
    <col min="11" max="11" width="10.625" style="5" hidden="1" customWidth="1"/>
    <col min="12" max="12" width="8" style="5" hidden="1" customWidth="1"/>
    <col min="13" max="13" width="10.625" style="5" hidden="1" customWidth="1"/>
    <col min="14" max="14" width="15" style="1" customWidth="1"/>
    <col min="15" max="15" width="15.625" style="6" hidden="1" customWidth="1"/>
    <col min="16" max="16" width="13.625" style="7" hidden="1" customWidth="1"/>
    <col min="17" max="17" width="6.375" style="4" hidden="1" customWidth="1"/>
    <col min="18" max="18" width="7.875" style="4" hidden="1" customWidth="1"/>
    <col min="19" max="19" width="11.5" style="1" hidden="1" customWidth="1"/>
    <col min="20" max="20" width="6.31666666666667" style="4" hidden="1" customWidth="1"/>
    <col min="21" max="21" width="9.5" style="1" hidden="1" customWidth="1"/>
    <col min="22" max="22" width="6.375" style="4" hidden="1" customWidth="1"/>
    <col min="23" max="23" width="8.625" style="1" hidden="1" customWidth="1"/>
    <col min="24" max="24" width="7" style="8" hidden="1" customWidth="1"/>
    <col min="25" max="25" width="6.75" style="1" hidden="1" customWidth="1"/>
    <col min="26" max="26" width="7" style="4" hidden="1" customWidth="1"/>
    <col min="27" max="27" width="7.5" style="1" hidden="1" customWidth="1"/>
    <col min="28" max="28" width="8.25" style="4" hidden="1" customWidth="1"/>
    <col min="29" max="29" width="8.125" style="1" hidden="1" customWidth="1"/>
    <col min="30" max="30" width="6.75833333333333" style="4" hidden="1" customWidth="1"/>
    <col min="31" max="31" width="7.5" style="4" hidden="1" customWidth="1"/>
    <col min="32" max="32" width="7.5" style="1" hidden="1" customWidth="1"/>
    <col min="33" max="33" width="7.75" style="9" hidden="1" customWidth="1"/>
    <col min="34" max="34" width="6.5" style="4" hidden="1" customWidth="1"/>
    <col min="35" max="35" width="7.625" style="4" hidden="1" customWidth="1"/>
    <col min="36" max="36" width="5.375" style="4" hidden="1" customWidth="1"/>
    <col min="37" max="37" width="7.375" style="1" hidden="1" customWidth="1"/>
    <col min="38" max="38" width="6.625" style="10" hidden="1" customWidth="1"/>
    <col min="39" max="39" width="7.875" style="1" hidden="1" customWidth="1"/>
    <col min="40" max="40" width="15.5" style="11" hidden="1" customWidth="1"/>
    <col min="41" max="41" width="17.0583333333333" style="1" hidden="1" customWidth="1"/>
    <col min="42" max="42" width="7.79166666666667" style="1" customWidth="1"/>
    <col min="43" max="43" width="7" style="1" customWidth="1"/>
    <col min="44" max="44" width="9" style="1" customWidth="1"/>
    <col min="45" max="45" width="7" style="1" customWidth="1"/>
    <col min="46" max="46" width="9" style="1" customWidth="1"/>
    <col min="47" max="52" width="9" style="1" hidden="1" customWidth="1"/>
    <col min="53" max="53" width="6.03333333333333" style="168" customWidth="1"/>
    <col min="54" max="54" width="9" style="1" customWidth="1"/>
    <col min="55" max="55" width="9" style="1" hidden="1" customWidth="1"/>
    <col min="56" max="59" width="7.35" style="1" customWidth="1"/>
    <col min="60" max="60" width="8.66666666666667" style="1" customWidth="1"/>
    <col min="61" max="61" width="6.125" style="1" customWidth="1"/>
    <col min="62" max="62" width="7.5" style="1" customWidth="1"/>
    <col min="63" max="63" width="6.125" style="1" hidden="1" customWidth="1"/>
    <col min="64" max="64" width="7.65" style="1" customWidth="1"/>
    <col min="65" max="65" width="13.675" style="1" customWidth="1"/>
    <col min="66" max="66" width="13.875" style="1" customWidth="1"/>
    <col min="67" max="67" width="17.125" style="1" customWidth="1"/>
    <col min="68" max="68" width="9" style="1" hidden="1" customWidth="1"/>
    <col min="69" max="69" width="19.875" style="12" hidden="1" customWidth="1"/>
    <col min="70" max="70" width="17.375" style="12" hidden="1" customWidth="1"/>
    <col min="71" max="72" width="8.375" style="12" hidden="1" customWidth="1"/>
    <col min="73" max="73" width="9" style="1" customWidth="1"/>
    <col min="74" max="16384" width="9" style="1"/>
  </cols>
  <sheetData>
    <row r="1" ht="44.25" spans="1:67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05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42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</row>
    <row r="2" ht="27" spans="1:67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06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3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</row>
    <row r="3" ht="28" customHeight="1" spans="1:67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31"/>
      <c r="AU3" s="131"/>
      <c r="AV3" s="131"/>
      <c r="AW3" s="131"/>
      <c r="AX3" s="131"/>
      <c r="AY3" s="131"/>
      <c r="AZ3" s="131"/>
      <c r="BA3" s="131"/>
      <c r="BB3" s="131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52">
        <v>45394</v>
      </c>
    </row>
    <row r="4" ht="86.25" customHeight="1" spans="1:72">
      <c r="A4" s="16" t="s">
        <v>3</v>
      </c>
      <c r="B4" s="17" t="s">
        <v>4</v>
      </c>
      <c r="C4" s="17" t="s">
        <v>5</v>
      </c>
      <c r="D4" s="17" t="s">
        <v>6</v>
      </c>
      <c r="E4" s="17" t="s">
        <v>4</v>
      </c>
      <c r="F4" s="18" t="s">
        <v>5</v>
      </c>
      <c r="G4" s="18" t="s">
        <v>6</v>
      </c>
      <c r="H4" s="17" t="s">
        <v>7</v>
      </c>
      <c r="I4" s="16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35" t="s">
        <v>13</v>
      </c>
      <c r="O4" s="36" t="s">
        <v>14</v>
      </c>
      <c r="P4" s="37" t="s">
        <v>15</v>
      </c>
      <c r="Q4" s="16" t="s">
        <v>16</v>
      </c>
      <c r="R4" s="16" t="s">
        <v>17</v>
      </c>
      <c r="S4" s="65" t="s">
        <v>18</v>
      </c>
      <c r="T4" s="16" t="s">
        <v>19</v>
      </c>
      <c r="U4" s="65" t="s">
        <v>20</v>
      </c>
      <c r="V4" s="16" t="s">
        <v>21</v>
      </c>
      <c r="W4" s="66" t="s">
        <v>18</v>
      </c>
      <c r="X4" s="67" t="s">
        <v>22</v>
      </c>
      <c r="Y4" s="66" t="s">
        <v>23</v>
      </c>
      <c r="Z4" s="16" t="s">
        <v>22</v>
      </c>
      <c r="AA4" s="90" t="s">
        <v>23</v>
      </c>
      <c r="AB4" s="16" t="s">
        <v>24</v>
      </c>
      <c r="AC4" s="91" t="s">
        <v>25</v>
      </c>
      <c r="AD4" s="92" t="s">
        <v>26</v>
      </c>
      <c r="AE4" s="16" t="s">
        <v>27</v>
      </c>
      <c r="AF4" s="65" t="s">
        <v>28</v>
      </c>
      <c r="AG4" s="107" t="s">
        <v>29</v>
      </c>
      <c r="AH4" s="16" t="s">
        <v>30</v>
      </c>
      <c r="AI4" s="16" t="s">
        <v>31</v>
      </c>
      <c r="AJ4" s="16" t="s">
        <v>32</v>
      </c>
      <c r="AK4" s="65" t="s">
        <v>33</v>
      </c>
      <c r="AL4" s="108" t="s">
        <v>34</v>
      </c>
      <c r="AM4" s="108" t="s">
        <v>35</v>
      </c>
      <c r="AN4" s="109" t="s">
        <v>36</v>
      </c>
      <c r="AO4" s="35" t="s">
        <v>37</v>
      </c>
      <c r="AP4" s="16" t="s">
        <v>16</v>
      </c>
      <c r="AQ4" s="16" t="s">
        <v>17</v>
      </c>
      <c r="AR4" s="65" t="s">
        <v>18</v>
      </c>
      <c r="AS4" s="16" t="s">
        <v>19</v>
      </c>
      <c r="AT4" s="65" t="s">
        <v>20</v>
      </c>
      <c r="AU4" s="16" t="s">
        <v>21</v>
      </c>
      <c r="AV4" s="66" t="s">
        <v>18</v>
      </c>
      <c r="AW4" s="67" t="s">
        <v>22</v>
      </c>
      <c r="AX4" s="66" t="s">
        <v>23</v>
      </c>
      <c r="AY4" s="16" t="s">
        <v>22</v>
      </c>
      <c r="AZ4" s="90" t="s">
        <v>23</v>
      </c>
      <c r="BA4" s="145" t="s">
        <v>24</v>
      </c>
      <c r="BB4" s="91" t="s">
        <v>25</v>
      </c>
      <c r="BC4" s="92" t="s">
        <v>26</v>
      </c>
      <c r="BD4" s="16" t="s">
        <v>27</v>
      </c>
      <c r="BE4" s="65" t="s">
        <v>28</v>
      </c>
      <c r="BF4" s="107" t="s">
        <v>29</v>
      </c>
      <c r="BG4" s="16" t="s">
        <v>30</v>
      </c>
      <c r="BH4" s="16" t="s">
        <v>31</v>
      </c>
      <c r="BI4" s="16" t="s">
        <v>32</v>
      </c>
      <c r="BJ4" s="65" t="s">
        <v>33</v>
      </c>
      <c r="BK4" s="108" t="s">
        <v>34</v>
      </c>
      <c r="BL4" s="108" t="s">
        <v>38</v>
      </c>
      <c r="BM4" s="65" t="s">
        <v>39</v>
      </c>
      <c r="BN4" s="65" t="s">
        <v>36</v>
      </c>
      <c r="BO4" s="35" t="s">
        <v>37</v>
      </c>
      <c r="BQ4" s="153" t="s">
        <v>40</v>
      </c>
      <c r="BR4" s="153" t="s">
        <v>41</v>
      </c>
      <c r="BS4" s="153" t="s">
        <v>42</v>
      </c>
      <c r="BT4" s="153"/>
    </row>
    <row r="5" ht="48" customHeight="1" spans="1:72">
      <c r="A5" s="19" t="s">
        <v>43</v>
      </c>
      <c r="B5" s="20" t="s">
        <v>44</v>
      </c>
      <c r="C5" s="20" t="s">
        <v>45</v>
      </c>
      <c r="D5" s="20" t="s">
        <v>46</v>
      </c>
      <c r="E5" s="20" t="s">
        <v>47</v>
      </c>
      <c r="F5" s="21" t="s">
        <v>48</v>
      </c>
      <c r="G5" s="22" t="s">
        <v>49</v>
      </c>
      <c r="H5" s="20" t="s">
        <v>50</v>
      </c>
      <c r="I5" s="19" t="s">
        <v>51</v>
      </c>
      <c r="J5" s="20" t="s">
        <v>52</v>
      </c>
      <c r="K5" s="20" t="s">
        <v>53</v>
      </c>
      <c r="L5" s="20" t="s">
        <v>54</v>
      </c>
      <c r="M5" s="20" t="s">
        <v>55</v>
      </c>
      <c r="N5" s="38" t="s">
        <v>56</v>
      </c>
      <c r="O5" s="39" t="s">
        <v>57</v>
      </c>
      <c r="P5" s="40" t="s">
        <v>58</v>
      </c>
      <c r="Q5" s="68" t="s">
        <v>59</v>
      </c>
      <c r="R5" s="69" t="s">
        <v>60</v>
      </c>
      <c r="S5" s="70" t="s">
        <v>61</v>
      </c>
      <c r="T5" s="71" t="s">
        <v>62</v>
      </c>
      <c r="U5" s="72" t="s">
        <v>63</v>
      </c>
      <c r="V5" s="68" t="s">
        <v>64</v>
      </c>
      <c r="W5" s="73" t="s">
        <v>65</v>
      </c>
      <c r="X5" s="74" t="s">
        <v>66</v>
      </c>
      <c r="Y5" s="93" t="s">
        <v>67</v>
      </c>
      <c r="Z5" s="68" t="s">
        <v>68</v>
      </c>
      <c r="AA5" s="94" t="s">
        <v>69</v>
      </c>
      <c r="AB5" s="95" t="s">
        <v>70</v>
      </c>
      <c r="AC5" s="96" t="s">
        <v>71</v>
      </c>
      <c r="AD5" s="95" t="s">
        <v>72</v>
      </c>
      <c r="AE5" s="69" t="s">
        <v>73</v>
      </c>
      <c r="AF5" s="72" t="s">
        <v>74</v>
      </c>
      <c r="AG5" s="110" t="s">
        <v>75</v>
      </c>
      <c r="AH5" s="95" t="s">
        <v>76</v>
      </c>
      <c r="AI5" s="95" t="s">
        <v>77</v>
      </c>
      <c r="AJ5" s="95" t="s">
        <v>78</v>
      </c>
      <c r="AK5" s="72" t="s">
        <v>79</v>
      </c>
      <c r="AL5" s="111" t="s">
        <v>80</v>
      </c>
      <c r="AM5" s="112" t="s">
        <v>81</v>
      </c>
      <c r="AN5" s="113" t="s">
        <v>82</v>
      </c>
      <c r="AO5" s="132" t="s">
        <v>83</v>
      </c>
      <c r="AP5" s="68" t="s">
        <v>59</v>
      </c>
      <c r="AQ5" s="69" t="s">
        <v>60</v>
      </c>
      <c r="AR5" s="70" t="s">
        <v>61</v>
      </c>
      <c r="AS5" s="71" t="s">
        <v>62</v>
      </c>
      <c r="AT5" s="72" t="s">
        <v>63</v>
      </c>
      <c r="AU5" s="68" t="s">
        <v>64</v>
      </c>
      <c r="AV5" s="73" t="s">
        <v>65</v>
      </c>
      <c r="AW5" s="74" t="s">
        <v>66</v>
      </c>
      <c r="AX5" s="93" t="s">
        <v>67</v>
      </c>
      <c r="AY5" s="68" t="s">
        <v>68</v>
      </c>
      <c r="AZ5" s="94" t="s">
        <v>69</v>
      </c>
      <c r="BA5" s="146" t="s">
        <v>70</v>
      </c>
      <c r="BB5" s="96" t="s">
        <v>71</v>
      </c>
      <c r="BC5" s="95" t="s">
        <v>72</v>
      </c>
      <c r="BD5" s="69" t="s">
        <v>73</v>
      </c>
      <c r="BE5" s="72" t="s">
        <v>74</v>
      </c>
      <c r="BF5" s="110" t="s">
        <v>75</v>
      </c>
      <c r="BG5" s="95" t="s">
        <v>76</v>
      </c>
      <c r="BH5" s="95" t="s">
        <v>77</v>
      </c>
      <c r="BI5" s="95" t="s">
        <v>78</v>
      </c>
      <c r="BJ5" s="72" t="s">
        <v>79</v>
      </c>
      <c r="BK5" s="111" t="s">
        <v>80</v>
      </c>
      <c r="BL5" s="149" t="s">
        <v>84</v>
      </c>
      <c r="BM5" s="154" t="s">
        <v>85</v>
      </c>
      <c r="BN5" s="70" t="s">
        <v>86</v>
      </c>
      <c r="BO5" s="132" t="s">
        <v>83</v>
      </c>
      <c r="BQ5" s="155">
        <v>4059</v>
      </c>
      <c r="BR5" s="156"/>
      <c r="BS5" s="156"/>
      <c r="BT5" s="157"/>
    </row>
    <row r="6" s="2" customFormat="1" ht="39" customHeight="1" spans="1:72">
      <c r="A6" s="23">
        <v>1</v>
      </c>
      <c r="B6" s="20" t="s">
        <v>87</v>
      </c>
      <c r="C6" s="20" t="s">
        <v>88</v>
      </c>
      <c r="D6" s="20" t="s">
        <v>89</v>
      </c>
      <c r="E6" s="20" t="s">
        <v>90</v>
      </c>
      <c r="F6" s="24" t="s">
        <v>91</v>
      </c>
      <c r="G6" s="25" t="s">
        <v>92</v>
      </c>
      <c r="H6" s="20" t="s">
        <v>93</v>
      </c>
      <c r="I6" s="41" t="s">
        <v>94</v>
      </c>
      <c r="J6" s="20" t="s">
        <v>95</v>
      </c>
      <c r="K6" s="20" t="s">
        <v>95</v>
      </c>
      <c r="L6" s="20" t="s">
        <v>96</v>
      </c>
      <c r="M6" s="20" t="s">
        <v>97</v>
      </c>
      <c r="N6" s="38" t="s">
        <v>98</v>
      </c>
      <c r="O6" s="42">
        <v>130128537</v>
      </c>
      <c r="P6" s="40">
        <v>33793</v>
      </c>
      <c r="Q6" s="75">
        <v>204</v>
      </c>
      <c r="R6" s="76">
        <v>13</v>
      </c>
      <c r="S6" s="76">
        <f>Q6/26*R6</f>
        <v>102</v>
      </c>
      <c r="T6" s="76">
        <v>0</v>
      </c>
      <c r="U6" s="77">
        <f>Q6/26/8*1.5*T6</f>
        <v>0</v>
      </c>
      <c r="V6" s="76">
        <v>0</v>
      </c>
      <c r="W6" s="76">
        <f>Q6/26*V6*1.3</f>
        <v>0</v>
      </c>
      <c r="X6" s="76">
        <v>0</v>
      </c>
      <c r="Y6" s="77">
        <f>Q6/26/8*2*X6</f>
        <v>0</v>
      </c>
      <c r="Z6" s="76">
        <v>0</v>
      </c>
      <c r="AA6" s="76">
        <f>Q6/26*Z6*0.5</f>
        <v>0</v>
      </c>
      <c r="AB6" s="76">
        <v>0</v>
      </c>
      <c r="AC6" s="97">
        <f>Q6/26*AB6</f>
        <v>0</v>
      </c>
      <c r="AD6" s="76">
        <v>0</v>
      </c>
      <c r="AE6" s="98">
        <v>7.5</v>
      </c>
      <c r="AF6" s="99">
        <f>19/13*(R6+V6+AB6+Z6)</f>
        <v>19</v>
      </c>
      <c r="AG6" s="98">
        <f>IF(R6+V6+Z6+AB6&gt;=12.75,5/13*R6+5/13*AB6,0)</f>
        <v>5</v>
      </c>
      <c r="AH6" s="97">
        <f>(T6+X6)/2*0.5</f>
        <v>0</v>
      </c>
      <c r="AI6" s="114"/>
      <c r="AJ6" s="114"/>
      <c r="AK6" s="97">
        <v>0</v>
      </c>
      <c r="AL6" s="115"/>
      <c r="AM6" s="97">
        <v>0</v>
      </c>
      <c r="AN6" s="116">
        <f>S6+U6+W6+Y6+AA6+SUM(AC6:AM6)</f>
        <v>133.5</v>
      </c>
      <c r="AO6" s="132"/>
      <c r="AP6" s="133">
        <v>204</v>
      </c>
      <c r="AQ6" s="134">
        <v>13</v>
      </c>
      <c r="AR6" s="98">
        <f t="shared" ref="AR6:AR19" si="0">AP6/26*AQ6</f>
        <v>102</v>
      </c>
      <c r="AS6" s="134">
        <v>0</v>
      </c>
      <c r="AT6" s="97">
        <f t="shared" ref="AT6:AT19" si="1">AP6/26/8*1.5*AS6</f>
        <v>0</v>
      </c>
      <c r="AU6" s="135"/>
      <c r="AV6" s="98">
        <f t="shared" ref="AV6:AV19" si="2">AP6/26*AU6*1.3</f>
        <v>0</v>
      </c>
      <c r="AW6" s="139"/>
      <c r="AX6" s="97">
        <f t="shared" ref="AX6:AX19" si="3">AP6/26/8*2*AW6</f>
        <v>0</v>
      </c>
      <c r="AY6" s="139"/>
      <c r="AZ6" s="98">
        <f t="shared" ref="AZ6:AZ19" si="4">AP6/26*AY6*0.5</f>
        <v>0</v>
      </c>
      <c r="BA6" s="147"/>
      <c r="BB6" s="97">
        <f t="shared" ref="BB6:BB19" si="5">AP6/26*BA6</f>
        <v>0</v>
      </c>
      <c r="BC6" s="135"/>
      <c r="BD6" s="98">
        <v>7.5</v>
      </c>
      <c r="BE6" s="99">
        <f>19/13*(AQ6+AU6+BA6+AY6)</f>
        <v>19</v>
      </c>
      <c r="BF6" s="98">
        <f>IF(AQ6+AU6+AY6+BA6&gt;=12.75,5/13*AQ6+5/13*BA6,0)</f>
        <v>5</v>
      </c>
      <c r="BG6" s="97">
        <f t="shared" ref="BG6:BG19" si="6">(AS6+AW6)/2*0.5</f>
        <v>0</v>
      </c>
      <c r="BH6" s="99">
        <f>259/26*(AQ6+R6)</f>
        <v>259</v>
      </c>
      <c r="BI6" s="135"/>
      <c r="BJ6" s="77">
        <v>0</v>
      </c>
      <c r="BK6" s="135"/>
      <c r="BL6" s="150">
        <v>-5.91278640059128</v>
      </c>
      <c r="BM6" s="158">
        <f>AN6+BN6-BL6-AM6-AL6-BK6</f>
        <v>526</v>
      </c>
      <c r="BN6" s="159">
        <f t="shared" ref="BN6:BN13" si="7">AR6+AT6+AV6+AX6+AZ6+SUM(BB6:BL6)</f>
        <v>386.587213599409</v>
      </c>
      <c r="BO6" s="160"/>
      <c r="BP6" s="12"/>
      <c r="BQ6" s="161">
        <f>$BM6*$BQ$5</f>
        <v>2135034</v>
      </c>
      <c r="BR6" s="161">
        <f>IF(BM6&lt;=0,0*0.02,IF(BQ6&lt;=400000,400000*0.02,IF(BQ6&gt;1200000,1200000*0.02,IF(BQ6&lt;1200000,BQ6*0.02))))</f>
        <v>24000</v>
      </c>
      <c r="BS6" s="162">
        <f>BR6/$BQ$5</f>
        <v>5.91278640059128</v>
      </c>
      <c r="BT6" s="163">
        <f>-BS6</f>
        <v>-5.91278640059128</v>
      </c>
    </row>
    <row r="7" s="1" customFormat="1" ht="39" customHeight="1" spans="1:72">
      <c r="A7" s="23">
        <v>2</v>
      </c>
      <c r="B7" s="26" t="s">
        <v>99</v>
      </c>
      <c r="C7" s="26" t="s">
        <v>100</v>
      </c>
      <c r="D7" s="26" t="s">
        <v>101</v>
      </c>
      <c r="E7" s="26" t="s">
        <v>102</v>
      </c>
      <c r="F7" s="26" t="s">
        <v>103</v>
      </c>
      <c r="G7" s="26" t="s">
        <v>104</v>
      </c>
      <c r="H7" s="26" t="s">
        <v>105</v>
      </c>
      <c r="I7" s="43">
        <v>24035001</v>
      </c>
      <c r="J7" s="26" t="s">
        <v>106</v>
      </c>
      <c r="K7" s="26" t="s">
        <v>107</v>
      </c>
      <c r="L7" s="26" t="s">
        <v>108</v>
      </c>
      <c r="M7" s="26" t="s">
        <v>97</v>
      </c>
      <c r="N7" s="44">
        <v>45369</v>
      </c>
      <c r="O7" s="26" t="s">
        <v>109</v>
      </c>
      <c r="P7" s="45">
        <v>35084</v>
      </c>
      <c r="Q7" s="75">
        <v>204</v>
      </c>
      <c r="R7" s="76">
        <v>11</v>
      </c>
      <c r="S7" s="76">
        <f>Q7/26*R7</f>
        <v>86.3076923076923</v>
      </c>
      <c r="T7" s="76">
        <v>1</v>
      </c>
      <c r="U7" s="77">
        <f>Q7/26/8*1.5*T7</f>
        <v>1.47115384615385</v>
      </c>
      <c r="V7" s="76">
        <v>0</v>
      </c>
      <c r="W7" s="76">
        <f>Q7/26*V7*1.3</f>
        <v>0</v>
      </c>
      <c r="X7" s="76">
        <v>0</v>
      </c>
      <c r="Y7" s="77">
        <f>Q7/26/8*2*X7</f>
        <v>0</v>
      </c>
      <c r="Z7" s="76">
        <v>0</v>
      </c>
      <c r="AA7" s="76">
        <f>Q7/26*Z7</f>
        <v>0</v>
      </c>
      <c r="AB7" s="76">
        <v>2</v>
      </c>
      <c r="AC7" s="97">
        <f>Q7/26*AB7</f>
        <v>15.6923076923077</v>
      </c>
      <c r="AD7" s="76">
        <v>0</v>
      </c>
      <c r="AE7" s="98">
        <v>7.5</v>
      </c>
      <c r="AF7" s="98">
        <f>6/13*(R7+V7+AB7+Z7)</f>
        <v>6</v>
      </c>
      <c r="AG7" s="98">
        <f t="shared" ref="AG7:AG20" si="8">IF(R7+V7+Z7+AB7&gt;=12.75,5/13*R7+5/13*AB7,0)</f>
        <v>5</v>
      </c>
      <c r="AH7" s="97">
        <f>(T7+X7)/2*0.5</f>
        <v>0.25</v>
      </c>
      <c r="AI7" s="114"/>
      <c r="AJ7" s="114"/>
      <c r="AK7" s="97">
        <v>0</v>
      </c>
      <c r="AL7" s="115"/>
      <c r="AM7" s="97">
        <v>0</v>
      </c>
      <c r="AN7" s="116">
        <f>S7+U7+W7+Y7+AA7+SUM(AC7:AM7)</f>
        <v>122.221153846154</v>
      </c>
      <c r="AO7" s="136"/>
      <c r="AP7" s="133">
        <v>204</v>
      </c>
      <c r="AQ7" s="134">
        <v>13</v>
      </c>
      <c r="AR7" s="98">
        <f t="shared" si="0"/>
        <v>102</v>
      </c>
      <c r="AS7" s="134">
        <v>3</v>
      </c>
      <c r="AT7" s="97">
        <f t="shared" si="1"/>
        <v>4.41346153846154</v>
      </c>
      <c r="AU7" s="135"/>
      <c r="AV7" s="98">
        <f t="shared" si="2"/>
        <v>0</v>
      </c>
      <c r="AW7" s="139"/>
      <c r="AX7" s="97">
        <f t="shared" si="3"/>
        <v>0</v>
      </c>
      <c r="AY7" s="139"/>
      <c r="AZ7" s="98">
        <f>AP7/26*AY7</f>
        <v>0</v>
      </c>
      <c r="BA7" s="147"/>
      <c r="BB7" s="97">
        <f t="shared" si="5"/>
        <v>0</v>
      </c>
      <c r="BC7" s="135"/>
      <c r="BD7" s="98">
        <v>7.5</v>
      </c>
      <c r="BE7" s="98">
        <f t="shared" ref="BE7:BE9" si="9">6/13*(AQ7+AU7+BA7+AY7)</f>
        <v>6</v>
      </c>
      <c r="BF7" s="98">
        <f>IF(AQ7+AU7+AY7+BA7&gt;=12.75,5/13*AQ7+5/13*BA7,0)</f>
        <v>5</v>
      </c>
      <c r="BG7" s="151">
        <f t="shared" si="6"/>
        <v>0.75</v>
      </c>
      <c r="BH7" s="98">
        <f t="shared" ref="BH7:BH10" si="10">30/26*(AQ7+R7)</f>
        <v>27.6923076923077</v>
      </c>
      <c r="BI7" s="135"/>
      <c r="BJ7" s="77">
        <v>0</v>
      </c>
      <c r="BK7" s="135"/>
      <c r="BL7" s="150">
        <v>-5.31692307692308</v>
      </c>
      <c r="BM7" s="158">
        <f>AN7+BN7-BL7-AM7-AL7-BK7</f>
        <v>275.576923076923</v>
      </c>
      <c r="BN7" s="159">
        <f t="shared" si="7"/>
        <v>148.038846153846</v>
      </c>
      <c r="BO7" s="136"/>
      <c r="BQ7" s="161">
        <f>$BM7*$BQ$5</f>
        <v>1118566.73076923</v>
      </c>
      <c r="BR7" s="161">
        <f t="shared" ref="BR6:BR20" si="11">IF(BM7&lt;=0,0*0.02,IF(BQ7&lt;=400000,400000*0.02,IF(BQ7&gt;1200000,1200000*0.02,IF(BQ7&lt;1200000,BQ7*0.02))))</f>
        <v>22371.3346153846</v>
      </c>
      <c r="BS7" s="162">
        <f>BR7/$BQ$5</f>
        <v>5.51153846153847</v>
      </c>
      <c r="BT7" s="163">
        <f t="shared" ref="BT6:BT20" si="12">-BS7</f>
        <v>-5.51153846153847</v>
      </c>
    </row>
    <row r="8" ht="39" customHeight="1" spans="1:72">
      <c r="A8" s="23">
        <v>3</v>
      </c>
      <c r="B8" s="26" t="s">
        <v>110</v>
      </c>
      <c r="C8" s="26" t="s">
        <v>111</v>
      </c>
      <c r="D8" s="26" t="s">
        <v>112</v>
      </c>
      <c r="E8" s="20" t="s">
        <v>113</v>
      </c>
      <c r="F8" s="26" t="s">
        <v>114</v>
      </c>
      <c r="G8" s="26" t="s">
        <v>115</v>
      </c>
      <c r="H8" s="27" t="s">
        <v>116</v>
      </c>
      <c r="I8" s="43">
        <v>24035005</v>
      </c>
      <c r="J8" s="26" t="s">
        <v>106</v>
      </c>
      <c r="K8" s="26" t="s">
        <v>107</v>
      </c>
      <c r="L8" s="26" t="s">
        <v>108</v>
      </c>
      <c r="M8" s="26" t="s">
        <v>97</v>
      </c>
      <c r="N8" s="44">
        <v>45376</v>
      </c>
      <c r="O8" s="27">
        <v>31155522</v>
      </c>
      <c r="P8" s="45">
        <v>38420</v>
      </c>
      <c r="Q8" s="75">
        <v>204</v>
      </c>
      <c r="R8" s="76">
        <v>10.75</v>
      </c>
      <c r="S8" s="76">
        <f>Q8/26*R8</f>
        <v>84.3461538461538</v>
      </c>
      <c r="T8" s="76">
        <v>1</v>
      </c>
      <c r="U8" s="77">
        <f>Q8/26/8*1.5*T8</f>
        <v>1.47115384615385</v>
      </c>
      <c r="V8" s="76">
        <v>0</v>
      </c>
      <c r="W8" s="76">
        <f>Q8/26*V8*1.3</f>
        <v>0</v>
      </c>
      <c r="X8" s="76">
        <v>0</v>
      </c>
      <c r="Y8" s="77">
        <f>Q8/26/8*2*X8</f>
        <v>0</v>
      </c>
      <c r="Z8" s="76">
        <v>0</v>
      </c>
      <c r="AA8" s="76">
        <f>Q8/26*Z8*0.5</f>
        <v>0</v>
      </c>
      <c r="AB8" s="76">
        <v>2</v>
      </c>
      <c r="AC8" s="97">
        <f t="shared" ref="AC8:AC10" si="13">Q8/26*AB8</f>
        <v>15.6923076923077</v>
      </c>
      <c r="AD8" s="76">
        <v>0</v>
      </c>
      <c r="AE8" s="98">
        <v>7.5</v>
      </c>
      <c r="AF8" s="98">
        <f t="shared" ref="AF8:AF9" si="14">6/13*(R8+V8+AB8+Z8)</f>
        <v>5.88461538461539</v>
      </c>
      <c r="AG8" s="98">
        <f t="shared" si="8"/>
        <v>4.90384615384615</v>
      </c>
      <c r="AH8" s="97">
        <f>(T8+X8)/2*0.5</f>
        <v>0.25</v>
      </c>
      <c r="AI8" s="114"/>
      <c r="AJ8" s="114"/>
      <c r="AK8" s="97">
        <v>0</v>
      </c>
      <c r="AL8" s="117"/>
      <c r="AM8" s="97">
        <v>0</v>
      </c>
      <c r="AN8" s="116">
        <f t="shared" ref="AN8:AN10" si="15">S8+U8+W8+Y8+AA8+SUM(AC8:AM8)</f>
        <v>120.048076923077</v>
      </c>
      <c r="AO8" s="136"/>
      <c r="AP8" s="133">
        <v>204</v>
      </c>
      <c r="AQ8" s="134">
        <v>13</v>
      </c>
      <c r="AR8" s="98">
        <f t="shared" si="0"/>
        <v>102</v>
      </c>
      <c r="AS8" s="134">
        <v>3</v>
      </c>
      <c r="AT8" s="97">
        <f t="shared" si="1"/>
        <v>4.41346153846154</v>
      </c>
      <c r="AU8" s="137"/>
      <c r="AV8" s="98">
        <f t="shared" si="2"/>
        <v>0</v>
      </c>
      <c r="AW8" s="148"/>
      <c r="AX8" s="97">
        <f t="shared" si="3"/>
        <v>0</v>
      </c>
      <c r="AY8" s="135"/>
      <c r="AZ8" s="98">
        <f t="shared" si="4"/>
        <v>0</v>
      </c>
      <c r="BA8" s="147"/>
      <c r="BB8" s="97">
        <f t="shared" si="5"/>
        <v>0</v>
      </c>
      <c r="BC8" s="135"/>
      <c r="BD8" s="98">
        <v>7.5</v>
      </c>
      <c r="BE8" s="98">
        <f t="shared" si="9"/>
        <v>6</v>
      </c>
      <c r="BF8" s="98">
        <f t="shared" ref="BF7:BF20" si="16">IF(AQ8+AU8+AY8+BA8&gt;=12.75,5/13*AQ8+5/13*BA8,0)</f>
        <v>5</v>
      </c>
      <c r="BG8" s="151">
        <f t="shared" si="6"/>
        <v>0.75</v>
      </c>
      <c r="BH8" s="98">
        <f t="shared" si="10"/>
        <v>27.4038461538461</v>
      </c>
      <c r="BI8" s="135"/>
      <c r="BJ8" s="77">
        <v>0</v>
      </c>
      <c r="BK8" s="135"/>
      <c r="BL8" s="150">
        <v>-5.41307692307693</v>
      </c>
      <c r="BM8" s="158">
        <f t="shared" ref="BM7:BM20" si="17">AN8+BN8-BL8-AM8-AL8-BK8</f>
        <v>273.115384615385</v>
      </c>
      <c r="BN8" s="159">
        <f t="shared" si="7"/>
        <v>147.654230769231</v>
      </c>
      <c r="BO8" s="136"/>
      <c r="BQ8" s="161">
        <f>$BM8*$BQ$5</f>
        <v>1108575.34615385</v>
      </c>
      <c r="BR8" s="161">
        <f t="shared" si="11"/>
        <v>22171.5069230769</v>
      </c>
      <c r="BS8" s="162">
        <f>BR8/$BQ$5</f>
        <v>5.46230769230769</v>
      </c>
      <c r="BT8" s="163">
        <f t="shared" si="12"/>
        <v>-5.46230769230769</v>
      </c>
    </row>
    <row r="9" ht="39" customHeight="1" spans="1:72">
      <c r="A9" s="23">
        <v>4</v>
      </c>
      <c r="B9" s="26" t="s">
        <v>117</v>
      </c>
      <c r="C9" s="26" t="s">
        <v>118</v>
      </c>
      <c r="D9" s="26" t="s">
        <v>119</v>
      </c>
      <c r="E9" s="20" t="s">
        <v>120</v>
      </c>
      <c r="F9" s="26" t="s">
        <v>121</v>
      </c>
      <c r="G9" s="26" t="s">
        <v>122</v>
      </c>
      <c r="H9" s="26" t="s">
        <v>123</v>
      </c>
      <c r="I9" s="43">
        <v>24035006</v>
      </c>
      <c r="J9" s="26" t="s">
        <v>106</v>
      </c>
      <c r="K9" s="26" t="s">
        <v>107</v>
      </c>
      <c r="L9" s="26" t="s">
        <v>108</v>
      </c>
      <c r="M9" s="26" t="s">
        <v>97</v>
      </c>
      <c r="N9" s="44">
        <v>45377</v>
      </c>
      <c r="O9" s="27">
        <v>130156740</v>
      </c>
      <c r="P9" s="45">
        <v>36164</v>
      </c>
      <c r="Q9" s="75">
        <v>204</v>
      </c>
      <c r="R9" s="76">
        <v>9</v>
      </c>
      <c r="S9" s="76">
        <f t="shared" ref="S9:S12" si="18">Q9/26*R9</f>
        <v>70.6153846153846</v>
      </c>
      <c r="T9" s="76">
        <v>1</v>
      </c>
      <c r="U9" s="77">
        <f t="shared" ref="U9:U12" si="19">Q9/26/8*1.5*T9</f>
        <v>1.47115384615385</v>
      </c>
      <c r="V9" s="76">
        <v>0</v>
      </c>
      <c r="W9" s="76">
        <f t="shared" ref="W9:W12" si="20">Q9/26*V9*1.3</f>
        <v>0</v>
      </c>
      <c r="X9" s="76">
        <v>0</v>
      </c>
      <c r="Y9" s="77">
        <f t="shared" ref="Y9:Y12" si="21">Q9/26/8*2*X9</f>
        <v>0</v>
      </c>
      <c r="Z9" s="76">
        <v>0</v>
      </c>
      <c r="AA9" s="76">
        <f t="shared" ref="AA9:AA12" si="22">Q9/26*Z9*0.5</f>
        <v>0</v>
      </c>
      <c r="AB9" s="76">
        <v>2</v>
      </c>
      <c r="AC9" s="97">
        <f t="shared" si="13"/>
        <v>15.6923076923077</v>
      </c>
      <c r="AD9" s="76">
        <v>0</v>
      </c>
      <c r="AE9" s="98">
        <v>7.5</v>
      </c>
      <c r="AF9" s="98">
        <f t="shared" si="14"/>
        <v>5.07692307692308</v>
      </c>
      <c r="AG9" s="98">
        <f t="shared" si="8"/>
        <v>0</v>
      </c>
      <c r="AH9" s="97">
        <f t="shared" ref="AH9:AH12" si="23">(T9+X9)/2*0.5</f>
        <v>0.25</v>
      </c>
      <c r="AI9" s="118"/>
      <c r="AJ9" s="114"/>
      <c r="AK9" s="97">
        <v>0</v>
      </c>
      <c r="AL9" s="119"/>
      <c r="AM9" s="97">
        <v>0</v>
      </c>
      <c r="AN9" s="116">
        <f t="shared" si="15"/>
        <v>100.605769230769</v>
      </c>
      <c r="AO9" s="138"/>
      <c r="AP9" s="133">
        <v>204</v>
      </c>
      <c r="AQ9" s="134">
        <v>11</v>
      </c>
      <c r="AR9" s="98">
        <f t="shared" si="0"/>
        <v>86.3076923076923</v>
      </c>
      <c r="AS9" s="134">
        <v>2</v>
      </c>
      <c r="AT9" s="97">
        <f t="shared" si="1"/>
        <v>2.94230769230769</v>
      </c>
      <c r="AU9" s="137"/>
      <c r="AV9" s="98">
        <f t="shared" si="2"/>
        <v>0</v>
      </c>
      <c r="AW9" s="148"/>
      <c r="AX9" s="97">
        <f t="shared" si="3"/>
        <v>0</v>
      </c>
      <c r="AY9" s="135"/>
      <c r="AZ9" s="98">
        <f t="shared" si="4"/>
        <v>0</v>
      </c>
      <c r="BA9" s="147">
        <v>1</v>
      </c>
      <c r="BB9" s="97">
        <f t="shared" si="5"/>
        <v>7.84615384615385</v>
      </c>
      <c r="BC9" s="135"/>
      <c r="BD9" s="98">
        <v>7.5</v>
      </c>
      <c r="BE9" s="98">
        <f t="shared" si="9"/>
        <v>5.53846153846154</v>
      </c>
      <c r="BF9" s="98">
        <f t="shared" si="16"/>
        <v>0</v>
      </c>
      <c r="BG9" s="151">
        <f t="shared" si="6"/>
        <v>0.5</v>
      </c>
      <c r="BH9" s="98">
        <f t="shared" si="10"/>
        <v>23.0769230769231</v>
      </c>
      <c r="BI9" s="135"/>
      <c r="BJ9" s="77">
        <v>0</v>
      </c>
      <c r="BK9" s="135"/>
      <c r="BL9" s="150">
        <v>-4.5201923076923</v>
      </c>
      <c r="BM9" s="158">
        <f t="shared" si="17"/>
        <v>234.317307692307</v>
      </c>
      <c r="BN9" s="159">
        <f t="shared" si="7"/>
        <v>129.191346153846</v>
      </c>
      <c r="BO9" s="138"/>
      <c r="BQ9" s="161">
        <f>$BM9*$BQ$5</f>
        <v>951093.951923076</v>
      </c>
      <c r="BR9" s="161">
        <f t="shared" si="11"/>
        <v>19021.8790384615</v>
      </c>
      <c r="BS9" s="162">
        <f>BR9/$BQ$5</f>
        <v>4.68634615384615</v>
      </c>
      <c r="BT9" s="163">
        <f t="shared" si="12"/>
        <v>-4.68634615384615</v>
      </c>
    </row>
    <row r="10" ht="39" customHeight="1" spans="1:72">
      <c r="A10" s="23">
        <v>5</v>
      </c>
      <c r="B10" s="28" t="s">
        <v>124</v>
      </c>
      <c r="C10" s="28" t="s">
        <v>111</v>
      </c>
      <c r="D10" s="28" t="s">
        <v>125</v>
      </c>
      <c r="E10" s="28" t="s">
        <v>126</v>
      </c>
      <c r="F10" s="28" t="s">
        <v>114</v>
      </c>
      <c r="G10" s="28" t="s">
        <v>127</v>
      </c>
      <c r="H10" s="28" t="s">
        <v>128</v>
      </c>
      <c r="I10" s="46">
        <v>24045009</v>
      </c>
      <c r="J10" s="47" t="s">
        <v>106</v>
      </c>
      <c r="K10" s="47" t="s">
        <v>107</v>
      </c>
      <c r="L10" s="47" t="s">
        <v>108</v>
      </c>
      <c r="M10" s="47" t="s">
        <v>97</v>
      </c>
      <c r="N10" s="48">
        <v>45383</v>
      </c>
      <c r="O10" s="49">
        <v>130240999</v>
      </c>
      <c r="P10" s="50">
        <v>33883</v>
      </c>
      <c r="Q10" s="75">
        <v>204</v>
      </c>
      <c r="R10" s="76">
        <v>11</v>
      </c>
      <c r="S10" s="76">
        <f t="shared" si="18"/>
        <v>86.3076923076923</v>
      </c>
      <c r="T10" s="76">
        <v>1</v>
      </c>
      <c r="U10" s="77">
        <f t="shared" si="19"/>
        <v>1.47115384615385</v>
      </c>
      <c r="V10" s="76">
        <v>0</v>
      </c>
      <c r="W10" s="76">
        <f t="shared" si="20"/>
        <v>0</v>
      </c>
      <c r="X10" s="76">
        <v>0</v>
      </c>
      <c r="Y10" s="77">
        <f t="shared" si="21"/>
        <v>0</v>
      </c>
      <c r="Z10" s="76">
        <v>0</v>
      </c>
      <c r="AA10" s="76">
        <f t="shared" si="22"/>
        <v>0</v>
      </c>
      <c r="AB10" s="76">
        <v>2</v>
      </c>
      <c r="AC10" s="97">
        <f t="shared" si="13"/>
        <v>15.6923076923077</v>
      </c>
      <c r="AD10" s="76">
        <v>0</v>
      </c>
      <c r="AE10" s="98">
        <v>7.5</v>
      </c>
      <c r="AF10" s="99">
        <f>19/13*(R10+V10+AB10+Z10)</f>
        <v>19</v>
      </c>
      <c r="AG10" s="98">
        <f t="shared" si="8"/>
        <v>5</v>
      </c>
      <c r="AH10" s="97">
        <f t="shared" si="23"/>
        <v>0.25</v>
      </c>
      <c r="AI10" s="120"/>
      <c r="AJ10" s="114"/>
      <c r="AK10" s="97">
        <v>0</v>
      </c>
      <c r="AL10" s="119"/>
      <c r="AM10" s="97">
        <v>0</v>
      </c>
      <c r="AN10" s="116">
        <f t="shared" si="15"/>
        <v>135.221153846154</v>
      </c>
      <c r="AO10" s="138"/>
      <c r="AP10" s="133">
        <v>204</v>
      </c>
      <c r="AQ10" s="134">
        <v>13</v>
      </c>
      <c r="AR10" s="98">
        <f t="shared" si="0"/>
        <v>102</v>
      </c>
      <c r="AS10" s="134">
        <v>3</v>
      </c>
      <c r="AT10" s="97">
        <f t="shared" si="1"/>
        <v>4.41346153846154</v>
      </c>
      <c r="AU10" s="137"/>
      <c r="AV10" s="98">
        <f t="shared" si="2"/>
        <v>0</v>
      </c>
      <c r="AW10" s="148"/>
      <c r="AX10" s="97">
        <f t="shared" si="3"/>
        <v>0</v>
      </c>
      <c r="AY10" s="135"/>
      <c r="AZ10" s="98">
        <f t="shared" si="4"/>
        <v>0</v>
      </c>
      <c r="BA10" s="147"/>
      <c r="BB10" s="97">
        <f t="shared" si="5"/>
        <v>0</v>
      </c>
      <c r="BC10" s="135"/>
      <c r="BD10" s="98">
        <v>7.5</v>
      </c>
      <c r="BE10" s="99">
        <f>19/13*(AQ10+AU10+BA10+AY10)</f>
        <v>19</v>
      </c>
      <c r="BF10" s="98">
        <f t="shared" si="16"/>
        <v>5</v>
      </c>
      <c r="BG10" s="151">
        <f t="shared" si="6"/>
        <v>0.75</v>
      </c>
      <c r="BH10" s="99">
        <f>387/26*(AQ10+R10)</f>
        <v>357.230769230769</v>
      </c>
      <c r="BI10" s="135"/>
      <c r="BJ10" s="77">
        <v>0</v>
      </c>
      <c r="BK10" s="135"/>
      <c r="BL10" s="150">
        <v>-5.91278640059128</v>
      </c>
      <c r="BM10" s="158">
        <f t="shared" si="17"/>
        <v>631.115384615385</v>
      </c>
      <c r="BN10" s="159">
        <f t="shared" si="7"/>
        <v>489.981444368639</v>
      </c>
      <c r="BO10" s="138"/>
      <c r="BQ10" s="161">
        <f>$BM10*$BQ$5</f>
        <v>2561697.34615385</v>
      </c>
      <c r="BR10" s="161">
        <f t="shared" si="11"/>
        <v>24000</v>
      </c>
      <c r="BS10" s="162">
        <f>BR10/$BQ$5</f>
        <v>5.91278640059128</v>
      </c>
      <c r="BT10" s="163">
        <f t="shared" si="12"/>
        <v>-5.91278640059128</v>
      </c>
    </row>
    <row r="11" ht="39" customHeight="1" spans="1:72">
      <c r="A11" s="23">
        <v>6</v>
      </c>
      <c r="B11" s="26" t="s">
        <v>129</v>
      </c>
      <c r="C11" s="26" t="s">
        <v>130</v>
      </c>
      <c r="D11" s="26" t="s">
        <v>131</v>
      </c>
      <c r="E11" s="26" t="s">
        <v>132</v>
      </c>
      <c r="F11" s="26" t="s">
        <v>133</v>
      </c>
      <c r="G11" s="26" t="s">
        <v>134</v>
      </c>
      <c r="H11" s="27">
        <v>0</v>
      </c>
      <c r="I11" s="43">
        <v>24055010</v>
      </c>
      <c r="J11" s="51" t="s">
        <v>106</v>
      </c>
      <c r="K11" s="51" t="s">
        <v>107</v>
      </c>
      <c r="L11" s="51" t="s">
        <v>108</v>
      </c>
      <c r="M11" s="51" t="s">
        <v>97</v>
      </c>
      <c r="N11" s="52">
        <v>45422</v>
      </c>
      <c r="O11" s="27">
        <v>110707909</v>
      </c>
      <c r="P11" s="53">
        <v>28940</v>
      </c>
      <c r="Q11" s="75">
        <v>204</v>
      </c>
      <c r="R11" s="76">
        <v>9.81</v>
      </c>
      <c r="S11" s="76">
        <f t="shared" si="18"/>
        <v>76.9707692307692</v>
      </c>
      <c r="T11" s="76">
        <v>1</v>
      </c>
      <c r="U11" s="77">
        <f t="shared" si="19"/>
        <v>1.47115384615385</v>
      </c>
      <c r="V11" s="76">
        <v>0</v>
      </c>
      <c r="W11" s="76">
        <f t="shared" si="20"/>
        <v>0</v>
      </c>
      <c r="X11" s="76">
        <v>0</v>
      </c>
      <c r="Y11" s="77">
        <f t="shared" si="21"/>
        <v>0</v>
      </c>
      <c r="Z11" s="76">
        <v>0</v>
      </c>
      <c r="AA11" s="76">
        <f t="shared" si="22"/>
        <v>0</v>
      </c>
      <c r="AB11" s="76">
        <v>3</v>
      </c>
      <c r="AC11" s="97">
        <f t="shared" ref="AC11:AC20" si="24">Q11/26*AB11</f>
        <v>23.5384615384615</v>
      </c>
      <c r="AD11" s="76">
        <v>0</v>
      </c>
      <c r="AE11" s="98">
        <v>7.5</v>
      </c>
      <c r="AF11" s="98">
        <f t="shared" ref="AF11:AF20" si="25">6/13*(R11+V11+AB11+Z11)</f>
        <v>5.91230769230769</v>
      </c>
      <c r="AG11" s="98">
        <f t="shared" si="8"/>
        <v>4.92692307692308</v>
      </c>
      <c r="AH11" s="97">
        <f t="shared" si="23"/>
        <v>0.25</v>
      </c>
      <c r="AI11" s="114"/>
      <c r="AJ11" s="114"/>
      <c r="AK11" s="97">
        <v>0</v>
      </c>
      <c r="AL11" s="117"/>
      <c r="AM11" s="97">
        <v>0</v>
      </c>
      <c r="AN11" s="116">
        <f t="shared" ref="AN11:AN20" si="26">S11+U11+W11+Y11+AA11+SUM(AC11:AM11)</f>
        <v>120.569615384615</v>
      </c>
      <c r="AO11" s="136"/>
      <c r="AP11" s="133">
        <v>204</v>
      </c>
      <c r="AQ11" s="134">
        <v>13</v>
      </c>
      <c r="AR11" s="98">
        <f t="shared" si="0"/>
        <v>102</v>
      </c>
      <c r="AS11" s="134">
        <v>3</v>
      </c>
      <c r="AT11" s="97">
        <f t="shared" si="1"/>
        <v>4.41346153846154</v>
      </c>
      <c r="AU11" s="139"/>
      <c r="AV11" s="98">
        <f t="shared" si="2"/>
        <v>0</v>
      </c>
      <c r="AW11" s="139"/>
      <c r="AX11" s="97">
        <f t="shared" si="3"/>
        <v>0</v>
      </c>
      <c r="AY11" s="135"/>
      <c r="AZ11" s="98">
        <f t="shared" si="4"/>
        <v>0</v>
      </c>
      <c r="BA11" s="147"/>
      <c r="BB11" s="97">
        <f t="shared" si="5"/>
        <v>0</v>
      </c>
      <c r="BC11" s="135"/>
      <c r="BD11" s="98">
        <v>7.5</v>
      </c>
      <c r="BE11" s="98">
        <f t="shared" ref="BE11:BE18" si="27">6/13*(AQ11+AU11+BA11+AY11)</f>
        <v>6</v>
      </c>
      <c r="BF11" s="98">
        <f t="shared" si="16"/>
        <v>5</v>
      </c>
      <c r="BG11" s="151">
        <f t="shared" si="6"/>
        <v>0.75</v>
      </c>
      <c r="BH11" s="98">
        <f>20/26*(AQ11+R11)</f>
        <v>17.5461538461538</v>
      </c>
      <c r="BI11" s="135"/>
      <c r="BJ11" s="77">
        <v>0</v>
      </c>
      <c r="BK11" s="135"/>
      <c r="BL11" s="150">
        <v>-5.27558461538461</v>
      </c>
      <c r="BM11" s="158">
        <f t="shared" si="17"/>
        <v>263.77923076923</v>
      </c>
      <c r="BN11" s="159">
        <f t="shared" si="7"/>
        <v>137.934030769231</v>
      </c>
      <c r="BO11" s="136"/>
      <c r="BQ11" s="161">
        <f>$BM11*$BQ$5</f>
        <v>1070679.89769231</v>
      </c>
      <c r="BR11" s="161">
        <f t="shared" si="11"/>
        <v>21413.5979538461</v>
      </c>
      <c r="BS11" s="162">
        <f>BR11/$BQ$5</f>
        <v>5.27558461538461</v>
      </c>
      <c r="BT11" s="163">
        <f t="shared" si="12"/>
        <v>-5.27558461538461</v>
      </c>
    </row>
    <row r="12" ht="39" customHeight="1" spans="1:72">
      <c r="A12" s="23">
        <v>7</v>
      </c>
      <c r="B12" s="26" t="s">
        <v>135</v>
      </c>
      <c r="C12" s="26" t="s">
        <v>136</v>
      </c>
      <c r="D12" s="26" t="s">
        <v>137</v>
      </c>
      <c r="E12" s="26" t="s">
        <v>138</v>
      </c>
      <c r="F12" s="26" t="s">
        <v>139</v>
      </c>
      <c r="G12" s="26" t="s">
        <v>140</v>
      </c>
      <c r="H12" s="26" t="s">
        <v>141</v>
      </c>
      <c r="I12" s="43">
        <v>24045011</v>
      </c>
      <c r="J12" s="26" t="s">
        <v>106</v>
      </c>
      <c r="K12" s="26" t="s">
        <v>142</v>
      </c>
      <c r="L12" s="26" t="s">
        <v>108</v>
      </c>
      <c r="M12" s="26" t="s">
        <v>97</v>
      </c>
      <c r="N12" s="52">
        <v>45400</v>
      </c>
      <c r="O12" s="27">
        <v>130077756</v>
      </c>
      <c r="P12" s="53">
        <v>31181</v>
      </c>
      <c r="Q12" s="75">
        <v>204</v>
      </c>
      <c r="R12" s="76">
        <v>11</v>
      </c>
      <c r="S12" s="76">
        <f t="shared" si="18"/>
        <v>86.3076923076923</v>
      </c>
      <c r="T12" s="76">
        <v>1.5</v>
      </c>
      <c r="U12" s="77">
        <f t="shared" si="19"/>
        <v>2.20673076923077</v>
      </c>
      <c r="V12" s="76">
        <v>0</v>
      </c>
      <c r="W12" s="76">
        <f t="shared" si="20"/>
        <v>0</v>
      </c>
      <c r="X12" s="76">
        <v>0</v>
      </c>
      <c r="Y12" s="77">
        <f t="shared" si="21"/>
        <v>0</v>
      </c>
      <c r="Z12" s="76">
        <v>0</v>
      </c>
      <c r="AA12" s="76">
        <f t="shared" si="22"/>
        <v>0</v>
      </c>
      <c r="AB12" s="76">
        <v>2</v>
      </c>
      <c r="AC12" s="97">
        <f t="shared" si="24"/>
        <v>15.6923076923077</v>
      </c>
      <c r="AD12" s="76">
        <v>0</v>
      </c>
      <c r="AE12" s="98">
        <v>7.5</v>
      </c>
      <c r="AF12" s="98">
        <f t="shared" si="25"/>
        <v>6</v>
      </c>
      <c r="AG12" s="98">
        <f t="shared" si="8"/>
        <v>5</v>
      </c>
      <c r="AH12" s="97">
        <f t="shared" si="23"/>
        <v>0.375</v>
      </c>
      <c r="AI12" s="119"/>
      <c r="AJ12" s="114"/>
      <c r="AK12" s="97">
        <v>0</v>
      </c>
      <c r="AL12" s="117"/>
      <c r="AM12" s="97">
        <v>0</v>
      </c>
      <c r="AN12" s="116">
        <f t="shared" si="26"/>
        <v>123.081730769231</v>
      </c>
      <c r="AO12" s="136"/>
      <c r="AP12" s="133">
        <v>204</v>
      </c>
      <c r="AQ12" s="98">
        <v>12.12</v>
      </c>
      <c r="AR12" s="98">
        <f t="shared" si="0"/>
        <v>95.0953846153846</v>
      </c>
      <c r="AS12" s="140">
        <v>4.5</v>
      </c>
      <c r="AT12" s="97">
        <f t="shared" si="1"/>
        <v>6.62019230769231</v>
      </c>
      <c r="AU12" s="137"/>
      <c r="AV12" s="98">
        <f t="shared" si="2"/>
        <v>0</v>
      </c>
      <c r="AW12" s="148"/>
      <c r="AX12" s="97">
        <f t="shared" si="3"/>
        <v>0</v>
      </c>
      <c r="AY12" s="135"/>
      <c r="AZ12" s="98">
        <f t="shared" si="4"/>
        <v>0</v>
      </c>
      <c r="BA12" s="147"/>
      <c r="BB12" s="97">
        <f t="shared" si="5"/>
        <v>0</v>
      </c>
      <c r="BC12" s="135"/>
      <c r="BD12" s="98">
        <v>7.5</v>
      </c>
      <c r="BE12" s="98">
        <f t="shared" si="27"/>
        <v>5.59384615384615</v>
      </c>
      <c r="BF12" s="98">
        <f t="shared" si="16"/>
        <v>0</v>
      </c>
      <c r="BG12" s="151">
        <f t="shared" si="6"/>
        <v>1.125</v>
      </c>
      <c r="BH12" s="98">
        <f>30/26*(AQ12+R12)</f>
        <v>26.6769230769231</v>
      </c>
      <c r="BI12" s="135"/>
      <c r="BJ12" s="77">
        <v>0</v>
      </c>
      <c r="BK12" s="135"/>
      <c r="BL12" s="150">
        <v>-5.31386153846154</v>
      </c>
      <c r="BM12" s="158">
        <f t="shared" si="17"/>
        <v>265.693076923077</v>
      </c>
      <c r="BN12" s="159">
        <f t="shared" si="7"/>
        <v>137.297484615385</v>
      </c>
      <c r="BO12" s="136"/>
      <c r="BQ12" s="161">
        <f>$BM12*$BQ$5</f>
        <v>1078448.19923077</v>
      </c>
      <c r="BR12" s="161">
        <f t="shared" si="11"/>
        <v>21568.9639846154</v>
      </c>
      <c r="BS12" s="162">
        <f>BR12/$BQ$5</f>
        <v>5.31386153846154</v>
      </c>
      <c r="BT12" s="163">
        <f t="shared" si="12"/>
        <v>-5.31386153846154</v>
      </c>
    </row>
    <row r="13" ht="39" customHeight="1" spans="1:72">
      <c r="A13" s="23">
        <v>8</v>
      </c>
      <c r="B13" s="26" t="s">
        <v>143</v>
      </c>
      <c r="C13" s="26" t="s">
        <v>144</v>
      </c>
      <c r="D13" s="26" t="s">
        <v>145</v>
      </c>
      <c r="E13" s="26" t="s">
        <v>146</v>
      </c>
      <c r="F13" s="26" t="s">
        <v>147</v>
      </c>
      <c r="G13" s="26" t="s">
        <v>148</v>
      </c>
      <c r="H13" s="26" t="s">
        <v>149</v>
      </c>
      <c r="I13" s="43">
        <v>24045012</v>
      </c>
      <c r="J13" s="26" t="s">
        <v>106</v>
      </c>
      <c r="K13" s="26" t="s">
        <v>107</v>
      </c>
      <c r="L13" s="26" t="s">
        <v>108</v>
      </c>
      <c r="M13" s="26" t="s">
        <v>97</v>
      </c>
      <c r="N13" s="52">
        <v>45401</v>
      </c>
      <c r="O13" s="27">
        <v>110633766</v>
      </c>
      <c r="P13" s="53">
        <v>36894</v>
      </c>
      <c r="Q13" s="75">
        <v>204</v>
      </c>
      <c r="R13" s="76">
        <v>10</v>
      </c>
      <c r="S13" s="76">
        <f t="shared" ref="S13:S20" si="28">Q13/26*R13</f>
        <v>78.4615384615385</v>
      </c>
      <c r="T13" s="76">
        <v>0</v>
      </c>
      <c r="U13" s="77">
        <f t="shared" ref="U13:U20" si="29">Q13/26/8*1.5*T13</f>
        <v>0</v>
      </c>
      <c r="V13" s="76">
        <v>0</v>
      </c>
      <c r="W13" s="76">
        <f t="shared" ref="W13:W20" si="30">Q13/26*V13*1.3</f>
        <v>0</v>
      </c>
      <c r="X13" s="76">
        <v>0</v>
      </c>
      <c r="Y13" s="77">
        <f t="shared" ref="Y13:Y20" si="31">Q13/26/8*2*X13</f>
        <v>0</v>
      </c>
      <c r="Z13" s="76">
        <v>0</v>
      </c>
      <c r="AA13" s="76">
        <f t="shared" ref="AA13:AA20" si="32">Q13/26*Z13*0.5</f>
        <v>0</v>
      </c>
      <c r="AB13" s="76">
        <v>2</v>
      </c>
      <c r="AC13" s="97">
        <f t="shared" si="24"/>
        <v>15.6923076923077</v>
      </c>
      <c r="AD13" s="76">
        <v>0</v>
      </c>
      <c r="AE13" s="98">
        <v>7.5</v>
      </c>
      <c r="AF13" s="98">
        <f t="shared" si="25"/>
        <v>5.53846153846154</v>
      </c>
      <c r="AG13" s="98">
        <f t="shared" si="8"/>
        <v>0</v>
      </c>
      <c r="AH13" s="97">
        <f t="shared" ref="AH13:AH20" si="33">(T13+X13)/2*0.5</f>
        <v>0</v>
      </c>
      <c r="AI13" s="118"/>
      <c r="AJ13" s="114"/>
      <c r="AK13" s="97">
        <v>0</v>
      </c>
      <c r="AL13" s="119"/>
      <c r="AM13" s="97">
        <v>0</v>
      </c>
      <c r="AN13" s="116">
        <f t="shared" si="26"/>
        <v>107.192307692308</v>
      </c>
      <c r="AO13" s="138"/>
      <c r="AP13" s="133">
        <v>204</v>
      </c>
      <c r="AQ13" s="134">
        <v>10</v>
      </c>
      <c r="AR13" s="98">
        <f t="shared" si="0"/>
        <v>78.4615384615385</v>
      </c>
      <c r="AS13" s="134">
        <v>1</v>
      </c>
      <c r="AT13" s="97">
        <f t="shared" si="1"/>
        <v>1.47115384615385</v>
      </c>
      <c r="AU13" s="137"/>
      <c r="AV13" s="98">
        <f t="shared" si="2"/>
        <v>0</v>
      </c>
      <c r="AW13" s="148"/>
      <c r="AX13" s="97">
        <f t="shared" si="3"/>
        <v>0</v>
      </c>
      <c r="AY13" s="135"/>
      <c r="AZ13" s="98">
        <f t="shared" si="4"/>
        <v>0</v>
      </c>
      <c r="BA13" s="147">
        <v>3</v>
      </c>
      <c r="BB13" s="97">
        <f t="shared" si="5"/>
        <v>23.5384615384615</v>
      </c>
      <c r="BC13" s="135"/>
      <c r="BD13" s="98">
        <v>7.5</v>
      </c>
      <c r="BE13" s="98">
        <f t="shared" si="27"/>
        <v>6</v>
      </c>
      <c r="BF13" s="98">
        <f t="shared" si="16"/>
        <v>5</v>
      </c>
      <c r="BG13" s="151">
        <f t="shared" si="6"/>
        <v>0.25</v>
      </c>
      <c r="BH13" s="98">
        <f>30/26*(AQ13+R13)</f>
        <v>23.0769230769231</v>
      </c>
      <c r="BI13" s="135"/>
      <c r="BJ13" s="77">
        <v>0</v>
      </c>
      <c r="BK13" s="135"/>
      <c r="BL13" s="150">
        <v>-4.45134615384616</v>
      </c>
      <c r="BM13" s="158">
        <f t="shared" si="17"/>
        <v>252.490384615385</v>
      </c>
      <c r="BN13" s="159">
        <f t="shared" si="7"/>
        <v>140.846730769231</v>
      </c>
      <c r="BO13" s="138"/>
      <c r="BQ13" s="161">
        <f>$BM13*$BQ$5</f>
        <v>1024858.47115385</v>
      </c>
      <c r="BR13" s="161">
        <f t="shared" si="11"/>
        <v>20497.1694230769</v>
      </c>
      <c r="BS13" s="162">
        <f>BR13/$BQ$5</f>
        <v>5.0498076923077</v>
      </c>
      <c r="BT13" s="163">
        <f t="shared" si="12"/>
        <v>-5.0498076923077</v>
      </c>
    </row>
    <row r="14" ht="39" customHeight="1" spans="1:72">
      <c r="A14" s="23">
        <v>9</v>
      </c>
      <c r="B14" s="26" t="s">
        <v>150</v>
      </c>
      <c r="C14" s="26" t="s">
        <v>151</v>
      </c>
      <c r="D14" s="26" t="s">
        <v>152</v>
      </c>
      <c r="E14" s="26" t="s">
        <v>153</v>
      </c>
      <c r="F14" s="26" t="s">
        <v>154</v>
      </c>
      <c r="G14" s="26" t="s">
        <v>155</v>
      </c>
      <c r="H14" s="26" t="s">
        <v>156</v>
      </c>
      <c r="I14" s="54">
        <v>24055017</v>
      </c>
      <c r="J14" s="26" t="s">
        <v>106</v>
      </c>
      <c r="K14" s="26" t="s">
        <v>107</v>
      </c>
      <c r="L14" s="26" t="s">
        <v>108</v>
      </c>
      <c r="M14" s="26" t="s">
        <v>97</v>
      </c>
      <c r="N14" s="55">
        <v>45441</v>
      </c>
      <c r="O14" s="27">
        <v>130216108</v>
      </c>
      <c r="P14" s="52">
        <v>36930</v>
      </c>
      <c r="Q14" s="75">
        <v>204</v>
      </c>
      <c r="R14" s="76">
        <v>8</v>
      </c>
      <c r="S14" s="76">
        <f t="shared" si="28"/>
        <v>62.7692307692308</v>
      </c>
      <c r="T14" s="76">
        <v>1</v>
      </c>
      <c r="U14" s="77">
        <f t="shared" si="29"/>
        <v>1.47115384615385</v>
      </c>
      <c r="V14" s="76">
        <v>0</v>
      </c>
      <c r="W14" s="76">
        <f t="shared" si="30"/>
        <v>0</v>
      </c>
      <c r="X14" s="76">
        <v>0</v>
      </c>
      <c r="Y14" s="77">
        <f t="shared" si="31"/>
        <v>0</v>
      </c>
      <c r="Z14" s="76">
        <v>0</v>
      </c>
      <c r="AA14" s="76">
        <f t="shared" si="32"/>
        <v>0</v>
      </c>
      <c r="AB14" s="76">
        <v>3</v>
      </c>
      <c r="AC14" s="97">
        <f t="shared" si="24"/>
        <v>23.5384615384615</v>
      </c>
      <c r="AD14" s="76">
        <v>0</v>
      </c>
      <c r="AE14" s="98">
        <v>7.5</v>
      </c>
      <c r="AF14" s="98">
        <f t="shared" si="25"/>
        <v>5.07692307692308</v>
      </c>
      <c r="AG14" s="98">
        <f t="shared" si="8"/>
        <v>0</v>
      </c>
      <c r="AH14" s="97">
        <f t="shared" si="33"/>
        <v>0.25</v>
      </c>
      <c r="AI14" s="118"/>
      <c r="AJ14" s="114"/>
      <c r="AK14" s="97">
        <v>0</v>
      </c>
      <c r="AL14" s="119"/>
      <c r="AM14" s="97">
        <v>0</v>
      </c>
      <c r="AN14" s="116">
        <f t="shared" si="26"/>
        <v>100.605769230769</v>
      </c>
      <c r="AO14" s="138"/>
      <c r="AP14" s="133">
        <v>204</v>
      </c>
      <c r="AQ14" s="98">
        <v>11.75</v>
      </c>
      <c r="AR14" s="98">
        <f t="shared" ref="AR14:AR20" si="34">AP14/26*AQ14</f>
        <v>92.1923076923077</v>
      </c>
      <c r="AS14" s="134">
        <v>3</v>
      </c>
      <c r="AT14" s="97">
        <f t="shared" ref="AT14:AT20" si="35">AP14/26/8*1.5*AS14</f>
        <v>4.41346153846154</v>
      </c>
      <c r="AU14" s="137"/>
      <c r="AV14" s="98">
        <f t="shared" ref="AV14:AV20" si="36">AP14/26*AU14*1.3</f>
        <v>0</v>
      </c>
      <c r="AW14" s="148"/>
      <c r="AX14" s="97">
        <f t="shared" ref="AX14:AX20" si="37">AP14/26/8*2*AW14</f>
        <v>0</v>
      </c>
      <c r="AY14" s="135"/>
      <c r="AZ14" s="98">
        <f t="shared" ref="AZ14:AZ20" si="38">AP14/26*AY14*0.5</f>
        <v>0</v>
      </c>
      <c r="BA14" s="147"/>
      <c r="BB14" s="97">
        <f t="shared" ref="BB14:BB20" si="39">AP14/26*BA14</f>
        <v>0</v>
      </c>
      <c r="BC14" s="135"/>
      <c r="BD14" s="98">
        <v>7.5</v>
      </c>
      <c r="BE14" s="98">
        <f t="shared" si="27"/>
        <v>5.42307692307692</v>
      </c>
      <c r="BF14" s="98">
        <f t="shared" si="16"/>
        <v>0</v>
      </c>
      <c r="BG14" s="151">
        <f t="shared" ref="BG14:BG20" si="40">(AS14+AW14)/2*0.5</f>
        <v>0.75</v>
      </c>
      <c r="BH14" s="98">
        <f>15/26*(AQ14+R14)</f>
        <v>11.3942307692308</v>
      </c>
      <c r="BI14" s="135"/>
      <c r="BJ14" s="77">
        <v>32.3961538461538</v>
      </c>
      <c r="BK14" s="135"/>
      <c r="BL14" s="150">
        <v>-5.0935</v>
      </c>
      <c r="BM14" s="158">
        <f t="shared" si="17"/>
        <v>254.675</v>
      </c>
      <c r="BN14" s="159">
        <f t="shared" ref="BN14:BN20" si="41">AR14+AT14+AV14+AX14+AZ14+SUM(BB14:BL14)</f>
        <v>148.975730769231</v>
      </c>
      <c r="BO14" s="138"/>
      <c r="BQ14" s="161">
        <f>$BM14*$BQ$5</f>
        <v>1033725.825</v>
      </c>
      <c r="BR14" s="161">
        <f t="shared" si="11"/>
        <v>20674.5165</v>
      </c>
      <c r="BS14" s="162">
        <f>BR14/$BQ$5</f>
        <v>5.0935</v>
      </c>
      <c r="BT14" s="163">
        <f t="shared" si="12"/>
        <v>-5.0935</v>
      </c>
    </row>
    <row r="15" ht="39" customHeight="1" spans="1:72">
      <c r="A15" s="23">
        <v>10</v>
      </c>
      <c r="B15" s="26" t="s">
        <v>157</v>
      </c>
      <c r="C15" s="26" t="s">
        <v>158</v>
      </c>
      <c r="D15" s="26" t="s">
        <v>159</v>
      </c>
      <c r="E15" s="26" t="s">
        <v>160</v>
      </c>
      <c r="F15" s="26" t="s">
        <v>161</v>
      </c>
      <c r="G15" s="26" t="s">
        <v>162</v>
      </c>
      <c r="H15" s="26" t="s">
        <v>163</v>
      </c>
      <c r="I15" s="54">
        <v>24075020</v>
      </c>
      <c r="J15" s="26" t="s">
        <v>106</v>
      </c>
      <c r="K15" s="26" t="s">
        <v>107</v>
      </c>
      <c r="L15" s="26" t="s">
        <v>164</v>
      </c>
      <c r="M15" s="26" t="s">
        <v>97</v>
      </c>
      <c r="N15" s="55">
        <v>45505</v>
      </c>
      <c r="O15" s="27">
        <v>110715318</v>
      </c>
      <c r="P15" s="52">
        <v>37539</v>
      </c>
      <c r="Q15" s="75">
        <v>204</v>
      </c>
      <c r="R15" s="76">
        <v>11</v>
      </c>
      <c r="S15" s="76">
        <f t="shared" si="28"/>
        <v>86.3076923076923</v>
      </c>
      <c r="T15" s="76">
        <v>1</v>
      </c>
      <c r="U15" s="77">
        <f t="shared" si="29"/>
        <v>1.47115384615385</v>
      </c>
      <c r="V15" s="76">
        <v>0</v>
      </c>
      <c r="W15" s="76">
        <f t="shared" si="30"/>
        <v>0</v>
      </c>
      <c r="X15" s="76">
        <v>0</v>
      </c>
      <c r="Y15" s="77">
        <f t="shared" si="31"/>
        <v>0</v>
      </c>
      <c r="Z15" s="76">
        <v>0</v>
      </c>
      <c r="AA15" s="76">
        <f t="shared" si="32"/>
        <v>0</v>
      </c>
      <c r="AB15" s="76">
        <v>2</v>
      </c>
      <c r="AC15" s="97">
        <f t="shared" si="24"/>
        <v>15.6923076923077</v>
      </c>
      <c r="AD15" s="76">
        <v>0</v>
      </c>
      <c r="AE15" s="98">
        <v>7.5</v>
      </c>
      <c r="AF15" s="98">
        <f t="shared" si="25"/>
        <v>6</v>
      </c>
      <c r="AG15" s="98">
        <f t="shared" si="8"/>
        <v>5</v>
      </c>
      <c r="AH15" s="97">
        <f t="shared" si="33"/>
        <v>0.25</v>
      </c>
      <c r="AI15" s="118"/>
      <c r="AJ15" s="114"/>
      <c r="AK15" s="97">
        <v>0</v>
      </c>
      <c r="AL15" s="119"/>
      <c r="AM15" s="97">
        <v>0</v>
      </c>
      <c r="AN15" s="116">
        <f t="shared" si="26"/>
        <v>122.221153846154</v>
      </c>
      <c r="AO15" s="138"/>
      <c r="AP15" s="133">
        <v>204</v>
      </c>
      <c r="AQ15" s="134">
        <v>13</v>
      </c>
      <c r="AR15" s="98">
        <f t="shared" si="34"/>
        <v>102</v>
      </c>
      <c r="AS15" s="134">
        <v>3</v>
      </c>
      <c r="AT15" s="97">
        <f t="shared" si="35"/>
        <v>4.41346153846154</v>
      </c>
      <c r="AU15" s="137"/>
      <c r="AV15" s="98">
        <f t="shared" si="36"/>
        <v>0</v>
      </c>
      <c r="AW15" s="148"/>
      <c r="AX15" s="97">
        <f t="shared" si="37"/>
        <v>0</v>
      </c>
      <c r="AY15" s="135"/>
      <c r="AZ15" s="98">
        <f t="shared" si="38"/>
        <v>0</v>
      </c>
      <c r="BA15" s="147"/>
      <c r="BB15" s="97">
        <f t="shared" si="39"/>
        <v>0</v>
      </c>
      <c r="BC15" s="135"/>
      <c r="BD15" s="98">
        <v>7.5</v>
      </c>
      <c r="BE15" s="98">
        <f t="shared" si="27"/>
        <v>6</v>
      </c>
      <c r="BF15" s="98">
        <f t="shared" si="16"/>
        <v>5</v>
      </c>
      <c r="BG15" s="151">
        <f t="shared" si="40"/>
        <v>0.75</v>
      </c>
      <c r="BH15" s="98">
        <f>10/26*(AQ15+R15)</f>
        <v>9.23076923076923</v>
      </c>
      <c r="BI15" s="135"/>
      <c r="BJ15" s="77">
        <v>0</v>
      </c>
      <c r="BK15" s="135"/>
      <c r="BL15" s="150">
        <v>-5.1423076923077</v>
      </c>
      <c r="BM15" s="158">
        <f t="shared" si="17"/>
        <v>257.115384615385</v>
      </c>
      <c r="BN15" s="159">
        <f t="shared" si="41"/>
        <v>129.751923076923</v>
      </c>
      <c r="BO15" s="138"/>
      <c r="BQ15" s="161">
        <f>$BM15*$BQ$5</f>
        <v>1043631.34615385</v>
      </c>
      <c r="BR15" s="161">
        <f t="shared" si="11"/>
        <v>20872.6269230769</v>
      </c>
      <c r="BS15" s="162">
        <f>BR15/$BQ$5</f>
        <v>5.1423076923077</v>
      </c>
      <c r="BT15" s="163">
        <f t="shared" si="12"/>
        <v>-5.1423076923077</v>
      </c>
    </row>
    <row r="16" ht="39" customHeight="1" spans="1:72">
      <c r="A16" s="23">
        <v>11</v>
      </c>
      <c r="B16" s="26" t="s">
        <v>165</v>
      </c>
      <c r="C16" s="26" t="s">
        <v>166</v>
      </c>
      <c r="D16" s="26" t="s">
        <v>167</v>
      </c>
      <c r="E16" s="26" t="s">
        <v>168</v>
      </c>
      <c r="F16" s="26" t="s">
        <v>169</v>
      </c>
      <c r="G16" s="26" t="s">
        <v>170</v>
      </c>
      <c r="H16" s="26" t="s">
        <v>171</v>
      </c>
      <c r="I16" s="54">
        <v>24085021</v>
      </c>
      <c r="J16" s="26" t="s">
        <v>106</v>
      </c>
      <c r="K16" s="26" t="s">
        <v>107</v>
      </c>
      <c r="L16" s="26" t="s">
        <v>164</v>
      </c>
      <c r="M16" s="26" t="s">
        <v>97</v>
      </c>
      <c r="N16" s="55">
        <v>45505</v>
      </c>
      <c r="O16" s="27">
        <v>130252052</v>
      </c>
      <c r="P16" s="52">
        <v>38857</v>
      </c>
      <c r="Q16" s="75">
        <v>204</v>
      </c>
      <c r="R16" s="76">
        <v>11</v>
      </c>
      <c r="S16" s="76">
        <f t="shared" si="28"/>
        <v>86.3076923076923</v>
      </c>
      <c r="T16" s="76">
        <v>1</v>
      </c>
      <c r="U16" s="77">
        <f t="shared" si="29"/>
        <v>1.47115384615385</v>
      </c>
      <c r="V16" s="76">
        <v>0</v>
      </c>
      <c r="W16" s="76">
        <f t="shared" si="30"/>
        <v>0</v>
      </c>
      <c r="X16" s="76">
        <v>0</v>
      </c>
      <c r="Y16" s="77">
        <f t="shared" si="31"/>
        <v>0</v>
      </c>
      <c r="Z16" s="76">
        <v>0</v>
      </c>
      <c r="AA16" s="76">
        <f t="shared" si="32"/>
        <v>0</v>
      </c>
      <c r="AB16" s="76">
        <v>2</v>
      </c>
      <c r="AC16" s="97">
        <f t="shared" si="24"/>
        <v>15.6923076923077</v>
      </c>
      <c r="AD16" s="76">
        <v>0</v>
      </c>
      <c r="AE16" s="98">
        <v>7.5</v>
      </c>
      <c r="AF16" s="98">
        <f t="shared" si="25"/>
        <v>6</v>
      </c>
      <c r="AG16" s="98">
        <f t="shared" si="8"/>
        <v>5</v>
      </c>
      <c r="AH16" s="97">
        <f t="shared" si="33"/>
        <v>0.25</v>
      </c>
      <c r="AI16" s="118"/>
      <c r="AJ16" s="114"/>
      <c r="AK16" s="97">
        <v>0</v>
      </c>
      <c r="AL16" s="119"/>
      <c r="AM16" s="97">
        <v>0</v>
      </c>
      <c r="AN16" s="116">
        <f t="shared" si="26"/>
        <v>122.221153846154</v>
      </c>
      <c r="AO16" s="138"/>
      <c r="AP16" s="133">
        <v>204</v>
      </c>
      <c r="AQ16" s="134">
        <v>13</v>
      </c>
      <c r="AR16" s="98">
        <f t="shared" si="34"/>
        <v>102</v>
      </c>
      <c r="AS16" s="134">
        <v>3</v>
      </c>
      <c r="AT16" s="97">
        <f t="shared" si="35"/>
        <v>4.41346153846154</v>
      </c>
      <c r="AU16" s="137"/>
      <c r="AV16" s="98">
        <f t="shared" si="36"/>
        <v>0</v>
      </c>
      <c r="AW16" s="148"/>
      <c r="AX16" s="97">
        <f t="shared" si="37"/>
        <v>0</v>
      </c>
      <c r="AY16" s="135"/>
      <c r="AZ16" s="98">
        <f t="shared" si="38"/>
        <v>0</v>
      </c>
      <c r="BA16" s="147"/>
      <c r="BB16" s="97">
        <f t="shared" si="39"/>
        <v>0</v>
      </c>
      <c r="BC16" s="135"/>
      <c r="BD16" s="98">
        <v>7.5</v>
      </c>
      <c r="BE16" s="98">
        <f t="shared" si="27"/>
        <v>6</v>
      </c>
      <c r="BF16" s="98">
        <f t="shared" si="16"/>
        <v>5</v>
      </c>
      <c r="BG16" s="151">
        <f t="shared" si="40"/>
        <v>0.75</v>
      </c>
      <c r="BH16" s="98">
        <f>10/26*(AQ16+R16)</f>
        <v>9.23076923076923</v>
      </c>
      <c r="BI16" s="135"/>
      <c r="BJ16" s="77">
        <v>0</v>
      </c>
      <c r="BK16" s="135"/>
      <c r="BL16" s="150">
        <v>-5.1423076923077</v>
      </c>
      <c r="BM16" s="158">
        <f t="shared" si="17"/>
        <v>257.115384615385</v>
      </c>
      <c r="BN16" s="159">
        <f t="shared" si="41"/>
        <v>129.751923076923</v>
      </c>
      <c r="BO16" s="138"/>
      <c r="BQ16" s="161">
        <f>$BM16*$BQ$5</f>
        <v>1043631.34615385</v>
      </c>
      <c r="BR16" s="161">
        <f t="shared" si="11"/>
        <v>20872.6269230769</v>
      </c>
      <c r="BS16" s="162">
        <f>BR16/$BQ$5</f>
        <v>5.1423076923077</v>
      </c>
      <c r="BT16" s="163">
        <f t="shared" si="12"/>
        <v>-5.1423076923077</v>
      </c>
    </row>
    <row r="17" ht="39" customHeight="1" spans="1:72">
      <c r="A17" s="23">
        <v>12</v>
      </c>
      <c r="B17" s="26" t="s">
        <v>172</v>
      </c>
      <c r="C17" s="26" t="s">
        <v>173</v>
      </c>
      <c r="D17" s="26" t="s">
        <v>174</v>
      </c>
      <c r="E17" s="26" t="s">
        <v>175</v>
      </c>
      <c r="F17" s="26" t="s">
        <v>176</v>
      </c>
      <c r="G17" s="26" t="s">
        <v>177</v>
      </c>
      <c r="H17" s="26"/>
      <c r="I17" s="54">
        <v>24115023</v>
      </c>
      <c r="J17" s="26" t="s">
        <v>106</v>
      </c>
      <c r="K17" s="26" t="s">
        <v>107</v>
      </c>
      <c r="L17" s="26" t="s">
        <v>164</v>
      </c>
      <c r="M17" s="26" t="s">
        <v>97</v>
      </c>
      <c r="N17" s="55">
        <v>45607</v>
      </c>
      <c r="O17" s="27">
        <v>130228415</v>
      </c>
      <c r="P17" s="52">
        <v>36566</v>
      </c>
      <c r="Q17" s="75">
        <v>204</v>
      </c>
      <c r="R17" s="76">
        <v>5</v>
      </c>
      <c r="S17" s="76">
        <f t="shared" si="28"/>
        <v>39.2307692307692</v>
      </c>
      <c r="T17" s="76">
        <v>0</v>
      </c>
      <c r="U17" s="77">
        <f t="shared" si="29"/>
        <v>0</v>
      </c>
      <c r="V17" s="76">
        <v>0</v>
      </c>
      <c r="W17" s="76">
        <f t="shared" si="30"/>
        <v>0</v>
      </c>
      <c r="X17" s="76">
        <v>0</v>
      </c>
      <c r="Y17" s="77">
        <f t="shared" si="31"/>
        <v>0</v>
      </c>
      <c r="Z17" s="76">
        <v>0</v>
      </c>
      <c r="AA17" s="76">
        <f t="shared" si="32"/>
        <v>0</v>
      </c>
      <c r="AB17" s="76">
        <v>0</v>
      </c>
      <c r="AC17" s="97">
        <f t="shared" si="24"/>
        <v>0</v>
      </c>
      <c r="AD17" s="76">
        <v>0</v>
      </c>
      <c r="AE17" s="98">
        <v>7.5</v>
      </c>
      <c r="AF17" s="98">
        <f t="shared" si="25"/>
        <v>2.30769230769231</v>
      </c>
      <c r="AG17" s="98">
        <f t="shared" si="8"/>
        <v>0</v>
      </c>
      <c r="AH17" s="97">
        <f t="shared" si="33"/>
        <v>0</v>
      </c>
      <c r="AI17" s="118"/>
      <c r="AJ17" s="114"/>
      <c r="AK17" s="97">
        <v>0</v>
      </c>
      <c r="AL17" s="119"/>
      <c r="AM17" s="97">
        <v>0</v>
      </c>
      <c r="AN17" s="116">
        <f t="shared" si="26"/>
        <v>49.0384615384615</v>
      </c>
      <c r="AO17" s="138"/>
      <c r="AP17" s="133">
        <v>204</v>
      </c>
      <c r="AQ17" s="140">
        <v>12.5</v>
      </c>
      <c r="AR17" s="98">
        <f t="shared" si="34"/>
        <v>98.0769230769231</v>
      </c>
      <c r="AS17" s="134">
        <v>3</v>
      </c>
      <c r="AT17" s="97">
        <f t="shared" si="35"/>
        <v>4.41346153846154</v>
      </c>
      <c r="AU17" s="137"/>
      <c r="AV17" s="98">
        <f t="shared" si="36"/>
        <v>0</v>
      </c>
      <c r="AW17" s="148"/>
      <c r="AX17" s="97">
        <f t="shared" si="37"/>
        <v>0</v>
      </c>
      <c r="AY17" s="135"/>
      <c r="AZ17" s="98">
        <f t="shared" si="38"/>
        <v>0</v>
      </c>
      <c r="BA17" s="147"/>
      <c r="BB17" s="97">
        <f t="shared" si="39"/>
        <v>0</v>
      </c>
      <c r="BC17" s="135"/>
      <c r="BD17" s="98">
        <v>7.5</v>
      </c>
      <c r="BE17" s="98">
        <f t="shared" si="27"/>
        <v>5.76923076923077</v>
      </c>
      <c r="BF17" s="98">
        <f t="shared" si="16"/>
        <v>0</v>
      </c>
      <c r="BG17" s="151">
        <f t="shared" si="40"/>
        <v>0.75</v>
      </c>
      <c r="BH17" s="98"/>
      <c r="BI17" s="135"/>
      <c r="BJ17" s="77">
        <v>0</v>
      </c>
      <c r="BK17" s="135"/>
      <c r="BL17" s="150">
        <v>-3.31096153846154</v>
      </c>
      <c r="BM17" s="158">
        <f t="shared" si="17"/>
        <v>165.548076923077</v>
      </c>
      <c r="BN17" s="159">
        <f t="shared" si="41"/>
        <v>113.198653846154</v>
      </c>
      <c r="BO17" s="138"/>
      <c r="BQ17" s="161">
        <f>$BM17*$BQ$5</f>
        <v>671959.644230769</v>
      </c>
      <c r="BR17" s="161">
        <f t="shared" si="11"/>
        <v>13439.1928846154</v>
      </c>
      <c r="BS17" s="162">
        <f>BR17/$BQ$5</f>
        <v>3.31096153846154</v>
      </c>
      <c r="BT17" s="163">
        <f t="shared" si="12"/>
        <v>-3.31096153846154</v>
      </c>
    </row>
    <row r="18" ht="39" customHeight="1" spans="1:72">
      <c r="A18" s="23">
        <v>13</v>
      </c>
      <c r="B18" s="26" t="s">
        <v>178</v>
      </c>
      <c r="C18" s="26" t="s">
        <v>179</v>
      </c>
      <c r="D18" s="26" t="s">
        <v>180</v>
      </c>
      <c r="E18" s="26" t="s">
        <v>181</v>
      </c>
      <c r="F18" s="26" t="s">
        <v>182</v>
      </c>
      <c r="G18" s="26" t="s">
        <v>183</v>
      </c>
      <c r="H18" s="26" t="s">
        <v>184</v>
      </c>
      <c r="I18" s="54">
        <v>24115024</v>
      </c>
      <c r="J18" s="26" t="s">
        <v>106</v>
      </c>
      <c r="K18" s="26" t="s">
        <v>185</v>
      </c>
      <c r="L18" s="26" t="s">
        <v>164</v>
      </c>
      <c r="M18" s="26" t="s">
        <v>97</v>
      </c>
      <c r="N18" s="55">
        <v>45607</v>
      </c>
      <c r="O18" s="27" t="s">
        <v>186</v>
      </c>
      <c r="P18" s="52">
        <v>36165</v>
      </c>
      <c r="Q18" s="75">
        <v>204</v>
      </c>
      <c r="R18" s="76">
        <v>5</v>
      </c>
      <c r="S18" s="76">
        <f t="shared" si="28"/>
        <v>39.2307692307692</v>
      </c>
      <c r="T18" s="76">
        <v>0</v>
      </c>
      <c r="U18" s="77">
        <f t="shared" si="29"/>
        <v>0</v>
      </c>
      <c r="V18" s="76">
        <v>0</v>
      </c>
      <c r="W18" s="76">
        <f t="shared" si="30"/>
        <v>0</v>
      </c>
      <c r="X18" s="76">
        <v>0</v>
      </c>
      <c r="Y18" s="77">
        <f t="shared" si="31"/>
        <v>0</v>
      </c>
      <c r="Z18" s="76">
        <v>0</v>
      </c>
      <c r="AA18" s="76">
        <f t="shared" si="32"/>
        <v>0</v>
      </c>
      <c r="AB18" s="76">
        <v>0</v>
      </c>
      <c r="AC18" s="97">
        <f t="shared" si="24"/>
        <v>0</v>
      </c>
      <c r="AD18" s="76">
        <v>0</v>
      </c>
      <c r="AE18" s="98">
        <v>7.5</v>
      </c>
      <c r="AF18" s="98">
        <f t="shared" si="25"/>
        <v>2.30769230769231</v>
      </c>
      <c r="AG18" s="98">
        <f t="shared" si="8"/>
        <v>0</v>
      </c>
      <c r="AH18" s="97">
        <f t="shared" si="33"/>
        <v>0</v>
      </c>
      <c r="AI18" s="118"/>
      <c r="AJ18" s="114"/>
      <c r="AK18" s="97">
        <v>0</v>
      </c>
      <c r="AL18" s="119"/>
      <c r="AM18" s="97">
        <v>0</v>
      </c>
      <c r="AN18" s="116">
        <f t="shared" si="26"/>
        <v>49.0384615384615</v>
      </c>
      <c r="AO18" s="138"/>
      <c r="AP18" s="133">
        <v>204</v>
      </c>
      <c r="AQ18" s="134">
        <v>12</v>
      </c>
      <c r="AR18" s="98">
        <f t="shared" si="34"/>
        <v>94.1538461538461</v>
      </c>
      <c r="AS18" s="134">
        <v>2</v>
      </c>
      <c r="AT18" s="97">
        <f t="shared" si="35"/>
        <v>2.94230769230769</v>
      </c>
      <c r="AU18" s="137"/>
      <c r="AV18" s="98">
        <f t="shared" si="36"/>
        <v>0</v>
      </c>
      <c r="AW18" s="148"/>
      <c r="AX18" s="97">
        <f t="shared" si="37"/>
        <v>0</v>
      </c>
      <c r="AY18" s="135"/>
      <c r="AZ18" s="98">
        <f t="shared" si="38"/>
        <v>0</v>
      </c>
      <c r="BA18" s="147"/>
      <c r="BB18" s="97">
        <f t="shared" si="39"/>
        <v>0</v>
      </c>
      <c r="BC18" s="135"/>
      <c r="BD18" s="98">
        <v>7.5</v>
      </c>
      <c r="BE18" s="98">
        <f t="shared" si="27"/>
        <v>5.53846153846154</v>
      </c>
      <c r="BF18" s="98">
        <f t="shared" si="16"/>
        <v>0</v>
      </c>
      <c r="BG18" s="151">
        <f t="shared" si="40"/>
        <v>0.5</v>
      </c>
      <c r="BH18" s="98"/>
      <c r="BI18" s="135"/>
      <c r="BJ18" s="77">
        <v>0</v>
      </c>
      <c r="BK18" s="135"/>
      <c r="BL18" s="150">
        <v>-3.19346153846154</v>
      </c>
      <c r="BM18" s="158">
        <f t="shared" si="17"/>
        <v>159.673076923077</v>
      </c>
      <c r="BN18" s="159">
        <f t="shared" si="41"/>
        <v>107.441153846154</v>
      </c>
      <c r="BO18" s="138"/>
      <c r="BQ18" s="161">
        <f>$BM18*$BQ$5</f>
        <v>648113.019230769</v>
      </c>
      <c r="BR18" s="161">
        <f t="shared" si="11"/>
        <v>12962.2603846154</v>
      </c>
      <c r="BS18" s="162">
        <f>BR18/$BQ$5</f>
        <v>3.19346153846154</v>
      </c>
      <c r="BT18" s="163">
        <f t="shared" si="12"/>
        <v>-3.19346153846154</v>
      </c>
    </row>
    <row r="19" ht="39" customHeight="1" spans="1:72">
      <c r="A19" s="23">
        <v>14</v>
      </c>
      <c r="B19" s="26" t="s">
        <v>187</v>
      </c>
      <c r="C19" s="26" t="s">
        <v>188</v>
      </c>
      <c r="D19" s="26" t="s">
        <v>189</v>
      </c>
      <c r="E19" s="26" t="s">
        <v>190</v>
      </c>
      <c r="F19" s="26" t="s">
        <v>191</v>
      </c>
      <c r="G19" s="26" t="s">
        <v>192</v>
      </c>
      <c r="H19" s="26" t="s">
        <v>193</v>
      </c>
      <c r="I19" s="54">
        <v>24097001</v>
      </c>
      <c r="J19" s="26" t="s">
        <v>106</v>
      </c>
      <c r="K19" s="26" t="s">
        <v>194</v>
      </c>
      <c r="L19" s="26" t="s">
        <v>164</v>
      </c>
      <c r="M19" s="26" t="s">
        <v>97</v>
      </c>
      <c r="N19" s="55">
        <v>45561</v>
      </c>
      <c r="O19" s="27">
        <v>130156771</v>
      </c>
      <c r="P19" s="52">
        <v>33187</v>
      </c>
      <c r="Q19" s="75">
        <v>204</v>
      </c>
      <c r="R19" s="76">
        <v>9.875</v>
      </c>
      <c r="S19" s="76">
        <f t="shared" si="28"/>
        <v>77.4807692307692</v>
      </c>
      <c r="T19" s="76">
        <v>1</v>
      </c>
      <c r="U19" s="77">
        <f t="shared" si="29"/>
        <v>1.47115384615385</v>
      </c>
      <c r="V19" s="76">
        <v>0</v>
      </c>
      <c r="W19" s="76">
        <f t="shared" si="30"/>
        <v>0</v>
      </c>
      <c r="X19" s="76">
        <v>0</v>
      </c>
      <c r="Y19" s="77">
        <f t="shared" si="31"/>
        <v>0</v>
      </c>
      <c r="Z19" s="76">
        <v>0</v>
      </c>
      <c r="AA19" s="76">
        <f t="shared" si="32"/>
        <v>0</v>
      </c>
      <c r="AB19" s="76">
        <v>2</v>
      </c>
      <c r="AC19" s="97">
        <f t="shared" si="24"/>
        <v>15.6923076923077</v>
      </c>
      <c r="AD19" s="76">
        <v>0</v>
      </c>
      <c r="AE19" s="98">
        <v>7.5</v>
      </c>
      <c r="AF19" s="98">
        <f t="shared" si="25"/>
        <v>5.48076923076923</v>
      </c>
      <c r="AG19" s="98">
        <f t="shared" si="8"/>
        <v>0</v>
      </c>
      <c r="AH19" s="97">
        <f t="shared" si="33"/>
        <v>0.25</v>
      </c>
      <c r="AI19" s="118"/>
      <c r="AJ19" s="114"/>
      <c r="AK19" s="97">
        <v>0</v>
      </c>
      <c r="AL19" s="119"/>
      <c r="AM19" s="97">
        <v>0</v>
      </c>
      <c r="AN19" s="116">
        <f t="shared" si="26"/>
        <v>107.875</v>
      </c>
      <c r="AO19" s="138"/>
      <c r="AP19" s="133">
        <v>204</v>
      </c>
      <c r="AQ19" s="140">
        <v>12.5</v>
      </c>
      <c r="AR19" s="98">
        <f t="shared" si="34"/>
        <v>98.0769230769231</v>
      </c>
      <c r="AS19" s="140">
        <v>4.5</v>
      </c>
      <c r="AT19" s="97">
        <f t="shared" si="35"/>
        <v>6.62019230769231</v>
      </c>
      <c r="AU19" s="137"/>
      <c r="AV19" s="98">
        <f t="shared" si="36"/>
        <v>0</v>
      </c>
      <c r="AW19" s="148"/>
      <c r="AX19" s="97">
        <f t="shared" si="37"/>
        <v>0</v>
      </c>
      <c r="AY19" s="135"/>
      <c r="AZ19" s="98">
        <f t="shared" si="38"/>
        <v>0</v>
      </c>
      <c r="BA19" s="147"/>
      <c r="BB19" s="97">
        <f t="shared" si="39"/>
        <v>0</v>
      </c>
      <c r="BC19" s="135"/>
      <c r="BD19" s="98">
        <v>7.5</v>
      </c>
      <c r="BE19" s="98">
        <f>6/13*(AQ19+AU19+BA19)</f>
        <v>5.76923076923077</v>
      </c>
      <c r="BF19" s="98">
        <f t="shared" si="16"/>
        <v>0</v>
      </c>
      <c r="BG19" s="151">
        <f t="shared" si="40"/>
        <v>1.125</v>
      </c>
      <c r="BH19" s="98"/>
      <c r="BI19" s="135"/>
      <c r="BJ19" s="77">
        <v>0</v>
      </c>
      <c r="BK19" s="135"/>
      <c r="BL19" s="150">
        <v>-4.53932692307692</v>
      </c>
      <c r="BM19" s="158">
        <f t="shared" si="17"/>
        <v>226.966346153846</v>
      </c>
      <c r="BN19" s="159">
        <f t="shared" si="41"/>
        <v>114.552019230769</v>
      </c>
      <c r="BO19" s="138"/>
      <c r="BQ19" s="161">
        <f>$BM19*$BQ$5</f>
        <v>921256.399038462</v>
      </c>
      <c r="BR19" s="161">
        <f t="shared" si="11"/>
        <v>18425.1279807692</v>
      </c>
      <c r="BS19" s="162">
        <f>BR19/$BQ$5</f>
        <v>4.53932692307692</v>
      </c>
      <c r="BT19" s="163">
        <f t="shared" si="12"/>
        <v>-4.53932692307692</v>
      </c>
    </row>
    <row r="20" customFormat="1" ht="39" customHeight="1" spans="1:72">
      <c r="A20" s="23">
        <v>15</v>
      </c>
      <c r="B20" s="26" t="s">
        <v>195</v>
      </c>
      <c r="C20" s="26" t="s">
        <v>196</v>
      </c>
      <c r="D20" s="26" t="s">
        <v>197</v>
      </c>
      <c r="E20" s="26" t="s">
        <v>198</v>
      </c>
      <c r="F20" s="26" t="s">
        <v>199</v>
      </c>
      <c r="G20" s="26" t="s">
        <v>200</v>
      </c>
      <c r="H20" s="26" t="s">
        <v>201</v>
      </c>
      <c r="I20" s="54">
        <v>24117002</v>
      </c>
      <c r="J20" s="26" t="s">
        <v>202</v>
      </c>
      <c r="K20" s="26" t="s">
        <v>203</v>
      </c>
      <c r="L20" s="26" t="s">
        <v>164</v>
      </c>
      <c r="M20" s="26" t="s">
        <v>97</v>
      </c>
      <c r="N20" s="55">
        <v>45607</v>
      </c>
      <c r="O20" s="27">
        <v>110495054</v>
      </c>
      <c r="P20" s="52" t="s">
        <v>204</v>
      </c>
      <c r="Q20" s="75">
        <v>204</v>
      </c>
      <c r="R20" s="76">
        <v>5</v>
      </c>
      <c r="S20" s="76">
        <f t="shared" si="28"/>
        <v>39.2307692307692</v>
      </c>
      <c r="T20" s="76">
        <v>0</v>
      </c>
      <c r="U20" s="77">
        <f t="shared" si="29"/>
        <v>0</v>
      </c>
      <c r="V20" s="76">
        <v>0</v>
      </c>
      <c r="W20" s="76">
        <f t="shared" si="30"/>
        <v>0</v>
      </c>
      <c r="X20" s="76">
        <v>0</v>
      </c>
      <c r="Y20" s="77">
        <f t="shared" si="31"/>
        <v>0</v>
      </c>
      <c r="Z20" s="76">
        <v>0</v>
      </c>
      <c r="AA20" s="76">
        <f t="shared" si="32"/>
        <v>0</v>
      </c>
      <c r="AB20" s="76">
        <v>0</v>
      </c>
      <c r="AC20" s="97">
        <f t="shared" si="24"/>
        <v>0</v>
      </c>
      <c r="AD20" s="76">
        <v>0</v>
      </c>
      <c r="AE20" s="98">
        <v>7.5</v>
      </c>
      <c r="AF20" s="98">
        <f t="shared" si="25"/>
        <v>2.30769230769231</v>
      </c>
      <c r="AG20" s="98">
        <f t="shared" si="8"/>
        <v>0</v>
      </c>
      <c r="AH20" s="97">
        <f t="shared" si="33"/>
        <v>0</v>
      </c>
      <c r="AI20" s="118"/>
      <c r="AJ20" s="114"/>
      <c r="AK20" s="97">
        <v>0</v>
      </c>
      <c r="AL20" s="119"/>
      <c r="AM20" s="97">
        <v>0</v>
      </c>
      <c r="AN20" s="116">
        <f t="shared" si="26"/>
        <v>49.0384615384615</v>
      </c>
      <c r="AO20" s="138"/>
      <c r="AP20" s="133">
        <v>204</v>
      </c>
      <c r="AQ20" s="134">
        <v>13</v>
      </c>
      <c r="AR20" s="98">
        <f t="shared" si="34"/>
        <v>102</v>
      </c>
      <c r="AS20" s="134">
        <v>3</v>
      </c>
      <c r="AT20" s="97">
        <f t="shared" si="35"/>
        <v>4.41346153846154</v>
      </c>
      <c r="AU20" s="137"/>
      <c r="AV20" s="98">
        <f t="shared" si="36"/>
        <v>0</v>
      </c>
      <c r="AW20" s="148"/>
      <c r="AX20" s="97">
        <f t="shared" si="37"/>
        <v>0</v>
      </c>
      <c r="AY20" s="135"/>
      <c r="AZ20" s="98">
        <f t="shared" si="38"/>
        <v>0</v>
      </c>
      <c r="BA20" s="147"/>
      <c r="BB20" s="97">
        <f t="shared" si="39"/>
        <v>0</v>
      </c>
      <c r="BC20" s="135"/>
      <c r="BD20" s="98">
        <v>7.5</v>
      </c>
      <c r="BE20" s="99">
        <f>19/13*(AQ20+AU20+BA20+AY20)</f>
        <v>19</v>
      </c>
      <c r="BF20" s="98">
        <f t="shared" si="16"/>
        <v>5</v>
      </c>
      <c r="BG20" s="151">
        <f t="shared" si="40"/>
        <v>0.75</v>
      </c>
      <c r="BH20" s="99">
        <f>143/26*(AQ20+R20)</f>
        <v>99</v>
      </c>
      <c r="BI20" s="135"/>
      <c r="BJ20" s="77">
        <v>0</v>
      </c>
      <c r="BK20" s="135"/>
      <c r="BL20" s="150">
        <v>-5.73403846153846</v>
      </c>
      <c r="BM20" s="158">
        <f t="shared" si="17"/>
        <v>286.701923076923</v>
      </c>
      <c r="BN20" s="159">
        <f t="shared" si="41"/>
        <v>231.929423076923</v>
      </c>
      <c r="BO20" s="138"/>
      <c r="BQ20" s="161">
        <f>$BM20*$BQ$5</f>
        <v>1163723.10576923</v>
      </c>
      <c r="BR20" s="161">
        <f t="shared" si="11"/>
        <v>23274.4621153846</v>
      </c>
      <c r="BS20" s="162">
        <f>BR20/$BQ$5</f>
        <v>5.73403846153846</v>
      </c>
      <c r="BT20" s="163">
        <f t="shared" si="12"/>
        <v>-5.73403846153846</v>
      </c>
    </row>
    <row r="21" s="3" customFormat="1" ht="37.5" customHeight="1" spans="1:72">
      <c r="A21" s="30"/>
      <c r="B21" s="31" t="s">
        <v>82</v>
      </c>
      <c r="C21" s="32"/>
      <c r="D21" s="32"/>
      <c r="E21" s="32"/>
      <c r="F21" s="32"/>
      <c r="G21" s="32"/>
      <c r="H21" s="32"/>
      <c r="I21" s="32"/>
      <c r="J21" s="32"/>
      <c r="K21" s="32"/>
      <c r="L21" s="32"/>
      <c r="M21" s="32"/>
      <c r="N21" s="59"/>
      <c r="O21" s="60"/>
      <c r="P21" s="61"/>
      <c r="Q21" s="84"/>
      <c r="R21" s="169">
        <f>SUM(R6:R20)</f>
        <v>140.435</v>
      </c>
      <c r="S21" s="169">
        <f>SUM(S6:S20)</f>
        <v>1101.87461538462</v>
      </c>
      <c r="T21" s="169">
        <f t="shared" ref="R21:BN21" si="42">SUM(T6:T20)</f>
        <v>10.5</v>
      </c>
      <c r="U21" s="169">
        <f t="shared" si="42"/>
        <v>15.4471153846154</v>
      </c>
      <c r="V21" s="169">
        <f t="shared" si="42"/>
        <v>0</v>
      </c>
      <c r="W21" s="169">
        <f t="shared" si="42"/>
        <v>0</v>
      </c>
      <c r="X21" s="169">
        <f t="shared" si="42"/>
        <v>0</v>
      </c>
      <c r="Y21" s="169">
        <f t="shared" si="42"/>
        <v>0</v>
      </c>
      <c r="Z21" s="169">
        <f t="shared" si="42"/>
        <v>0</v>
      </c>
      <c r="AA21" s="169">
        <f t="shared" si="42"/>
        <v>0</v>
      </c>
      <c r="AB21" s="169">
        <f t="shared" si="42"/>
        <v>24</v>
      </c>
      <c r="AC21" s="169">
        <f t="shared" si="42"/>
        <v>188.307692307692</v>
      </c>
      <c r="AD21" s="169">
        <f t="shared" si="42"/>
        <v>0</v>
      </c>
      <c r="AE21" s="169">
        <f t="shared" si="42"/>
        <v>112.5</v>
      </c>
      <c r="AF21" s="169">
        <f t="shared" si="42"/>
        <v>101.893076923077</v>
      </c>
      <c r="AG21" s="169">
        <f t="shared" si="42"/>
        <v>39.8307692307692</v>
      </c>
      <c r="AH21" s="169">
        <f t="shared" si="42"/>
        <v>2.625</v>
      </c>
      <c r="AI21" s="169">
        <f t="shared" si="42"/>
        <v>0</v>
      </c>
      <c r="AJ21" s="169">
        <f t="shared" si="42"/>
        <v>0</v>
      </c>
      <c r="AK21" s="169">
        <f t="shared" si="42"/>
        <v>0</v>
      </c>
      <c r="AL21" s="169">
        <f t="shared" si="42"/>
        <v>0</v>
      </c>
      <c r="AM21" s="169">
        <f t="shared" si="42"/>
        <v>0</v>
      </c>
      <c r="AN21" s="170">
        <f t="shared" si="42"/>
        <v>1562.47826923077</v>
      </c>
      <c r="AO21" s="169">
        <f t="shared" si="42"/>
        <v>0</v>
      </c>
      <c r="AP21" s="169"/>
      <c r="AQ21" s="169">
        <f>SUM(AQ6:AQ20)</f>
        <v>185.87</v>
      </c>
      <c r="AR21" s="169">
        <f t="shared" si="42"/>
        <v>1458.36461538462</v>
      </c>
      <c r="AS21" s="169">
        <f t="shared" si="42"/>
        <v>41</v>
      </c>
      <c r="AT21" s="169">
        <f t="shared" si="42"/>
        <v>60.3173076923077</v>
      </c>
      <c r="AU21" s="169">
        <f t="shared" si="42"/>
        <v>0</v>
      </c>
      <c r="AV21" s="169">
        <f t="shared" si="42"/>
        <v>0</v>
      </c>
      <c r="AW21" s="169">
        <f t="shared" si="42"/>
        <v>0</v>
      </c>
      <c r="AX21" s="169">
        <f t="shared" si="42"/>
        <v>0</v>
      </c>
      <c r="AY21" s="169">
        <f t="shared" si="42"/>
        <v>0</v>
      </c>
      <c r="AZ21" s="169">
        <f t="shared" si="42"/>
        <v>0</v>
      </c>
      <c r="BA21" s="169">
        <f t="shared" si="42"/>
        <v>4</v>
      </c>
      <c r="BB21" s="169">
        <f t="shared" si="42"/>
        <v>31.3846153846154</v>
      </c>
      <c r="BC21" s="169">
        <f t="shared" si="42"/>
        <v>0</v>
      </c>
      <c r="BD21" s="169">
        <f t="shared" si="42"/>
        <v>112.5</v>
      </c>
      <c r="BE21" s="169">
        <f t="shared" si="42"/>
        <v>126.632307692308</v>
      </c>
      <c r="BF21" s="169">
        <f t="shared" si="42"/>
        <v>45</v>
      </c>
      <c r="BG21" s="169">
        <f t="shared" si="42"/>
        <v>10.25</v>
      </c>
      <c r="BH21" s="169">
        <f t="shared" si="42"/>
        <v>890.559615384615</v>
      </c>
      <c r="BI21" s="169">
        <f t="shared" si="42"/>
        <v>0</v>
      </c>
      <c r="BJ21" s="169">
        <f t="shared" si="42"/>
        <v>32.3961538461538</v>
      </c>
      <c r="BK21" s="169">
        <f t="shared" si="42"/>
        <v>0</v>
      </c>
      <c r="BL21" s="169">
        <f t="shared" si="42"/>
        <v>-74.272461262721</v>
      </c>
      <c r="BM21" s="169">
        <f t="shared" si="42"/>
        <v>4329.88288461538</v>
      </c>
      <c r="BN21" s="169">
        <f t="shared" si="42"/>
        <v>2693.13215412189</v>
      </c>
      <c r="BO21" s="141"/>
      <c r="BQ21" s="167"/>
      <c r="BR21" s="167"/>
      <c r="BS21" s="167"/>
      <c r="BT21" s="167"/>
    </row>
    <row r="22" ht="26.1" customHeight="1" spans="27:39">
      <c r="AA22" s="103"/>
      <c r="AC22" s="104"/>
      <c r="AM22" s="126"/>
    </row>
    <row r="23" ht="26.1" customHeight="1" spans="1:66">
      <c r="A23" s="1"/>
      <c r="B23" s="33" t="s">
        <v>205</v>
      </c>
      <c r="C23" s="34"/>
      <c r="D23" s="34"/>
      <c r="E23" s="34"/>
      <c r="F23" s="34"/>
      <c r="G23" s="34"/>
      <c r="H23" s="34"/>
      <c r="I23" s="62"/>
      <c r="J23" s="34"/>
      <c r="K23" s="34"/>
      <c r="L23" s="34"/>
      <c r="M23" s="34"/>
      <c r="N23" s="33"/>
      <c r="O23" s="63"/>
      <c r="P23" s="64"/>
      <c r="Q23" s="33" t="s">
        <v>206</v>
      </c>
      <c r="R23" s="86"/>
      <c r="S23" s="86"/>
      <c r="T23" s="87"/>
      <c r="U23" s="88"/>
      <c r="V23" s="86"/>
      <c r="W23" s="88"/>
      <c r="X23" s="89"/>
      <c r="Y23" s="34"/>
      <c r="Z23" s="86"/>
      <c r="AA23" s="86" t="s">
        <v>207</v>
      </c>
      <c r="AB23" s="86"/>
      <c r="AC23" s="86" t="s">
        <v>207</v>
      </c>
      <c r="AD23" s="86"/>
      <c r="AE23" s="86"/>
      <c r="AF23" s="88"/>
      <c r="AG23" s="127"/>
      <c r="AH23" s="87"/>
      <c r="AI23" s="87" t="s">
        <v>208</v>
      </c>
      <c r="AJ23" s="87"/>
      <c r="AK23" s="88"/>
      <c r="AL23" s="128"/>
      <c r="AM23" s="129"/>
      <c r="AN23" s="171" t="s">
        <v>208</v>
      </c>
      <c r="AO23" s="34"/>
      <c r="AQ23" s="34" t="s">
        <v>206</v>
      </c>
      <c r="AR23" s="34"/>
      <c r="AT23" s="34"/>
      <c r="AU23" s="34"/>
      <c r="AV23" s="34"/>
      <c r="AW23" s="34"/>
      <c r="AX23" s="34"/>
      <c r="AY23" s="34"/>
      <c r="AZ23" s="34"/>
      <c r="BA23" s="172"/>
      <c r="BB23" s="34"/>
      <c r="BC23" s="34"/>
      <c r="BD23" s="34"/>
      <c r="BE23" s="34"/>
      <c r="BF23" s="34" t="s">
        <v>207</v>
      </c>
      <c r="BG23" s="34"/>
      <c r="BH23" s="34"/>
      <c r="BI23" s="34"/>
      <c r="BJ23" s="34"/>
      <c r="BK23" s="34"/>
      <c r="BL23" s="34"/>
      <c r="BM23" s="34"/>
      <c r="BN23" s="34" t="s">
        <v>208</v>
      </c>
    </row>
    <row r="24" ht="26.1" customHeight="1" spans="1:1">
      <c r="A24" s="1"/>
    </row>
    <row r="25" ht="26.1" customHeight="1"/>
    <row r="26" ht="26.1" customHeight="1"/>
    <row r="27" ht="26.1" customHeight="1"/>
  </sheetData>
  <autoFilter xmlns:etc="http://www.wps.cn/officeDocument/2017/etCustomData" ref="A5:BP21" etc:filterBottomFollowUsedRange="0">
    <extLst/>
  </autoFilter>
  <mergeCells count="4">
    <mergeCell ref="A1:BO1"/>
    <mergeCell ref="A2:BO2"/>
    <mergeCell ref="A3:AS3"/>
    <mergeCell ref="B21:N21"/>
  </mergeCells>
  <printOptions horizontalCentered="1"/>
  <pageMargins left="0" right="0" top="0.590277777777778" bottom="0.393055555555556" header="0" footer="0"/>
  <pageSetup paperSize="9" scale="75" fitToHeight="0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T31"/>
  <sheetViews>
    <sheetView tabSelected="1" zoomScale="85" zoomScaleNormal="85" topLeftCell="A10" workbookViewId="0">
      <selection activeCell="N17" sqref="N17"/>
    </sheetView>
  </sheetViews>
  <sheetFormatPr defaultColWidth="9" defaultRowHeight="22.5"/>
  <cols>
    <col min="1" max="1" width="5.625" style="4" customWidth="1"/>
    <col min="2" max="2" width="15.25" style="1" customWidth="1"/>
    <col min="3" max="4" width="9" style="1" hidden="1" customWidth="1"/>
    <col min="5" max="5" width="22.5" style="1" hidden="1" customWidth="1"/>
    <col min="6" max="7" width="15.625" style="1" hidden="1" customWidth="1"/>
    <col min="8" max="8" width="21.5" style="1" hidden="1" customWidth="1"/>
    <col min="9" max="9" width="14.125" style="4" customWidth="1"/>
    <col min="10" max="10" width="9" style="5" hidden="1" customWidth="1"/>
    <col min="11" max="11" width="10.625" style="5" hidden="1" customWidth="1"/>
    <col min="12" max="12" width="8" style="5" hidden="1" customWidth="1"/>
    <col min="13" max="13" width="10.625" style="5" hidden="1" customWidth="1"/>
    <col min="14" max="14" width="15" style="1" customWidth="1"/>
    <col min="15" max="15" width="15.625" style="6" hidden="1" customWidth="1"/>
    <col min="16" max="16" width="13.625" style="7" hidden="1" customWidth="1"/>
    <col min="17" max="17" width="6.375" style="4" hidden="1" customWidth="1"/>
    <col min="18" max="18" width="7.875" style="4" hidden="1" customWidth="1"/>
    <col min="19" max="19" width="11.5" style="1" hidden="1" customWidth="1"/>
    <col min="20" max="20" width="5.625" style="4" hidden="1" customWidth="1"/>
    <col min="21" max="21" width="9.5" style="1" hidden="1" customWidth="1"/>
    <col min="22" max="22" width="6.375" style="4" hidden="1" customWidth="1"/>
    <col min="23" max="23" width="8.625" style="1" hidden="1" customWidth="1"/>
    <col min="24" max="24" width="7" style="8" hidden="1" customWidth="1"/>
    <col min="25" max="25" width="6.75" style="1" hidden="1" customWidth="1"/>
    <col min="26" max="26" width="7" style="4" hidden="1" customWidth="1"/>
    <col min="27" max="27" width="7.5" style="1" hidden="1" customWidth="1"/>
    <col min="28" max="28" width="8.25" style="4" hidden="1" customWidth="1"/>
    <col min="29" max="29" width="8.125" style="1" hidden="1" customWidth="1"/>
    <col min="30" max="30" width="6.75833333333333" style="4" hidden="1" customWidth="1"/>
    <col min="31" max="31" width="6.60833333333333" style="4" hidden="1" customWidth="1"/>
    <col min="32" max="32" width="7.5" style="1" hidden="1" customWidth="1"/>
    <col min="33" max="33" width="7.75" style="9" hidden="1" customWidth="1"/>
    <col min="34" max="34" width="6.5" style="4" hidden="1" customWidth="1"/>
    <col min="35" max="35" width="7.625" style="4" hidden="1" customWidth="1"/>
    <col min="36" max="36" width="5.375" style="4" hidden="1" customWidth="1"/>
    <col min="37" max="37" width="7.375" style="1" hidden="1" customWidth="1"/>
    <col min="38" max="38" width="6.625" style="10" hidden="1" customWidth="1"/>
    <col min="39" max="39" width="7.875" style="1" hidden="1" customWidth="1"/>
    <col min="40" max="40" width="15.5" style="11" hidden="1" customWidth="1"/>
    <col min="41" max="41" width="17.0583333333333" style="1" hidden="1" customWidth="1"/>
    <col min="42" max="42" width="6.875" style="1" customWidth="1"/>
    <col min="43" max="43" width="7" style="1" customWidth="1"/>
    <col min="44" max="44" width="9" style="1" customWidth="1"/>
    <col min="45" max="45" width="7" style="1" hidden="1" customWidth="1"/>
    <col min="46" max="50" width="9" style="1" hidden="1" customWidth="1"/>
    <col min="51" max="52" width="9" style="1" customWidth="1"/>
    <col min="53" max="53" width="6.03333333333333" style="1" customWidth="1"/>
    <col min="54" max="54" width="9" style="1" customWidth="1"/>
    <col min="55" max="55" width="9" style="1" hidden="1" customWidth="1"/>
    <col min="56" max="58" width="7.35" style="1" customWidth="1"/>
    <col min="59" max="59" width="7.35" style="1" hidden="1" customWidth="1"/>
    <col min="60" max="60" width="7.2" style="1" customWidth="1"/>
    <col min="61" max="61" width="6.125" style="1" customWidth="1"/>
    <col min="62" max="62" width="7.5" style="1" customWidth="1"/>
    <col min="63" max="63" width="6.125" style="1" hidden="1" customWidth="1"/>
    <col min="64" max="64" width="6.125" style="1" customWidth="1"/>
    <col min="65" max="65" width="13.675" style="1" customWidth="1"/>
    <col min="66" max="66" width="13.875" style="1" hidden="1" customWidth="1"/>
    <col min="67" max="67" width="17.125" style="1" customWidth="1"/>
    <col min="68" max="68" width="9" style="1" hidden="1" customWidth="1"/>
    <col min="69" max="69" width="19.875" style="12" hidden="1" customWidth="1"/>
    <col min="70" max="70" width="17.375" style="12" hidden="1" customWidth="1"/>
    <col min="71" max="72" width="8.375" style="12" hidden="1" customWidth="1"/>
    <col min="73" max="73" width="9" style="1" customWidth="1"/>
    <col min="74" max="16384" width="9" style="1"/>
  </cols>
  <sheetData>
    <row r="1" s="1" customFormat="1" ht="44.25" spans="1:72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05"/>
      <c r="AO1" s="13"/>
      <c r="AP1" s="13"/>
      <c r="AQ1" s="13"/>
      <c r="AR1" s="13"/>
      <c r="AS1" s="13"/>
      <c r="AT1" s="13"/>
      <c r="AU1" s="13"/>
      <c r="AV1" s="13"/>
      <c r="AW1" s="13"/>
      <c r="AX1" s="13"/>
      <c r="AY1" s="13"/>
      <c r="AZ1" s="13"/>
      <c r="BA1" s="142"/>
      <c r="BB1" s="13"/>
      <c r="BC1" s="13"/>
      <c r="BD1" s="13"/>
      <c r="BE1" s="13"/>
      <c r="BF1" s="13"/>
      <c r="BG1" s="13"/>
      <c r="BH1" s="13"/>
      <c r="BI1" s="13"/>
      <c r="BJ1" s="13"/>
      <c r="BK1" s="13"/>
      <c r="BL1" s="13"/>
      <c r="BM1" s="13"/>
      <c r="BN1" s="13"/>
      <c r="BO1" s="13"/>
      <c r="BQ1" s="12"/>
      <c r="BR1" s="12"/>
      <c r="BS1" s="12"/>
      <c r="BT1" s="12"/>
    </row>
    <row r="2" s="1" customFormat="1" ht="27" spans="1:72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14"/>
      <c r="AH2" s="14"/>
      <c r="AI2" s="14"/>
      <c r="AJ2" s="14"/>
      <c r="AK2" s="14"/>
      <c r="AL2" s="14"/>
      <c r="AM2" s="14"/>
      <c r="AN2" s="106"/>
      <c r="AO2" s="14"/>
      <c r="AP2" s="14"/>
      <c r="AQ2" s="14"/>
      <c r="AR2" s="14"/>
      <c r="AS2" s="14"/>
      <c r="AT2" s="14"/>
      <c r="AU2" s="14"/>
      <c r="AV2" s="14"/>
      <c r="AW2" s="14"/>
      <c r="AX2" s="14"/>
      <c r="AY2" s="14"/>
      <c r="AZ2" s="14"/>
      <c r="BA2" s="143"/>
      <c r="BB2" s="14"/>
      <c r="BC2" s="14"/>
      <c r="BD2" s="14"/>
      <c r="BE2" s="14"/>
      <c r="BF2" s="14"/>
      <c r="BG2" s="14"/>
      <c r="BH2" s="14"/>
      <c r="BI2" s="14"/>
      <c r="BJ2" s="14"/>
      <c r="BK2" s="14"/>
      <c r="BL2" s="14"/>
      <c r="BM2" s="14"/>
      <c r="BN2" s="14"/>
      <c r="BO2" s="14"/>
      <c r="BQ2" s="12"/>
      <c r="BR2" s="12"/>
      <c r="BS2" s="12"/>
      <c r="BT2" s="12"/>
    </row>
    <row r="3" s="1" customFormat="1" ht="28" customHeight="1" spans="1:72">
      <c r="A3" s="15" t="s">
        <v>2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5"/>
      <c r="AG3" s="15"/>
      <c r="AH3" s="15"/>
      <c r="AI3" s="15"/>
      <c r="AJ3" s="15"/>
      <c r="AK3" s="15"/>
      <c r="AL3" s="15"/>
      <c r="AM3" s="15"/>
      <c r="AN3" s="15"/>
      <c r="AO3" s="15"/>
      <c r="AP3" s="15"/>
      <c r="AQ3" s="15"/>
      <c r="AR3" s="15"/>
      <c r="AS3" s="15"/>
      <c r="AT3" s="131"/>
      <c r="AU3" s="131"/>
      <c r="AV3" s="131"/>
      <c r="AW3" s="131"/>
      <c r="AX3" s="131"/>
      <c r="AY3" s="131"/>
      <c r="AZ3" s="131"/>
      <c r="BA3" s="131"/>
      <c r="BB3" s="131"/>
      <c r="BC3" s="144"/>
      <c r="BD3" s="144"/>
      <c r="BE3" s="144"/>
      <c r="BF3" s="144"/>
      <c r="BG3" s="144"/>
      <c r="BH3" s="144"/>
      <c r="BI3" s="144"/>
      <c r="BJ3" s="144"/>
      <c r="BK3" s="144"/>
      <c r="BL3" s="144"/>
      <c r="BM3" s="144"/>
      <c r="BN3" s="144"/>
      <c r="BO3" s="152">
        <v>45394</v>
      </c>
      <c r="BQ3" s="12"/>
      <c r="BR3" s="12"/>
      <c r="BS3" s="12"/>
      <c r="BT3" s="12"/>
    </row>
    <row r="4" s="1" customFormat="1" ht="86.25" customHeight="1" spans="1:72">
      <c r="A4" s="16" t="s">
        <v>3</v>
      </c>
      <c r="B4" s="17" t="s">
        <v>4</v>
      </c>
      <c r="C4" s="17" t="s">
        <v>5</v>
      </c>
      <c r="D4" s="17" t="s">
        <v>6</v>
      </c>
      <c r="E4" s="17" t="s">
        <v>4</v>
      </c>
      <c r="F4" s="18" t="s">
        <v>5</v>
      </c>
      <c r="G4" s="18" t="s">
        <v>6</v>
      </c>
      <c r="H4" s="17" t="s">
        <v>7</v>
      </c>
      <c r="I4" s="16" t="s">
        <v>8</v>
      </c>
      <c r="J4" s="17" t="s">
        <v>9</v>
      </c>
      <c r="K4" s="17" t="s">
        <v>10</v>
      </c>
      <c r="L4" s="17" t="s">
        <v>11</v>
      </c>
      <c r="M4" s="17" t="s">
        <v>12</v>
      </c>
      <c r="N4" s="35" t="s">
        <v>13</v>
      </c>
      <c r="O4" s="36" t="s">
        <v>14</v>
      </c>
      <c r="P4" s="37" t="s">
        <v>15</v>
      </c>
      <c r="Q4" s="16" t="s">
        <v>16</v>
      </c>
      <c r="R4" s="16" t="s">
        <v>17</v>
      </c>
      <c r="S4" s="65" t="s">
        <v>18</v>
      </c>
      <c r="T4" s="16" t="s">
        <v>19</v>
      </c>
      <c r="U4" s="65" t="s">
        <v>20</v>
      </c>
      <c r="V4" s="16" t="s">
        <v>21</v>
      </c>
      <c r="W4" s="66" t="s">
        <v>18</v>
      </c>
      <c r="X4" s="67" t="s">
        <v>22</v>
      </c>
      <c r="Y4" s="66" t="s">
        <v>23</v>
      </c>
      <c r="Z4" s="16" t="s">
        <v>22</v>
      </c>
      <c r="AA4" s="90" t="s">
        <v>23</v>
      </c>
      <c r="AB4" s="16" t="s">
        <v>24</v>
      </c>
      <c r="AC4" s="91" t="s">
        <v>25</v>
      </c>
      <c r="AD4" s="92" t="s">
        <v>26</v>
      </c>
      <c r="AE4" s="16" t="s">
        <v>27</v>
      </c>
      <c r="AF4" s="65" t="s">
        <v>28</v>
      </c>
      <c r="AG4" s="107" t="s">
        <v>29</v>
      </c>
      <c r="AH4" s="16" t="s">
        <v>30</v>
      </c>
      <c r="AI4" s="16" t="s">
        <v>31</v>
      </c>
      <c r="AJ4" s="16" t="s">
        <v>32</v>
      </c>
      <c r="AK4" s="65" t="s">
        <v>33</v>
      </c>
      <c r="AL4" s="108" t="s">
        <v>34</v>
      </c>
      <c r="AM4" s="108" t="s">
        <v>35</v>
      </c>
      <c r="AN4" s="109" t="s">
        <v>36</v>
      </c>
      <c r="AO4" s="35" t="s">
        <v>37</v>
      </c>
      <c r="AP4" s="16" t="s">
        <v>16</v>
      </c>
      <c r="AQ4" s="16" t="s">
        <v>17</v>
      </c>
      <c r="AR4" s="65" t="s">
        <v>18</v>
      </c>
      <c r="AS4" s="16" t="s">
        <v>19</v>
      </c>
      <c r="AT4" s="65" t="s">
        <v>20</v>
      </c>
      <c r="AU4" s="16" t="s">
        <v>21</v>
      </c>
      <c r="AV4" s="66" t="s">
        <v>18</v>
      </c>
      <c r="AW4" s="67" t="s">
        <v>22</v>
      </c>
      <c r="AX4" s="66" t="s">
        <v>23</v>
      </c>
      <c r="AY4" s="16" t="s">
        <v>22</v>
      </c>
      <c r="AZ4" s="90" t="s">
        <v>23</v>
      </c>
      <c r="BA4" s="145" t="s">
        <v>24</v>
      </c>
      <c r="BB4" s="91" t="s">
        <v>25</v>
      </c>
      <c r="BC4" s="92" t="s">
        <v>26</v>
      </c>
      <c r="BD4" s="16" t="s">
        <v>27</v>
      </c>
      <c r="BE4" s="65" t="s">
        <v>28</v>
      </c>
      <c r="BF4" s="107" t="s">
        <v>29</v>
      </c>
      <c r="BG4" s="16" t="s">
        <v>30</v>
      </c>
      <c r="BH4" s="16" t="s">
        <v>31</v>
      </c>
      <c r="BI4" s="16" t="s">
        <v>32</v>
      </c>
      <c r="BJ4" s="65" t="s">
        <v>33</v>
      </c>
      <c r="BK4" s="108" t="s">
        <v>34</v>
      </c>
      <c r="BL4" s="108" t="s">
        <v>38</v>
      </c>
      <c r="BM4" s="65" t="s">
        <v>39</v>
      </c>
      <c r="BN4" s="65" t="s">
        <v>36</v>
      </c>
      <c r="BO4" s="35" t="s">
        <v>37</v>
      </c>
      <c r="BQ4" s="153" t="s">
        <v>40</v>
      </c>
      <c r="BR4" s="153" t="s">
        <v>41</v>
      </c>
      <c r="BS4" s="153" t="s">
        <v>42</v>
      </c>
      <c r="BT4" s="153"/>
    </row>
    <row r="5" s="1" customFormat="1" ht="48" customHeight="1" spans="1:72">
      <c r="A5" s="19" t="s">
        <v>43</v>
      </c>
      <c r="B5" s="20" t="s">
        <v>44</v>
      </c>
      <c r="C5" s="20" t="s">
        <v>45</v>
      </c>
      <c r="D5" s="20" t="s">
        <v>46</v>
      </c>
      <c r="E5" s="20" t="s">
        <v>47</v>
      </c>
      <c r="F5" s="21" t="s">
        <v>48</v>
      </c>
      <c r="G5" s="22" t="s">
        <v>49</v>
      </c>
      <c r="H5" s="20" t="s">
        <v>50</v>
      </c>
      <c r="I5" s="19" t="s">
        <v>51</v>
      </c>
      <c r="J5" s="20" t="s">
        <v>52</v>
      </c>
      <c r="K5" s="20" t="s">
        <v>53</v>
      </c>
      <c r="L5" s="20" t="s">
        <v>54</v>
      </c>
      <c r="M5" s="20" t="s">
        <v>55</v>
      </c>
      <c r="N5" s="38" t="s">
        <v>56</v>
      </c>
      <c r="O5" s="39" t="s">
        <v>57</v>
      </c>
      <c r="P5" s="40" t="s">
        <v>58</v>
      </c>
      <c r="Q5" s="68" t="s">
        <v>59</v>
      </c>
      <c r="R5" s="69" t="s">
        <v>60</v>
      </c>
      <c r="S5" s="70" t="s">
        <v>61</v>
      </c>
      <c r="T5" s="71" t="s">
        <v>62</v>
      </c>
      <c r="U5" s="72" t="s">
        <v>63</v>
      </c>
      <c r="V5" s="68" t="s">
        <v>64</v>
      </c>
      <c r="W5" s="73" t="s">
        <v>65</v>
      </c>
      <c r="X5" s="74" t="s">
        <v>66</v>
      </c>
      <c r="Y5" s="93" t="s">
        <v>67</v>
      </c>
      <c r="Z5" s="68" t="s">
        <v>68</v>
      </c>
      <c r="AA5" s="94" t="s">
        <v>69</v>
      </c>
      <c r="AB5" s="95" t="s">
        <v>70</v>
      </c>
      <c r="AC5" s="96" t="s">
        <v>71</v>
      </c>
      <c r="AD5" s="95" t="s">
        <v>72</v>
      </c>
      <c r="AE5" s="69" t="s">
        <v>73</v>
      </c>
      <c r="AF5" s="72" t="s">
        <v>74</v>
      </c>
      <c r="AG5" s="110" t="s">
        <v>75</v>
      </c>
      <c r="AH5" s="95" t="s">
        <v>76</v>
      </c>
      <c r="AI5" s="95" t="s">
        <v>77</v>
      </c>
      <c r="AJ5" s="95" t="s">
        <v>78</v>
      </c>
      <c r="AK5" s="72" t="s">
        <v>79</v>
      </c>
      <c r="AL5" s="111" t="s">
        <v>80</v>
      </c>
      <c r="AM5" s="112" t="s">
        <v>81</v>
      </c>
      <c r="AN5" s="113" t="s">
        <v>82</v>
      </c>
      <c r="AO5" s="132" t="s">
        <v>83</v>
      </c>
      <c r="AP5" s="68" t="s">
        <v>59</v>
      </c>
      <c r="AQ5" s="69" t="s">
        <v>60</v>
      </c>
      <c r="AR5" s="70" t="s">
        <v>61</v>
      </c>
      <c r="AS5" s="71" t="s">
        <v>62</v>
      </c>
      <c r="AT5" s="72" t="s">
        <v>63</v>
      </c>
      <c r="AU5" s="68" t="s">
        <v>64</v>
      </c>
      <c r="AV5" s="73" t="s">
        <v>65</v>
      </c>
      <c r="AW5" s="74" t="s">
        <v>66</v>
      </c>
      <c r="AX5" s="93" t="s">
        <v>67</v>
      </c>
      <c r="AY5" s="68" t="s">
        <v>68</v>
      </c>
      <c r="AZ5" s="94" t="s">
        <v>69</v>
      </c>
      <c r="BA5" s="146" t="s">
        <v>70</v>
      </c>
      <c r="BB5" s="96" t="s">
        <v>71</v>
      </c>
      <c r="BC5" s="95" t="s">
        <v>72</v>
      </c>
      <c r="BD5" s="69" t="s">
        <v>73</v>
      </c>
      <c r="BE5" s="72" t="s">
        <v>74</v>
      </c>
      <c r="BF5" s="110" t="s">
        <v>75</v>
      </c>
      <c r="BG5" s="95" t="s">
        <v>76</v>
      </c>
      <c r="BH5" s="95" t="s">
        <v>77</v>
      </c>
      <c r="BI5" s="95" t="s">
        <v>78</v>
      </c>
      <c r="BJ5" s="72" t="s">
        <v>79</v>
      </c>
      <c r="BK5" s="111" t="s">
        <v>80</v>
      </c>
      <c r="BL5" s="149" t="s">
        <v>84</v>
      </c>
      <c r="BM5" s="154" t="s">
        <v>85</v>
      </c>
      <c r="BN5" s="70" t="s">
        <v>86</v>
      </c>
      <c r="BO5" s="132" t="s">
        <v>83</v>
      </c>
      <c r="BQ5" s="155">
        <v>4066</v>
      </c>
      <c r="BR5" s="156"/>
      <c r="BS5" s="156"/>
      <c r="BT5" s="157"/>
    </row>
    <row r="6" s="2" customFormat="1" ht="39" customHeight="1" spans="1:72">
      <c r="A6" s="23">
        <v>1</v>
      </c>
      <c r="B6" s="20" t="s">
        <v>87</v>
      </c>
      <c r="C6" s="20" t="s">
        <v>88</v>
      </c>
      <c r="D6" s="20" t="s">
        <v>89</v>
      </c>
      <c r="E6" s="20" t="s">
        <v>90</v>
      </c>
      <c r="F6" s="24" t="s">
        <v>91</v>
      </c>
      <c r="G6" s="25" t="s">
        <v>92</v>
      </c>
      <c r="H6" s="20" t="s">
        <v>93</v>
      </c>
      <c r="I6" s="41" t="s">
        <v>94</v>
      </c>
      <c r="J6" s="20" t="s">
        <v>95</v>
      </c>
      <c r="K6" s="20" t="s">
        <v>95</v>
      </c>
      <c r="L6" s="20" t="s">
        <v>96</v>
      </c>
      <c r="M6" s="20" t="s">
        <v>97</v>
      </c>
      <c r="N6" s="38" t="s">
        <v>98</v>
      </c>
      <c r="O6" s="42">
        <v>130128537</v>
      </c>
      <c r="P6" s="40">
        <v>33793</v>
      </c>
      <c r="Q6" s="75">
        <v>204</v>
      </c>
      <c r="R6" s="76">
        <v>13</v>
      </c>
      <c r="S6" s="76">
        <f t="shared" ref="S6:S20" si="0">Q6/26*R6</f>
        <v>102</v>
      </c>
      <c r="T6" s="76">
        <v>0</v>
      </c>
      <c r="U6" s="77">
        <f t="shared" ref="U6:U20" si="1">Q6/26/8*1.5*T6</f>
        <v>0</v>
      </c>
      <c r="V6" s="76">
        <v>0</v>
      </c>
      <c r="W6" s="76">
        <f t="shared" ref="W6:W20" si="2">Q6/26*V6*1.3</f>
        <v>0</v>
      </c>
      <c r="X6" s="76">
        <v>0</v>
      </c>
      <c r="Y6" s="77">
        <f t="shared" ref="Y6:Y20" si="3">Q6/26/8*2*X6</f>
        <v>0</v>
      </c>
      <c r="Z6" s="76">
        <v>0</v>
      </c>
      <c r="AA6" s="76">
        <f t="shared" ref="AA6:AA20" si="4">Q6/26*Z6*0.5</f>
        <v>0</v>
      </c>
      <c r="AB6" s="76">
        <v>0</v>
      </c>
      <c r="AC6" s="97">
        <f t="shared" ref="AC6:AC20" si="5">Q6/26*AB6</f>
        <v>0</v>
      </c>
      <c r="AD6" s="76">
        <v>0</v>
      </c>
      <c r="AE6" s="98">
        <v>7.5</v>
      </c>
      <c r="AF6" s="99">
        <f>19/13*(R6+V6+AB6+Z6)</f>
        <v>19</v>
      </c>
      <c r="AG6" s="98">
        <f t="shared" ref="AG6:AG20" si="6">IF(R6+V6+Z6+AB6&gt;=12.75,5/13*R6+5/13*AB6,0)</f>
        <v>5</v>
      </c>
      <c r="AH6" s="97">
        <f t="shared" ref="AH6:AH20" si="7">(T6+X6)/2*0.5</f>
        <v>0</v>
      </c>
      <c r="AI6" s="114"/>
      <c r="AJ6" s="114"/>
      <c r="AK6" s="97">
        <v>0</v>
      </c>
      <c r="AL6" s="115"/>
      <c r="AM6" s="97">
        <v>0</v>
      </c>
      <c r="AN6" s="116">
        <f t="shared" ref="AN6:AN20" si="8">S6+U6+W6+Y6+AA6+SUM(AC6:AM6)</f>
        <v>133.5</v>
      </c>
      <c r="AO6" s="132"/>
      <c r="AP6" s="133">
        <v>204</v>
      </c>
      <c r="AQ6" s="134">
        <v>13</v>
      </c>
      <c r="AR6" s="98">
        <f t="shared" ref="AR6:AR20" si="9">AP6/26*AQ6</f>
        <v>102</v>
      </c>
      <c r="AS6" s="134">
        <v>0</v>
      </c>
      <c r="AT6" s="97">
        <f t="shared" ref="AT6:AT20" si="10">AP6/26/8*1.5*AS6</f>
        <v>0</v>
      </c>
      <c r="AU6" s="135"/>
      <c r="AV6" s="98">
        <f t="shared" ref="AV6:AV20" si="11">AP6/26*AU6*1.3</f>
        <v>0</v>
      </c>
      <c r="AW6" s="139"/>
      <c r="AX6" s="97">
        <f t="shared" ref="AX6:AX20" si="12">AP6/26/8*2*AW6</f>
        <v>0</v>
      </c>
      <c r="AY6" s="139"/>
      <c r="AZ6" s="98">
        <f t="shared" ref="AZ6:AZ20" si="13">AP6/26*AY6*0.5</f>
        <v>0</v>
      </c>
      <c r="BA6" s="147"/>
      <c r="BB6" s="97">
        <f t="shared" ref="BB6:BB20" si="14">AP6/26*BA6</f>
        <v>0</v>
      </c>
      <c r="BC6" s="135"/>
      <c r="BD6" s="98">
        <v>7.5</v>
      </c>
      <c r="BE6" s="99">
        <f>19/13*(AQ6+AU6+BA6+AY6)</f>
        <v>19</v>
      </c>
      <c r="BF6" s="98">
        <f t="shared" ref="BF6:BF20" si="15">IF(AQ6+AU6+AY6+BA6&gt;=12.75,5/13*AQ6+5/13*BA6,0)</f>
        <v>5</v>
      </c>
      <c r="BG6" s="97">
        <f t="shared" ref="BG6:BG20" si="16">(AS6+AW6)/2*0.5</f>
        <v>0</v>
      </c>
      <c r="BH6" s="99">
        <f>259/26*(AQ6+R6)</f>
        <v>259</v>
      </c>
      <c r="BI6" s="135"/>
      <c r="BJ6" s="77">
        <v>0</v>
      </c>
      <c r="BK6" s="135"/>
      <c r="BL6" s="150">
        <v>-5.91278640059128</v>
      </c>
      <c r="BM6" s="158">
        <f>AN6+BN6-BL6-AM6-AL6-BK6</f>
        <v>526</v>
      </c>
      <c r="BN6" s="159">
        <f t="shared" ref="BN6:BN20" si="17">AR6+AT6+AV6+AX6+AZ6+SUM(BB6:BL6)</f>
        <v>386.587213599409</v>
      </c>
      <c r="BO6" s="160"/>
      <c r="BP6" s="12"/>
      <c r="BQ6" s="161">
        <f>$BM6*$BQ$5</f>
        <v>2138716</v>
      </c>
      <c r="BR6" s="161">
        <f t="shared" ref="BR6:BR17" si="18">IF(BM6&lt;=0,0*0.02,IF(BQ6&lt;=400000,400000*0.02,IF(BQ6&gt;1200000,1200000*0.02,IF(BQ6&lt;1200000,BQ6*0.02))))</f>
        <v>24000</v>
      </c>
      <c r="BS6" s="162">
        <f>BR6/$BQ$5</f>
        <v>5.9026069847516</v>
      </c>
      <c r="BT6" s="163">
        <f t="shared" ref="BT6:BT17" si="19">-BS6</f>
        <v>-5.9026069847516</v>
      </c>
    </row>
    <row r="7" s="1" customFormat="1" ht="39" customHeight="1" spans="1:72">
      <c r="A7" s="23">
        <v>2</v>
      </c>
      <c r="B7" s="26" t="s">
        <v>99</v>
      </c>
      <c r="C7" s="26" t="s">
        <v>100</v>
      </c>
      <c r="D7" s="26" t="s">
        <v>101</v>
      </c>
      <c r="E7" s="26" t="s">
        <v>102</v>
      </c>
      <c r="F7" s="26" t="s">
        <v>103</v>
      </c>
      <c r="G7" s="26" t="s">
        <v>104</v>
      </c>
      <c r="H7" s="26" t="s">
        <v>105</v>
      </c>
      <c r="I7" s="43">
        <v>24035001</v>
      </c>
      <c r="J7" s="26" t="s">
        <v>106</v>
      </c>
      <c r="K7" s="26" t="s">
        <v>107</v>
      </c>
      <c r="L7" s="26" t="s">
        <v>108</v>
      </c>
      <c r="M7" s="26" t="s">
        <v>97</v>
      </c>
      <c r="N7" s="44">
        <v>45369</v>
      </c>
      <c r="O7" s="26" t="s">
        <v>109</v>
      </c>
      <c r="P7" s="45">
        <v>35084</v>
      </c>
      <c r="Q7" s="75">
        <v>204</v>
      </c>
      <c r="R7" s="76">
        <v>11</v>
      </c>
      <c r="S7" s="76">
        <f t="shared" si="0"/>
        <v>86.3076923076923</v>
      </c>
      <c r="T7" s="76">
        <v>1</v>
      </c>
      <c r="U7" s="77">
        <f t="shared" si="1"/>
        <v>1.47115384615385</v>
      </c>
      <c r="V7" s="76">
        <v>0</v>
      </c>
      <c r="W7" s="76">
        <f t="shared" si="2"/>
        <v>0</v>
      </c>
      <c r="X7" s="76">
        <v>0</v>
      </c>
      <c r="Y7" s="77">
        <f t="shared" si="3"/>
        <v>0</v>
      </c>
      <c r="Z7" s="76">
        <v>0</v>
      </c>
      <c r="AA7" s="76">
        <f>Q7/26*Z7</f>
        <v>0</v>
      </c>
      <c r="AB7" s="76">
        <v>2</v>
      </c>
      <c r="AC7" s="97">
        <f t="shared" si="5"/>
        <v>15.6923076923077</v>
      </c>
      <c r="AD7" s="76">
        <v>0</v>
      </c>
      <c r="AE7" s="98">
        <v>7.5</v>
      </c>
      <c r="AF7" s="98">
        <f t="shared" ref="AF7:AF9" si="20">6/13*(R7+V7+AB7+Z7)</f>
        <v>6</v>
      </c>
      <c r="AG7" s="98">
        <f t="shared" si="6"/>
        <v>5</v>
      </c>
      <c r="AH7" s="97">
        <f t="shared" si="7"/>
        <v>0.25</v>
      </c>
      <c r="AI7" s="114"/>
      <c r="AJ7" s="114"/>
      <c r="AK7" s="97">
        <v>0</v>
      </c>
      <c r="AL7" s="115"/>
      <c r="AM7" s="97">
        <v>0</v>
      </c>
      <c r="AN7" s="116">
        <f t="shared" si="8"/>
        <v>122.221153846154</v>
      </c>
      <c r="AO7" s="136"/>
      <c r="AP7" s="133">
        <v>204</v>
      </c>
      <c r="AQ7" s="134">
        <v>13</v>
      </c>
      <c r="AR7" s="98">
        <f t="shared" si="9"/>
        <v>102</v>
      </c>
      <c r="AS7" s="134">
        <v>3</v>
      </c>
      <c r="AT7" s="97">
        <f t="shared" si="10"/>
        <v>4.41346153846154</v>
      </c>
      <c r="AU7" s="135"/>
      <c r="AV7" s="98">
        <f t="shared" si="11"/>
        <v>0</v>
      </c>
      <c r="AW7" s="139"/>
      <c r="AX7" s="97">
        <f t="shared" si="12"/>
        <v>0</v>
      </c>
      <c r="AY7" s="139"/>
      <c r="AZ7" s="98">
        <f>AP7/26*AY7</f>
        <v>0</v>
      </c>
      <c r="BA7" s="147"/>
      <c r="BB7" s="97">
        <f t="shared" si="14"/>
        <v>0</v>
      </c>
      <c r="BC7" s="135"/>
      <c r="BD7" s="98">
        <v>7.5</v>
      </c>
      <c r="BE7" s="98">
        <f t="shared" ref="BE7:BE9" si="21">6/13*(AQ7+AU7+BA7+AY7)</f>
        <v>6</v>
      </c>
      <c r="BF7" s="98">
        <f t="shared" si="15"/>
        <v>5</v>
      </c>
      <c r="BG7" s="151">
        <f t="shared" si="16"/>
        <v>0.75</v>
      </c>
      <c r="BH7" s="98">
        <f t="shared" ref="BH7:BH9" si="22">30/26*(AQ7+R7)</f>
        <v>27.6923076923077</v>
      </c>
      <c r="BI7" s="135"/>
      <c r="BJ7" s="77">
        <v>0</v>
      </c>
      <c r="BK7" s="135"/>
      <c r="BL7" s="150">
        <v>-5.31692307692308</v>
      </c>
      <c r="BM7" s="158">
        <f t="shared" ref="BM6:BM20" si="23">AN7+BN7-BL7-AM7-AL7-BK7</f>
        <v>275.576923076923</v>
      </c>
      <c r="BN7" s="159">
        <f t="shared" si="17"/>
        <v>148.038846153846</v>
      </c>
      <c r="BO7" s="136"/>
      <c r="BQ7" s="161">
        <f>$BM7*$BQ$5</f>
        <v>1120495.76923077</v>
      </c>
      <c r="BR7" s="161">
        <f t="shared" si="18"/>
        <v>22409.9153846154</v>
      </c>
      <c r="BS7" s="162">
        <f>BR7/$BQ$5</f>
        <v>5.51153846153846</v>
      </c>
      <c r="BT7" s="163">
        <f t="shared" si="19"/>
        <v>-5.51153846153846</v>
      </c>
    </row>
    <row r="8" s="1" customFormat="1" ht="39" customHeight="1" spans="1:72">
      <c r="A8" s="23">
        <v>3</v>
      </c>
      <c r="B8" s="26" t="s">
        <v>110</v>
      </c>
      <c r="C8" s="26" t="s">
        <v>111</v>
      </c>
      <c r="D8" s="26" t="s">
        <v>112</v>
      </c>
      <c r="E8" s="20" t="s">
        <v>113</v>
      </c>
      <c r="F8" s="26" t="s">
        <v>114</v>
      </c>
      <c r="G8" s="26" t="s">
        <v>115</v>
      </c>
      <c r="H8" s="27" t="s">
        <v>116</v>
      </c>
      <c r="I8" s="43">
        <v>24035005</v>
      </c>
      <c r="J8" s="26" t="s">
        <v>106</v>
      </c>
      <c r="K8" s="26" t="s">
        <v>107</v>
      </c>
      <c r="L8" s="26" t="s">
        <v>108</v>
      </c>
      <c r="M8" s="26" t="s">
        <v>97</v>
      </c>
      <c r="N8" s="44">
        <v>45376</v>
      </c>
      <c r="O8" s="27">
        <v>31155522</v>
      </c>
      <c r="P8" s="45">
        <v>38420</v>
      </c>
      <c r="Q8" s="75">
        <v>204</v>
      </c>
      <c r="R8" s="76">
        <v>10.75</v>
      </c>
      <c r="S8" s="76">
        <f t="shared" si="0"/>
        <v>84.3461538461538</v>
      </c>
      <c r="T8" s="76">
        <v>1</v>
      </c>
      <c r="U8" s="77">
        <f t="shared" si="1"/>
        <v>1.47115384615385</v>
      </c>
      <c r="V8" s="76">
        <v>0</v>
      </c>
      <c r="W8" s="76">
        <f t="shared" si="2"/>
        <v>0</v>
      </c>
      <c r="X8" s="76">
        <v>0</v>
      </c>
      <c r="Y8" s="77">
        <f t="shared" si="3"/>
        <v>0</v>
      </c>
      <c r="Z8" s="76">
        <v>0</v>
      </c>
      <c r="AA8" s="76">
        <f t="shared" si="4"/>
        <v>0</v>
      </c>
      <c r="AB8" s="76">
        <v>2</v>
      </c>
      <c r="AC8" s="97">
        <f t="shared" si="5"/>
        <v>15.6923076923077</v>
      </c>
      <c r="AD8" s="76">
        <v>0</v>
      </c>
      <c r="AE8" s="98">
        <v>7.5</v>
      </c>
      <c r="AF8" s="98">
        <f t="shared" si="20"/>
        <v>5.88461538461539</v>
      </c>
      <c r="AG8" s="98">
        <f t="shared" si="6"/>
        <v>4.90384615384615</v>
      </c>
      <c r="AH8" s="97">
        <f t="shared" si="7"/>
        <v>0.25</v>
      </c>
      <c r="AI8" s="114"/>
      <c r="AJ8" s="114"/>
      <c r="AK8" s="97">
        <v>0</v>
      </c>
      <c r="AL8" s="117"/>
      <c r="AM8" s="97">
        <v>0</v>
      </c>
      <c r="AN8" s="116">
        <f t="shared" si="8"/>
        <v>120.048076923077</v>
      </c>
      <c r="AO8" s="136"/>
      <c r="AP8" s="133">
        <v>204</v>
      </c>
      <c r="AQ8" s="134">
        <v>13</v>
      </c>
      <c r="AR8" s="98">
        <f t="shared" si="9"/>
        <v>102</v>
      </c>
      <c r="AS8" s="134">
        <v>3</v>
      </c>
      <c r="AT8" s="97">
        <f t="shared" si="10"/>
        <v>4.41346153846154</v>
      </c>
      <c r="AU8" s="137"/>
      <c r="AV8" s="98">
        <f t="shared" si="11"/>
        <v>0</v>
      </c>
      <c r="AW8" s="148"/>
      <c r="AX8" s="97">
        <f t="shared" si="12"/>
        <v>0</v>
      </c>
      <c r="AY8" s="135"/>
      <c r="AZ8" s="98">
        <f t="shared" si="13"/>
        <v>0</v>
      </c>
      <c r="BA8" s="147"/>
      <c r="BB8" s="97">
        <f t="shared" si="14"/>
        <v>0</v>
      </c>
      <c r="BC8" s="135"/>
      <c r="BD8" s="98">
        <v>7.5</v>
      </c>
      <c r="BE8" s="98">
        <f t="shared" si="21"/>
        <v>6</v>
      </c>
      <c r="BF8" s="98">
        <f t="shared" si="15"/>
        <v>5</v>
      </c>
      <c r="BG8" s="151">
        <f t="shared" si="16"/>
        <v>0.75</v>
      </c>
      <c r="BH8" s="98">
        <f t="shared" si="22"/>
        <v>27.4038461538461</v>
      </c>
      <c r="BI8" s="135"/>
      <c r="BJ8" s="77">
        <v>0</v>
      </c>
      <c r="BK8" s="135"/>
      <c r="BL8" s="150">
        <v>-5.41307692307693</v>
      </c>
      <c r="BM8" s="158">
        <f t="shared" si="23"/>
        <v>273.115384615385</v>
      </c>
      <c r="BN8" s="159">
        <f t="shared" si="17"/>
        <v>147.654230769231</v>
      </c>
      <c r="BO8" s="136"/>
      <c r="BQ8" s="161">
        <f>$BM8*$BQ$5</f>
        <v>1110487.15384615</v>
      </c>
      <c r="BR8" s="161">
        <f t="shared" si="18"/>
        <v>22209.7430769231</v>
      </c>
      <c r="BS8" s="162">
        <f>BR8/$BQ$5</f>
        <v>5.46230769230769</v>
      </c>
      <c r="BT8" s="163">
        <f t="shared" si="19"/>
        <v>-5.46230769230769</v>
      </c>
    </row>
    <row r="9" s="1" customFormat="1" ht="39" customHeight="1" spans="1:72">
      <c r="A9" s="23">
        <v>4</v>
      </c>
      <c r="B9" s="26" t="s">
        <v>117</v>
      </c>
      <c r="C9" s="26" t="s">
        <v>118</v>
      </c>
      <c r="D9" s="26" t="s">
        <v>119</v>
      </c>
      <c r="E9" s="20" t="s">
        <v>120</v>
      </c>
      <c r="F9" s="26" t="s">
        <v>121</v>
      </c>
      <c r="G9" s="26" t="s">
        <v>122</v>
      </c>
      <c r="H9" s="26" t="s">
        <v>123</v>
      </c>
      <c r="I9" s="43">
        <v>24035006</v>
      </c>
      <c r="J9" s="26" t="s">
        <v>106</v>
      </c>
      <c r="K9" s="26" t="s">
        <v>107</v>
      </c>
      <c r="L9" s="26" t="s">
        <v>108</v>
      </c>
      <c r="M9" s="26" t="s">
        <v>97</v>
      </c>
      <c r="N9" s="44">
        <v>45377</v>
      </c>
      <c r="O9" s="27">
        <v>130156740</v>
      </c>
      <c r="P9" s="45">
        <v>36164</v>
      </c>
      <c r="Q9" s="75">
        <v>204</v>
      </c>
      <c r="R9" s="76">
        <v>9</v>
      </c>
      <c r="S9" s="76">
        <f t="shared" si="0"/>
        <v>70.6153846153846</v>
      </c>
      <c r="T9" s="76">
        <v>1</v>
      </c>
      <c r="U9" s="77">
        <f t="shared" si="1"/>
        <v>1.47115384615385</v>
      </c>
      <c r="V9" s="76">
        <v>0</v>
      </c>
      <c r="W9" s="76">
        <f t="shared" si="2"/>
        <v>0</v>
      </c>
      <c r="X9" s="76">
        <v>0</v>
      </c>
      <c r="Y9" s="77">
        <f t="shared" si="3"/>
        <v>0</v>
      </c>
      <c r="Z9" s="76">
        <v>0</v>
      </c>
      <c r="AA9" s="76">
        <f t="shared" si="4"/>
        <v>0</v>
      </c>
      <c r="AB9" s="76">
        <v>2</v>
      </c>
      <c r="AC9" s="97">
        <f t="shared" si="5"/>
        <v>15.6923076923077</v>
      </c>
      <c r="AD9" s="76">
        <v>0</v>
      </c>
      <c r="AE9" s="98">
        <v>7.5</v>
      </c>
      <c r="AF9" s="98">
        <f t="shared" si="20"/>
        <v>5.07692307692308</v>
      </c>
      <c r="AG9" s="98">
        <f t="shared" si="6"/>
        <v>0</v>
      </c>
      <c r="AH9" s="97">
        <f t="shared" si="7"/>
        <v>0.25</v>
      </c>
      <c r="AI9" s="118"/>
      <c r="AJ9" s="114"/>
      <c r="AK9" s="97">
        <v>0</v>
      </c>
      <c r="AL9" s="119"/>
      <c r="AM9" s="97">
        <v>0</v>
      </c>
      <c r="AN9" s="116">
        <f t="shared" si="8"/>
        <v>100.605769230769</v>
      </c>
      <c r="AO9" s="138"/>
      <c r="AP9" s="133">
        <v>204</v>
      </c>
      <c r="AQ9" s="134">
        <v>11</v>
      </c>
      <c r="AR9" s="98">
        <f t="shared" si="9"/>
        <v>86.3076923076923</v>
      </c>
      <c r="AS9" s="134">
        <v>2</v>
      </c>
      <c r="AT9" s="97">
        <f t="shared" si="10"/>
        <v>2.94230769230769</v>
      </c>
      <c r="AU9" s="137"/>
      <c r="AV9" s="98">
        <f t="shared" si="11"/>
        <v>0</v>
      </c>
      <c r="AW9" s="148"/>
      <c r="AX9" s="97">
        <f t="shared" si="12"/>
        <v>0</v>
      </c>
      <c r="AY9" s="135"/>
      <c r="AZ9" s="98">
        <f t="shared" si="13"/>
        <v>0</v>
      </c>
      <c r="BA9" s="147">
        <v>1</v>
      </c>
      <c r="BB9" s="97">
        <f t="shared" si="14"/>
        <v>7.84615384615385</v>
      </c>
      <c r="BC9" s="135"/>
      <c r="BD9" s="98">
        <v>7.5</v>
      </c>
      <c r="BE9" s="98">
        <f t="shared" si="21"/>
        <v>5.53846153846154</v>
      </c>
      <c r="BF9" s="98">
        <f t="shared" si="15"/>
        <v>0</v>
      </c>
      <c r="BG9" s="151">
        <f t="shared" si="16"/>
        <v>0.5</v>
      </c>
      <c r="BH9" s="98">
        <f t="shared" si="22"/>
        <v>23.0769230769231</v>
      </c>
      <c r="BI9" s="135"/>
      <c r="BJ9" s="77">
        <v>0</v>
      </c>
      <c r="BK9" s="135"/>
      <c r="BL9" s="150">
        <v>-4.5201923076923</v>
      </c>
      <c r="BM9" s="158">
        <f t="shared" si="23"/>
        <v>234.317307692308</v>
      </c>
      <c r="BN9" s="159">
        <f t="shared" si="17"/>
        <v>129.191346153846</v>
      </c>
      <c r="BO9" s="138"/>
      <c r="BQ9" s="161">
        <f>$BM9*$BQ$5</f>
        <v>952734.173076923</v>
      </c>
      <c r="BR9" s="161">
        <f t="shared" si="18"/>
        <v>19054.6834615385</v>
      </c>
      <c r="BS9" s="162">
        <f>BR9/$BQ$5</f>
        <v>4.68634615384615</v>
      </c>
      <c r="BT9" s="163">
        <f t="shared" si="19"/>
        <v>-4.68634615384615</v>
      </c>
    </row>
    <row r="10" s="1" customFormat="1" ht="39" customHeight="1" spans="1:72">
      <c r="A10" s="23">
        <v>5</v>
      </c>
      <c r="B10" s="28" t="s">
        <v>124</v>
      </c>
      <c r="C10" s="28" t="s">
        <v>111</v>
      </c>
      <c r="D10" s="28" t="s">
        <v>125</v>
      </c>
      <c r="E10" s="28" t="s">
        <v>126</v>
      </c>
      <c r="F10" s="28" t="s">
        <v>114</v>
      </c>
      <c r="G10" s="28" t="s">
        <v>127</v>
      </c>
      <c r="H10" s="28" t="s">
        <v>128</v>
      </c>
      <c r="I10" s="46">
        <v>24045009</v>
      </c>
      <c r="J10" s="47" t="s">
        <v>106</v>
      </c>
      <c r="K10" s="47" t="s">
        <v>107</v>
      </c>
      <c r="L10" s="47" t="s">
        <v>108</v>
      </c>
      <c r="M10" s="47" t="s">
        <v>97</v>
      </c>
      <c r="N10" s="48">
        <v>45383</v>
      </c>
      <c r="O10" s="49">
        <v>130240999</v>
      </c>
      <c r="P10" s="50">
        <v>33883</v>
      </c>
      <c r="Q10" s="75">
        <v>204</v>
      </c>
      <c r="R10" s="76">
        <v>11</v>
      </c>
      <c r="S10" s="76">
        <f t="shared" si="0"/>
        <v>86.3076923076923</v>
      </c>
      <c r="T10" s="76">
        <v>1</v>
      </c>
      <c r="U10" s="77">
        <f t="shared" si="1"/>
        <v>1.47115384615385</v>
      </c>
      <c r="V10" s="76">
        <v>0</v>
      </c>
      <c r="W10" s="76">
        <f t="shared" si="2"/>
        <v>0</v>
      </c>
      <c r="X10" s="76">
        <v>0</v>
      </c>
      <c r="Y10" s="77">
        <f t="shared" si="3"/>
        <v>0</v>
      </c>
      <c r="Z10" s="76">
        <v>0</v>
      </c>
      <c r="AA10" s="76">
        <f t="shared" si="4"/>
        <v>0</v>
      </c>
      <c r="AB10" s="76">
        <v>2</v>
      </c>
      <c r="AC10" s="97">
        <f t="shared" si="5"/>
        <v>15.6923076923077</v>
      </c>
      <c r="AD10" s="76">
        <v>0</v>
      </c>
      <c r="AE10" s="98">
        <v>7.5</v>
      </c>
      <c r="AF10" s="99">
        <f>19/13*(R10+V10+AB10+Z10)</f>
        <v>19</v>
      </c>
      <c r="AG10" s="98">
        <f t="shared" si="6"/>
        <v>5</v>
      </c>
      <c r="AH10" s="97">
        <f t="shared" si="7"/>
        <v>0.25</v>
      </c>
      <c r="AI10" s="120"/>
      <c r="AJ10" s="114"/>
      <c r="AK10" s="97">
        <v>0</v>
      </c>
      <c r="AL10" s="119"/>
      <c r="AM10" s="97">
        <v>0</v>
      </c>
      <c r="AN10" s="116">
        <f t="shared" si="8"/>
        <v>135.221153846154</v>
      </c>
      <c r="AO10" s="138"/>
      <c r="AP10" s="133">
        <v>204</v>
      </c>
      <c r="AQ10" s="134">
        <v>13</v>
      </c>
      <c r="AR10" s="98">
        <f t="shared" si="9"/>
        <v>102</v>
      </c>
      <c r="AS10" s="134">
        <v>3</v>
      </c>
      <c r="AT10" s="97">
        <f t="shared" si="10"/>
        <v>4.41346153846154</v>
      </c>
      <c r="AU10" s="137"/>
      <c r="AV10" s="98">
        <f t="shared" si="11"/>
        <v>0</v>
      </c>
      <c r="AW10" s="148"/>
      <c r="AX10" s="97">
        <f t="shared" si="12"/>
        <v>0</v>
      </c>
      <c r="AY10" s="135"/>
      <c r="AZ10" s="98">
        <f t="shared" si="13"/>
        <v>0</v>
      </c>
      <c r="BA10" s="147"/>
      <c r="BB10" s="97">
        <f t="shared" si="14"/>
        <v>0</v>
      </c>
      <c r="BC10" s="135"/>
      <c r="BD10" s="98">
        <v>7.5</v>
      </c>
      <c r="BE10" s="99">
        <f>19/13*(AQ10+AU10+BA10+AY10)</f>
        <v>19</v>
      </c>
      <c r="BF10" s="98">
        <f t="shared" si="15"/>
        <v>5</v>
      </c>
      <c r="BG10" s="151">
        <f t="shared" si="16"/>
        <v>0.75</v>
      </c>
      <c r="BH10" s="99">
        <f>387/26*(AQ10+R10)</f>
        <v>357.230769230769</v>
      </c>
      <c r="BI10" s="135"/>
      <c r="BJ10" s="77">
        <v>0</v>
      </c>
      <c r="BK10" s="135"/>
      <c r="BL10" s="150">
        <v>-5.91278640059128</v>
      </c>
      <c r="BM10" s="158">
        <f t="shared" si="23"/>
        <v>631.115384615385</v>
      </c>
      <c r="BN10" s="159">
        <f t="shared" si="17"/>
        <v>489.981444368639</v>
      </c>
      <c r="BO10" s="138"/>
      <c r="BQ10" s="161">
        <f>$BM10*$BQ$5</f>
        <v>2566115.15384615</v>
      </c>
      <c r="BR10" s="161">
        <f t="shared" si="18"/>
        <v>24000</v>
      </c>
      <c r="BS10" s="162">
        <f>BR10/$BQ$5</f>
        <v>5.9026069847516</v>
      </c>
      <c r="BT10" s="163">
        <f t="shared" si="19"/>
        <v>-5.9026069847516</v>
      </c>
    </row>
    <row r="11" s="1" customFormat="1" ht="39" customHeight="1" spans="1:72">
      <c r="A11" s="23">
        <v>6</v>
      </c>
      <c r="B11" s="26" t="s">
        <v>129</v>
      </c>
      <c r="C11" s="26" t="s">
        <v>130</v>
      </c>
      <c r="D11" s="26" t="s">
        <v>131</v>
      </c>
      <c r="E11" s="26" t="s">
        <v>132</v>
      </c>
      <c r="F11" s="26" t="s">
        <v>133</v>
      </c>
      <c r="G11" s="26" t="s">
        <v>134</v>
      </c>
      <c r="H11" s="27">
        <v>0</v>
      </c>
      <c r="I11" s="43">
        <v>24055010</v>
      </c>
      <c r="J11" s="51" t="s">
        <v>106</v>
      </c>
      <c r="K11" s="51" t="s">
        <v>107</v>
      </c>
      <c r="L11" s="51" t="s">
        <v>108</v>
      </c>
      <c r="M11" s="51" t="s">
        <v>97</v>
      </c>
      <c r="N11" s="52">
        <v>45422</v>
      </c>
      <c r="O11" s="27">
        <v>110707909</v>
      </c>
      <c r="P11" s="53">
        <v>28940</v>
      </c>
      <c r="Q11" s="75">
        <v>204</v>
      </c>
      <c r="R11" s="76">
        <v>9.81</v>
      </c>
      <c r="S11" s="76">
        <f t="shared" si="0"/>
        <v>76.9707692307692</v>
      </c>
      <c r="T11" s="76">
        <v>1</v>
      </c>
      <c r="U11" s="77">
        <f t="shared" si="1"/>
        <v>1.47115384615385</v>
      </c>
      <c r="V11" s="76">
        <v>0</v>
      </c>
      <c r="W11" s="76">
        <f t="shared" si="2"/>
        <v>0</v>
      </c>
      <c r="X11" s="76">
        <v>0</v>
      </c>
      <c r="Y11" s="77">
        <f t="shared" si="3"/>
        <v>0</v>
      </c>
      <c r="Z11" s="76">
        <v>0</v>
      </c>
      <c r="AA11" s="76">
        <f t="shared" si="4"/>
        <v>0</v>
      </c>
      <c r="AB11" s="76">
        <v>3</v>
      </c>
      <c r="AC11" s="97">
        <f t="shared" si="5"/>
        <v>23.5384615384615</v>
      </c>
      <c r="AD11" s="76">
        <v>0</v>
      </c>
      <c r="AE11" s="98">
        <v>7.5</v>
      </c>
      <c r="AF11" s="98">
        <f t="shared" ref="AF11:AF20" si="24">6/13*(R11+V11+AB11+Z11)</f>
        <v>5.91230769230769</v>
      </c>
      <c r="AG11" s="98">
        <f t="shared" si="6"/>
        <v>4.92692307692308</v>
      </c>
      <c r="AH11" s="97">
        <f t="shared" si="7"/>
        <v>0.25</v>
      </c>
      <c r="AI11" s="114"/>
      <c r="AJ11" s="114"/>
      <c r="AK11" s="97">
        <v>0</v>
      </c>
      <c r="AL11" s="117"/>
      <c r="AM11" s="97">
        <v>0</v>
      </c>
      <c r="AN11" s="116">
        <f t="shared" si="8"/>
        <v>120.569615384615</v>
      </c>
      <c r="AO11" s="136"/>
      <c r="AP11" s="133">
        <v>204</v>
      </c>
      <c r="AQ11" s="134">
        <v>13</v>
      </c>
      <c r="AR11" s="98">
        <f t="shared" si="9"/>
        <v>102</v>
      </c>
      <c r="AS11" s="134">
        <v>3</v>
      </c>
      <c r="AT11" s="97">
        <f t="shared" si="10"/>
        <v>4.41346153846154</v>
      </c>
      <c r="AU11" s="139"/>
      <c r="AV11" s="98">
        <f t="shared" si="11"/>
        <v>0</v>
      </c>
      <c r="AW11" s="139"/>
      <c r="AX11" s="97">
        <f t="shared" si="12"/>
        <v>0</v>
      </c>
      <c r="AY11" s="135"/>
      <c r="AZ11" s="98">
        <f t="shared" si="13"/>
        <v>0</v>
      </c>
      <c r="BA11" s="147"/>
      <c r="BB11" s="97">
        <f t="shared" si="14"/>
        <v>0</v>
      </c>
      <c r="BC11" s="135"/>
      <c r="BD11" s="98">
        <v>7.5</v>
      </c>
      <c r="BE11" s="98">
        <f t="shared" ref="BE11:BE18" si="25">6/13*(AQ11+AU11+BA11+AY11)</f>
        <v>6</v>
      </c>
      <c r="BF11" s="98">
        <f t="shared" si="15"/>
        <v>5</v>
      </c>
      <c r="BG11" s="151">
        <f t="shared" si="16"/>
        <v>0.75</v>
      </c>
      <c r="BH11" s="98">
        <f>20/26*(AQ11+R11)</f>
        <v>17.5461538461538</v>
      </c>
      <c r="BI11" s="135"/>
      <c r="BJ11" s="77">
        <v>0</v>
      </c>
      <c r="BK11" s="135"/>
      <c r="BL11" s="150">
        <v>-5.27558461538461</v>
      </c>
      <c r="BM11" s="158">
        <f t="shared" si="23"/>
        <v>263.779230769231</v>
      </c>
      <c r="BN11" s="159">
        <f t="shared" si="17"/>
        <v>137.934030769231</v>
      </c>
      <c r="BO11" s="136"/>
      <c r="BQ11" s="161">
        <f>$BM11*$BQ$5</f>
        <v>1072526.35230769</v>
      </c>
      <c r="BR11" s="161">
        <f t="shared" si="18"/>
        <v>21450.5270461538</v>
      </c>
      <c r="BS11" s="162">
        <f>BR11/$BQ$5</f>
        <v>5.27558461538462</v>
      </c>
      <c r="BT11" s="163">
        <f t="shared" si="19"/>
        <v>-5.27558461538462</v>
      </c>
    </row>
    <row r="12" s="1" customFormat="1" ht="39" customHeight="1" spans="1:72">
      <c r="A12" s="23">
        <v>7</v>
      </c>
      <c r="B12" s="26" t="s">
        <v>135</v>
      </c>
      <c r="C12" s="26" t="s">
        <v>136</v>
      </c>
      <c r="D12" s="26" t="s">
        <v>137</v>
      </c>
      <c r="E12" s="26" t="s">
        <v>138</v>
      </c>
      <c r="F12" s="26" t="s">
        <v>139</v>
      </c>
      <c r="G12" s="26" t="s">
        <v>140</v>
      </c>
      <c r="H12" s="26" t="s">
        <v>141</v>
      </c>
      <c r="I12" s="43">
        <v>24045011</v>
      </c>
      <c r="J12" s="26" t="s">
        <v>106</v>
      </c>
      <c r="K12" s="26" t="s">
        <v>142</v>
      </c>
      <c r="L12" s="26" t="s">
        <v>108</v>
      </c>
      <c r="M12" s="26" t="s">
        <v>97</v>
      </c>
      <c r="N12" s="52">
        <v>45400</v>
      </c>
      <c r="O12" s="27">
        <v>130077756</v>
      </c>
      <c r="P12" s="53">
        <v>31181</v>
      </c>
      <c r="Q12" s="75">
        <v>204</v>
      </c>
      <c r="R12" s="76">
        <v>11</v>
      </c>
      <c r="S12" s="76">
        <f t="shared" si="0"/>
        <v>86.3076923076923</v>
      </c>
      <c r="T12" s="76">
        <v>1.5</v>
      </c>
      <c r="U12" s="77">
        <f t="shared" si="1"/>
        <v>2.20673076923077</v>
      </c>
      <c r="V12" s="76">
        <v>0</v>
      </c>
      <c r="W12" s="76">
        <f t="shared" si="2"/>
        <v>0</v>
      </c>
      <c r="X12" s="76">
        <v>0</v>
      </c>
      <c r="Y12" s="77">
        <f t="shared" si="3"/>
        <v>0</v>
      </c>
      <c r="Z12" s="76">
        <v>0</v>
      </c>
      <c r="AA12" s="76">
        <f t="shared" si="4"/>
        <v>0</v>
      </c>
      <c r="AB12" s="76">
        <v>2</v>
      </c>
      <c r="AC12" s="97">
        <f t="shared" si="5"/>
        <v>15.6923076923077</v>
      </c>
      <c r="AD12" s="76">
        <v>0</v>
      </c>
      <c r="AE12" s="98">
        <v>7.5</v>
      </c>
      <c r="AF12" s="98">
        <f t="shared" si="24"/>
        <v>6</v>
      </c>
      <c r="AG12" s="98">
        <f t="shared" si="6"/>
        <v>5</v>
      </c>
      <c r="AH12" s="97">
        <f t="shared" si="7"/>
        <v>0.375</v>
      </c>
      <c r="AI12" s="119"/>
      <c r="AJ12" s="114"/>
      <c r="AK12" s="97">
        <v>0</v>
      </c>
      <c r="AL12" s="117"/>
      <c r="AM12" s="97">
        <v>0</v>
      </c>
      <c r="AN12" s="116">
        <f t="shared" si="8"/>
        <v>123.081730769231</v>
      </c>
      <c r="AO12" s="136"/>
      <c r="AP12" s="133">
        <v>204</v>
      </c>
      <c r="AQ12" s="98">
        <v>12.12</v>
      </c>
      <c r="AR12" s="98">
        <f t="shared" si="9"/>
        <v>95.0953846153846</v>
      </c>
      <c r="AS12" s="140">
        <v>4.5</v>
      </c>
      <c r="AT12" s="97">
        <f t="shared" si="10"/>
        <v>6.62019230769231</v>
      </c>
      <c r="AU12" s="137"/>
      <c r="AV12" s="98">
        <f t="shared" si="11"/>
        <v>0</v>
      </c>
      <c r="AW12" s="148"/>
      <c r="AX12" s="97">
        <f t="shared" si="12"/>
        <v>0</v>
      </c>
      <c r="AY12" s="135"/>
      <c r="AZ12" s="98">
        <f t="shared" si="13"/>
        <v>0</v>
      </c>
      <c r="BA12" s="147"/>
      <c r="BB12" s="97">
        <f t="shared" si="14"/>
        <v>0</v>
      </c>
      <c r="BC12" s="135"/>
      <c r="BD12" s="98">
        <v>7.5</v>
      </c>
      <c r="BE12" s="98">
        <f t="shared" si="25"/>
        <v>5.59384615384615</v>
      </c>
      <c r="BF12" s="98">
        <f t="shared" si="15"/>
        <v>0</v>
      </c>
      <c r="BG12" s="151">
        <f t="shared" si="16"/>
        <v>1.125</v>
      </c>
      <c r="BH12" s="98">
        <f>30/26*(AQ12+R12)</f>
        <v>26.6769230769231</v>
      </c>
      <c r="BI12" s="135"/>
      <c r="BJ12" s="77">
        <v>0</v>
      </c>
      <c r="BK12" s="135"/>
      <c r="BL12" s="150">
        <v>-5.31386153846154</v>
      </c>
      <c r="BM12" s="158">
        <f t="shared" si="23"/>
        <v>265.693076923077</v>
      </c>
      <c r="BN12" s="159">
        <f t="shared" si="17"/>
        <v>137.297484615385</v>
      </c>
      <c r="BO12" s="136"/>
      <c r="BQ12" s="161">
        <f>$BM12*$BQ$5</f>
        <v>1080308.05076923</v>
      </c>
      <c r="BR12" s="161">
        <f t="shared" si="18"/>
        <v>21606.1610153846</v>
      </c>
      <c r="BS12" s="162">
        <f>BR12/$BQ$5</f>
        <v>5.31386153846154</v>
      </c>
      <c r="BT12" s="163">
        <f t="shared" si="19"/>
        <v>-5.31386153846154</v>
      </c>
    </row>
    <row r="13" s="1" customFormat="1" ht="39" customHeight="1" spans="1:72">
      <c r="A13" s="23">
        <v>8</v>
      </c>
      <c r="B13" s="26" t="s">
        <v>143</v>
      </c>
      <c r="C13" s="26" t="s">
        <v>144</v>
      </c>
      <c r="D13" s="26" t="s">
        <v>145</v>
      </c>
      <c r="E13" s="26" t="s">
        <v>146</v>
      </c>
      <c r="F13" s="26" t="s">
        <v>147</v>
      </c>
      <c r="G13" s="26" t="s">
        <v>148</v>
      </c>
      <c r="H13" s="26" t="s">
        <v>149</v>
      </c>
      <c r="I13" s="43">
        <v>24045012</v>
      </c>
      <c r="J13" s="26" t="s">
        <v>106</v>
      </c>
      <c r="K13" s="26" t="s">
        <v>107</v>
      </c>
      <c r="L13" s="26" t="s">
        <v>108</v>
      </c>
      <c r="M13" s="26" t="s">
        <v>97</v>
      </c>
      <c r="N13" s="52">
        <v>45401</v>
      </c>
      <c r="O13" s="27">
        <v>110633766</v>
      </c>
      <c r="P13" s="53">
        <v>36894</v>
      </c>
      <c r="Q13" s="75">
        <v>204</v>
      </c>
      <c r="R13" s="76">
        <v>10</v>
      </c>
      <c r="S13" s="76">
        <f t="shared" si="0"/>
        <v>78.4615384615385</v>
      </c>
      <c r="T13" s="76">
        <v>0</v>
      </c>
      <c r="U13" s="77">
        <f t="shared" si="1"/>
        <v>0</v>
      </c>
      <c r="V13" s="76">
        <v>0</v>
      </c>
      <c r="W13" s="76">
        <f t="shared" si="2"/>
        <v>0</v>
      </c>
      <c r="X13" s="76">
        <v>0</v>
      </c>
      <c r="Y13" s="77">
        <f t="shared" si="3"/>
        <v>0</v>
      </c>
      <c r="Z13" s="76">
        <v>0</v>
      </c>
      <c r="AA13" s="76">
        <f t="shared" si="4"/>
        <v>0</v>
      </c>
      <c r="AB13" s="76">
        <v>2</v>
      </c>
      <c r="AC13" s="97">
        <f t="shared" si="5"/>
        <v>15.6923076923077</v>
      </c>
      <c r="AD13" s="76">
        <v>0</v>
      </c>
      <c r="AE13" s="98">
        <v>7.5</v>
      </c>
      <c r="AF13" s="98">
        <f t="shared" si="24"/>
        <v>5.53846153846154</v>
      </c>
      <c r="AG13" s="98">
        <f t="shared" si="6"/>
        <v>0</v>
      </c>
      <c r="AH13" s="97">
        <f t="shared" si="7"/>
        <v>0</v>
      </c>
      <c r="AI13" s="118"/>
      <c r="AJ13" s="114"/>
      <c r="AK13" s="97">
        <v>0</v>
      </c>
      <c r="AL13" s="119"/>
      <c r="AM13" s="97">
        <v>0</v>
      </c>
      <c r="AN13" s="116">
        <f t="shared" si="8"/>
        <v>107.192307692308</v>
      </c>
      <c r="AO13" s="138"/>
      <c r="AP13" s="133">
        <v>204</v>
      </c>
      <c r="AQ13" s="134">
        <v>10</v>
      </c>
      <c r="AR13" s="98">
        <f t="shared" si="9"/>
        <v>78.4615384615385</v>
      </c>
      <c r="AS13" s="134">
        <v>1</v>
      </c>
      <c r="AT13" s="97">
        <f t="shared" si="10"/>
        <v>1.47115384615385</v>
      </c>
      <c r="AU13" s="137"/>
      <c r="AV13" s="98">
        <f t="shared" si="11"/>
        <v>0</v>
      </c>
      <c r="AW13" s="148"/>
      <c r="AX13" s="97">
        <f t="shared" si="12"/>
        <v>0</v>
      </c>
      <c r="AY13" s="135"/>
      <c r="AZ13" s="98">
        <f t="shared" si="13"/>
        <v>0</v>
      </c>
      <c r="BA13" s="147">
        <v>3</v>
      </c>
      <c r="BB13" s="97">
        <f t="shared" si="14"/>
        <v>23.5384615384615</v>
      </c>
      <c r="BC13" s="135"/>
      <c r="BD13" s="98">
        <v>7.5</v>
      </c>
      <c r="BE13" s="98">
        <f t="shared" si="25"/>
        <v>6</v>
      </c>
      <c r="BF13" s="98">
        <f t="shared" si="15"/>
        <v>5</v>
      </c>
      <c r="BG13" s="151">
        <f t="shared" si="16"/>
        <v>0.25</v>
      </c>
      <c r="BH13" s="98">
        <f>30/26*(AQ13+R13)</f>
        <v>23.0769230769231</v>
      </c>
      <c r="BI13" s="135"/>
      <c r="BJ13" s="77">
        <v>0</v>
      </c>
      <c r="BK13" s="135"/>
      <c r="BL13" s="150">
        <v>-4.45134615384616</v>
      </c>
      <c r="BM13" s="158">
        <f t="shared" si="23"/>
        <v>252.490384615385</v>
      </c>
      <c r="BN13" s="159">
        <f t="shared" si="17"/>
        <v>140.846730769231</v>
      </c>
      <c r="BO13" s="138"/>
      <c r="BQ13" s="161">
        <f>$BM13*$BQ$5</f>
        <v>1026625.90384615</v>
      </c>
      <c r="BR13" s="161">
        <f t="shared" si="18"/>
        <v>20532.5180769231</v>
      </c>
      <c r="BS13" s="162">
        <f>BR13/$BQ$5</f>
        <v>5.04980769230769</v>
      </c>
      <c r="BT13" s="163">
        <f t="shared" si="19"/>
        <v>-5.04980769230769</v>
      </c>
    </row>
    <row r="14" s="1" customFormat="1" ht="39" customHeight="1" spans="1:72">
      <c r="A14" s="23">
        <v>9</v>
      </c>
      <c r="B14" s="26" t="s">
        <v>150</v>
      </c>
      <c r="C14" s="26" t="s">
        <v>151</v>
      </c>
      <c r="D14" s="26" t="s">
        <v>152</v>
      </c>
      <c r="E14" s="26" t="s">
        <v>153</v>
      </c>
      <c r="F14" s="26" t="s">
        <v>154</v>
      </c>
      <c r="G14" s="26" t="s">
        <v>155</v>
      </c>
      <c r="H14" s="26" t="s">
        <v>156</v>
      </c>
      <c r="I14" s="54">
        <v>24055017</v>
      </c>
      <c r="J14" s="26" t="s">
        <v>106</v>
      </c>
      <c r="K14" s="26" t="s">
        <v>107</v>
      </c>
      <c r="L14" s="26" t="s">
        <v>108</v>
      </c>
      <c r="M14" s="26" t="s">
        <v>97</v>
      </c>
      <c r="N14" s="55">
        <v>45441</v>
      </c>
      <c r="O14" s="27">
        <v>130216108</v>
      </c>
      <c r="P14" s="52">
        <v>36930</v>
      </c>
      <c r="Q14" s="75">
        <v>204</v>
      </c>
      <c r="R14" s="76">
        <v>8</v>
      </c>
      <c r="S14" s="76">
        <f t="shared" si="0"/>
        <v>62.7692307692308</v>
      </c>
      <c r="T14" s="76">
        <v>1</v>
      </c>
      <c r="U14" s="77">
        <f t="shared" si="1"/>
        <v>1.47115384615385</v>
      </c>
      <c r="V14" s="76">
        <v>0</v>
      </c>
      <c r="W14" s="76">
        <f t="shared" si="2"/>
        <v>0</v>
      </c>
      <c r="X14" s="76">
        <v>0</v>
      </c>
      <c r="Y14" s="77">
        <f t="shared" si="3"/>
        <v>0</v>
      </c>
      <c r="Z14" s="76">
        <v>0</v>
      </c>
      <c r="AA14" s="76">
        <f t="shared" si="4"/>
        <v>0</v>
      </c>
      <c r="AB14" s="76">
        <v>3</v>
      </c>
      <c r="AC14" s="97">
        <f t="shared" si="5"/>
        <v>23.5384615384615</v>
      </c>
      <c r="AD14" s="76">
        <v>0</v>
      </c>
      <c r="AE14" s="98">
        <v>7.5</v>
      </c>
      <c r="AF14" s="98">
        <f t="shared" si="24"/>
        <v>5.07692307692308</v>
      </c>
      <c r="AG14" s="98">
        <f t="shared" si="6"/>
        <v>0</v>
      </c>
      <c r="AH14" s="97">
        <f t="shared" si="7"/>
        <v>0.25</v>
      </c>
      <c r="AI14" s="118"/>
      <c r="AJ14" s="114"/>
      <c r="AK14" s="97">
        <v>0</v>
      </c>
      <c r="AL14" s="119"/>
      <c r="AM14" s="97">
        <v>0</v>
      </c>
      <c r="AN14" s="116">
        <f t="shared" si="8"/>
        <v>100.605769230769</v>
      </c>
      <c r="AO14" s="138"/>
      <c r="AP14" s="133">
        <v>204</v>
      </c>
      <c r="AQ14" s="98">
        <v>11.75</v>
      </c>
      <c r="AR14" s="98">
        <f t="shared" si="9"/>
        <v>92.1923076923077</v>
      </c>
      <c r="AS14" s="134">
        <v>3</v>
      </c>
      <c r="AT14" s="97">
        <f t="shared" si="10"/>
        <v>4.41346153846154</v>
      </c>
      <c r="AU14" s="137"/>
      <c r="AV14" s="98">
        <f t="shared" si="11"/>
        <v>0</v>
      </c>
      <c r="AW14" s="148"/>
      <c r="AX14" s="97">
        <f t="shared" si="12"/>
        <v>0</v>
      </c>
      <c r="AY14" s="135"/>
      <c r="AZ14" s="98">
        <f t="shared" si="13"/>
        <v>0</v>
      </c>
      <c r="BA14" s="147"/>
      <c r="BB14" s="97">
        <f t="shared" si="14"/>
        <v>0</v>
      </c>
      <c r="BC14" s="135"/>
      <c r="BD14" s="98">
        <v>7.5</v>
      </c>
      <c r="BE14" s="98">
        <f t="shared" si="25"/>
        <v>5.42307692307692</v>
      </c>
      <c r="BF14" s="98">
        <f t="shared" si="15"/>
        <v>0</v>
      </c>
      <c r="BG14" s="151">
        <f t="shared" si="16"/>
        <v>0.75</v>
      </c>
      <c r="BH14" s="98">
        <f>15/26*(AQ14+R14)</f>
        <v>11.3942307692308</v>
      </c>
      <c r="BI14" s="135"/>
      <c r="BJ14" s="77">
        <v>32.3961538461538</v>
      </c>
      <c r="BK14" s="135"/>
      <c r="BL14" s="150">
        <v>-5.0935</v>
      </c>
      <c r="BM14" s="158">
        <f t="shared" si="23"/>
        <v>254.675</v>
      </c>
      <c r="BN14" s="159">
        <f t="shared" si="17"/>
        <v>148.975730769231</v>
      </c>
      <c r="BO14" s="138"/>
      <c r="BQ14" s="161">
        <f>$BM14*$BQ$5</f>
        <v>1035508.55</v>
      </c>
      <c r="BR14" s="161">
        <f t="shared" si="18"/>
        <v>20710.171</v>
      </c>
      <c r="BS14" s="162">
        <f>BR14/$BQ$5</f>
        <v>5.0935</v>
      </c>
      <c r="BT14" s="163">
        <f t="shared" si="19"/>
        <v>-5.0935</v>
      </c>
    </row>
    <row r="15" s="1" customFormat="1" ht="39" customHeight="1" spans="1:72">
      <c r="A15" s="23">
        <v>10</v>
      </c>
      <c r="B15" s="26" t="s">
        <v>157</v>
      </c>
      <c r="C15" s="26" t="s">
        <v>158</v>
      </c>
      <c r="D15" s="26" t="s">
        <v>159</v>
      </c>
      <c r="E15" s="26" t="s">
        <v>160</v>
      </c>
      <c r="F15" s="26" t="s">
        <v>161</v>
      </c>
      <c r="G15" s="26" t="s">
        <v>162</v>
      </c>
      <c r="H15" s="26" t="s">
        <v>163</v>
      </c>
      <c r="I15" s="54">
        <v>24075020</v>
      </c>
      <c r="J15" s="26" t="s">
        <v>106</v>
      </c>
      <c r="K15" s="26" t="s">
        <v>107</v>
      </c>
      <c r="L15" s="26" t="s">
        <v>164</v>
      </c>
      <c r="M15" s="26" t="s">
        <v>97</v>
      </c>
      <c r="N15" s="55">
        <v>45505</v>
      </c>
      <c r="O15" s="27">
        <v>110715318</v>
      </c>
      <c r="P15" s="52">
        <v>37539</v>
      </c>
      <c r="Q15" s="75">
        <v>204</v>
      </c>
      <c r="R15" s="76">
        <v>11</v>
      </c>
      <c r="S15" s="76">
        <f t="shared" si="0"/>
        <v>86.3076923076923</v>
      </c>
      <c r="T15" s="76">
        <v>1</v>
      </c>
      <c r="U15" s="77">
        <f t="shared" si="1"/>
        <v>1.47115384615385</v>
      </c>
      <c r="V15" s="76">
        <v>0</v>
      </c>
      <c r="W15" s="76">
        <f t="shared" si="2"/>
        <v>0</v>
      </c>
      <c r="X15" s="76">
        <v>0</v>
      </c>
      <c r="Y15" s="77">
        <f t="shared" si="3"/>
        <v>0</v>
      </c>
      <c r="Z15" s="76">
        <v>0</v>
      </c>
      <c r="AA15" s="76">
        <f t="shared" si="4"/>
        <v>0</v>
      </c>
      <c r="AB15" s="76">
        <v>2</v>
      </c>
      <c r="AC15" s="97">
        <f t="shared" si="5"/>
        <v>15.6923076923077</v>
      </c>
      <c r="AD15" s="76">
        <v>0</v>
      </c>
      <c r="AE15" s="98">
        <v>7.5</v>
      </c>
      <c r="AF15" s="98">
        <f t="shared" si="24"/>
        <v>6</v>
      </c>
      <c r="AG15" s="98">
        <f t="shared" si="6"/>
        <v>5</v>
      </c>
      <c r="AH15" s="97">
        <f t="shared" si="7"/>
        <v>0.25</v>
      </c>
      <c r="AI15" s="118"/>
      <c r="AJ15" s="114"/>
      <c r="AK15" s="97">
        <v>0</v>
      </c>
      <c r="AL15" s="119"/>
      <c r="AM15" s="97">
        <v>0</v>
      </c>
      <c r="AN15" s="116">
        <f t="shared" si="8"/>
        <v>122.221153846154</v>
      </c>
      <c r="AO15" s="138"/>
      <c r="AP15" s="133">
        <v>204</v>
      </c>
      <c r="AQ15" s="134">
        <v>13</v>
      </c>
      <c r="AR15" s="98">
        <f t="shared" si="9"/>
        <v>102</v>
      </c>
      <c r="AS15" s="134">
        <v>3</v>
      </c>
      <c r="AT15" s="97">
        <f t="shared" si="10"/>
        <v>4.41346153846154</v>
      </c>
      <c r="AU15" s="137"/>
      <c r="AV15" s="98">
        <f t="shared" si="11"/>
        <v>0</v>
      </c>
      <c r="AW15" s="148"/>
      <c r="AX15" s="97">
        <f t="shared" si="12"/>
        <v>0</v>
      </c>
      <c r="AY15" s="135"/>
      <c r="AZ15" s="98">
        <f t="shared" si="13"/>
        <v>0</v>
      </c>
      <c r="BA15" s="147"/>
      <c r="BB15" s="97">
        <f t="shared" si="14"/>
        <v>0</v>
      </c>
      <c r="BC15" s="135"/>
      <c r="BD15" s="98">
        <v>7.5</v>
      </c>
      <c r="BE15" s="98">
        <f t="shared" si="25"/>
        <v>6</v>
      </c>
      <c r="BF15" s="98">
        <f t="shared" si="15"/>
        <v>5</v>
      </c>
      <c r="BG15" s="151">
        <f t="shared" si="16"/>
        <v>0.75</v>
      </c>
      <c r="BH15" s="98">
        <f>10/26*(AQ15+R15)</f>
        <v>9.23076923076923</v>
      </c>
      <c r="BI15" s="135"/>
      <c r="BJ15" s="77">
        <v>0</v>
      </c>
      <c r="BK15" s="135"/>
      <c r="BL15" s="150">
        <v>-5.1423076923077</v>
      </c>
      <c r="BM15" s="158">
        <f t="shared" si="23"/>
        <v>257.115384615385</v>
      </c>
      <c r="BN15" s="159">
        <f t="shared" si="17"/>
        <v>129.751923076923</v>
      </c>
      <c r="BO15" s="138"/>
      <c r="BQ15" s="161">
        <f>$BM15*$BQ$5</f>
        <v>1045431.15384615</v>
      </c>
      <c r="BR15" s="161">
        <f t="shared" si="18"/>
        <v>20908.6230769231</v>
      </c>
      <c r="BS15" s="162">
        <f>BR15/$BQ$5</f>
        <v>5.14230769230769</v>
      </c>
      <c r="BT15" s="163">
        <f t="shared" si="19"/>
        <v>-5.14230769230769</v>
      </c>
    </row>
    <row r="16" s="1" customFormat="1" ht="39" customHeight="1" spans="1:72">
      <c r="A16" s="23">
        <v>11</v>
      </c>
      <c r="B16" s="26" t="s">
        <v>165</v>
      </c>
      <c r="C16" s="26" t="s">
        <v>166</v>
      </c>
      <c r="D16" s="26" t="s">
        <v>167</v>
      </c>
      <c r="E16" s="26" t="s">
        <v>168</v>
      </c>
      <c r="F16" s="26" t="s">
        <v>169</v>
      </c>
      <c r="G16" s="26" t="s">
        <v>170</v>
      </c>
      <c r="H16" s="26" t="s">
        <v>171</v>
      </c>
      <c r="I16" s="54">
        <v>24085021</v>
      </c>
      <c r="J16" s="26" t="s">
        <v>106</v>
      </c>
      <c r="K16" s="26" t="s">
        <v>107</v>
      </c>
      <c r="L16" s="26" t="s">
        <v>164</v>
      </c>
      <c r="M16" s="26" t="s">
        <v>97</v>
      </c>
      <c r="N16" s="55">
        <v>45505</v>
      </c>
      <c r="O16" s="27">
        <v>130252052</v>
      </c>
      <c r="P16" s="52">
        <v>38857</v>
      </c>
      <c r="Q16" s="75">
        <v>204</v>
      </c>
      <c r="R16" s="76">
        <v>11</v>
      </c>
      <c r="S16" s="76">
        <f t="shared" si="0"/>
        <v>86.3076923076923</v>
      </c>
      <c r="T16" s="76">
        <v>1</v>
      </c>
      <c r="U16" s="77">
        <f t="shared" si="1"/>
        <v>1.47115384615385</v>
      </c>
      <c r="V16" s="76">
        <v>0</v>
      </c>
      <c r="W16" s="76">
        <f t="shared" si="2"/>
        <v>0</v>
      </c>
      <c r="X16" s="76">
        <v>0</v>
      </c>
      <c r="Y16" s="77">
        <f t="shared" si="3"/>
        <v>0</v>
      </c>
      <c r="Z16" s="76">
        <v>0</v>
      </c>
      <c r="AA16" s="76">
        <f t="shared" si="4"/>
        <v>0</v>
      </c>
      <c r="AB16" s="76">
        <v>2</v>
      </c>
      <c r="AC16" s="97">
        <f t="shared" si="5"/>
        <v>15.6923076923077</v>
      </c>
      <c r="AD16" s="76">
        <v>0</v>
      </c>
      <c r="AE16" s="98">
        <v>7.5</v>
      </c>
      <c r="AF16" s="98">
        <f t="shared" si="24"/>
        <v>6</v>
      </c>
      <c r="AG16" s="98">
        <f t="shared" si="6"/>
        <v>5</v>
      </c>
      <c r="AH16" s="97">
        <f t="shared" si="7"/>
        <v>0.25</v>
      </c>
      <c r="AI16" s="118"/>
      <c r="AJ16" s="114"/>
      <c r="AK16" s="97">
        <v>0</v>
      </c>
      <c r="AL16" s="119"/>
      <c r="AM16" s="97">
        <v>0</v>
      </c>
      <c r="AN16" s="116">
        <f t="shared" si="8"/>
        <v>122.221153846154</v>
      </c>
      <c r="AO16" s="138"/>
      <c r="AP16" s="133">
        <v>204</v>
      </c>
      <c r="AQ16" s="134">
        <v>13</v>
      </c>
      <c r="AR16" s="98">
        <f t="shared" si="9"/>
        <v>102</v>
      </c>
      <c r="AS16" s="134">
        <v>3</v>
      </c>
      <c r="AT16" s="97">
        <f t="shared" si="10"/>
        <v>4.41346153846154</v>
      </c>
      <c r="AU16" s="137"/>
      <c r="AV16" s="98">
        <f t="shared" si="11"/>
        <v>0</v>
      </c>
      <c r="AW16" s="148"/>
      <c r="AX16" s="97">
        <f t="shared" si="12"/>
        <v>0</v>
      </c>
      <c r="AY16" s="135"/>
      <c r="AZ16" s="98">
        <f t="shared" si="13"/>
        <v>0</v>
      </c>
      <c r="BA16" s="147"/>
      <c r="BB16" s="97">
        <f t="shared" si="14"/>
        <v>0</v>
      </c>
      <c r="BC16" s="135"/>
      <c r="BD16" s="98">
        <v>7.5</v>
      </c>
      <c r="BE16" s="98">
        <f t="shared" si="25"/>
        <v>6</v>
      </c>
      <c r="BF16" s="98">
        <f t="shared" si="15"/>
        <v>5</v>
      </c>
      <c r="BG16" s="151">
        <f t="shared" si="16"/>
        <v>0.75</v>
      </c>
      <c r="BH16" s="98">
        <f>10/26*(AQ16+R16)</f>
        <v>9.23076923076923</v>
      </c>
      <c r="BI16" s="135"/>
      <c r="BJ16" s="77">
        <v>0</v>
      </c>
      <c r="BK16" s="135"/>
      <c r="BL16" s="150">
        <v>-5.1423076923077</v>
      </c>
      <c r="BM16" s="158">
        <f t="shared" si="23"/>
        <v>257.115384615385</v>
      </c>
      <c r="BN16" s="159">
        <f t="shared" si="17"/>
        <v>129.751923076923</v>
      </c>
      <c r="BO16" s="138"/>
      <c r="BQ16" s="161">
        <f>$BM16*$BQ$5</f>
        <v>1045431.15384615</v>
      </c>
      <c r="BR16" s="161">
        <f t="shared" si="18"/>
        <v>20908.6230769231</v>
      </c>
      <c r="BS16" s="162">
        <f>BR16/$BQ$5</f>
        <v>5.14230769230769</v>
      </c>
      <c r="BT16" s="163">
        <f t="shared" si="19"/>
        <v>-5.14230769230769</v>
      </c>
    </row>
    <row r="17" s="1" customFormat="1" ht="39" customHeight="1" spans="1:72">
      <c r="A17" s="23">
        <v>12</v>
      </c>
      <c r="B17" s="26" t="s">
        <v>172</v>
      </c>
      <c r="C17" s="26" t="s">
        <v>173</v>
      </c>
      <c r="D17" s="26" t="s">
        <v>174</v>
      </c>
      <c r="E17" s="26" t="s">
        <v>175</v>
      </c>
      <c r="F17" s="26" t="s">
        <v>176</v>
      </c>
      <c r="G17" s="26" t="s">
        <v>177</v>
      </c>
      <c r="H17" s="26" t="s">
        <v>209</v>
      </c>
      <c r="I17" s="54">
        <v>24115023</v>
      </c>
      <c r="J17" s="26" t="s">
        <v>106</v>
      </c>
      <c r="K17" s="26" t="s">
        <v>107</v>
      </c>
      <c r="L17" s="26" t="s">
        <v>164</v>
      </c>
      <c r="M17" s="26" t="s">
        <v>97</v>
      </c>
      <c r="N17" s="55">
        <v>45607</v>
      </c>
      <c r="O17" s="27">
        <v>130228415</v>
      </c>
      <c r="P17" s="52">
        <v>36566</v>
      </c>
      <c r="Q17" s="75">
        <v>204</v>
      </c>
      <c r="R17" s="76">
        <v>5</v>
      </c>
      <c r="S17" s="76">
        <f t="shared" si="0"/>
        <v>39.2307692307692</v>
      </c>
      <c r="T17" s="76">
        <v>0</v>
      </c>
      <c r="U17" s="77">
        <f t="shared" si="1"/>
        <v>0</v>
      </c>
      <c r="V17" s="76">
        <v>0</v>
      </c>
      <c r="W17" s="76">
        <f t="shared" si="2"/>
        <v>0</v>
      </c>
      <c r="X17" s="76">
        <v>0</v>
      </c>
      <c r="Y17" s="77">
        <f t="shared" si="3"/>
        <v>0</v>
      </c>
      <c r="Z17" s="76">
        <v>0</v>
      </c>
      <c r="AA17" s="76">
        <f t="shared" si="4"/>
        <v>0</v>
      </c>
      <c r="AB17" s="76">
        <v>0</v>
      </c>
      <c r="AC17" s="97">
        <f t="shared" si="5"/>
        <v>0</v>
      </c>
      <c r="AD17" s="76">
        <v>0</v>
      </c>
      <c r="AE17" s="98">
        <v>7.5</v>
      </c>
      <c r="AF17" s="98">
        <f t="shared" si="24"/>
        <v>2.30769230769231</v>
      </c>
      <c r="AG17" s="98">
        <f t="shared" si="6"/>
        <v>0</v>
      </c>
      <c r="AH17" s="97">
        <f t="shared" si="7"/>
        <v>0</v>
      </c>
      <c r="AI17" s="118"/>
      <c r="AJ17" s="114"/>
      <c r="AK17" s="97">
        <v>0</v>
      </c>
      <c r="AL17" s="119"/>
      <c r="AM17" s="97">
        <v>0</v>
      </c>
      <c r="AN17" s="116">
        <f t="shared" si="8"/>
        <v>49.0384615384615</v>
      </c>
      <c r="AO17" s="138"/>
      <c r="AP17" s="133">
        <v>204</v>
      </c>
      <c r="AQ17" s="140">
        <v>12.5</v>
      </c>
      <c r="AR17" s="98">
        <f t="shared" si="9"/>
        <v>98.0769230769231</v>
      </c>
      <c r="AS17" s="134">
        <v>3</v>
      </c>
      <c r="AT17" s="97">
        <f t="shared" si="10"/>
        <v>4.41346153846154</v>
      </c>
      <c r="AU17" s="137"/>
      <c r="AV17" s="98">
        <f t="shared" si="11"/>
        <v>0</v>
      </c>
      <c r="AW17" s="148"/>
      <c r="AX17" s="97">
        <f t="shared" si="12"/>
        <v>0</v>
      </c>
      <c r="AY17" s="135"/>
      <c r="AZ17" s="98">
        <f t="shared" si="13"/>
        <v>0</v>
      </c>
      <c r="BA17" s="147"/>
      <c r="BB17" s="97">
        <f t="shared" si="14"/>
        <v>0</v>
      </c>
      <c r="BC17" s="135"/>
      <c r="BD17" s="98">
        <v>7.5</v>
      </c>
      <c r="BE17" s="98">
        <f t="shared" si="25"/>
        <v>5.76923076923077</v>
      </c>
      <c r="BF17" s="98">
        <f t="shared" si="15"/>
        <v>0</v>
      </c>
      <c r="BG17" s="151">
        <f t="shared" si="16"/>
        <v>0.75</v>
      </c>
      <c r="BH17" s="98"/>
      <c r="BI17" s="135"/>
      <c r="BJ17" s="77">
        <v>0</v>
      </c>
      <c r="BK17" s="135"/>
      <c r="BL17" s="150">
        <v>-3.31096153846154</v>
      </c>
      <c r="BM17" s="158">
        <f t="shared" si="23"/>
        <v>165.548076923077</v>
      </c>
      <c r="BN17" s="159">
        <f t="shared" si="17"/>
        <v>113.198653846154</v>
      </c>
      <c r="BO17" s="138"/>
      <c r="BQ17" s="161">
        <f>$BM17*$BQ$5</f>
        <v>673118.480769231</v>
      </c>
      <c r="BR17" s="161">
        <f t="shared" si="18"/>
        <v>13462.3696153846</v>
      </c>
      <c r="BS17" s="162">
        <f>BR17/$BQ$5</f>
        <v>3.31096153846154</v>
      </c>
      <c r="BT17" s="163">
        <f t="shared" si="19"/>
        <v>-3.31096153846154</v>
      </c>
    </row>
    <row r="18" s="1" customFormat="1" ht="39" customHeight="1" spans="1:72">
      <c r="A18" s="23">
        <v>13</v>
      </c>
      <c r="B18" s="26" t="s">
        <v>178</v>
      </c>
      <c r="C18" s="26" t="s">
        <v>179</v>
      </c>
      <c r="D18" s="26" t="s">
        <v>180</v>
      </c>
      <c r="E18" s="26" t="s">
        <v>181</v>
      </c>
      <c r="F18" s="26" t="s">
        <v>182</v>
      </c>
      <c r="G18" s="26" t="s">
        <v>183</v>
      </c>
      <c r="H18" s="26" t="s">
        <v>184</v>
      </c>
      <c r="I18" s="54">
        <v>24115024</v>
      </c>
      <c r="J18" s="26" t="s">
        <v>106</v>
      </c>
      <c r="K18" s="26" t="s">
        <v>185</v>
      </c>
      <c r="L18" s="26" t="s">
        <v>164</v>
      </c>
      <c r="M18" s="26" t="s">
        <v>97</v>
      </c>
      <c r="N18" s="55">
        <v>45607</v>
      </c>
      <c r="O18" s="27" t="s">
        <v>186</v>
      </c>
      <c r="P18" s="52">
        <v>36165</v>
      </c>
      <c r="Q18" s="75">
        <v>204</v>
      </c>
      <c r="R18" s="76">
        <v>5</v>
      </c>
      <c r="S18" s="76">
        <f t="shared" si="0"/>
        <v>39.2307692307692</v>
      </c>
      <c r="T18" s="76">
        <v>0</v>
      </c>
      <c r="U18" s="77">
        <f t="shared" si="1"/>
        <v>0</v>
      </c>
      <c r="V18" s="76">
        <v>0</v>
      </c>
      <c r="W18" s="76">
        <f t="shared" si="2"/>
        <v>0</v>
      </c>
      <c r="X18" s="76">
        <v>0</v>
      </c>
      <c r="Y18" s="77">
        <f t="shared" si="3"/>
        <v>0</v>
      </c>
      <c r="Z18" s="76">
        <v>0</v>
      </c>
      <c r="AA18" s="76">
        <f t="shared" si="4"/>
        <v>0</v>
      </c>
      <c r="AB18" s="76">
        <v>0</v>
      </c>
      <c r="AC18" s="97">
        <f t="shared" si="5"/>
        <v>0</v>
      </c>
      <c r="AD18" s="76">
        <v>0</v>
      </c>
      <c r="AE18" s="98">
        <v>7.5</v>
      </c>
      <c r="AF18" s="98">
        <f t="shared" si="24"/>
        <v>2.30769230769231</v>
      </c>
      <c r="AG18" s="98">
        <f t="shared" si="6"/>
        <v>0</v>
      </c>
      <c r="AH18" s="97">
        <f t="shared" si="7"/>
        <v>0</v>
      </c>
      <c r="AI18" s="118"/>
      <c r="AJ18" s="114"/>
      <c r="AK18" s="97">
        <v>0</v>
      </c>
      <c r="AL18" s="119"/>
      <c r="AM18" s="97">
        <v>0</v>
      </c>
      <c r="AN18" s="116">
        <f t="shared" si="8"/>
        <v>49.0384615384615</v>
      </c>
      <c r="AO18" s="138"/>
      <c r="AP18" s="133">
        <v>204</v>
      </c>
      <c r="AQ18" s="134">
        <v>12</v>
      </c>
      <c r="AR18" s="98">
        <f t="shared" si="9"/>
        <v>94.1538461538461</v>
      </c>
      <c r="AS18" s="134">
        <v>2</v>
      </c>
      <c r="AT18" s="97">
        <f t="shared" si="10"/>
        <v>2.94230769230769</v>
      </c>
      <c r="AU18" s="137"/>
      <c r="AV18" s="98">
        <f t="shared" si="11"/>
        <v>0</v>
      </c>
      <c r="AW18" s="148"/>
      <c r="AX18" s="97">
        <f t="shared" si="12"/>
        <v>0</v>
      </c>
      <c r="AY18" s="135"/>
      <c r="AZ18" s="98">
        <f t="shared" si="13"/>
        <v>0</v>
      </c>
      <c r="BA18" s="147"/>
      <c r="BB18" s="97">
        <f t="shared" si="14"/>
        <v>0</v>
      </c>
      <c r="BC18" s="135"/>
      <c r="BD18" s="98">
        <v>7.5</v>
      </c>
      <c r="BE18" s="98">
        <f t="shared" si="25"/>
        <v>5.53846153846154</v>
      </c>
      <c r="BF18" s="98">
        <f t="shared" si="15"/>
        <v>0</v>
      </c>
      <c r="BG18" s="151">
        <f t="shared" si="16"/>
        <v>0.5</v>
      </c>
      <c r="BH18" s="98"/>
      <c r="BI18" s="135"/>
      <c r="BJ18" s="77">
        <v>0</v>
      </c>
      <c r="BK18" s="135"/>
      <c r="BL18" s="150">
        <v>-3.19346153846154</v>
      </c>
      <c r="BM18" s="158">
        <f t="shared" si="23"/>
        <v>159.673076923077</v>
      </c>
      <c r="BN18" s="159">
        <f t="shared" si="17"/>
        <v>107.441153846154</v>
      </c>
      <c r="BO18" s="138"/>
      <c r="BQ18" s="161"/>
      <c r="BR18" s="161"/>
      <c r="BS18" s="162"/>
      <c r="BT18" s="163"/>
    </row>
    <row r="19" s="1" customFormat="1" ht="39" customHeight="1" spans="1:72">
      <c r="A19" s="23">
        <v>14</v>
      </c>
      <c r="B19" s="26" t="s">
        <v>187</v>
      </c>
      <c r="C19" s="26" t="s">
        <v>188</v>
      </c>
      <c r="D19" s="26" t="s">
        <v>189</v>
      </c>
      <c r="E19" s="26" t="s">
        <v>190</v>
      </c>
      <c r="F19" s="26" t="s">
        <v>191</v>
      </c>
      <c r="G19" s="26" t="s">
        <v>192</v>
      </c>
      <c r="H19" s="26" t="s">
        <v>193</v>
      </c>
      <c r="I19" s="54">
        <v>24097001</v>
      </c>
      <c r="J19" s="26" t="s">
        <v>106</v>
      </c>
      <c r="K19" s="26" t="s">
        <v>194</v>
      </c>
      <c r="L19" s="26" t="s">
        <v>164</v>
      </c>
      <c r="M19" s="26" t="s">
        <v>97</v>
      </c>
      <c r="N19" s="55">
        <v>45561</v>
      </c>
      <c r="O19" s="27">
        <v>130156771</v>
      </c>
      <c r="P19" s="52">
        <v>33187</v>
      </c>
      <c r="Q19" s="75">
        <v>204</v>
      </c>
      <c r="R19" s="76">
        <v>9.875</v>
      </c>
      <c r="S19" s="76">
        <f t="shared" si="0"/>
        <v>77.4807692307692</v>
      </c>
      <c r="T19" s="76">
        <v>1</v>
      </c>
      <c r="U19" s="77">
        <f t="shared" si="1"/>
        <v>1.47115384615385</v>
      </c>
      <c r="V19" s="76">
        <v>0</v>
      </c>
      <c r="W19" s="76">
        <f t="shared" si="2"/>
        <v>0</v>
      </c>
      <c r="X19" s="76">
        <v>0</v>
      </c>
      <c r="Y19" s="77">
        <f t="shared" si="3"/>
        <v>0</v>
      </c>
      <c r="Z19" s="76">
        <v>0</v>
      </c>
      <c r="AA19" s="76">
        <f t="shared" si="4"/>
        <v>0</v>
      </c>
      <c r="AB19" s="76">
        <v>2</v>
      </c>
      <c r="AC19" s="97">
        <f t="shared" si="5"/>
        <v>15.6923076923077</v>
      </c>
      <c r="AD19" s="76">
        <v>0</v>
      </c>
      <c r="AE19" s="98">
        <v>7.5</v>
      </c>
      <c r="AF19" s="98">
        <f t="shared" si="24"/>
        <v>5.48076923076923</v>
      </c>
      <c r="AG19" s="98">
        <f t="shared" si="6"/>
        <v>0</v>
      </c>
      <c r="AH19" s="97">
        <f t="shared" si="7"/>
        <v>0.25</v>
      </c>
      <c r="AI19" s="118"/>
      <c r="AJ19" s="114"/>
      <c r="AK19" s="97">
        <v>0</v>
      </c>
      <c r="AL19" s="119"/>
      <c r="AM19" s="97">
        <v>0</v>
      </c>
      <c r="AN19" s="116">
        <f t="shared" si="8"/>
        <v>107.875</v>
      </c>
      <c r="AO19" s="138"/>
      <c r="AP19" s="133">
        <v>204</v>
      </c>
      <c r="AQ19" s="140">
        <v>12.5</v>
      </c>
      <c r="AR19" s="98">
        <f t="shared" si="9"/>
        <v>98.0769230769231</v>
      </c>
      <c r="AS19" s="140">
        <v>4.5</v>
      </c>
      <c r="AT19" s="97">
        <f t="shared" si="10"/>
        <v>6.62019230769231</v>
      </c>
      <c r="AU19" s="137"/>
      <c r="AV19" s="98">
        <f t="shared" si="11"/>
        <v>0</v>
      </c>
      <c r="AW19" s="148"/>
      <c r="AX19" s="97">
        <f t="shared" si="12"/>
        <v>0</v>
      </c>
      <c r="AY19" s="135"/>
      <c r="AZ19" s="98">
        <f t="shared" si="13"/>
        <v>0</v>
      </c>
      <c r="BA19" s="147"/>
      <c r="BB19" s="97">
        <f t="shared" si="14"/>
        <v>0</v>
      </c>
      <c r="BC19" s="135"/>
      <c r="BD19" s="98">
        <v>7.5</v>
      </c>
      <c r="BE19" s="98">
        <f>6/13*(AQ19+AU19+BA19)</f>
        <v>5.76923076923077</v>
      </c>
      <c r="BF19" s="98">
        <f t="shared" si="15"/>
        <v>0</v>
      </c>
      <c r="BG19" s="151">
        <f t="shared" si="16"/>
        <v>1.125</v>
      </c>
      <c r="BH19" s="98"/>
      <c r="BI19" s="135"/>
      <c r="BJ19" s="77">
        <v>0</v>
      </c>
      <c r="BK19" s="135"/>
      <c r="BL19" s="150">
        <v>-4.53932692307692</v>
      </c>
      <c r="BM19" s="158">
        <f t="shared" si="23"/>
        <v>226.966346153846</v>
      </c>
      <c r="BN19" s="159">
        <f t="shared" si="17"/>
        <v>114.552019230769</v>
      </c>
      <c r="BO19" s="138"/>
      <c r="BQ19" s="161"/>
      <c r="BR19" s="161"/>
      <c r="BS19" s="162"/>
      <c r="BT19" s="163"/>
    </row>
    <row r="20" s="1" customFormat="1" ht="39" customHeight="1" spans="1:72">
      <c r="A20" s="23">
        <v>15</v>
      </c>
      <c r="B20" s="26" t="s">
        <v>195</v>
      </c>
      <c r="C20" s="26" t="s">
        <v>196</v>
      </c>
      <c r="D20" s="26" t="s">
        <v>197</v>
      </c>
      <c r="E20" s="26" t="s">
        <v>198</v>
      </c>
      <c r="F20" s="26" t="s">
        <v>199</v>
      </c>
      <c r="G20" s="26" t="s">
        <v>200</v>
      </c>
      <c r="H20" s="26" t="s">
        <v>201</v>
      </c>
      <c r="I20" s="54">
        <v>24117002</v>
      </c>
      <c r="J20" s="26" t="s">
        <v>202</v>
      </c>
      <c r="K20" s="26" t="s">
        <v>203</v>
      </c>
      <c r="L20" s="26" t="s">
        <v>164</v>
      </c>
      <c r="M20" s="26" t="s">
        <v>97</v>
      </c>
      <c r="N20" s="55">
        <v>45607</v>
      </c>
      <c r="O20" s="27">
        <v>110495054</v>
      </c>
      <c r="P20" s="52" t="s">
        <v>204</v>
      </c>
      <c r="Q20" s="75">
        <v>204</v>
      </c>
      <c r="R20" s="76">
        <v>5</v>
      </c>
      <c r="S20" s="76">
        <f t="shared" si="0"/>
        <v>39.2307692307692</v>
      </c>
      <c r="T20" s="76">
        <v>0</v>
      </c>
      <c r="U20" s="77">
        <f t="shared" si="1"/>
        <v>0</v>
      </c>
      <c r="V20" s="76">
        <v>0</v>
      </c>
      <c r="W20" s="76">
        <f t="shared" si="2"/>
        <v>0</v>
      </c>
      <c r="X20" s="76">
        <v>0</v>
      </c>
      <c r="Y20" s="77">
        <f t="shared" si="3"/>
        <v>0</v>
      </c>
      <c r="Z20" s="76">
        <v>0</v>
      </c>
      <c r="AA20" s="76">
        <f t="shared" si="4"/>
        <v>0</v>
      </c>
      <c r="AB20" s="76">
        <v>0</v>
      </c>
      <c r="AC20" s="97">
        <f t="shared" si="5"/>
        <v>0</v>
      </c>
      <c r="AD20" s="76">
        <v>0</v>
      </c>
      <c r="AE20" s="98">
        <v>7.5</v>
      </c>
      <c r="AF20" s="98">
        <f t="shared" si="24"/>
        <v>2.30769230769231</v>
      </c>
      <c r="AG20" s="98">
        <f t="shared" si="6"/>
        <v>0</v>
      </c>
      <c r="AH20" s="97">
        <f t="shared" si="7"/>
        <v>0</v>
      </c>
      <c r="AI20" s="118"/>
      <c r="AJ20" s="114"/>
      <c r="AK20" s="97">
        <v>0</v>
      </c>
      <c r="AL20" s="119"/>
      <c r="AM20" s="97">
        <v>0</v>
      </c>
      <c r="AN20" s="116">
        <f t="shared" si="8"/>
        <v>49.0384615384615</v>
      </c>
      <c r="AO20" s="138"/>
      <c r="AP20" s="133">
        <v>204</v>
      </c>
      <c r="AQ20" s="134">
        <v>13</v>
      </c>
      <c r="AR20" s="98">
        <f t="shared" si="9"/>
        <v>102</v>
      </c>
      <c r="AS20" s="134">
        <v>3</v>
      </c>
      <c r="AT20" s="97">
        <f t="shared" si="10"/>
        <v>4.41346153846154</v>
      </c>
      <c r="AU20" s="137"/>
      <c r="AV20" s="98">
        <f t="shared" si="11"/>
        <v>0</v>
      </c>
      <c r="AW20" s="148"/>
      <c r="AX20" s="97">
        <f t="shared" si="12"/>
        <v>0</v>
      </c>
      <c r="AY20" s="135"/>
      <c r="AZ20" s="98">
        <f t="shared" si="13"/>
        <v>0</v>
      </c>
      <c r="BA20" s="147"/>
      <c r="BB20" s="97">
        <f t="shared" si="14"/>
        <v>0</v>
      </c>
      <c r="BC20" s="135"/>
      <c r="BD20" s="98">
        <v>7.5</v>
      </c>
      <c r="BE20" s="99">
        <f>19/13*(AQ20+AU20+BA20+AY20)</f>
        <v>19</v>
      </c>
      <c r="BF20" s="98">
        <f t="shared" si="15"/>
        <v>5</v>
      </c>
      <c r="BG20" s="151">
        <f t="shared" si="16"/>
        <v>0.75</v>
      </c>
      <c r="BH20" s="99">
        <f>143/26*(AQ20+R20)</f>
        <v>99</v>
      </c>
      <c r="BI20" s="135"/>
      <c r="BJ20" s="77">
        <v>0</v>
      </c>
      <c r="BK20" s="135"/>
      <c r="BL20" s="150">
        <v>-5.73403846153846</v>
      </c>
      <c r="BM20" s="158">
        <f t="shared" si="23"/>
        <v>286.701923076923</v>
      </c>
      <c r="BN20" s="159">
        <f t="shared" si="17"/>
        <v>231.929423076923</v>
      </c>
      <c r="BO20" s="138"/>
      <c r="BQ20" s="161"/>
      <c r="BR20" s="161"/>
      <c r="BS20" s="162"/>
      <c r="BT20" s="163"/>
    </row>
    <row r="21" customFormat="1" ht="39" customHeight="1" spans="1:72">
      <c r="A21" s="23">
        <v>13</v>
      </c>
      <c r="B21" s="29" t="s">
        <v>210</v>
      </c>
      <c r="C21" s="29"/>
      <c r="D21" s="29"/>
      <c r="E21" s="29"/>
      <c r="F21" s="29"/>
      <c r="G21" s="29"/>
      <c r="H21" s="29" t="s">
        <v>211</v>
      </c>
      <c r="I21" s="43" t="s">
        <v>212</v>
      </c>
      <c r="J21" s="56"/>
      <c r="K21" s="56"/>
      <c r="L21" s="56"/>
      <c r="M21" s="56"/>
      <c r="N21" s="57">
        <v>45352</v>
      </c>
      <c r="O21" s="58"/>
      <c r="P21" s="57"/>
      <c r="Q21" s="78"/>
      <c r="R21" s="79"/>
      <c r="S21" s="80"/>
      <c r="T21" s="79"/>
      <c r="U21" s="81"/>
      <c r="V21" s="82"/>
      <c r="W21" s="80"/>
      <c r="X21" s="83"/>
      <c r="Y21" s="81"/>
      <c r="Z21" s="78"/>
      <c r="AA21" s="80"/>
      <c r="AB21" s="100"/>
      <c r="AC21" s="101"/>
      <c r="AD21" s="100"/>
      <c r="AE21" s="79"/>
      <c r="AF21" s="102"/>
      <c r="AG21" s="121"/>
      <c r="AH21" s="100"/>
      <c r="AI21" s="121"/>
      <c r="AJ21" s="100"/>
      <c r="AK21" s="122"/>
      <c r="AL21" s="123"/>
      <c r="AM21" s="124"/>
      <c r="AN21" s="116"/>
      <c r="AO21" s="138"/>
      <c r="AP21" s="78">
        <v>204</v>
      </c>
      <c r="AQ21" s="79">
        <v>13</v>
      </c>
      <c r="AR21" s="80">
        <f>AP21/26*AQ21</f>
        <v>102</v>
      </c>
      <c r="AS21" s="79"/>
      <c r="AT21" s="81">
        <f>AP21/26/8*1.5*AS21</f>
        <v>0</v>
      </c>
      <c r="AU21" s="82"/>
      <c r="AV21" s="80">
        <f>AP21/26*AU21*1.3</f>
        <v>0</v>
      </c>
      <c r="AW21" s="83"/>
      <c r="AX21" s="81">
        <f>AP21/26/8*2*AW21</f>
        <v>0</v>
      </c>
      <c r="AY21" s="78"/>
      <c r="AZ21" s="80">
        <f>AP21/26*AY21*0.5</f>
        <v>0</v>
      </c>
      <c r="BA21" s="100"/>
      <c r="BB21" s="101">
        <f>AP21/26*BA21</f>
        <v>0</v>
      </c>
      <c r="BC21" s="100"/>
      <c r="BD21" s="79">
        <v>7.5</v>
      </c>
      <c r="BE21" s="102">
        <f t="shared" ref="BE21:BE24" si="26">6/13*(AQ21+AU21+BA21+AY21)</f>
        <v>6</v>
      </c>
      <c r="BF21" s="121">
        <f>IF(AQ21+AU21+AY21+BA21&gt;=12.75,5/13*AQ21+5/13*BA21,0)</f>
        <v>5</v>
      </c>
      <c r="BG21" s="100">
        <v>0</v>
      </c>
      <c r="BH21" s="121">
        <v>1079.5</v>
      </c>
      <c r="BI21" s="100"/>
      <c r="BJ21" s="122"/>
      <c r="BK21" s="123"/>
      <c r="BL21" s="124"/>
      <c r="BM21" s="158">
        <f t="shared" ref="BM21:BM24" si="27">AR21+AT21+AV21+AX21+AZ21+SUM(BB21:BL21)</f>
        <v>1200</v>
      </c>
      <c r="BN21" s="159"/>
      <c r="BO21" s="138"/>
      <c r="BQ21" s="161"/>
      <c r="BR21" s="161"/>
      <c r="BS21" s="162"/>
      <c r="BT21" s="163"/>
    </row>
    <row r="22" customFormat="1" ht="39" customHeight="1" spans="1:72">
      <c r="A22" s="23">
        <v>14</v>
      </c>
      <c r="B22" s="29" t="s">
        <v>213</v>
      </c>
      <c r="C22" s="29"/>
      <c r="D22" s="29"/>
      <c r="E22" s="29"/>
      <c r="F22" s="29"/>
      <c r="G22" s="29"/>
      <c r="H22" s="29" t="s">
        <v>214</v>
      </c>
      <c r="I22" s="43" t="s">
        <v>215</v>
      </c>
      <c r="J22" s="56"/>
      <c r="K22" s="56"/>
      <c r="L22" s="56"/>
      <c r="M22" s="56"/>
      <c r="N22" s="57">
        <v>45352</v>
      </c>
      <c r="O22" s="58"/>
      <c r="P22" s="57"/>
      <c r="Q22" s="78"/>
      <c r="R22" s="79"/>
      <c r="S22" s="80"/>
      <c r="T22" s="79"/>
      <c r="U22" s="81"/>
      <c r="V22" s="82"/>
      <c r="W22" s="80"/>
      <c r="X22" s="83"/>
      <c r="Y22" s="81"/>
      <c r="Z22" s="78"/>
      <c r="AA22" s="80"/>
      <c r="AB22" s="100"/>
      <c r="AC22" s="101"/>
      <c r="AD22" s="100"/>
      <c r="AE22" s="79"/>
      <c r="AF22" s="102"/>
      <c r="AG22" s="121"/>
      <c r="AH22" s="100"/>
      <c r="AI22" s="121"/>
      <c r="AJ22" s="100"/>
      <c r="AK22" s="122"/>
      <c r="AL22" s="123"/>
      <c r="AM22" s="124"/>
      <c r="AN22" s="116"/>
      <c r="AO22" s="138"/>
      <c r="AP22" s="78">
        <v>204</v>
      </c>
      <c r="AQ22" s="79">
        <v>13</v>
      </c>
      <c r="AR22" s="80">
        <f>AP22/26*AQ22</f>
        <v>102</v>
      </c>
      <c r="AS22" s="79"/>
      <c r="AT22" s="81">
        <f>AP22/26/8*1.5*AS22</f>
        <v>0</v>
      </c>
      <c r="AU22" s="82"/>
      <c r="AV22" s="80">
        <f>AP22/26*AU22*1.3</f>
        <v>0</v>
      </c>
      <c r="AW22" s="83"/>
      <c r="AX22" s="81">
        <f>AP22/26/8*2*AW22</f>
        <v>0</v>
      </c>
      <c r="AY22" s="78"/>
      <c r="AZ22" s="80">
        <f>AP22/26*AY22*0.5</f>
        <v>0</v>
      </c>
      <c r="BA22" s="100"/>
      <c r="BB22" s="101">
        <f>AP22/26*BA22</f>
        <v>0</v>
      </c>
      <c r="BC22" s="100"/>
      <c r="BD22" s="79">
        <v>7.5</v>
      </c>
      <c r="BE22" s="102">
        <f t="shared" si="26"/>
        <v>6</v>
      </c>
      <c r="BF22" s="121">
        <f>IF(AQ22+AU22+AY22+BA22&gt;=12.75,5/13*AQ22+5/13*BA22,0)</f>
        <v>5</v>
      </c>
      <c r="BG22" s="100">
        <f t="shared" ref="BG22:BG24" si="28">(AS22+AW22)/2*0.5</f>
        <v>0</v>
      </c>
      <c r="BH22" s="121">
        <v>1079.5</v>
      </c>
      <c r="BI22" s="100"/>
      <c r="BJ22" s="122"/>
      <c r="BK22" s="123"/>
      <c r="BL22" s="124"/>
      <c r="BM22" s="158">
        <f t="shared" si="27"/>
        <v>1200</v>
      </c>
      <c r="BN22" s="159"/>
      <c r="BO22" s="138"/>
      <c r="BQ22" s="161"/>
      <c r="BR22" s="161"/>
      <c r="BS22" s="162"/>
      <c r="BT22" s="163"/>
    </row>
    <row r="23" customFormat="1" ht="39" customHeight="1" spans="1:72">
      <c r="A23" s="23">
        <v>15</v>
      </c>
      <c r="B23" s="29" t="s">
        <v>216</v>
      </c>
      <c r="C23" s="29"/>
      <c r="D23" s="29"/>
      <c r="E23" s="29"/>
      <c r="F23" s="29"/>
      <c r="G23" s="29"/>
      <c r="H23" s="29" t="s">
        <v>217</v>
      </c>
      <c r="I23" s="43" t="s">
        <v>218</v>
      </c>
      <c r="J23" s="56"/>
      <c r="K23" s="56"/>
      <c r="L23" s="56"/>
      <c r="M23" s="56"/>
      <c r="N23" s="57">
        <v>45352</v>
      </c>
      <c r="O23" s="58"/>
      <c r="P23" s="57"/>
      <c r="Q23" s="78"/>
      <c r="R23" s="79"/>
      <c r="S23" s="80"/>
      <c r="T23" s="79"/>
      <c r="U23" s="81"/>
      <c r="V23" s="82"/>
      <c r="W23" s="80"/>
      <c r="X23" s="83"/>
      <c r="Y23" s="81"/>
      <c r="Z23" s="78"/>
      <c r="AA23" s="80"/>
      <c r="AB23" s="100"/>
      <c r="AC23" s="101"/>
      <c r="AD23" s="100"/>
      <c r="AE23" s="79"/>
      <c r="AF23" s="102"/>
      <c r="AG23" s="121"/>
      <c r="AH23" s="100"/>
      <c r="AI23" s="121"/>
      <c r="AJ23" s="100"/>
      <c r="AK23" s="122"/>
      <c r="AL23" s="123"/>
      <c r="AM23" s="124"/>
      <c r="AN23" s="116"/>
      <c r="AO23" s="138"/>
      <c r="AP23" s="78">
        <v>204</v>
      </c>
      <c r="AQ23" s="79">
        <v>13</v>
      </c>
      <c r="AR23" s="80">
        <f>AP23/26*AQ23</f>
        <v>102</v>
      </c>
      <c r="AS23" s="79"/>
      <c r="AT23" s="81">
        <f>AP23/26/8*1.5*AS23</f>
        <v>0</v>
      </c>
      <c r="AU23" s="82"/>
      <c r="AV23" s="80">
        <f>AP23/26*AU23*1.3</f>
        <v>0</v>
      </c>
      <c r="AW23" s="83"/>
      <c r="AX23" s="81">
        <f>AP23/26/8*2*AW23</f>
        <v>0</v>
      </c>
      <c r="AY23" s="78"/>
      <c r="AZ23" s="80">
        <f>AP23/26*AY23*0.5</f>
        <v>0</v>
      </c>
      <c r="BA23" s="100"/>
      <c r="BB23" s="101">
        <f>AP23/26*BA23</f>
        <v>0</v>
      </c>
      <c r="BC23" s="100"/>
      <c r="BD23" s="79">
        <v>7.5</v>
      </c>
      <c r="BE23" s="102">
        <f t="shared" si="26"/>
        <v>6</v>
      </c>
      <c r="BF23" s="121">
        <f>IF(AQ23+AU23+AY23+BA23&gt;=12.75,5/13*AQ23+5/13*BA23,0)</f>
        <v>5</v>
      </c>
      <c r="BG23" s="100">
        <f t="shared" si="28"/>
        <v>0</v>
      </c>
      <c r="BH23" s="121">
        <v>1379.5</v>
      </c>
      <c r="BI23" s="100"/>
      <c r="BJ23" s="122"/>
      <c r="BK23" s="123"/>
      <c r="BL23" s="124"/>
      <c r="BM23" s="158">
        <f t="shared" si="27"/>
        <v>1500</v>
      </c>
      <c r="BN23" s="159"/>
      <c r="BO23" s="138"/>
      <c r="BQ23" s="161"/>
      <c r="BR23" s="161"/>
      <c r="BS23" s="162"/>
      <c r="BT23" s="163"/>
    </row>
    <row r="24" s="1" customFormat="1" ht="39" customHeight="1" spans="1:72">
      <c r="A24" s="23">
        <v>16</v>
      </c>
      <c r="B24" s="29" t="s">
        <v>219</v>
      </c>
      <c r="C24" s="29"/>
      <c r="D24" s="29"/>
      <c r="E24" s="29"/>
      <c r="F24" s="29"/>
      <c r="G24" s="29"/>
      <c r="H24" s="29" t="s">
        <v>220</v>
      </c>
      <c r="I24" s="43" t="s">
        <v>221</v>
      </c>
      <c r="J24" s="56"/>
      <c r="K24" s="56"/>
      <c r="L24" s="56"/>
      <c r="M24" s="56"/>
      <c r="N24" s="57">
        <v>45352</v>
      </c>
      <c r="O24" s="58"/>
      <c r="P24" s="57"/>
      <c r="Q24" s="78"/>
      <c r="R24" s="79"/>
      <c r="S24" s="80"/>
      <c r="T24" s="79"/>
      <c r="U24" s="81"/>
      <c r="V24" s="82"/>
      <c r="W24" s="80"/>
      <c r="X24" s="83"/>
      <c r="Y24" s="81"/>
      <c r="Z24" s="78"/>
      <c r="AA24" s="80"/>
      <c r="AB24" s="100"/>
      <c r="AC24" s="101"/>
      <c r="AD24" s="100"/>
      <c r="AE24" s="79"/>
      <c r="AF24" s="102"/>
      <c r="AG24" s="121"/>
      <c r="AH24" s="100"/>
      <c r="AI24" s="121"/>
      <c r="AJ24" s="100"/>
      <c r="AK24" s="122"/>
      <c r="AL24" s="123"/>
      <c r="AM24" s="124"/>
      <c r="AN24" s="116"/>
      <c r="AO24" s="138"/>
      <c r="AP24" s="78">
        <v>204</v>
      </c>
      <c r="AQ24" s="79">
        <v>13</v>
      </c>
      <c r="AR24" s="80">
        <f>AP24/26*AQ24</f>
        <v>102</v>
      </c>
      <c r="AS24" s="79"/>
      <c r="AT24" s="81">
        <f>AP24/26/8*1.5*AS24</f>
        <v>0</v>
      </c>
      <c r="AU24" s="82"/>
      <c r="AV24" s="80">
        <f>AP24/26*AU24*1.3</f>
        <v>0</v>
      </c>
      <c r="AW24" s="83"/>
      <c r="AX24" s="81">
        <f>AP24/26/8*2*AW24</f>
        <v>0</v>
      </c>
      <c r="AY24" s="78"/>
      <c r="AZ24" s="80">
        <f>AP24/26*AY24*0.5</f>
        <v>0</v>
      </c>
      <c r="BA24" s="100"/>
      <c r="BB24" s="101">
        <f>AP24/26*BA24</f>
        <v>0</v>
      </c>
      <c r="BC24" s="100"/>
      <c r="BD24" s="79">
        <v>7.5</v>
      </c>
      <c r="BE24" s="102">
        <f t="shared" si="26"/>
        <v>6</v>
      </c>
      <c r="BF24" s="121">
        <f>IF(AQ24+AU24+AY24+BA24&gt;=12.75,5/13*AQ24+5/13*BA24,0)</f>
        <v>5</v>
      </c>
      <c r="BG24" s="100">
        <f t="shared" si="28"/>
        <v>0</v>
      </c>
      <c r="BH24" s="121">
        <v>1379.5</v>
      </c>
      <c r="BI24" s="100"/>
      <c r="BJ24" s="122"/>
      <c r="BK24" s="123"/>
      <c r="BL24" s="124"/>
      <c r="BM24" s="158">
        <f t="shared" si="27"/>
        <v>1500</v>
      </c>
      <c r="BN24" s="159"/>
      <c r="BO24" s="138"/>
      <c r="BQ24" s="164"/>
      <c r="BR24" s="164"/>
      <c r="BS24" s="165"/>
      <c r="BT24" s="166"/>
    </row>
    <row r="25" s="3" customFormat="1" ht="37.5" customHeight="1" spans="1:72">
      <c r="A25" s="30"/>
      <c r="B25" s="31" t="s">
        <v>82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59"/>
      <c r="O25" s="60"/>
      <c r="P25" s="61"/>
      <c r="Q25" s="84"/>
      <c r="R25" s="85">
        <f t="shared" ref="R25:AN25" si="29">SUM(R6:R24)</f>
        <v>140.435</v>
      </c>
      <c r="S25" s="85">
        <f t="shared" si="29"/>
        <v>1101.87461538462</v>
      </c>
      <c r="T25" s="85">
        <f t="shared" si="29"/>
        <v>10.5</v>
      </c>
      <c r="U25" s="85">
        <f t="shared" si="29"/>
        <v>15.4471153846154</v>
      </c>
      <c r="V25" s="85">
        <f t="shared" si="29"/>
        <v>0</v>
      </c>
      <c r="W25" s="85">
        <f t="shared" si="29"/>
        <v>0</v>
      </c>
      <c r="X25" s="85">
        <f t="shared" si="29"/>
        <v>0</v>
      </c>
      <c r="Y25" s="85">
        <f t="shared" si="29"/>
        <v>0</v>
      </c>
      <c r="Z25" s="85">
        <f t="shared" si="29"/>
        <v>0</v>
      </c>
      <c r="AA25" s="85">
        <f t="shared" si="29"/>
        <v>0</v>
      </c>
      <c r="AB25" s="85">
        <f t="shared" si="29"/>
        <v>24</v>
      </c>
      <c r="AC25" s="85">
        <f t="shared" si="29"/>
        <v>188.307692307692</v>
      </c>
      <c r="AD25" s="85">
        <f t="shared" si="29"/>
        <v>0</v>
      </c>
      <c r="AE25" s="85">
        <f t="shared" si="29"/>
        <v>112.5</v>
      </c>
      <c r="AF25" s="85">
        <f t="shared" si="29"/>
        <v>101.893076923077</v>
      </c>
      <c r="AG25" s="85">
        <f t="shared" si="29"/>
        <v>39.8307692307692</v>
      </c>
      <c r="AH25" s="85">
        <f t="shared" si="29"/>
        <v>2.625</v>
      </c>
      <c r="AI25" s="85">
        <f t="shared" si="29"/>
        <v>0</v>
      </c>
      <c r="AJ25" s="85">
        <f t="shared" si="29"/>
        <v>0</v>
      </c>
      <c r="AK25" s="85">
        <f t="shared" si="29"/>
        <v>0</v>
      </c>
      <c r="AL25" s="85">
        <f t="shared" si="29"/>
        <v>0</v>
      </c>
      <c r="AM25" s="85">
        <f t="shared" si="29"/>
        <v>0</v>
      </c>
      <c r="AN25" s="125">
        <f t="shared" si="29"/>
        <v>1562.47826923077</v>
      </c>
      <c r="AO25" s="141"/>
      <c r="AP25" s="84"/>
      <c r="AQ25" s="85">
        <f t="shared" ref="AQ25:BN25" si="30">SUM(AQ6:AQ24)</f>
        <v>237.87</v>
      </c>
      <c r="AR25" s="85">
        <f t="shared" si="30"/>
        <v>1866.36461538462</v>
      </c>
      <c r="AS25" s="85">
        <f t="shared" si="30"/>
        <v>41</v>
      </c>
      <c r="AT25" s="85">
        <f t="shared" si="30"/>
        <v>60.3173076923077</v>
      </c>
      <c r="AU25" s="85">
        <f t="shared" si="30"/>
        <v>0</v>
      </c>
      <c r="AV25" s="85">
        <f t="shared" si="30"/>
        <v>0</v>
      </c>
      <c r="AW25" s="85">
        <f t="shared" si="30"/>
        <v>0</v>
      </c>
      <c r="AX25" s="85">
        <f t="shared" si="30"/>
        <v>0</v>
      </c>
      <c r="AY25" s="85">
        <f t="shared" si="30"/>
        <v>0</v>
      </c>
      <c r="AZ25" s="85">
        <f t="shared" si="30"/>
        <v>0</v>
      </c>
      <c r="BA25" s="85">
        <f t="shared" si="30"/>
        <v>4</v>
      </c>
      <c r="BB25" s="85">
        <f t="shared" si="30"/>
        <v>31.3846153846154</v>
      </c>
      <c r="BC25" s="85">
        <f t="shared" si="30"/>
        <v>0</v>
      </c>
      <c r="BD25" s="85">
        <f t="shared" si="30"/>
        <v>142.5</v>
      </c>
      <c r="BE25" s="85">
        <f t="shared" si="30"/>
        <v>150.632307692308</v>
      </c>
      <c r="BF25" s="85">
        <f t="shared" si="30"/>
        <v>65</v>
      </c>
      <c r="BG25" s="85">
        <f t="shared" si="30"/>
        <v>10.25</v>
      </c>
      <c r="BH25" s="85">
        <f t="shared" si="30"/>
        <v>5808.55961538462</v>
      </c>
      <c r="BI25" s="85">
        <f t="shared" si="30"/>
        <v>0</v>
      </c>
      <c r="BJ25" s="85">
        <f t="shared" si="30"/>
        <v>32.3961538461538</v>
      </c>
      <c r="BK25" s="85">
        <f t="shared" si="30"/>
        <v>0</v>
      </c>
      <c r="BL25" s="85">
        <f t="shared" si="30"/>
        <v>-74.272461262721</v>
      </c>
      <c r="BM25" s="85">
        <f t="shared" si="30"/>
        <v>9729.88288461538</v>
      </c>
      <c r="BN25" s="85">
        <f t="shared" si="30"/>
        <v>2693.13215412189</v>
      </c>
      <c r="BO25" s="141"/>
      <c r="BQ25" s="167"/>
      <c r="BR25" s="167"/>
      <c r="BS25" s="167"/>
      <c r="BT25" s="167"/>
    </row>
    <row r="26" s="1" customFormat="1" ht="26.1" customHeight="1" spans="1:72">
      <c r="A26" s="4"/>
      <c r="I26" s="4"/>
      <c r="J26" s="5"/>
      <c r="K26" s="5"/>
      <c r="L26" s="5"/>
      <c r="M26" s="5"/>
      <c r="O26" s="6"/>
      <c r="P26" s="7"/>
      <c r="Q26" s="4"/>
      <c r="R26" s="4"/>
      <c r="T26" s="4"/>
      <c r="V26" s="4"/>
      <c r="X26" s="8"/>
      <c r="Z26" s="4"/>
      <c r="AA26" s="103"/>
      <c r="AB26" s="4"/>
      <c r="AC26" s="104"/>
      <c r="AD26" s="4"/>
      <c r="AE26" s="4"/>
      <c r="AG26" s="9"/>
      <c r="AH26" s="4"/>
      <c r="AI26" s="4"/>
      <c r="AJ26" s="4"/>
      <c r="AL26" s="10"/>
      <c r="AM26" s="126"/>
      <c r="AN26" s="11"/>
      <c r="BQ26" s="12"/>
      <c r="BR26" s="12"/>
      <c r="BS26" s="12"/>
      <c r="BT26" s="12"/>
    </row>
    <row r="27" s="1" customFormat="1" ht="26.1" customHeight="1" spans="2:72">
      <c r="B27" s="33" t="s">
        <v>205</v>
      </c>
      <c r="C27" s="34"/>
      <c r="D27" s="34"/>
      <c r="E27" s="34"/>
      <c r="F27" s="34"/>
      <c r="G27" s="34"/>
      <c r="H27" s="34"/>
      <c r="I27" s="62"/>
      <c r="J27" s="34"/>
      <c r="K27" s="34"/>
      <c r="L27" s="34"/>
      <c r="M27" s="34"/>
      <c r="N27" s="33"/>
      <c r="O27" s="63"/>
      <c r="P27" s="64"/>
      <c r="Q27" s="33" t="s">
        <v>206</v>
      </c>
      <c r="R27" s="86"/>
      <c r="S27" s="86"/>
      <c r="T27" s="87"/>
      <c r="U27" s="88" t="s">
        <v>207</v>
      </c>
      <c r="V27" s="86"/>
      <c r="W27" s="88"/>
      <c r="X27" s="89"/>
      <c r="Y27" s="34"/>
      <c r="Z27" s="86"/>
      <c r="AA27" s="86" t="s">
        <v>207</v>
      </c>
      <c r="AB27" s="86"/>
      <c r="AC27" s="86" t="s">
        <v>207</v>
      </c>
      <c r="AD27" s="86"/>
      <c r="AE27" s="86"/>
      <c r="AF27" s="88"/>
      <c r="AG27" s="127"/>
      <c r="AH27" s="87"/>
      <c r="AI27" s="87" t="s">
        <v>208</v>
      </c>
      <c r="AJ27" s="87"/>
      <c r="AK27" s="88" t="s">
        <v>208</v>
      </c>
      <c r="AL27" s="128"/>
      <c r="AM27" s="129"/>
      <c r="AN27" s="130"/>
      <c r="AO27" s="34"/>
      <c r="AP27" s="34" t="s">
        <v>206</v>
      </c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 t="s">
        <v>207</v>
      </c>
      <c r="BG27" s="34"/>
      <c r="BH27" s="34"/>
      <c r="BI27" s="34"/>
      <c r="BJ27" s="34"/>
      <c r="BK27" s="34"/>
      <c r="BL27" s="34"/>
      <c r="BM27" s="34"/>
      <c r="BN27" s="34" t="s">
        <v>208</v>
      </c>
      <c r="BQ27" s="12"/>
      <c r="BR27" s="12"/>
      <c r="BS27" s="12"/>
      <c r="BT27" s="12"/>
    </row>
    <row r="28" s="1" customFormat="1" ht="26.1" customHeight="1" spans="9:72">
      <c r="I28" s="4"/>
      <c r="J28" s="5"/>
      <c r="K28" s="5"/>
      <c r="L28" s="5"/>
      <c r="M28" s="5"/>
      <c r="O28" s="6"/>
      <c r="P28" s="7"/>
      <c r="Q28" s="4"/>
      <c r="R28" s="4"/>
      <c r="T28" s="4"/>
      <c r="V28" s="4"/>
      <c r="X28" s="8"/>
      <c r="Z28" s="4"/>
      <c r="AB28" s="4"/>
      <c r="AD28" s="4"/>
      <c r="AE28" s="4"/>
      <c r="AG28" s="9"/>
      <c r="AH28" s="4"/>
      <c r="AI28" s="4"/>
      <c r="AJ28" s="4"/>
      <c r="AL28" s="10"/>
      <c r="AN28" s="11"/>
      <c r="BQ28" s="12"/>
      <c r="BR28" s="12"/>
      <c r="BS28" s="12"/>
      <c r="BT28" s="12"/>
    </row>
    <row r="29" ht="26.1" customHeight="1"/>
    <row r="30" ht="26.1" customHeight="1"/>
    <row r="31" ht="26.1" customHeight="1"/>
  </sheetData>
  <mergeCells count="4">
    <mergeCell ref="A1:BO1"/>
    <mergeCell ref="A2:BO2"/>
    <mergeCell ref="A3:AS3"/>
    <mergeCell ref="B25:N2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交社保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Advanced-</cp:lastModifiedBy>
  <dcterms:created xsi:type="dcterms:W3CDTF">2006-09-16T00:00:00Z</dcterms:created>
  <dcterms:modified xsi:type="dcterms:W3CDTF">2024-12-10T07:19:22Z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4A2E0E56CC84411B9158A345F2F33681_12</vt:lpwstr>
  </property>
  <property fmtid="{D5CDD505-2E9C-101B-9397-08002B2CF9AE}" pid="3" name="KSOProductBuildVer">
    <vt:lpwstr>2052-12.1.0.19302</vt:lpwstr>
  </property>
</Properties>
</file>