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83A5F97-B2BF-4AE6-9C6E-F111BD4913C5}" xr6:coauthVersionLast="47" xr6:coauthVersionMax="47" xr10:uidLastSave="{00000000-0000-0000-0000-000000000000}"/>
  <bookViews>
    <workbookView xWindow="-120" yWindow="-120" windowWidth="29040" windowHeight="15720" tabRatio="862" xr2:uid="{05BA7BB9-9E87-4534-B8B6-FFA8ADD5F068}"/>
  </bookViews>
  <sheets>
    <sheet name="ផុង" sheetId="6" r:id="rId1"/>
    <sheet name="ម៉ុក" sheetId="5" r:id="rId2"/>
    <sheet name="ឆែកផុង+ឆែកម៉ុក+ឆ្លុះភ្លើង" sheetId="7" r:id="rId3"/>
    <sheet name="ដេរផ្លាកករ" sheetId="8" r:id="rId4"/>
    <sheet name="ឆែកទី១" sheetId="9" r:id="rId5"/>
    <sheet name="ប៉ះ" sheetId="10" r:id="rId6"/>
    <sheet name="អ៊ុត" sheetId="11" r:id="rId7"/>
    <sheet name="ឆែកទី២" sheetId="12" r:id="rId8"/>
    <sheet name="វេចខ្ចប់" sheetId="13" r:id="rId9"/>
    <sheet name="ឆែកប៉ះផ្ទាំង" sheetId="14" r:id="rId10"/>
    <sheet name="ការិយាល័យ" sheetId="16" r:id="rId11"/>
    <sheet name="ប្រធាន" sheetId="17" r:id="rId12"/>
    <sheet name="ឃ្លាំងកត់ឡូតិ៍" sheetId="15" r:id="rId13"/>
    <sheet name="ជាង ឡ" sheetId="21" r:id="rId14"/>
    <sheet name="វាស់  QC" sheetId="22" r:id="rId15"/>
    <sheet name="កាតុង" sheetId="23" r:id="rId16"/>
    <sheet name="ត្បាញស្នយ័ប្រវត្តិ" sheetId="30" r:id="rId17"/>
    <sheet name="បោកគក់" sheetId="26" r:id="rId18"/>
    <sheet name="ឃ្លាំងសម្ភារះ" sheetId="25" r:id="rId19"/>
    <sheet name="បើកបរ" sheetId="28" r:id="rId20"/>
    <sheet name="អនាម័យ" sheetId="29" r:id="rId21"/>
  </sheets>
  <definedNames>
    <definedName name="_xlnm._FilterDatabase" localSheetId="15" hidden="1">កាតុង!$A$7:$AC$16</definedName>
    <definedName name="_xlnm._FilterDatabase" localSheetId="10" hidden="1">ការិយាល័យ!$A$7:$AC$13</definedName>
    <definedName name="_xlnm._FilterDatabase" localSheetId="12" hidden="1">ឃ្លាំងកត់ឡូតិ៍!$A$7:$AC$13</definedName>
    <definedName name="_xlnm._FilterDatabase" localSheetId="18" hidden="1">ឃ្លាំងសម្ភារះ!$A$7:$AD$12</definedName>
    <definedName name="_xlnm._FilterDatabase" localSheetId="4" hidden="1">ឆែកទី១!$A$7:$AI$21</definedName>
    <definedName name="_xlnm._FilterDatabase" localSheetId="7" hidden="1">ឆែកទី២!$A$7:$AI$26</definedName>
    <definedName name="_xlnm._FilterDatabase" localSheetId="9" hidden="1">ឆែកប៉ះផ្ទាំង!$A$7:$AI$15</definedName>
    <definedName name="_xlnm._FilterDatabase" localSheetId="2" hidden="1">'ឆែកផុង+ឆែកម៉ុក+ឆ្លុះភ្លើង'!$A$7:$AI$25</definedName>
    <definedName name="_xlnm._FilterDatabase" localSheetId="13" hidden="1">'ជាង ឡ'!$A$7:$AC$14</definedName>
    <definedName name="_xlnm._FilterDatabase" localSheetId="3" hidden="1">ដេរផ្លាកករ!$A$7:$AK$30</definedName>
    <definedName name="_xlnm._FilterDatabase" localSheetId="16" hidden="1">ត្បាញស្នយ័ប្រវត្តិ!$A$7:$AD$47</definedName>
    <definedName name="_xlnm._FilterDatabase" localSheetId="5" hidden="1">ប៉ះ!$A$7:$AI$20</definedName>
    <definedName name="_xlnm._FilterDatabase" localSheetId="19" hidden="1">បើកបរ!$A$7:$AC$14</definedName>
    <definedName name="_xlnm._FilterDatabase" localSheetId="17" hidden="1">បោកគក់!$A$7:$AC$14</definedName>
    <definedName name="_xlnm._FilterDatabase" localSheetId="11" hidden="1">ប្រធាន!$A$7:$AD$23</definedName>
    <definedName name="_xlnm._FilterDatabase" localSheetId="0" hidden="1">ផុង!$A$7:$AI$53</definedName>
    <definedName name="_xlnm._FilterDatabase" localSheetId="1" hidden="1">ម៉ុក!$A$7:$AI$24</definedName>
    <definedName name="_xlnm._FilterDatabase" localSheetId="14" hidden="1">'វាស់  QC'!$A$7:$AC$15</definedName>
    <definedName name="_xlnm._FilterDatabase" localSheetId="8" hidden="1">វេចខ្ចប់!$A$7:$AI$27</definedName>
    <definedName name="_xlnm._FilterDatabase" localSheetId="20" hidden="1">អនាម័យ!$A$7:$AC$11</definedName>
    <definedName name="_xlnm._FilterDatabase" localSheetId="6" hidden="1">អ៊ុត!$A$7:$AI$35</definedName>
    <definedName name="_xlnm.Print_Area" localSheetId="16">ត្បាញស្នយ័ប្រវត្តិ!$A$1:$AE$46</definedName>
    <definedName name="_xlnm.Print_Area" localSheetId="0">ផុង!$A$1:$AJ$52</definedName>
    <definedName name="_xlnm.Print_Titles" localSheetId="12">ឃ្លាំងកត់ឡូតិ៍!$1:$7</definedName>
    <definedName name="_xlnm.Print_Titles" localSheetId="4">ឆែកទី១!$1:$7</definedName>
    <definedName name="_xlnm.Print_Titles" localSheetId="7">ឆែកទី២!$1:$7</definedName>
    <definedName name="_xlnm.Print_Titles" localSheetId="9">ឆែកប៉ះផ្ទាំង!$1:$7</definedName>
    <definedName name="_xlnm.Print_Titles" localSheetId="2">'ឆែកផុង+ឆែកម៉ុក+ឆ្លុះភ្លើង'!$1:$7</definedName>
    <definedName name="_xlnm.Print_Titles" localSheetId="3">ដេរផ្លាកករ!$1:$7</definedName>
    <definedName name="_xlnm.Print_Titles" localSheetId="16">ត្បាញស្នយ័ប្រវត្តិ!$1:$7</definedName>
    <definedName name="_xlnm.Print_Titles" localSheetId="5">ប៉ះ!$1:$7</definedName>
    <definedName name="_xlnm.Print_Titles" localSheetId="11">ប្រធាន!$1:$7</definedName>
    <definedName name="_xlnm.Print_Titles" localSheetId="0">ផុង!$1:$7</definedName>
    <definedName name="_xlnm.Print_Titles" localSheetId="1">ម៉ុក!$1:$7</definedName>
    <definedName name="_xlnm.Print_Titles" localSheetId="14">'វាស់  QC'!$1:$7</definedName>
    <definedName name="_xlnm.Print_Titles" localSheetId="8">វេចខ្ចប់!$1:$7</definedName>
    <definedName name="_xlnm.Print_Titles" localSheetId="6">អ៊ុត!$1:$7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30" l="1"/>
  <c r="Y45" i="30"/>
  <c r="Z45" i="30"/>
  <c r="AB9" i="29"/>
  <c r="AC9" i="29"/>
  <c r="AG28" i="8"/>
  <c r="AF28" i="8"/>
  <c r="AE28" i="8"/>
  <c r="AD28" i="8"/>
  <c r="AC28" i="8"/>
  <c r="AB28" i="8"/>
  <c r="AA28" i="8"/>
  <c r="Z28" i="8"/>
  <c r="T28" i="8"/>
  <c r="S28" i="8"/>
  <c r="R28" i="8"/>
  <c r="Q28" i="8"/>
  <c r="P28" i="8"/>
  <c r="O28" i="8"/>
  <c r="AE17" i="10"/>
  <c r="AE16" i="10"/>
  <c r="AE15" i="10"/>
  <c r="AE14" i="10"/>
  <c r="AE13" i="10"/>
  <c r="AE12" i="10"/>
  <c r="AE11" i="10"/>
  <c r="AE10" i="10"/>
  <c r="AE9" i="10"/>
  <c r="AE8" i="10"/>
  <c r="AG27" i="8"/>
  <c r="AG26" i="8"/>
  <c r="AG25" i="8"/>
  <c r="AG24" i="8"/>
  <c r="AG23" i="8"/>
  <c r="AG22" i="8"/>
  <c r="AG21" i="8"/>
  <c r="AG20" i="8"/>
  <c r="AG19" i="8"/>
  <c r="AG18" i="8"/>
  <c r="AG16" i="8"/>
  <c r="AG15" i="8"/>
  <c r="AG14" i="8"/>
  <c r="AG13" i="8"/>
  <c r="AG12" i="8"/>
  <c r="AG11" i="8"/>
  <c r="AG10" i="8"/>
  <c r="AG9" i="8"/>
  <c r="AG8" i="8"/>
  <c r="Z11" i="28"/>
  <c r="Z10" i="28"/>
  <c r="Z9" i="28"/>
  <c r="Z8" i="28"/>
  <c r="K11" i="28"/>
  <c r="K10" i="28"/>
  <c r="K9" i="28"/>
  <c r="K8" i="28"/>
  <c r="Y11" i="28"/>
  <c r="Y10" i="28"/>
  <c r="Y9" i="28"/>
  <c r="Y8" i="28"/>
  <c r="AF9" i="30"/>
  <c r="AF11" i="30"/>
  <c r="AF13" i="30"/>
  <c r="X13" i="30" s="1"/>
  <c r="AF14" i="30"/>
  <c r="X14" i="30" s="1"/>
  <c r="AF15" i="30"/>
  <c r="X15" i="30" s="1"/>
  <c r="AF16" i="30"/>
  <c r="X16" i="30" s="1"/>
  <c r="AF17" i="30"/>
  <c r="AF18" i="30"/>
  <c r="AF19" i="30"/>
  <c r="AF20" i="30"/>
  <c r="X20" i="30" s="1"/>
  <c r="AF21" i="30"/>
  <c r="X21" i="30" s="1"/>
  <c r="AF22" i="30"/>
  <c r="X22" i="30" s="1"/>
  <c r="AF23" i="30"/>
  <c r="X23" i="30" s="1"/>
  <c r="AF24" i="30"/>
  <c r="X24" i="30" s="1"/>
  <c r="AF25" i="30"/>
  <c r="AF26" i="30"/>
  <c r="AF27" i="30"/>
  <c r="AF28" i="30"/>
  <c r="X28" i="30" s="1"/>
  <c r="AF29" i="30"/>
  <c r="X29" i="30" s="1"/>
  <c r="AF30" i="30"/>
  <c r="X30" i="30" s="1"/>
  <c r="AF31" i="30"/>
  <c r="X31" i="30" s="1"/>
  <c r="AF32" i="30"/>
  <c r="X32" i="30" s="1"/>
  <c r="AF33" i="30"/>
  <c r="AF34" i="30"/>
  <c r="AF35" i="30"/>
  <c r="AF36" i="30"/>
  <c r="X36" i="30" s="1"/>
  <c r="AF37" i="30"/>
  <c r="X37" i="30" s="1"/>
  <c r="AF38" i="30"/>
  <c r="X38" i="30" s="1"/>
  <c r="AF39" i="30"/>
  <c r="X39" i="30" s="1"/>
  <c r="AF40" i="30"/>
  <c r="X40" i="30" s="1"/>
  <c r="AF41" i="30"/>
  <c r="AF42" i="30"/>
  <c r="AF43" i="30"/>
  <c r="AF44" i="30"/>
  <c r="X44" i="30" s="1"/>
  <c r="AF8" i="30"/>
  <c r="X11" i="30"/>
  <c r="X17" i="30"/>
  <c r="X18" i="30"/>
  <c r="X19" i="30"/>
  <c r="X25" i="30"/>
  <c r="X26" i="30"/>
  <c r="X27" i="30"/>
  <c r="X33" i="30"/>
  <c r="X34" i="30"/>
  <c r="X35" i="30"/>
  <c r="X41" i="30"/>
  <c r="X42" i="30"/>
  <c r="X43" i="30"/>
  <c r="X9" i="30"/>
  <c r="K12" i="14"/>
  <c r="K8" i="14"/>
  <c r="AC9" i="14"/>
  <c r="AC10" i="14"/>
  <c r="AC11" i="14"/>
  <c r="K21" i="13"/>
  <c r="K19" i="13"/>
  <c r="K18" i="13"/>
  <c r="K11" i="13"/>
  <c r="K10" i="13"/>
  <c r="K8" i="13"/>
  <c r="K23" i="12"/>
  <c r="K21" i="12"/>
  <c r="K20" i="12"/>
  <c r="K12" i="12"/>
  <c r="K11" i="12"/>
  <c r="K10" i="12"/>
  <c r="AC9" i="12"/>
  <c r="AC13" i="12"/>
  <c r="AC14" i="12"/>
  <c r="AC15" i="12"/>
  <c r="AC16" i="12"/>
  <c r="AC17" i="12"/>
  <c r="AC18" i="12"/>
  <c r="AC19" i="12"/>
  <c r="AC22" i="12"/>
  <c r="AC8" i="12"/>
  <c r="K8" i="12"/>
  <c r="K20" i="11"/>
  <c r="K8" i="11"/>
  <c r="K17" i="10"/>
  <c r="K16" i="10"/>
  <c r="K15" i="10"/>
  <c r="K14" i="10"/>
  <c r="K13" i="10"/>
  <c r="K12" i="10"/>
  <c r="K11" i="10"/>
  <c r="K10" i="10"/>
  <c r="K9" i="10"/>
  <c r="K8" i="10"/>
  <c r="K27" i="8"/>
  <c r="K26" i="8"/>
  <c r="K25" i="8"/>
  <c r="K23" i="8"/>
  <c r="K21" i="8"/>
  <c r="K20" i="8"/>
  <c r="K19" i="8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8" i="6"/>
  <c r="AE17" i="8"/>
  <c r="K15" i="8"/>
  <c r="K14" i="8"/>
  <c r="K12" i="8"/>
  <c r="K10" i="8"/>
  <c r="K8" i="8"/>
  <c r="O10" i="7"/>
  <c r="O9" i="7"/>
  <c r="O8" i="7"/>
  <c r="K20" i="7"/>
  <c r="K19" i="7"/>
  <c r="K17" i="7"/>
  <c r="K14" i="7"/>
  <c r="K13" i="7"/>
  <c r="K8" i="5"/>
  <c r="K50" i="6"/>
  <c r="K47" i="6"/>
  <c r="K44" i="6"/>
  <c r="K43" i="6"/>
  <c r="K35" i="6"/>
  <c r="K34" i="6"/>
  <c r="K28" i="6"/>
  <c r="K25" i="6"/>
  <c r="K24" i="6"/>
  <c r="K17" i="6"/>
  <c r="K15" i="6"/>
  <c r="K13" i="6"/>
  <c r="K12" i="6"/>
  <c r="K11" i="6"/>
  <c r="K9" i="6"/>
  <c r="K8" i="6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8" i="30"/>
  <c r="W9" i="30"/>
  <c r="W10" i="30"/>
  <c r="W11" i="30"/>
  <c r="W12" i="30"/>
  <c r="W13" i="30"/>
  <c r="W14" i="30"/>
  <c r="W15" i="30"/>
  <c r="W16" i="30"/>
  <c r="W17" i="30"/>
  <c r="W18" i="30"/>
  <c r="W19" i="30"/>
  <c r="W20" i="30"/>
  <c r="W21" i="30"/>
  <c r="W22" i="30"/>
  <c r="W23" i="30"/>
  <c r="W24" i="30"/>
  <c r="W25" i="30"/>
  <c r="W26" i="30"/>
  <c r="W27" i="30"/>
  <c r="W28" i="30"/>
  <c r="W29" i="30"/>
  <c r="W30" i="30"/>
  <c r="W31" i="30"/>
  <c r="W32" i="30"/>
  <c r="W33" i="30"/>
  <c r="W34" i="30"/>
  <c r="W35" i="30"/>
  <c r="W36" i="30"/>
  <c r="W37" i="30"/>
  <c r="W38" i="30"/>
  <c r="W39" i="30"/>
  <c r="W40" i="30"/>
  <c r="W41" i="30"/>
  <c r="W42" i="30"/>
  <c r="W43" i="30"/>
  <c r="W44" i="30"/>
  <c r="L45" i="30"/>
  <c r="K8" i="17"/>
  <c r="L8" i="17"/>
  <c r="M8" i="17"/>
  <c r="N8" i="17"/>
  <c r="S20" i="17"/>
  <c r="R20" i="17"/>
  <c r="N20" i="17"/>
  <c r="L20" i="17"/>
  <c r="W19" i="17"/>
  <c r="S19" i="17"/>
  <c r="R19" i="17"/>
  <c r="N19" i="17"/>
  <c r="M19" i="17"/>
  <c r="L19" i="17"/>
  <c r="K19" i="17"/>
  <c r="Z19" i="17" l="1"/>
  <c r="AF19" i="17" l="1"/>
  <c r="X19" i="17" s="1"/>
  <c r="AA19" i="17" s="1"/>
  <c r="AB19" i="17" s="1"/>
  <c r="AC19" i="17" s="1"/>
  <c r="AD19" i="17" s="1"/>
  <c r="R10" i="14" l="1"/>
  <c r="R23" i="13" l="1"/>
  <c r="R22" i="13"/>
  <c r="K23" i="13"/>
  <c r="K22" i="13"/>
  <c r="W23" i="13"/>
  <c r="W22" i="13"/>
  <c r="W17" i="13"/>
  <c r="K16" i="13"/>
  <c r="W16" i="13"/>
  <c r="K15" i="13"/>
  <c r="W15" i="13"/>
  <c r="K14" i="13"/>
  <c r="W14" i="13"/>
  <c r="K13" i="13"/>
  <c r="W13" i="13"/>
  <c r="W12" i="13"/>
  <c r="K9" i="13"/>
  <c r="W9" i="13"/>
  <c r="Z24" i="13"/>
  <c r="I23" i="13"/>
  <c r="F23" i="13" s="1"/>
  <c r="I24" i="13"/>
  <c r="F24" i="13" s="1"/>
  <c r="O24" i="13" s="1"/>
  <c r="AB24" i="13"/>
  <c r="AB23" i="13"/>
  <c r="U23" i="13"/>
  <c r="V23" i="13"/>
  <c r="R22" i="12"/>
  <c r="K22" i="12"/>
  <c r="K19" i="12"/>
  <c r="W18" i="12"/>
  <c r="W16" i="12"/>
  <c r="W15" i="12"/>
  <c r="K13" i="12"/>
  <c r="W13" i="12"/>
  <c r="R9" i="12"/>
  <c r="W9" i="12"/>
  <c r="R30" i="11"/>
  <c r="R27" i="11"/>
  <c r="W30" i="11"/>
  <c r="W29" i="11"/>
  <c r="K28" i="11"/>
  <c r="W28" i="11"/>
  <c r="W27" i="11"/>
  <c r="W26" i="11"/>
  <c r="R25" i="11"/>
  <c r="K25" i="11"/>
  <c r="W25" i="11"/>
  <c r="K23" i="11"/>
  <c r="K22" i="11"/>
  <c r="K21" i="11"/>
  <c r="K19" i="11"/>
  <c r="W18" i="11"/>
  <c r="K17" i="11"/>
  <c r="W17" i="11"/>
  <c r="K16" i="11"/>
  <c r="W16" i="11"/>
  <c r="K15" i="11"/>
  <c r="W15" i="11"/>
  <c r="W14" i="11"/>
  <c r="K13" i="11"/>
  <c r="W13" i="11"/>
  <c r="W12" i="11"/>
  <c r="W11" i="11"/>
  <c r="W10" i="11"/>
  <c r="K9" i="11"/>
  <c r="W9" i="11"/>
  <c r="J33" i="11"/>
  <c r="O23" i="13" l="1"/>
  <c r="R24" i="13"/>
  <c r="Q24" i="13"/>
  <c r="P24" i="13"/>
  <c r="Q23" i="13"/>
  <c r="P23" i="13"/>
  <c r="X23" i="13"/>
  <c r="AE23" i="13" s="1"/>
  <c r="AK23" i="13" s="1"/>
  <c r="K33" i="11"/>
  <c r="R16" i="9"/>
  <c r="W16" i="9"/>
  <c r="R15" i="9"/>
  <c r="K15" i="9"/>
  <c r="W10" i="9"/>
  <c r="R10" i="9" s="1"/>
  <c r="K9" i="9"/>
  <c r="O9" i="9"/>
  <c r="P9" i="9"/>
  <c r="Q9" i="9"/>
  <c r="R9" i="9"/>
  <c r="O10" i="9"/>
  <c r="P10" i="9"/>
  <c r="Q10" i="9"/>
  <c r="O11" i="9"/>
  <c r="P11" i="9"/>
  <c r="Q11" i="9"/>
  <c r="R11" i="9"/>
  <c r="O12" i="9"/>
  <c r="P12" i="9"/>
  <c r="Q12" i="9"/>
  <c r="R12" i="9"/>
  <c r="O13" i="9"/>
  <c r="P13" i="9"/>
  <c r="Q13" i="9"/>
  <c r="R13" i="9"/>
  <c r="O14" i="9"/>
  <c r="P14" i="9"/>
  <c r="Q14" i="9"/>
  <c r="R14" i="9"/>
  <c r="O15" i="9"/>
  <c r="P15" i="9"/>
  <c r="Q15" i="9"/>
  <c r="O16" i="9"/>
  <c r="P16" i="9"/>
  <c r="Q16" i="9"/>
  <c r="O17" i="9"/>
  <c r="P17" i="9"/>
  <c r="Q17" i="9"/>
  <c r="R17" i="9"/>
  <c r="O18" i="9"/>
  <c r="P18" i="9"/>
  <c r="Q18" i="9"/>
  <c r="R18" i="9"/>
  <c r="K24" i="8"/>
  <c r="K16" i="8"/>
  <c r="S23" i="8"/>
  <c r="R23" i="8"/>
  <c r="T21" i="8"/>
  <c r="AB21" i="8"/>
  <c r="Y18" i="8"/>
  <c r="R18" i="8"/>
  <c r="Y17" i="8"/>
  <c r="R17" i="8"/>
  <c r="R16" i="8"/>
  <c r="R11" i="8"/>
  <c r="Y24" i="8"/>
  <c r="Y22" i="8"/>
  <c r="Y13" i="8"/>
  <c r="AB23" i="8"/>
  <c r="R15" i="7"/>
  <c r="W21" i="7"/>
  <c r="AC11" i="7"/>
  <c r="AC12" i="7"/>
  <c r="W12" i="7"/>
  <c r="K11" i="7"/>
  <c r="W11" i="7"/>
  <c r="K10" i="7"/>
  <c r="K9" i="7"/>
  <c r="K8" i="7"/>
  <c r="W9" i="7"/>
  <c r="AB11" i="7"/>
  <c r="AB10" i="7"/>
  <c r="AB9" i="7"/>
  <c r="AB8" i="7"/>
  <c r="R20" i="5"/>
  <c r="R19" i="5"/>
  <c r="K20" i="5"/>
  <c r="K19" i="5"/>
  <c r="K16" i="5"/>
  <c r="K15" i="5"/>
  <c r="P15" i="5" s="1"/>
  <c r="K14" i="5"/>
  <c r="R13" i="5"/>
  <c r="R10" i="5"/>
  <c r="K11" i="5"/>
  <c r="P11" i="5" s="1"/>
  <c r="K9" i="5"/>
  <c r="Q9" i="5" s="1"/>
  <c r="W21" i="5"/>
  <c r="Q21" i="5"/>
  <c r="W18" i="5"/>
  <c r="W17" i="5"/>
  <c r="P17" i="5" s="1"/>
  <c r="W12" i="5"/>
  <c r="P12" i="5" s="1"/>
  <c r="R9" i="5"/>
  <c r="P10" i="5"/>
  <c r="Q10" i="5"/>
  <c r="Q11" i="5"/>
  <c r="R11" i="5"/>
  <c r="P13" i="5"/>
  <c r="Q13" i="5"/>
  <c r="P14" i="5"/>
  <c r="Q14" i="5"/>
  <c r="R14" i="5"/>
  <c r="Q15" i="5"/>
  <c r="R15" i="5"/>
  <c r="P16" i="5"/>
  <c r="Q16" i="5"/>
  <c r="R16" i="5"/>
  <c r="Q17" i="5"/>
  <c r="R17" i="5"/>
  <c r="P18" i="5"/>
  <c r="Q18" i="5"/>
  <c r="R18" i="5"/>
  <c r="P19" i="5"/>
  <c r="Q19" i="5"/>
  <c r="P20" i="5"/>
  <c r="Q20" i="5"/>
  <c r="R21" i="5"/>
  <c r="R48" i="6"/>
  <c r="X48" i="6"/>
  <c r="W48" i="6"/>
  <c r="K46" i="6"/>
  <c r="K45" i="6"/>
  <c r="K39" i="6"/>
  <c r="K38" i="6"/>
  <c r="J37" i="6"/>
  <c r="K37" i="6"/>
  <c r="K32" i="6"/>
  <c r="K30" i="6"/>
  <c r="K29" i="6"/>
  <c r="K27" i="6"/>
  <c r="K23" i="6"/>
  <c r="K18" i="6"/>
  <c r="K16" i="6"/>
  <c r="W16" i="6"/>
  <c r="K14" i="6"/>
  <c r="R12" i="6"/>
  <c r="R10" i="6"/>
  <c r="X10" i="6"/>
  <c r="K10" i="6"/>
  <c r="AC23" i="13" l="1"/>
  <c r="AF23" i="13" s="1"/>
  <c r="AG23" i="13" s="1"/>
  <c r="AH23" i="13" s="1"/>
  <c r="AI23" i="13" s="1"/>
  <c r="P9" i="5"/>
  <c r="P21" i="5"/>
  <c r="Q12" i="5"/>
  <c r="R12" i="5"/>
  <c r="W49" i="6"/>
  <c r="W26" i="6"/>
  <c r="W23" i="6"/>
  <c r="Z38" i="6"/>
  <c r="Z37" i="6"/>
  <c r="Z32" i="6"/>
  <c r="Z31" i="6"/>
  <c r="Z29" i="6"/>
  <c r="Z18" i="6"/>
  <c r="Z14" i="6"/>
  <c r="P41" i="6"/>
  <c r="P42" i="6"/>
  <c r="P49" i="6"/>
  <c r="Q49" i="6"/>
  <c r="R49" i="6"/>
  <c r="P50" i="6"/>
  <c r="Q50" i="6"/>
  <c r="R50" i="6"/>
  <c r="I41" i="6"/>
  <c r="F41" i="6" s="1"/>
  <c r="Q41" i="6" s="1"/>
  <c r="I42" i="6"/>
  <c r="F42" i="6" s="1"/>
  <c r="Q42" i="6" s="1"/>
  <c r="I43" i="6"/>
  <c r="F43" i="6" s="1"/>
  <c r="Q43" i="6" s="1"/>
  <c r="I44" i="6"/>
  <c r="I45" i="6"/>
  <c r="F45" i="6" s="1"/>
  <c r="P45" i="6" s="1"/>
  <c r="I46" i="6"/>
  <c r="F46" i="6" s="1"/>
  <c r="P46" i="6" s="1"/>
  <c r="I47" i="6"/>
  <c r="F47" i="6" s="1"/>
  <c r="R47" i="6" s="1"/>
  <c r="I48" i="6"/>
  <c r="F48" i="6" s="1"/>
  <c r="I49" i="6"/>
  <c r="F49" i="6" s="1"/>
  <c r="I50" i="6"/>
  <c r="F50" i="6" s="1"/>
  <c r="AB41" i="6"/>
  <c r="AB42" i="6"/>
  <c r="AB43" i="6"/>
  <c r="AB44" i="6"/>
  <c r="AB45" i="6"/>
  <c r="AB46" i="6"/>
  <c r="AB47" i="6"/>
  <c r="AB48" i="6"/>
  <c r="AB49" i="6"/>
  <c r="U41" i="6"/>
  <c r="V41" i="6"/>
  <c r="U42" i="6"/>
  <c r="V42" i="6"/>
  <c r="U43" i="6"/>
  <c r="V43" i="6"/>
  <c r="U44" i="6"/>
  <c r="V44" i="6"/>
  <c r="U45" i="6"/>
  <c r="V45" i="6"/>
  <c r="U46" i="6"/>
  <c r="V46" i="6"/>
  <c r="U47" i="6"/>
  <c r="V47" i="6"/>
  <c r="U48" i="6"/>
  <c r="V48" i="6"/>
  <c r="U49" i="6"/>
  <c r="V49" i="6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40" i="6"/>
  <c r="AB50" i="6"/>
  <c r="AB11" i="6"/>
  <c r="AB12" i="6"/>
  <c r="AB13" i="6"/>
  <c r="AB15" i="6"/>
  <c r="AB16" i="6"/>
  <c r="AB17" i="6"/>
  <c r="AB19" i="6"/>
  <c r="AB20" i="6"/>
  <c r="AB21" i="6"/>
  <c r="AB22" i="6"/>
  <c r="AB23" i="6"/>
  <c r="AB24" i="6"/>
  <c r="AB25" i="6"/>
  <c r="AB26" i="6"/>
  <c r="AB27" i="6"/>
  <c r="AB28" i="6"/>
  <c r="AB30" i="6"/>
  <c r="AB33" i="6"/>
  <c r="AB34" i="6"/>
  <c r="AB35" i="6"/>
  <c r="AB36" i="6"/>
  <c r="AB39" i="6"/>
  <c r="AB10" i="6"/>
  <c r="AB9" i="6"/>
  <c r="P48" i="6" l="1"/>
  <c r="Q48" i="6"/>
  <c r="Q47" i="6"/>
  <c r="P47" i="6"/>
  <c r="Q46" i="6"/>
  <c r="R46" i="6"/>
  <c r="Q45" i="6"/>
  <c r="R45" i="6"/>
  <c r="AE45" i="6" s="1"/>
  <c r="AK45" i="6" s="1"/>
  <c r="AF45" i="6" s="1"/>
  <c r="P43" i="6"/>
  <c r="R43" i="6"/>
  <c r="R42" i="6"/>
  <c r="R41" i="6"/>
  <c r="O48" i="6"/>
  <c r="O47" i="6"/>
  <c r="O45" i="6"/>
  <c r="O43" i="6"/>
  <c r="O46" i="6"/>
  <c r="O42" i="6"/>
  <c r="O49" i="6"/>
  <c r="O41" i="6"/>
  <c r="F44" i="6"/>
  <c r="AE46" i="6" l="1"/>
  <c r="AK46" i="6" s="1"/>
  <c r="AF46" i="6" s="1"/>
  <c r="AG46" i="6" s="1"/>
  <c r="AH46" i="6" s="1"/>
  <c r="AE48" i="6"/>
  <c r="AK48" i="6" s="1"/>
  <c r="AF48" i="6" s="1"/>
  <c r="AG48" i="6" s="1"/>
  <c r="AH48" i="6" s="1"/>
  <c r="P44" i="6"/>
  <c r="R44" i="6"/>
  <c r="Q44" i="6"/>
  <c r="AE49" i="6"/>
  <c r="AK49" i="6" s="1"/>
  <c r="AF49" i="6" s="1"/>
  <c r="AG49" i="6" s="1"/>
  <c r="AH49" i="6" s="1"/>
  <c r="AE41" i="6"/>
  <c r="AK41" i="6" s="1"/>
  <c r="AF41" i="6" s="1"/>
  <c r="AE47" i="6"/>
  <c r="O44" i="6"/>
  <c r="AE42" i="6"/>
  <c r="AK42" i="6" s="1"/>
  <c r="AF42" i="6" s="1"/>
  <c r="AG42" i="6" s="1"/>
  <c r="AH42" i="6" s="1"/>
  <c r="AE43" i="6"/>
  <c r="AK43" i="6" s="1"/>
  <c r="AG45" i="6"/>
  <c r="AH45" i="6" s="1"/>
  <c r="AF43" i="6" l="1"/>
  <c r="AG43" i="6" s="1"/>
  <c r="AH43" i="6" s="1"/>
  <c r="AI43" i="6" s="1"/>
  <c r="AI48" i="6"/>
  <c r="AI49" i="6"/>
  <c r="AG41" i="6"/>
  <c r="AH41" i="6" s="1"/>
  <c r="AK47" i="6"/>
  <c r="AI45" i="6"/>
  <c r="AI42" i="6"/>
  <c r="AE44" i="6"/>
  <c r="AK44" i="6" s="1"/>
  <c r="AI46" i="6"/>
  <c r="P45" i="30"/>
  <c r="S41" i="30"/>
  <c r="R41" i="30"/>
  <c r="O41" i="30"/>
  <c r="N41" i="30"/>
  <c r="M41" i="30"/>
  <c r="S40" i="30"/>
  <c r="R40" i="30"/>
  <c r="O40" i="30"/>
  <c r="N40" i="30"/>
  <c r="M40" i="30"/>
  <c r="S39" i="30"/>
  <c r="R39" i="30"/>
  <c r="O39" i="30"/>
  <c r="N39" i="30"/>
  <c r="M39" i="30"/>
  <c r="S38" i="30"/>
  <c r="R38" i="30"/>
  <c r="O38" i="30"/>
  <c r="N38" i="30"/>
  <c r="M38" i="30"/>
  <c r="S37" i="30"/>
  <c r="R37" i="30"/>
  <c r="O37" i="30"/>
  <c r="N37" i="30"/>
  <c r="M37" i="30"/>
  <c r="S36" i="30"/>
  <c r="R36" i="30"/>
  <c r="O36" i="30"/>
  <c r="N36" i="30"/>
  <c r="M36" i="30"/>
  <c r="S35" i="30"/>
  <c r="R35" i="30"/>
  <c r="O35" i="30"/>
  <c r="N35" i="30"/>
  <c r="M35" i="30"/>
  <c r="S13" i="30"/>
  <c r="R13" i="30"/>
  <c r="O13" i="30"/>
  <c r="N13" i="30"/>
  <c r="M13" i="30"/>
  <c r="O9" i="30"/>
  <c r="O10" i="30"/>
  <c r="O11" i="30"/>
  <c r="O12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42" i="30"/>
  <c r="O43" i="30"/>
  <c r="O44" i="30"/>
  <c r="O8" i="30"/>
  <c r="AF47" i="6" l="1"/>
  <c r="AG47" i="6" s="1"/>
  <c r="AH47" i="6" s="1"/>
  <c r="AI47" i="6" s="1"/>
  <c r="AF44" i="6"/>
  <c r="AG44" i="6" s="1"/>
  <c r="AH44" i="6" s="1"/>
  <c r="AI44" i="6" s="1"/>
  <c r="AI41" i="6"/>
  <c r="Z40" i="30"/>
  <c r="Z41" i="30"/>
  <c r="Z39" i="30"/>
  <c r="Z38" i="30"/>
  <c r="Z37" i="30"/>
  <c r="Z36" i="30"/>
  <c r="Z35" i="30"/>
  <c r="Z13" i="30"/>
  <c r="AA40" i="30" l="1"/>
  <c r="AB40" i="30" s="1"/>
  <c r="AC40" i="30" s="1"/>
  <c r="AD40" i="30" s="1"/>
  <c r="AA36" i="30"/>
  <c r="AB36" i="30" s="1"/>
  <c r="AC36" i="30" s="1"/>
  <c r="AD36" i="30" s="1"/>
  <c r="AA35" i="30"/>
  <c r="AB35" i="30" s="1"/>
  <c r="AC35" i="30" s="1"/>
  <c r="AD35" i="30" s="1"/>
  <c r="AA38" i="30"/>
  <c r="AB38" i="30" s="1"/>
  <c r="AC38" i="30" s="1"/>
  <c r="AD38" i="30" s="1"/>
  <c r="AA41" i="30"/>
  <c r="AB41" i="30" s="1"/>
  <c r="AC41" i="30" s="1"/>
  <c r="AD41" i="30" s="1"/>
  <c r="AA39" i="30"/>
  <c r="AB39" i="30" s="1"/>
  <c r="AC39" i="30" s="1"/>
  <c r="AD39" i="30" s="1"/>
  <c r="AA37" i="30"/>
  <c r="AB37" i="30" s="1"/>
  <c r="AC37" i="30" s="1"/>
  <c r="AD37" i="30" s="1"/>
  <c r="AA13" i="30"/>
  <c r="AB13" i="30" s="1"/>
  <c r="AC13" i="30" s="1"/>
  <c r="AD13" i="30" s="1"/>
  <c r="N8" i="29" l="1"/>
  <c r="K8" i="29"/>
  <c r="V11" i="28"/>
  <c r="L9" i="28"/>
  <c r="M9" i="28"/>
  <c r="N9" i="28"/>
  <c r="L10" i="28"/>
  <c r="M10" i="28"/>
  <c r="N10" i="28"/>
  <c r="L11" i="28"/>
  <c r="M11" i="28"/>
  <c r="N11" i="28"/>
  <c r="N8" i="28"/>
  <c r="M8" i="28"/>
  <c r="L8" i="28"/>
  <c r="W10" i="28" l="1"/>
  <c r="V10" i="28"/>
  <c r="R10" i="28"/>
  <c r="Q10" i="28"/>
  <c r="K9" i="25"/>
  <c r="L9" i="25"/>
  <c r="M9" i="25"/>
  <c r="N9" i="25"/>
  <c r="N8" i="25"/>
  <c r="K8" i="25"/>
  <c r="K9" i="26"/>
  <c r="L9" i="26"/>
  <c r="M9" i="26"/>
  <c r="N9" i="26"/>
  <c r="K10" i="26"/>
  <c r="L10" i="26"/>
  <c r="M10" i="26"/>
  <c r="N10" i="26"/>
  <c r="K11" i="26"/>
  <c r="L11" i="26"/>
  <c r="M11" i="26"/>
  <c r="N11" i="26"/>
  <c r="N8" i="26"/>
  <c r="L8" i="26"/>
  <c r="K8" i="26"/>
  <c r="K9" i="23"/>
  <c r="L9" i="23"/>
  <c r="M9" i="23"/>
  <c r="N9" i="23"/>
  <c r="K10" i="23"/>
  <c r="L10" i="23"/>
  <c r="M10" i="23"/>
  <c r="N10" i="23"/>
  <c r="K11" i="23"/>
  <c r="L11" i="23"/>
  <c r="M11" i="23"/>
  <c r="N11" i="23"/>
  <c r="K12" i="23"/>
  <c r="L12" i="23"/>
  <c r="M12" i="23"/>
  <c r="N12" i="23"/>
  <c r="K13" i="23"/>
  <c r="L13" i="23"/>
  <c r="M13" i="23"/>
  <c r="N13" i="23"/>
  <c r="N8" i="23"/>
  <c r="K8" i="23"/>
  <c r="K9" i="22"/>
  <c r="K10" i="22"/>
  <c r="K11" i="22"/>
  <c r="K12" i="22"/>
  <c r="L9" i="22"/>
  <c r="L10" i="22"/>
  <c r="L11" i="22"/>
  <c r="L12" i="22"/>
  <c r="N9" i="22"/>
  <c r="N10" i="22"/>
  <c r="N11" i="22"/>
  <c r="N12" i="22"/>
  <c r="N8" i="22"/>
  <c r="M8" i="22"/>
  <c r="L8" i="22"/>
  <c r="K8" i="22"/>
  <c r="M9" i="22"/>
  <c r="M10" i="22"/>
  <c r="M11" i="22"/>
  <c r="M12" i="22"/>
  <c r="N9" i="21"/>
  <c r="N10" i="21"/>
  <c r="N11" i="21"/>
  <c r="L9" i="21"/>
  <c r="L10" i="21"/>
  <c r="L11" i="21"/>
  <c r="K9" i="21"/>
  <c r="K10" i="21"/>
  <c r="K11" i="21"/>
  <c r="N8" i="21"/>
  <c r="M8" i="21"/>
  <c r="L8" i="21"/>
  <c r="K8" i="21"/>
  <c r="M9" i="21"/>
  <c r="M10" i="21"/>
  <c r="M11" i="21"/>
  <c r="K9" i="15"/>
  <c r="K10" i="15"/>
  <c r="N9" i="15"/>
  <c r="N10" i="15"/>
  <c r="N8" i="15"/>
  <c r="K8" i="15"/>
  <c r="K9" i="17"/>
  <c r="L9" i="17"/>
  <c r="M9" i="17"/>
  <c r="N9" i="17"/>
  <c r="K10" i="17"/>
  <c r="L10" i="17"/>
  <c r="M10" i="17"/>
  <c r="N10" i="17"/>
  <c r="K11" i="17"/>
  <c r="L11" i="17"/>
  <c r="M11" i="17"/>
  <c r="N11" i="17"/>
  <c r="K12" i="17"/>
  <c r="L12" i="17"/>
  <c r="M12" i="17"/>
  <c r="N12" i="17"/>
  <c r="K13" i="17"/>
  <c r="L13" i="17"/>
  <c r="M13" i="17"/>
  <c r="N13" i="17"/>
  <c r="K14" i="17"/>
  <c r="L14" i="17"/>
  <c r="M14" i="17"/>
  <c r="N14" i="17"/>
  <c r="K15" i="17"/>
  <c r="L15" i="17"/>
  <c r="M15" i="17"/>
  <c r="N15" i="17"/>
  <c r="K16" i="17"/>
  <c r="L16" i="17"/>
  <c r="M16" i="17"/>
  <c r="N16" i="17"/>
  <c r="K17" i="17"/>
  <c r="L17" i="17"/>
  <c r="M17" i="17"/>
  <c r="N17" i="17"/>
  <c r="K18" i="17"/>
  <c r="L18" i="17"/>
  <c r="M18" i="17"/>
  <c r="N18" i="17"/>
  <c r="K20" i="17"/>
  <c r="M20" i="17"/>
  <c r="V9" i="16"/>
  <c r="V10" i="16"/>
  <c r="V8" i="16"/>
  <c r="N9" i="16"/>
  <c r="N10" i="16"/>
  <c r="N8" i="16"/>
  <c r="K9" i="16"/>
  <c r="K10" i="16"/>
  <c r="K8" i="16"/>
  <c r="AA10" i="28" l="1"/>
  <c r="AB10" i="28" s="1"/>
  <c r="AC10" i="28" s="1"/>
  <c r="I8" i="12" l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P30" i="11" l="1"/>
  <c r="J18" i="10"/>
  <c r="AQ25" i="9"/>
  <c r="K18" i="10" l="1"/>
  <c r="X8" i="8" l="1"/>
  <c r="W8" i="8"/>
  <c r="V9" i="5"/>
  <c r="V8" i="5"/>
  <c r="V12" i="6"/>
  <c r="V11" i="6"/>
  <c r="V10" i="6"/>
  <c r="V9" i="6"/>
  <c r="V8" i="6"/>
  <c r="V40" i="6" l="1"/>
  <c r="U40" i="6"/>
  <c r="I40" i="6"/>
  <c r="V8" i="29"/>
  <c r="M8" i="29"/>
  <c r="L8" i="29"/>
  <c r="V9" i="28"/>
  <c r="V8" i="28"/>
  <c r="W9" i="25"/>
  <c r="W8" i="25"/>
  <c r="M8" i="25"/>
  <c r="L8" i="25"/>
  <c r="V9" i="26"/>
  <c r="V10" i="26"/>
  <c r="V11" i="26"/>
  <c r="V8" i="26"/>
  <c r="S8" i="30"/>
  <c r="M8" i="30"/>
  <c r="S11" i="30"/>
  <c r="S10" i="30"/>
  <c r="S9" i="30"/>
  <c r="P9" i="17"/>
  <c r="W8" i="30"/>
  <c r="M9" i="30"/>
  <c r="N9" i="30"/>
  <c r="M10" i="30"/>
  <c r="N10" i="30"/>
  <c r="M11" i="30"/>
  <c r="N11" i="30"/>
  <c r="M12" i="30"/>
  <c r="N12" i="30"/>
  <c r="M14" i="30"/>
  <c r="N14" i="30"/>
  <c r="M15" i="30"/>
  <c r="N15" i="30"/>
  <c r="M16" i="30"/>
  <c r="N16" i="30"/>
  <c r="M17" i="30"/>
  <c r="N17" i="30"/>
  <c r="M18" i="30"/>
  <c r="N18" i="30"/>
  <c r="M19" i="30"/>
  <c r="N19" i="30"/>
  <c r="M20" i="30"/>
  <c r="N20" i="30"/>
  <c r="M21" i="30"/>
  <c r="N21" i="30"/>
  <c r="M22" i="30"/>
  <c r="N22" i="30"/>
  <c r="M23" i="30"/>
  <c r="N23" i="30"/>
  <c r="M24" i="30"/>
  <c r="N24" i="30"/>
  <c r="M25" i="30"/>
  <c r="N25" i="30"/>
  <c r="M26" i="30"/>
  <c r="N26" i="30"/>
  <c r="M27" i="30"/>
  <c r="N27" i="30"/>
  <c r="M28" i="30"/>
  <c r="N28" i="30"/>
  <c r="M29" i="30"/>
  <c r="N29" i="30"/>
  <c r="M30" i="30"/>
  <c r="N30" i="30"/>
  <c r="M31" i="30"/>
  <c r="N31" i="30"/>
  <c r="M32" i="30"/>
  <c r="N32" i="30"/>
  <c r="M33" i="30"/>
  <c r="N33" i="30"/>
  <c r="M34" i="30"/>
  <c r="N34" i="30"/>
  <c r="M42" i="30"/>
  <c r="N42" i="30"/>
  <c r="M43" i="30"/>
  <c r="N43" i="30"/>
  <c r="M44" i="30"/>
  <c r="N44" i="30"/>
  <c r="V9" i="23"/>
  <c r="V10" i="23"/>
  <c r="V11" i="23"/>
  <c r="V12" i="23"/>
  <c r="V13" i="23"/>
  <c r="V8" i="23"/>
  <c r="M8" i="23"/>
  <c r="L8" i="23"/>
  <c r="V9" i="22"/>
  <c r="V10" i="22"/>
  <c r="V11" i="22"/>
  <c r="V12" i="22"/>
  <c r="V8" i="22"/>
  <c r="V9" i="21"/>
  <c r="V10" i="21"/>
  <c r="V11" i="21"/>
  <c r="V8" i="21"/>
  <c r="V9" i="15"/>
  <c r="V10" i="15"/>
  <c r="V8" i="15"/>
  <c r="L10" i="15"/>
  <c r="L9" i="15"/>
  <c r="L8" i="15"/>
  <c r="M9" i="15"/>
  <c r="M10" i="15"/>
  <c r="M8" i="15"/>
  <c r="W9" i="17"/>
  <c r="W10" i="17"/>
  <c r="W11" i="17"/>
  <c r="W12" i="17"/>
  <c r="W13" i="17"/>
  <c r="W14" i="17"/>
  <c r="W15" i="17"/>
  <c r="W16" i="17"/>
  <c r="W17" i="17"/>
  <c r="W18" i="17"/>
  <c r="W20" i="17"/>
  <c r="W8" i="17"/>
  <c r="AB9" i="14"/>
  <c r="AB10" i="14"/>
  <c r="AB11" i="14"/>
  <c r="AB12" i="14"/>
  <c r="AB8" i="14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8" i="13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8" i="12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9" i="10"/>
  <c r="AB10" i="10"/>
  <c r="AB11" i="10"/>
  <c r="AB12" i="10"/>
  <c r="AB13" i="10"/>
  <c r="AB14" i="10"/>
  <c r="AB15" i="10"/>
  <c r="AB16" i="10"/>
  <c r="AB17" i="10"/>
  <c r="AB8" i="10"/>
  <c r="AB9" i="9"/>
  <c r="AB10" i="9"/>
  <c r="AB11" i="9"/>
  <c r="AB12" i="9"/>
  <c r="AB13" i="9"/>
  <c r="AB14" i="9"/>
  <c r="AB15" i="9"/>
  <c r="AB16" i="9"/>
  <c r="AB17" i="9"/>
  <c r="AB18" i="9"/>
  <c r="AB8" i="9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8" i="8"/>
  <c r="AB12" i="7"/>
  <c r="AB13" i="7"/>
  <c r="AB14" i="7"/>
  <c r="AB15" i="7"/>
  <c r="AB16" i="7"/>
  <c r="AB17" i="7"/>
  <c r="AB18" i="7"/>
  <c r="AB19" i="7"/>
  <c r="AB20" i="7"/>
  <c r="AB21" i="7"/>
  <c r="AB22" i="7"/>
  <c r="AB8" i="5"/>
  <c r="AB13" i="14" l="1"/>
  <c r="F40" i="6"/>
  <c r="O40" i="6"/>
  <c r="AB8" i="6"/>
  <c r="P10" i="25"/>
  <c r="P21" i="17"/>
  <c r="Q40" i="6" l="1"/>
  <c r="R40" i="6"/>
  <c r="P40" i="6"/>
  <c r="U28" i="8"/>
  <c r="L9" i="16"/>
  <c r="M9" i="16"/>
  <c r="L10" i="16"/>
  <c r="M10" i="16"/>
  <c r="R9" i="15"/>
  <c r="R8" i="15"/>
  <c r="V8" i="7"/>
  <c r="AE40" i="6" l="1"/>
  <c r="AK40" i="6" s="1"/>
  <c r="AF40" i="6" l="1"/>
  <c r="AG40" i="6" s="1"/>
  <c r="AH40" i="6" s="1"/>
  <c r="AI40" i="6" s="1"/>
  <c r="O9" i="29"/>
  <c r="O12" i="28"/>
  <c r="O10" i="25"/>
  <c r="O12" i="26"/>
  <c r="O14" i="23"/>
  <c r="O13" i="22"/>
  <c r="O12" i="21"/>
  <c r="O11" i="15"/>
  <c r="O21" i="17"/>
  <c r="O11" i="16"/>
  <c r="S13" i="14"/>
  <c r="T13" i="14"/>
  <c r="S25" i="13"/>
  <c r="S24" i="12"/>
  <c r="V9" i="12"/>
  <c r="S33" i="11"/>
  <c r="S18" i="10"/>
  <c r="S19" i="9"/>
  <c r="S23" i="7" l="1"/>
  <c r="S22" i="5"/>
  <c r="S51" i="6"/>
  <c r="M8" i="26" l="1"/>
  <c r="V9" i="14"/>
  <c r="V20" i="5"/>
  <c r="U20" i="5"/>
  <c r="I20" i="5"/>
  <c r="F20" i="5" l="1"/>
  <c r="V39" i="6"/>
  <c r="U39" i="6"/>
  <c r="I39" i="6"/>
  <c r="V38" i="6"/>
  <c r="U38" i="6"/>
  <c r="I38" i="6"/>
  <c r="V37" i="6"/>
  <c r="U37" i="6"/>
  <c r="I37" i="6"/>
  <c r="O20" i="5" l="1"/>
  <c r="X20" i="5" s="1"/>
  <c r="F39" i="6"/>
  <c r="F38" i="6"/>
  <c r="F37" i="6"/>
  <c r="O39" i="6" l="1"/>
  <c r="Q39" i="6"/>
  <c r="P39" i="6"/>
  <c r="R39" i="6"/>
  <c r="R38" i="6"/>
  <c r="P38" i="6"/>
  <c r="Q38" i="6"/>
  <c r="Q37" i="6"/>
  <c r="R37" i="6"/>
  <c r="P37" i="6"/>
  <c r="AE20" i="5"/>
  <c r="AK20" i="5" s="1"/>
  <c r="O38" i="6"/>
  <c r="X38" i="6" s="1"/>
  <c r="O37" i="6"/>
  <c r="AC20" i="5" l="1"/>
  <c r="AF20" i="5" s="1"/>
  <c r="AG20" i="5" s="1"/>
  <c r="AH20" i="5" s="1"/>
  <c r="AI20" i="5" s="1"/>
  <c r="AE39" i="6"/>
  <c r="AK39" i="6" s="1"/>
  <c r="AF39" i="6" s="1"/>
  <c r="AG39" i="6" s="1"/>
  <c r="AH39" i="6" s="1"/>
  <c r="AI39" i="6" s="1"/>
  <c r="AE37" i="6"/>
  <c r="AK37" i="6" s="1"/>
  <c r="AE38" i="6"/>
  <c r="AK38" i="6" s="1"/>
  <c r="AF37" i="6" l="1"/>
  <c r="AG37" i="6" s="1"/>
  <c r="AH37" i="6" s="1"/>
  <c r="AI37" i="6" s="1"/>
  <c r="AF38" i="6"/>
  <c r="AG38" i="6" s="1"/>
  <c r="AH38" i="6" s="1"/>
  <c r="AI38" i="6" s="1"/>
  <c r="R11" i="28" l="1"/>
  <c r="Q11" i="28"/>
  <c r="S18" i="17"/>
  <c r="R18" i="17"/>
  <c r="Z18" i="17" l="1"/>
  <c r="AF18" i="17" s="1"/>
  <c r="V22" i="13"/>
  <c r="U22" i="13"/>
  <c r="I22" i="13"/>
  <c r="X18" i="17" l="1"/>
  <c r="AA18" i="17" s="1"/>
  <c r="AB18" i="17" s="1"/>
  <c r="AC18" i="17" s="1"/>
  <c r="AD18" i="17" s="1"/>
  <c r="W11" i="28"/>
  <c r="AA11" i="28" s="1"/>
  <c r="AB11" i="28" s="1"/>
  <c r="AC11" i="28" s="1"/>
  <c r="F22" i="13"/>
  <c r="O22" i="13" l="1"/>
  <c r="P22" i="13"/>
  <c r="Q22" i="13"/>
  <c r="X22" i="13"/>
  <c r="AE22" i="13" l="1"/>
  <c r="AK22" i="13" s="1"/>
  <c r="AC22" i="13" s="1"/>
  <c r="AF22" i="13" l="1"/>
  <c r="AG22" i="13" s="1"/>
  <c r="AH22" i="13" l="1"/>
  <c r="AI22" i="13" s="1"/>
  <c r="V21" i="12"/>
  <c r="U21" i="12"/>
  <c r="V22" i="12"/>
  <c r="U22" i="12"/>
  <c r="V23" i="12"/>
  <c r="U23" i="12"/>
  <c r="V20" i="12"/>
  <c r="U20" i="12"/>
  <c r="V12" i="11"/>
  <c r="V11" i="11"/>
  <c r="V31" i="11"/>
  <c r="U31" i="11"/>
  <c r="I31" i="11"/>
  <c r="V32" i="11"/>
  <c r="U32" i="11"/>
  <c r="I32" i="11"/>
  <c r="V15" i="10"/>
  <c r="U15" i="10"/>
  <c r="I15" i="10"/>
  <c r="V16" i="10"/>
  <c r="U16" i="10"/>
  <c r="I16" i="10"/>
  <c r="V12" i="10"/>
  <c r="U12" i="10"/>
  <c r="I12" i="10"/>
  <c r="V17" i="9"/>
  <c r="U17" i="9"/>
  <c r="I17" i="9"/>
  <c r="V16" i="9"/>
  <c r="U16" i="9"/>
  <c r="I16" i="9"/>
  <c r="X27" i="8"/>
  <c r="W27" i="8"/>
  <c r="I27" i="8"/>
  <c r="X26" i="8"/>
  <c r="W26" i="8"/>
  <c r="I26" i="8"/>
  <c r="X25" i="8"/>
  <c r="W25" i="8"/>
  <c r="I25" i="8"/>
  <c r="X24" i="8"/>
  <c r="W24" i="8"/>
  <c r="I24" i="8"/>
  <c r="F31" i="11" l="1"/>
  <c r="Q31" i="11"/>
  <c r="F15" i="10"/>
  <c r="O15" i="10" s="1"/>
  <c r="F12" i="10"/>
  <c r="F27" i="8"/>
  <c r="F26" i="8"/>
  <c r="F25" i="8"/>
  <c r="F24" i="8"/>
  <c r="F32" i="11"/>
  <c r="R32" i="11" s="1"/>
  <c r="F16" i="10"/>
  <c r="F17" i="9"/>
  <c r="F16" i="9"/>
  <c r="F21" i="12"/>
  <c r="F22" i="12"/>
  <c r="F23" i="12"/>
  <c r="F20" i="12"/>
  <c r="O31" i="11"/>
  <c r="O24" i="8"/>
  <c r="P31" i="11" l="1"/>
  <c r="R31" i="11"/>
  <c r="O20" i="12"/>
  <c r="P20" i="12"/>
  <c r="R20" i="12"/>
  <c r="Q20" i="12"/>
  <c r="O23" i="12"/>
  <c r="P23" i="12"/>
  <c r="R23" i="12"/>
  <c r="Q23" i="12"/>
  <c r="Q22" i="12"/>
  <c r="O22" i="12"/>
  <c r="X22" i="12" s="1"/>
  <c r="P22" i="12"/>
  <c r="O21" i="12"/>
  <c r="P21" i="12"/>
  <c r="Q21" i="12"/>
  <c r="R21" i="12"/>
  <c r="Q27" i="8"/>
  <c r="R27" i="8"/>
  <c r="P27" i="8"/>
  <c r="O26" i="8"/>
  <c r="P26" i="8"/>
  <c r="R26" i="8"/>
  <c r="Q26" i="8"/>
  <c r="P25" i="8"/>
  <c r="Q25" i="8"/>
  <c r="R25" i="8"/>
  <c r="P24" i="8"/>
  <c r="Q24" i="8"/>
  <c r="R24" i="8"/>
  <c r="O25" i="8"/>
  <c r="P32" i="11"/>
  <c r="Q32" i="11"/>
  <c r="P16" i="10"/>
  <c r="Q16" i="10"/>
  <c r="R16" i="10"/>
  <c r="P15" i="10"/>
  <c r="Q15" i="10"/>
  <c r="R15" i="10"/>
  <c r="P12" i="10"/>
  <c r="Q12" i="10"/>
  <c r="R12" i="10"/>
  <c r="O27" i="8"/>
  <c r="AE31" i="11"/>
  <c r="AK31" i="11" s="1"/>
  <c r="AC31" i="11" s="1"/>
  <c r="O32" i="11"/>
  <c r="O16" i="10"/>
  <c r="O12" i="10"/>
  <c r="AE17" i="9" l="1"/>
  <c r="AK17" i="9" s="1"/>
  <c r="AC17" i="9" s="1"/>
  <c r="AM26" i="8"/>
  <c r="AE26" i="8" s="1"/>
  <c r="AM24" i="8"/>
  <c r="AE24" i="8" s="1"/>
  <c r="AM25" i="8"/>
  <c r="AE25" i="8" s="1"/>
  <c r="AE21" i="12"/>
  <c r="AK15" i="10"/>
  <c r="AC15" i="10" s="1"/>
  <c r="AM27" i="8"/>
  <c r="AE27" i="8" s="1"/>
  <c r="AE22" i="12"/>
  <c r="AE16" i="9"/>
  <c r="AK16" i="9" s="1"/>
  <c r="AC16" i="9" s="1"/>
  <c r="AE20" i="12"/>
  <c r="AE23" i="12"/>
  <c r="AE32" i="11"/>
  <c r="AK32" i="11" s="1"/>
  <c r="AC32" i="11" s="1"/>
  <c r="AK16" i="10"/>
  <c r="AC16" i="10" s="1"/>
  <c r="AH27" i="8" l="1"/>
  <c r="AI27" i="8" s="1"/>
  <c r="AJ27" i="8" s="1"/>
  <c r="AK27" i="8" s="1"/>
  <c r="AF16" i="10"/>
  <c r="AG16" i="10" s="1"/>
  <c r="AH16" i="10" s="1"/>
  <c r="AI16" i="10" s="1"/>
  <c r="AF32" i="11"/>
  <c r="AG32" i="11" s="1"/>
  <c r="AH32" i="11" s="1"/>
  <c r="AI32" i="11" s="1"/>
  <c r="AF31" i="11"/>
  <c r="AG31" i="11" s="1"/>
  <c r="AH31" i="11" s="1"/>
  <c r="AI31" i="11" s="1"/>
  <c r="AF15" i="10"/>
  <c r="AG15" i="10" s="1"/>
  <c r="AH15" i="10" s="1"/>
  <c r="AI15" i="10" s="1"/>
  <c r="AF17" i="9"/>
  <c r="AG17" i="9" s="1"/>
  <c r="AH17" i="9" s="1"/>
  <c r="AI17" i="9" s="1"/>
  <c r="AF16" i="9"/>
  <c r="AG16" i="9" s="1"/>
  <c r="AH16" i="9" s="1"/>
  <c r="AI16" i="9" s="1"/>
  <c r="AH25" i="8"/>
  <c r="AI25" i="8" s="1"/>
  <c r="AJ25" i="8" s="1"/>
  <c r="AK25" i="8" s="1"/>
  <c r="AH26" i="8"/>
  <c r="AI26" i="8" s="1"/>
  <c r="AJ26" i="8" s="1"/>
  <c r="AK26" i="8" s="1"/>
  <c r="AH24" i="8"/>
  <c r="AI24" i="8" s="1"/>
  <c r="AJ24" i="8" s="1"/>
  <c r="AK24" i="8" s="1"/>
  <c r="AK21" i="12"/>
  <c r="AC21" i="12" s="1"/>
  <c r="AK22" i="12"/>
  <c r="AK23" i="12"/>
  <c r="AC23" i="12" s="1"/>
  <c r="AK20" i="12"/>
  <c r="AC20" i="12" s="1"/>
  <c r="AK12" i="10"/>
  <c r="AC12" i="10" s="1"/>
  <c r="AF23" i="12" l="1"/>
  <c r="AG23" i="12" s="1"/>
  <c r="AH23" i="12" s="1"/>
  <c r="AI23" i="12" s="1"/>
  <c r="AF22" i="12"/>
  <c r="AG22" i="12" s="1"/>
  <c r="AH22" i="12" s="1"/>
  <c r="AI22" i="12" s="1"/>
  <c r="AF21" i="12"/>
  <c r="AG21" i="12" s="1"/>
  <c r="AH21" i="12" s="1"/>
  <c r="AI21" i="12" s="1"/>
  <c r="AF20" i="12"/>
  <c r="AG20" i="12" s="1"/>
  <c r="AH20" i="12" s="1"/>
  <c r="AI20" i="12" s="1"/>
  <c r="AF12" i="10"/>
  <c r="AG12" i="10" s="1"/>
  <c r="AH12" i="10" s="1"/>
  <c r="AI12" i="10" s="1"/>
  <c r="V19" i="5"/>
  <c r="U19" i="5"/>
  <c r="I19" i="5"/>
  <c r="V21" i="5"/>
  <c r="U21" i="5"/>
  <c r="I21" i="5"/>
  <c r="V18" i="5"/>
  <c r="U18" i="5"/>
  <c r="I18" i="5"/>
  <c r="V17" i="5"/>
  <c r="U17" i="5"/>
  <c r="I17" i="5"/>
  <c r="V16" i="5"/>
  <c r="U16" i="5"/>
  <c r="I16" i="5"/>
  <c r="V35" i="6"/>
  <c r="U35" i="6"/>
  <c r="I35" i="6"/>
  <c r="V34" i="6"/>
  <c r="U34" i="6"/>
  <c r="I34" i="6"/>
  <c r="V33" i="6"/>
  <c r="U33" i="6"/>
  <c r="I33" i="6"/>
  <c r="V32" i="6"/>
  <c r="U32" i="6"/>
  <c r="I32" i="6"/>
  <c r="V31" i="6"/>
  <c r="U31" i="6"/>
  <c r="I31" i="6"/>
  <c r="U8" i="6"/>
  <c r="I8" i="6"/>
  <c r="X11" i="15"/>
  <c r="V11" i="15"/>
  <c r="Q8" i="15"/>
  <c r="Q9" i="15"/>
  <c r="Y9" i="15" s="1"/>
  <c r="Q10" i="15"/>
  <c r="P11" i="15"/>
  <c r="F8" i="6" l="1"/>
  <c r="R8" i="6" s="1"/>
  <c r="F16" i="5"/>
  <c r="F35" i="6"/>
  <c r="F32" i="6"/>
  <c r="F21" i="5"/>
  <c r="F18" i="5"/>
  <c r="F17" i="5"/>
  <c r="F19" i="5"/>
  <c r="F31" i="6"/>
  <c r="F33" i="6"/>
  <c r="F34" i="6"/>
  <c r="Q11" i="15"/>
  <c r="O35" i="6" l="1"/>
  <c r="P35" i="6"/>
  <c r="Q35" i="6"/>
  <c r="R35" i="6"/>
  <c r="P34" i="6"/>
  <c r="Q34" i="6"/>
  <c r="R34" i="6"/>
  <c r="P33" i="6"/>
  <c r="Q33" i="6"/>
  <c r="R33" i="6"/>
  <c r="P32" i="6"/>
  <c r="Q32" i="6"/>
  <c r="R32" i="6"/>
  <c r="R31" i="6"/>
  <c r="Q31" i="6"/>
  <c r="P31" i="6"/>
  <c r="O18" i="5"/>
  <c r="O16" i="5"/>
  <c r="O32" i="6"/>
  <c r="O31" i="6"/>
  <c r="P8" i="6"/>
  <c r="O21" i="5"/>
  <c r="O17" i="5"/>
  <c r="O19" i="5"/>
  <c r="X19" i="5" s="1"/>
  <c r="Q8" i="6"/>
  <c r="O8" i="6"/>
  <c r="O33" i="6"/>
  <c r="O34" i="6"/>
  <c r="C4" i="11"/>
  <c r="C4" i="29"/>
  <c r="A1" i="14"/>
  <c r="C4" i="9"/>
  <c r="F9" i="29"/>
  <c r="G9" i="29"/>
  <c r="H9" i="29"/>
  <c r="I9" i="29"/>
  <c r="J9" i="29"/>
  <c r="P9" i="29"/>
  <c r="S9" i="29"/>
  <c r="T9" i="29"/>
  <c r="U9" i="29"/>
  <c r="V9" i="29"/>
  <c r="X9" i="29"/>
  <c r="E9" i="29"/>
  <c r="R8" i="29"/>
  <c r="Q8" i="29"/>
  <c r="V12" i="14"/>
  <c r="U12" i="14"/>
  <c r="I12" i="14"/>
  <c r="V11" i="14"/>
  <c r="U11" i="14"/>
  <c r="I11" i="14"/>
  <c r="V10" i="14"/>
  <c r="U10" i="14"/>
  <c r="I10" i="14"/>
  <c r="U9" i="14"/>
  <c r="I9" i="14"/>
  <c r="AE35" i="6" l="1"/>
  <c r="AK35" i="6" s="1"/>
  <c r="AE16" i="5"/>
  <c r="AK16" i="5" s="1"/>
  <c r="AC16" i="5" s="1"/>
  <c r="Y8" i="29"/>
  <c r="AE8" i="29" s="1"/>
  <c r="W8" i="29" s="1"/>
  <c r="AE19" i="5"/>
  <c r="AK19" i="5" s="1"/>
  <c r="AC19" i="5" s="1"/>
  <c r="AE32" i="6"/>
  <c r="AK32" i="6" s="1"/>
  <c r="AE17" i="5"/>
  <c r="AK17" i="5" s="1"/>
  <c r="AC17" i="5" s="1"/>
  <c r="AE18" i="5"/>
  <c r="AK18" i="5" s="1"/>
  <c r="AC18" i="5" s="1"/>
  <c r="AE31" i="6"/>
  <c r="AK31" i="6" s="1"/>
  <c r="AE34" i="6"/>
  <c r="AK34" i="6" s="1"/>
  <c r="AE33" i="6"/>
  <c r="AK33" i="6" s="1"/>
  <c r="AE8" i="6"/>
  <c r="AK8" i="6" s="1"/>
  <c r="AE21" i="5"/>
  <c r="AK21" i="5" s="1"/>
  <c r="AC21" i="5" s="1"/>
  <c r="F12" i="14"/>
  <c r="F11" i="14"/>
  <c r="R11" i="14" s="1"/>
  <c r="F10" i="14"/>
  <c r="F9" i="14"/>
  <c r="R9" i="14" s="1"/>
  <c r="Q10" i="14"/>
  <c r="P10" i="14" l="1"/>
  <c r="O12" i="14"/>
  <c r="R12" i="14"/>
  <c r="O10" i="14"/>
  <c r="X10" i="14" s="1"/>
  <c r="P11" i="14"/>
  <c r="O11" i="14"/>
  <c r="AF31" i="6"/>
  <c r="AG31" i="6" s="1"/>
  <c r="AH31" i="6" s="1"/>
  <c r="AI31" i="6" s="1"/>
  <c r="P12" i="14"/>
  <c r="Q9" i="14"/>
  <c r="P9" i="14"/>
  <c r="O9" i="14"/>
  <c r="Q12" i="14"/>
  <c r="Q11" i="14"/>
  <c r="AF21" i="5"/>
  <c r="AG21" i="5" s="1"/>
  <c r="AH21" i="5" s="1"/>
  <c r="AI21" i="5" s="1"/>
  <c r="AF16" i="5"/>
  <c r="AG16" i="5" s="1"/>
  <c r="AH16" i="5" s="1"/>
  <c r="AI16" i="5" s="1"/>
  <c r="AF17" i="5"/>
  <c r="AG17" i="5" s="1"/>
  <c r="AH17" i="5" s="1"/>
  <c r="AI17" i="5" s="1"/>
  <c r="AF18" i="5"/>
  <c r="AG18" i="5" s="1"/>
  <c r="AH18" i="5" s="1"/>
  <c r="AI18" i="5" s="1"/>
  <c r="AF19" i="5"/>
  <c r="AG19" i="5" s="1"/>
  <c r="AH19" i="5" s="1"/>
  <c r="AI19" i="5" s="1"/>
  <c r="AF34" i="6"/>
  <c r="AG34" i="6" s="1"/>
  <c r="AH34" i="6" s="1"/>
  <c r="AI34" i="6" s="1"/>
  <c r="AF32" i="6"/>
  <c r="AG32" i="6" s="1"/>
  <c r="AH32" i="6" s="1"/>
  <c r="AI32" i="6" s="1"/>
  <c r="AF33" i="6"/>
  <c r="AG33" i="6" s="1"/>
  <c r="AH33" i="6" s="1"/>
  <c r="AI33" i="6" s="1"/>
  <c r="AF35" i="6"/>
  <c r="AG35" i="6" s="1"/>
  <c r="AH35" i="6" s="1"/>
  <c r="AI35" i="6" s="1"/>
  <c r="Z8" i="29"/>
  <c r="AE10" i="14" l="1"/>
  <c r="AK10" i="14" s="1"/>
  <c r="AF10" i="14" s="1"/>
  <c r="AG10" i="14" s="1"/>
  <c r="AE12" i="14"/>
  <c r="AK12" i="14" s="1"/>
  <c r="AC12" i="14" s="1"/>
  <c r="AE11" i="14"/>
  <c r="AK11" i="14" s="1"/>
  <c r="AE9" i="14"/>
  <c r="AK9" i="14" s="1"/>
  <c r="AA8" i="29"/>
  <c r="AF11" i="14" l="1"/>
  <c r="AG11" i="14" s="1"/>
  <c r="AH11" i="14" s="1"/>
  <c r="AI11" i="14" s="1"/>
  <c r="AF9" i="14"/>
  <c r="AG9" i="14" s="1"/>
  <c r="AH9" i="14" s="1"/>
  <c r="AI9" i="14" s="1"/>
  <c r="AF12" i="14"/>
  <c r="AG12" i="14" s="1"/>
  <c r="AH12" i="14" s="1"/>
  <c r="AI12" i="14" s="1"/>
  <c r="AB8" i="29"/>
  <c r="AH10" i="14"/>
  <c r="AI10" i="14" s="1"/>
  <c r="AC8" i="29" l="1"/>
  <c r="V21" i="13"/>
  <c r="U21" i="13"/>
  <c r="I21" i="13"/>
  <c r="J24" i="12"/>
  <c r="V19" i="12"/>
  <c r="U19" i="12"/>
  <c r="V18" i="12"/>
  <c r="U18" i="12"/>
  <c r="V30" i="11"/>
  <c r="U30" i="11"/>
  <c r="I30" i="11"/>
  <c r="V29" i="11"/>
  <c r="U29" i="11"/>
  <c r="I29" i="11"/>
  <c r="V28" i="11"/>
  <c r="U28" i="11"/>
  <c r="I28" i="11"/>
  <c r="V27" i="11"/>
  <c r="U27" i="11"/>
  <c r="I27" i="11"/>
  <c r="V13" i="10"/>
  <c r="U13" i="10"/>
  <c r="I13" i="10"/>
  <c r="V17" i="10"/>
  <c r="U17" i="10"/>
  <c r="I17" i="10"/>
  <c r="V14" i="10"/>
  <c r="U14" i="10"/>
  <c r="I14" i="10"/>
  <c r="V11" i="10"/>
  <c r="U11" i="10"/>
  <c r="I11" i="10"/>
  <c r="V15" i="9"/>
  <c r="U15" i="9"/>
  <c r="I15" i="9"/>
  <c r="V14" i="9"/>
  <c r="U14" i="9"/>
  <c r="I14" i="9"/>
  <c r="V13" i="9"/>
  <c r="U13" i="9"/>
  <c r="I13" i="9"/>
  <c r="V12" i="9"/>
  <c r="U12" i="9"/>
  <c r="I12" i="9"/>
  <c r="F17" i="10" l="1"/>
  <c r="F14" i="10"/>
  <c r="F13" i="10"/>
  <c r="F11" i="10"/>
  <c r="F30" i="11"/>
  <c r="Q30" i="11" s="1"/>
  <c r="F21" i="13"/>
  <c r="F19" i="12"/>
  <c r="F18" i="12"/>
  <c r="F29" i="11"/>
  <c r="R29" i="11" s="1"/>
  <c r="F28" i="11"/>
  <c r="R28" i="11" s="1"/>
  <c r="F27" i="11"/>
  <c r="O11" i="10"/>
  <c r="F15" i="9"/>
  <c r="F14" i="9"/>
  <c r="F13" i="9"/>
  <c r="F12" i="9"/>
  <c r="O21" i="13" l="1"/>
  <c r="P21" i="13"/>
  <c r="R21" i="13"/>
  <c r="Q21" i="13"/>
  <c r="O18" i="12"/>
  <c r="P18" i="12"/>
  <c r="R18" i="12"/>
  <c r="Q18" i="12"/>
  <c r="O19" i="12"/>
  <c r="R19" i="12"/>
  <c r="P19" i="12"/>
  <c r="Q19" i="12"/>
  <c r="P29" i="11"/>
  <c r="Q29" i="11"/>
  <c r="P28" i="11"/>
  <c r="Q28" i="11"/>
  <c r="P27" i="11"/>
  <c r="Q27" i="11"/>
  <c r="R17" i="10"/>
  <c r="P17" i="10"/>
  <c r="Q17" i="10"/>
  <c r="R14" i="10"/>
  <c r="P14" i="10"/>
  <c r="Q14" i="10"/>
  <c r="Q13" i="10"/>
  <c r="P13" i="10"/>
  <c r="R13" i="10"/>
  <c r="Q11" i="10"/>
  <c r="P11" i="10"/>
  <c r="R11" i="10"/>
  <c r="O30" i="11"/>
  <c r="X30" i="11" s="1"/>
  <c r="X15" i="9"/>
  <c r="O13" i="10"/>
  <c r="O29" i="11"/>
  <c r="O27" i="11"/>
  <c r="X27" i="11" s="1"/>
  <c r="O28" i="11"/>
  <c r="O14" i="10"/>
  <c r="O17" i="10"/>
  <c r="AE21" i="13" l="1"/>
  <c r="AK21" i="13" s="1"/>
  <c r="AC21" i="13" s="1"/>
  <c r="AE18" i="12"/>
  <c r="AK18" i="12" s="1"/>
  <c r="AK11" i="10"/>
  <c r="AC11" i="10" s="1"/>
  <c r="AK17" i="10"/>
  <c r="AC17" i="10" s="1"/>
  <c r="AK14" i="10"/>
  <c r="AC14" i="10" s="1"/>
  <c r="AK13" i="10"/>
  <c r="AC13" i="10" s="1"/>
  <c r="AE15" i="9"/>
  <c r="AK15" i="9" s="1"/>
  <c r="AE14" i="9"/>
  <c r="AK14" i="9" s="1"/>
  <c r="AE12" i="9"/>
  <c r="AK12" i="9" s="1"/>
  <c r="AC12" i="9" s="1"/>
  <c r="AE19" i="12"/>
  <c r="AK19" i="12" s="1"/>
  <c r="AE28" i="11"/>
  <c r="AK28" i="11" s="1"/>
  <c r="AC28" i="11" s="1"/>
  <c r="AE30" i="11"/>
  <c r="AK30" i="11" s="1"/>
  <c r="AC30" i="11" s="1"/>
  <c r="AE27" i="11"/>
  <c r="AK27" i="11" s="1"/>
  <c r="AC27" i="11" s="1"/>
  <c r="AE29" i="11"/>
  <c r="AK29" i="11" s="1"/>
  <c r="AC29" i="11" s="1"/>
  <c r="AE13" i="9"/>
  <c r="AK13" i="9" s="1"/>
  <c r="AC13" i="9" s="1"/>
  <c r="AF30" i="11" l="1"/>
  <c r="AG30" i="11" s="1"/>
  <c r="AH30" i="11" s="1"/>
  <c r="AI30" i="11" s="1"/>
  <c r="AC14" i="9"/>
  <c r="AF14" i="9" s="1"/>
  <c r="AG14" i="9" s="1"/>
  <c r="AH14" i="9" s="1"/>
  <c r="AI14" i="9" s="1"/>
  <c r="AC15" i="9"/>
  <c r="AF15" i="9" s="1"/>
  <c r="AG15" i="9" s="1"/>
  <c r="AH15" i="9" s="1"/>
  <c r="AI15" i="9" s="1"/>
  <c r="AF29" i="11"/>
  <c r="AG29" i="11" s="1"/>
  <c r="AH29" i="11" s="1"/>
  <c r="AI29" i="11" s="1"/>
  <c r="AF28" i="11"/>
  <c r="AG28" i="11" s="1"/>
  <c r="AH28" i="11" s="1"/>
  <c r="AI28" i="11" s="1"/>
  <c r="AF27" i="11"/>
  <c r="AG27" i="11" s="1"/>
  <c r="AH27" i="11" s="1"/>
  <c r="AI27" i="11" s="1"/>
  <c r="AF21" i="13"/>
  <c r="AG21" i="13" s="1"/>
  <c r="AF19" i="12"/>
  <c r="AG19" i="12" s="1"/>
  <c r="AH19" i="12" s="1"/>
  <c r="AI19" i="12" s="1"/>
  <c r="AF18" i="12"/>
  <c r="AG18" i="12" s="1"/>
  <c r="AH18" i="12" s="1"/>
  <c r="AI18" i="12" s="1"/>
  <c r="AF17" i="10"/>
  <c r="AG17" i="10" s="1"/>
  <c r="AH17" i="10" s="1"/>
  <c r="AI17" i="10" s="1"/>
  <c r="AF13" i="10"/>
  <c r="AG13" i="10" s="1"/>
  <c r="AH13" i="10" s="1"/>
  <c r="AI13" i="10" s="1"/>
  <c r="AF12" i="9"/>
  <c r="AG12" i="9" s="1"/>
  <c r="AH12" i="9" s="1"/>
  <c r="AI12" i="9" s="1"/>
  <c r="AF13" i="9"/>
  <c r="AG13" i="9" s="1"/>
  <c r="AH13" i="9" s="1"/>
  <c r="AI13" i="9" s="1"/>
  <c r="AF11" i="10"/>
  <c r="AG11" i="10" s="1"/>
  <c r="AH11" i="10" s="1"/>
  <c r="AI11" i="10" s="1"/>
  <c r="AF14" i="10"/>
  <c r="AG14" i="10" s="1"/>
  <c r="AH14" i="10" s="1"/>
  <c r="AI14" i="10" s="1"/>
  <c r="AH21" i="13" l="1"/>
  <c r="AI21" i="13" s="1"/>
  <c r="X23" i="8"/>
  <c r="W23" i="8"/>
  <c r="I23" i="8"/>
  <c r="I21" i="7"/>
  <c r="V21" i="7"/>
  <c r="U21" i="7"/>
  <c r="C4" i="7"/>
  <c r="U15" i="6"/>
  <c r="V36" i="6"/>
  <c r="U36" i="6"/>
  <c r="I36" i="6"/>
  <c r="V30" i="6"/>
  <c r="U30" i="6"/>
  <c r="I30" i="6"/>
  <c r="V29" i="6"/>
  <c r="U29" i="6"/>
  <c r="I29" i="6"/>
  <c r="V28" i="6"/>
  <c r="U28" i="6"/>
  <c r="I28" i="6"/>
  <c r="V27" i="6"/>
  <c r="U27" i="6"/>
  <c r="I27" i="6"/>
  <c r="V26" i="6"/>
  <c r="U26" i="6"/>
  <c r="I26" i="6"/>
  <c r="V25" i="6"/>
  <c r="U25" i="6"/>
  <c r="I25" i="6"/>
  <c r="V24" i="6"/>
  <c r="U24" i="6"/>
  <c r="I24" i="6"/>
  <c r="V23" i="6"/>
  <c r="U23" i="6"/>
  <c r="I23" i="6"/>
  <c r="V14" i="6"/>
  <c r="U14" i="6"/>
  <c r="I14" i="6"/>
  <c r="A3" i="29"/>
  <c r="A3" i="28"/>
  <c r="A3" i="25"/>
  <c r="A3" i="26"/>
  <c r="A3" i="30"/>
  <c r="A3" i="23"/>
  <c r="A3" i="22"/>
  <c r="A3" i="21"/>
  <c r="A3" i="15"/>
  <c r="A3" i="17"/>
  <c r="A3" i="16"/>
  <c r="A3" i="14"/>
  <c r="A3" i="13"/>
  <c r="A3" i="12"/>
  <c r="A3" i="11"/>
  <c r="A3" i="10"/>
  <c r="A3" i="9"/>
  <c r="A3" i="8"/>
  <c r="A3" i="7"/>
  <c r="A3" i="5"/>
  <c r="W45" i="30"/>
  <c r="V45" i="30"/>
  <c r="T45" i="30"/>
  <c r="Q45" i="30"/>
  <c r="J45" i="30"/>
  <c r="I45" i="30"/>
  <c r="H45" i="30"/>
  <c r="G45" i="30"/>
  <c r="F45" i="30"/>
  <c r="E45" i="30"/>
  <c r="S44" i="30"/>
  <c r="R44" i="30"/>
  <c r="S43" i="30"/>
  <c r="R43" i="30"/>
  <c r="S42" i="30"/>
  <c r="R42" i="30"/>
  <c r="S34" i="30"/>
  <c r="R34" i="30"/>
  <c r="S33" i="30"/>
  <c r="R33" i="30"/>
  <c r="S32" i="30"/>
  <c r="R32" i="30"/>
  <c r="S31" i="30"/>
  <c r="R31" i="30"/>
  <c r="S30" i="30"/>
  <c r="R30" i="30"/>
  <c r="S29" i="30"/>
  <c r="R29" i="30"/>
  <c r="S28" i="30"/>
  <c r="R28" i="30"/>
  <c r="S27" i="30"/>
  <c r="R27" i="30"/>
  <c r="S26" i="30"/>
  <c r="R26" i="30"/>
  <c r="S25" i="30"/>
  <c r="R25" i="30"/>
  <c r="S24" i="30"/>
  <c r="R24" i="30"/>
  <c r="S23" i="30"/>
  <c r="R23" i="30"/>
  <c r="S22" i="30"/>
  <c r="R22" i="30"/>
  <c r="S21" i="30"/>
  <c r="R21" i="30"/>
  <c r="S20" i="30"/>
  <c r="R20" i="30"/>
  <c r="S19" i="30"/>
  <c r="R19" i="30"/>
  <c r="S18" i="30"/>
  <c r="R18" i="30"/>
  <c r="S17" i="30"/>
  <c r="R17" i="30"/>
  <c r="S16" i="30"/>
  <c r="R16" i="30"/>
  <c r="S15" i="30"/>
  <c r="R15" i="30"/>
  <c r="S14" i="30"/>
  <c r="R14" i="30"/>
  <c r="S12" i="30"/>
  <c r="R12" i="30"/>
  <c r="R11" i="30"/>
  <c r="R10" i="30"/>
  <c r="R9" i="30"/>
  <c r="R8" i="30"/>
  <c r="N8" i="30"/>
  <c r="C4" i="30"/>
  <c r="W9" i="28"/>
  <c r="R9" i="28"/>
  <c r="Q9" i="28"/>
  <c r="Z44" i="30" l="1"/>
  <c r="AA9" i="28"/>
  <c r="AB9" i="28" s="1"/>
  <c r="AC9" i="28" s="1"/>
  <c r="F23" i="8"/>
  <c r="Z43" i="30"/>
  <c r="Z31" i="30"/>
  <c r="Z22" i="30"/>
  <c r="Z30" i="30"/>
  <c r="Z11" i="30"/>
  <c r="Z8" i="30"/>
  <c r="F29" i="6"/>
  <c r="F28" i="6"/>
  <c r="F27" i="6"/>
  <c r="F14" i="6"/>
  <c r="F36" i="6"/>
  <c r="F21" i="7"/>
  <c r="F25" i="6"/>
  <c r="F24" i="6"/>
  <c r="F30" i="6"/>
  <c r="Z16" i="30"/>
  <c r="Z20" i="30"/>
  <c r="Z28" i="30"/>
  <c r="Z14" i="30"/>
  <c r="Z42" i="30"/>
  <c r="Z17" i="30"/>
  <c r="U45" i="30"/>
  <c r="Z33" i="30"/>
  <c r="Z21" i="30"/>
  <c r="Z27" i="30"/>
  <c r="Z26" i="30"/>
  <c r="Z34" i="30"/>
  <c r="S45" i="30"/>
  <c r="Z12" i="30"/>
  <c r="AF12" i="30" s="1"/>
  <c r="X12" i="30" s="1"/>
  <c r="Z24" i="30"/>
  <c r="Z29" i="30"/>
  <c r="Z32" i="30"/>
  <c r="F26" i="6"/>
  <c r="F23" i="6"/>
  <c r="Z25" i="30"/>
  <c r="N45" i="30"/>
  <c r="Z9" i="30"/>
  <c r="Z18" i="30"/>
  <c r="K45" i="30"/>
  <c r="Z23" i="30"/>
  <c r="M45" i="30"/>
  <c r="Z19" i="30"/>
  <c r="O45" i="30"/>
  <c r="Z15" i="30"/>
  <c r="R45" i="30"/>
  <c r="Z10" i="30"/>
  <c r="AF10" i="30" s="1"/>
  <c r="X10" i="30" s="1"/>
  <c r="AA28" i="30" l="1"/>
  <c r="AB28" i="30" s="1"/>
  <c r="AC28" i="30" s="1"/>
  <c r="AD28" i="30" s="1"/>
  <c r="AA27" i="30"/>
  <c r="AB27" i="30" s="1"/>
  <c r="AC27" i="30" s="1"/>
  <c r="AD27" i="30" s="1"/>
  <c r="AA32" i="30"/>
  <c r="AB32" i="30" s="1"/>
  <c r="AC32" i="30" s="1"/>
  <c r="AD32" i="30" s="1"/>
  <c r="AA33" i="30"/>
  <c r="AB33" i="30" s="1"/>
  <c r="AC33" i="30" s="1"/>
  <c r="AD33" i="30" s="1"/>
  <c r="AA42" i="30"/>
  <c r="AB42" i="30" s="1"/>
  <c r="AC42" i="30" s="1"/>
  <c r="AD42" i="30" s="1"/>
  <c r="AA26" i="30"/>
  <c r="AB26" i="30" s="1"/>
  <c r="AC26" i="30" s="1"/>
  <c r="AD26" i="30" s="1"/>
  <c r="AA43" i="30"/>
  <c r="AB43" i="30" s="1"/>
  <c r="AC43" i="30" s="1"/>
  <c r="AD43" i="30" s="1"/>
  <c r="AA29" i="30"/>
  <c r="AB29" i="30" s="1"/>
  <c r="AC29" i="30" s="1"/>
  <c r="AD29" i="30" s="1"/>
  <c r="AA44" i="30"/>
  <c r="AB44" i="30" s="1"/>
  <c r="AC44" i="30" s="1"/>
  <c r="AD44" i="30" s="1"/>
  <c r="AA17" i="30"/>
  <c r="AB17" i="30" s="1"/>
  <c r="AC17" i="30" s="1"/>
  <c r="AD17" i="30" s="1"/>
  <c r="AA10" i="30"/>
  <c r="AB10" i="30" s="1"/>
  <c r="AC10" i="30" s="1"/>
  <c r="AD10" i="30" s="1"/>
  <c r="AA9" i="30"/>
  <c r="AB9" i="30" s="1"/>
  <c r="AC9" i="30" s="1"/>
  <c r="AD9" i="30" s="1"/>
  <c r="AA8" i="30"/>
  <c r="AB8" i="30" s="1"/>
  <c r="AC8" i="30" s="1"/>
  <c r="AD8" i="30" s="1"/>
  <c r="P23" i="8"/>
  <c r="Q23" i="8"/>
  <c r="Q21" i="7"/>
  <c r="P21" i="7"/>
  <c r="R21" i="7"/>
  <c r="P36" i="6"/>
  <c r="R36" i="6"/>
  <c r="Q36" i="6"/>
  <c r="P30" i="6"/>
  <c r="Q30" i="6"/>
  <c r="R30" i="6"/>
  <c r="P29" i="6"/>
  <c r="Q29" i="6"/>
  <c r="R29" i="6"/>
  <c r="P28" i="6"/>
  <c r="Q28" i="6"/>
  <c r="R28" i="6"/>
  <c r="P27" i="6"/>
  <c r="Q27" i="6"/>
  <c r="R27" i="6"/>
  <c r="P26" i="6"/>
  <c r="Q26" i="6"/>
  <c r="R26" i="6"/>
  <c r="R25" i="6"/>
  <c r="P25" i="6"/>
  <c r="Q25" i="6"/>
  <c r="R24" i="6"/>
  <c r="P24" i="6"/>
  <c r="Q24" i="6"/>
  <c r="Q23" i="6"/>
  <c r="R23" i="6"/>
  <c r="P23" i="6"/>
  <c r="P14" i="6"/>
  <c r="Q14" i="6"/>
  <c r="R14" i="6"/>
  <c r="AA16" i="30"/>
  <c r="AB16" i="30" s="1"/>
  <c r="AC16" i="30" s="1"/>
  <c r="AD16" i="30" s="1"/>
  <c r="AA30" i="30"/>
  <c r="AB30" i="30" s="1"/>
  <c r="AC30" i="30" s="1"/>
  <c r="AD30" i="30" s="1"/>
  <c r="AA31" i="30"/>
  <c r="AB31" i="30" s="1"/>
  <c r="AC31" i="30" s="1"/>
  <c r="AD31" i="30" s="1"/>
  <c r="AA24" i="30"/>
  <c r="AB24" i="30" s="1"/>
  <c r="AC24" i="30" s="1"/>
  <c r="AD24" i="30" s="1"/>
  <c r="AA22" i="30"/>
  <c r="AB22" i="30" s="1"/>
  <c r="AC22" i="30" s="1"/>
  <c r="AD22" i="30" s="1"/>
  <c r="AA21" i="30"/>
  <c r="AB21" i="30" s="1"/>
  <c r="AC21" i="30" s="1"/>
  <c r="AD21" i="30" s="1"/>
  <c r="O29" i="6"/>
  <c r="X29" i="6" s="1"/>
  <c r="O28" i="6"/>
  <c r="O27" i="6"/>
  <c r="AA34" i="30"/>
  <c r="AB34" i="30" s="1"/>
  <c r="AC34" i="30" s="1"/>
  <c r="AD34" i="30" s="1"/>
  <c r="O14" i="6"/>
  <c r="X14" i="6" s="1"/>
  <c r="O36" i="6"/>
  <c r="O23" i="8"/>
  <c r="O23" i="6"/>
  <c r="O26" i="6"/>
  <c r="O30" i="6"/>
  <c r="O24" i="6"/>
  <c r="O25" i="6"/>
  <c r="O21" i="7"/>
  <c r="AA15" i="30"/>
  <c r="AB15" i="30" s="1"/>
  <c r="AA14" i="30" l="1"/>
  <c r="AB14" i="30" s="1"/>
  <c r="AC14" i="30" s="1"/>
  <c r="AD14" i="30" s="1"/>
  <c r="AA12" i="30"/>
  <c r="AB12" i="30" s="1"/>
  <c r="AC12" i="30" s="1"/>
  <c r="AD12" i="30" s="1"/>
  <c r="AA11" i="30"/>
  <c r="AB11" i="30" s="1"/>
  <c r="AC11" i="30" s="1"/>
  <c r="AD11" i="30" s="1"/>
  <c r="AA25" i="30"/>
  <c r="AB25" i="30" s="1"/>
  <c r="AC25" i="30" s="1"/>
  <c r="AD25" i="30" s="1"/>
  <c r="AA23" i="30"/>
  <c r="AB23" i="30" s="1"/>
  <c r="AC23" i="30" s="1"/>
  <c r="AD23" i="30" s="1"/>
  <c r="AA20" i="30"/>
  <c r="AB20" i="30" s="1"/>
  <c r="AC20" i="30" s="1"/>
  <c r="AD20" i="30" s="1"/>
  <c r="AA19" i="30"/>
  <c r="AB19" i="30" s="1"/>
  <c r="AC19" i="30" s="1"/>
  <c r="AD19" i="30" s="1"/>
  <c r="AA18" i="30"/>
  <c r="AM23" i="8"/>
  <c r="AE23" i="8" s="1"/>
  <c r="AE36" i="6"/>
  <c r="AK36" i="6" s="1"/>
  <c r="AE28" i="6"/>
  <c r="AK28" i="6" s="1"/>
  <c r="AE21" i="7"/>
  <c r="AK21" i="7" s="1"/>
  <c r="AC21" i="7" s="1"/>
  <c r="AE29" i="6"/>
  <c r="AK29" i="6" s="1"/>
  <c r="AE27" i="6"/>
  <c r="AK27" i="6" s="1"/>
  <c r="AE23" i="6"/>
  <c r="AE30" i="6"/>
  <c r="AK30" i="6" s="1"/>
  <c r="AE26" i="6"/>
  <c r="AK26" i="6" s="1"/>
  <c r="AE25" i="6"/>
  <c r="AK25" i="6" s="1"/>
  <c r="AE24" i="6"/>
  <c r="AE14" i="6"/>
  <c r="AC15" i="30"/>
  <c r="AD15" i="30" s="1"/>
  <c r="AF36" i="6" l="1"/>
  <c r="AG36" i="6" s="1"/>
  <c r="AH36" i="6" s="1"/>
  <c r="AI36" i="6" s="1"/>
  <c r="AF28" i="6"/>
  <c r="AG28" i="6" s="1"/>
  <c r="AH28" i="6" s="1"/>
  <c r="AI28" i="6" s="1"/>
  <c r="AB18" i="30"/>
  <c r="AA45" i="30"/>
  <c r="AK24" i="6"/>
  <c r="AK23" i="6"/>
  <c r="AK14" i="6"/>
  <c r="AF27" i="6"/>
  <c r="AG27" i="6" s="1"/>
  <c r="AH27" i="6" s="1"/>
  <c r="AI27" i="6" s="1"/>
  <c r="AF29" i="6"/>
  <c r="AG29" i="6" s="1"/>
  <c r="AH29" i="6" s="1"/>
  <c r="AI29" i="6" s="1"/>
  <c r="AH23" i="8"/>
  <c r="AI23" i="8" s="1"/>
  <c r="AJ23" i="8" s="1"/>
  <c r="AK23" i="8" s="1"/>
  <c r="AF25" i="6"/>
  <c r="AG25" i="6" s="1"/>
  <c r="AH25" i="6" s="1"/>
  <c r="AI25" i="6" s="1"/>
  <c r="AF30" i="6"/>
  <c r="AG30" i="6" s="1"/>
  <c r="AH30" i="6" s="1"/>
  <c r="AI30" i="6" s="1"/>
  <c r="AF21" i="7"/>
  <c r="AG21" i="7" s="1"/>
  <c r="AH21" i="7" s="1"/>
  <c r="AI21" i="7" s="1"/>
  <c r="AF26" i="6"/>
  <c r="AG26" i="6" s="1"/>
  <c r="AF14" i="6" l="1"/>
  <c r="AG14" i="6" s="1"/>
  <c r="AH14" i="6" s="1"/>
  <c r="AI14" i="6" s="1"/>
  <c r="AF24" i="6"/>
  <c r="AG24" i="6" s="1"/>
  <c r="AH24" i="6" s="1"/>
  <c r="AI24" i="6" s="1"/>
  <c r="AF23" i="6"/>
  <c r="AG23" i="6" s="1"/>
  <c r="AH23" i="6" s="1"/>
  <c r="AI23" i="6" s="1"/>
  <c r="AC18" i="30"/>
  <c r="AB45" i="30"/>
  <c r="AH26" i="6"/>
  <c r="AI26" i="6" s="1"/>
  <c r="W8" i="28"/>
  <c r="AD18" i="30" l="1"/>
  <c r="AD45" i="30" s="1"/>
  <c r="AC45" i="30"/>
  <c r="C4" i="8"/>
  <c r="C4" i="5"/>
  <c r="C4" i="6"/>
  <c r="R9" i="29" l="1"/>
  <c r="N9" i="29"/>
  <c r="M9" i="29"/>
  <c r="L9" i="29"/>
  <c r="K9" i="29"/>
  <c r="X12" i="28"/>
  <c r="V12" i="28"/>
  <c r="U12" i="28"/>
  <c r="S12" i="28"/>
  <c r="P12" i="28"/>
  <c r="J12" i="28"/>
  <c r="I12" i="28"/>
  <c r="H12" i="28"/>
  <c r="G12" i="28"/>
  <c r="F12" i="28"/>
  <c r="E12" i="28"/>
  <c r="T12" i="28"/>
  <c r="R8" i="28"/>
  <c r="Q8" i="28"/>
  <c r="C4" i="28"/>
  <c r="X12" i="26"/>
  <c r="V12" i="26"/>
  <c r="U12" i="26"/>
  <c r="S12" i="26"/>
  <c r="P12" i="26"/>
  <c r="J12" i="26"/>
  <c r="I12" i="26"/>
  <c r="H12" i="26"/>
  <c r="G12" i="26"/>
  <c r="F12" i="26"/>
  <c r="E12" i="26"/>
  <c r="R11" i="26"/>
  <c r="Q11" i="26"/>
  <c r="R10" i="26"/>
  <c r="Q10" i="26"/>
  <c r="Y10" i="26" s="1"/>
  <c r="R9" i="26"/>
  <c r="Q9" i="26"/>
  <c r="R8" i="26"/>
  <c r="Q8" i="26"/>
  <c r="C4" i="26"/>
  <c r="Y10" i="25"/>
  <c r="W10" i="25"/>
  <c r="V10" i="25"/>
  <c r="T10" i="25"/>
  <c r="Q10" i="25"/>
  <c r="J10" i="25"/>
  <c r="I10" i="25"/>
  <c r="H10" i="25"/>
  <c r="G10" i="25"/>
  <c r="F10" i="25"/>
  <c r="E10" i="25"/>
  <c r="S9" i="25"/>
  <c r="R9" i="25"/>
  <c r="S8" i="25"/>
  <c r="R8" i="25"/>
  <c r="C4" i="25"/>
  <c r="X14" i="23"/>
  <c r="V14" i="23"/>
  <c r="U14" i="23"/>
  <c r="S14" i="23"/>
  <c r="P14" i="23"/>
  <c r="J14" i="23"/>
  <c r="I14" i="23"/>
  <c r="H14" i="23"/>
  <c r="G14" i="23"/>
  <c r="F14" i="23"/>
  <c r="E14" i="23"/>
  <c r="R13" i="23"/>
  <c r="Q13" i="23"/>
  <c r="Y13" i="23" s="1"/>
  <c r="R12" i="23"/>
  <c r="Q12" i="23"/>
  <c r="R11" i="23"/>
  <c r="Q11" i="23"/>
  <c r="R10" i="23"/>
  <c r="Q10" i="23"/>
  <c r="R9" i="23"/>
  <c r="Q9" i="23"/>
  <c r="Y9" i="23" s="1"/>
  <c r="R8" i="23"/>
  <c r="Q8" i="23"/>
  <c r="C4" i="23"/>
  <c r="R11" i="21"/>
  <c r="Q11" i="21"/>
  <c r="Y11" i="21" s="1"/>
  <c r="X13" i="22"/>
  <c r="V13" i="22"/>
  <c r="U13" i="22"/>
  <c r="S13" i="22"/>
  <c r="P13" i="22"/>
  <c r="J13" i="22"/>
  <c r="I13" i="22"/>
  <c r="H13" i="22"/>
  <c r="G13" i="22"/>
  <c r="F13" i="22"/>
  <c r="E13" i="22"/>
  <c r="R12" i="22"/>
  <c r="Q12" i="22"/>
  <c r="R11" i="22"/>
  <c r="Q11" i="22"/>
  <c r="R10" i="22"/>
  <c r="Q10" i="22"/>
  <c r="Y10" i="22" s="1"/>
  <c r="R9" i="22"/>
  <c r="Q9" i="22"/>
  <c r="Y9" i="22" s="1"/>
  <c r="R8" i="22"/>
  <c r="Q8" i="22"/>
  <c r="C4" i="22"/>
  <c r="X12" i="21"/>
  <c r="V12" i="21"/>
  <c r="U12" i="21"/>
  <c r="S12" i="21"/>
  <c r="P12" i="21"/>
  <c r="J12" i="21"/>
  <c r="I12" i="21"/>
  <c r="H12" i="21"/>
  <c r="G12" i="21"/>
  <c r="F12" i="21"/>
  <c r="E12" i="21"/>
  <c r="T12" i="21"/>
  <c r="R10" i="21"/>
  <c r="Y10" i="21" s="1"/>
  <c r="Q10" i="21"/>
  <c r="R9" i="21"/>
  <c r="Q9" i="21"/>
  <c r="R8" i="21"/>
  <c r="Q8" i="21"/>
  <c r="C4" i="21"/>
  <c r="Y21" i="17"/>
  <c r="W21" i="17"/>
  <c r="V21" i="17"/>
  <c r="T21" i="17"/>
  <c r="Q21" i="17"/>
  <c r="J21" i="17"/>
  <c r="I21" i="17"/>
  <c r="H21" i="17"/>
  <c r="G21" i="17"/>
  <c r="F21" i="17"/>
  <c r="E21" i="17"/>
  <c r="S17" i="17"/>
  <c r="R17" i="17"/>
  <c r="S16" i="17"/>
  <c r="R16" i="17"/>
  <c r="S15" i="17"/>
  <c r="R15" i="17"/>
  <c r="S14" i="17"/>
  <c r="R14" i="17"/>
  <c r="S13" i="17"/>
  <c r="R13" i="17"/>
  <c r="S12" i="17"/>
  <c r="R12" i="17"/>
  <c r="S11" i="17"/>
  <c r="R11" i="17"/>
  <c r="S10" i="17"/>
  <c r="R10" i="17"/>
  <c r="S9" i="17"/>
  <c r="R9" i="17"/>
  <c r="Z9" i="17" s="1"/>
  <c r="S8" i="17"/>
  <c r="R8" i="17"/>
  <c r="C4" i="17"/>
  <c r="X11" i="16"/>
  <c r="W11" i="16"/>
  <c r="V11" i="16"/>
  <c r="U11" i="16"/>
  <c r="S11" i="16"/>
  <c r="P11" i="16"/>
  <c r="J11" i="16"/>
  <c r="I11" i="16"/>
  <c r="H11" i="16"/>
  <c r="G11" i="16"/>
  <c r="F11" i="16"/>
  <c r="E11" i="16"/>
  <c r="Z10" i="16"/>
  <c r="R10" i="16"/>
  <c r="Q10" i="16"/>
  <c r="Y10" i="16" s="1"/>
  <c r="Z9" i="16"/>
  <c r="R9" i="16"/>
  <c r="Q9" i="16"/>
  <c r="Z8" i="16"/>
  <c r="R8" i="16"/>
  <c r="Q8" i="16"/>
  <c r="M8" i="16"/>
  <c r="L8" i="16"/>
  <c r="Y8" i="16" s="1"/>
  <c r="C4" i="16"/>
  <c r="E11" i="15"/>
  <c r="Z15" i="17" l="1"/>
  <c r="Y11" i="26"/>
  <c r="Y10" i="23"/>
  <c r="AE10" i="23" s="1"/>
  <c r="Y8" i="23"/>
  <c r="Y8" i="22"/>
  <c r="AE8" i="22" s="1"/>
  <c r="Y12" i="22"/>
  <c r="AE12" i="22" s="1"/>
  <c r="W12" i="22" s="1"/>
  <c r="Z17" i="17"/>
  <c r="AF17" i="17" s="1"/>
  <c r="X17" i="17" s="1"/>
  <c r="Z13" i="17"/>
  <c r="AF13" i="17" s="1"/>
  <c r="X13" i="17" s="1"/>
  <c r="Y12" i="28"/>
  <c r="Y9" i="26"/>
  <c r="Y8" i="21"/>
  <c r="Y11" i="22"/>
  <c r="AE11" i="22" s="1"/>
  <c r="W11" i="22" s="1"/>
  <c r="Y11" i="23"/>
  <c r="Y9" i="16"/>
  <c r="AA9" i="16" s="1"/>
  <c r="Z14" i="17"/>
  <c r="AF14" i="17" s="1"/>
  <c r="X14" i="17" s="1"/>
  <c r="Z20" i="17"/>
  <c r="AF20" i="17" s="1"/>
  <c r="X20" i="17" s="1"/>
  <c r="Y9" i="21"/>
  <c r="Y12" i="23"/>
  <c r="Q9" i="29"/>
  <c r="Y9" i="29"/>
  <c r="R14" i="23"/>
  <c r="Z8" i="25"/>
  <c r="AF8" i="25" s="1"/>
  <c r="Y8" i="26"/>
  <c r="Z10" i="17"/>
  <c r="Z11" i="17"/>
  <c r="AF11" i="17" s="1"/>
  <c r="X11" i="17" s="1"/>
  <c r="Z8" i="17"/>
  <c r="Z12" i="17"/>
  <c r="AF12" i="17" s="1"/>
  <c r="X12" i="17" s="1"/>
  <c r="Z16" i="17"/>
  <c r="AF16" i="17" s="1"/>
  <c r="X16" i="17" s="1"/>
  <c r="Z9" i="25"/>
  <c r="K10" i="25"/>
  <c r="N13" i="22"/>
  <c r="N14" i="23"/>
  <c r="M12" i="28"/>
  <c r="N12" i="28"/>
  <c r="M10" i="25"/>
  <c r="U10" i="25"/>
  <c r="K12" i="28"/>
  <c r="L12" i="28"/>
  <c r="Q12" i="28"/>
  <c r="R12" i="28"/>
  <c r="N12" i="26"/>
  <c r="Q12" i="26"/>
  <c r="M12" i="26"/>
  <c r="T12" i="26"/>
  <c r="K12" i="26"/>
  <c r="R12" i="26"/>
  <c r="L12" i="26"/>
  <c r="S10" i="25"/>
  <c r="R10" i="25"/>
  <c r="L10" i="25"/>
  <c r="N10" i="25"/>
  <c r="M14" i="23"/>
  <c r="T13" i="22"/>
  <c r="AE9" i="22"/>
  <c r="W9" i="22" s="1"/>
  <c r="T14" i="23"/>
  <c r="Q14" i="23"/>
  <c r="K14" i="23"/>
  <c r="L14" i="23"/>
  <c r="L12" i="21"/>
  <c r="M12" i="21"/>
  <c r="N12" i="21"/>
  <c r="R12" i="21"/>
  <c r="K12" i="21"/>
  <c r="K13" i="22"/>
  <c r="L13" i="22"/>
  <c r="M13" i="22"/>
  <c r="Q13" i="22"/>
  <c r="R13" i="22"/>
  <c r="AE10" i="22"/>
  <c r="W10" i="22" s="1"/>
  <c r="Q12" i="21"/>
  <c r="N21" i="17"/>
  <c r="AF9" i="17"/>
  <c r="X9" i="17" s="1"/>
  <c r="AF15" i="17"/>
  <c r="X15" i="17" s="1"/>
  <c r="U21" i="17"/>
  <c r="R21" i="17"/>
  <c r="K21" i="17"/>
  <c r="S21" i="17"/>
  <c r="L21" i="17"/>
  <c r="M21" i="17"/>
  <c r="M11" i="16"/>
  <c r="N11" i="16"/>
  <c r="AA8" i="16"/>
  <c r="AA10" i="16"/>
  <c r="AB10" i="16" s="1"/>
  <c r="AC10" i="16" s="1"/>
  <c r="Q11" i="16"/>
  <c r="Z11" i="16"/>
  <c r="T11" i="16"/>
  <c r="K11" i="16"/>
  <c r="R11" i="16"/>
  <c r="L11" i="16"/>
  <c r="R10" i="15"/>
  <c r="Y10" i="15" s="1"/>
  <c r="Y8" i="15"/>
  <c r="U11" i="15"/>
  <c r="T11" i="15"/>
  <c r="S11" i="15"/>
  <c r="J11" i="15"/>
  <c r="I11" i="15"/>
  <c r="H11" i="15"/>
  <c r="G11" i="15"/>
  <c r="F11" i="15"/>
  <c r="C4" i="15"/>
  <c r="AD13" i="14"/>
  <c r="AA13" i="14"/>
  <c r="Y13" i="14"/>
  <c r="W13" i="14"/>
  <c r="N13" i="14"/>
  <c r="M13" i="14"/>
  <c r="L13" i="14"/>
  <c r="K13" i="14"/>
  <c r="J13" i="14"/>
  <c r="H13" i="14"/>
  <c r="G13" i="14"/>
  <c r="E13" i="14"/>
  <c r="V8" i="14"/>
  <c r="U8" i="14"/>
  <c r="I8" i="14"/>
  <c r="C4" i="14"/>
  <c r="V20" i="13"/>
  <c r="U20" i="13"/>
  <c r="I20" i="13"/>
  <c r="V19" i="13"/>
  <c r="U19" i="13"/>
  <c r="I19" i="13"/>
  <c r="V18" i="13"/>
  <c r="U18" i="13"/>
  <c r="I18" i="13"/>
  <c r="AD25" i="13"/>
  <c r="AB25" i="13"/>
  <c r="AA25" i="13"/>
  <c r="Y25" i="13"/>
  <c r="W25" i="13"/>
  <c r="T25" i="13"/>
  <c r="N25" i="13"/>
  <c r="M25" i="13"/>
  <c r="L25" i="13"/>
  <c r="K25" i="13"/>
  <c r="J25" i="13"/>
  <c r="H25" i="13"/>
  <c r="G25" i="13"/>
  <c r="E25" i="13"/>
  <c r="V24" i="13"/>
  <c r="U24" i="13"/>
  <c r="V17" i="13"/>
  <c r="U17" i="13"/>
  <c r="I17" i="13"/>
  <c r="V16" i="13"/>
  <c r="U16" i="13"/>
  <c r="I16" i="13"/>
  <c r="V15" i="13"/>
  <c r="U15" i="13"/>
  <c r="I15" i="13"/>
  <c r="V14" i="13"/>
  <c r="U14" i="13"/>
  <c r="I14" i="13"/>
  <c r="V13" i="13"/>
  <c r="U13" i="13"/>
  <c r="I13" i="13"/>
  <c r="V12" i="13"/>
  <c r="U12" i="13"/>
  <c r="I12" i="13"/>
  <c r="V11" i="13"/>
  <c r="U11" i="13"/>
  <c r="I11" i="13"/>
  <c r="V10" i="13"/>
  <c r="U10" i="13"/>
  <c r="I10" i="13"/>
  <c r="V9" i="13"/>
  <c r="U9" i="13"/>
  <c r="I9" i="13"/>
  <c r="V8" i="13"/>
  <c r="U8" i="13"/>
  <c r="I8" i="13"/>
  <c r="C4" i="13"/>
  <c r="V8" i="12"/>
  <c r="U8" i="12"/>
  <c r="AD24" i="12"/>
  <c r="AB24" i="12"/>
  <c r="AA24" i="12"/>
  <c r="Y24" i="12"/>
  <c r="T24" i="12"/>
  <c r="N24" i="12"/>
  <c r="M24" i="12"/>
  <c r="L24" i="12"/>
  <c r="K24" i="12"/>
  <c r="H24" i="12"/>
  <c r="G24" i="12"/>
  <c r="E24" i="12"/>
  <c r="V17" i="12"/>
  <c r="U17" i="12"/>
  <c r="V16" i="12"/>
  <c r="U16" i="12"/>
  <c r="V15" i="12"/>
  <c r="U15" i="12"/>
  <c r="V14" i="12"/>
  <c r="U14" i="12"/>
  <c r="V13" i="12"/>
  <c r="U13" i="12"/>
  <c r="V12" i="12"/>
  <c r="U12" i="12"/>
  <c r="V11" i="12"/>
  <c r="U11" i="12"/>
  <c r="V10" i="12"/>
  <c r="U10" i="12"/>
  <c r="U9" i="12"/>
  <c r="W24" i="12"/>
  <c r="C4" i="12"/>
  <c r="AA33" i="11"/>
  <c r="AA8" i="28" l="1"/>
  <c r="AB8" i="28" s="1"/>
  <c r="AC8" i="28" s="1"/>
  <c r="W10" i="23"/>
  <c r="Z10" i="23" s="1"/>
  <c r="AA10" i="23" s="1"/>
  <c r="AB10" i="23" s="1"/>
  <c r="Y12" i="21"/>
  <c r="Z10" i="25"/>
  <c r="F14" i="13"/>
  <c r="F13" i="13"/>
  <c r="F12" i="13"/>
  <c r="F11" i="13"/>
  <c r="F10" i="13"/>
  <c r="F8" i="13"/>
  <c r="O8" i="13" s="1"/>
  <c r="AF8" i="17"/>
  <c r="AF10" i="17"/>
  <c r="F19" i="13"/>
  <c r="F18" i="13"/>
  <c r="F17" i="13"/>
  <c r="F16" i="13"/>
  <c r="F15" i="13"/>
  <c r="W9" i="29"/>
  <c r="AA8" i="25"/>
  <c r="AB8" i="25" s="1"/>
  <c r="AF9" i="25"/>
  <c r="AE8" i="26"/>
  <c r="W8" i="26" s="1"/>
  <c r="AE9" i="26"/>
  <c r="W9" i="26" s="1"/>
  <c r="Z9" i="26" s="1"/>
  <c r="AA9" i="26" s="1"/>
  <c r="AB9" i="26" s="1"/>
  <c r="AC9" i="26" s="1"/>
  <c r="AE10" i="26"/>
  <c r="W10" i="26" s="1"/>
  <c r="Z10" i="26" s="1"/>
  <c r="AA10" i="26" s="1"/>
  <c r="AB10" i="26" s="1"/>
  <c r="AC10" i="26" s="1"/>
  <c r="AE11" i="26"/>
  <c r="W11" i="26" s="1"/>
  <c r="Z11" i="26" s="1"/>
  <c r="AA11" i="26" s="1"/>
  <c r="AB11" i="26" s="1"/>
  <c r="AC11" i="26" s="1"/>
  <c r="AE13" i="23"/>
  <c r="AE9" i="23"/>
  <c r="AE8" i="23"/>
  <c r="W8" i="23" s="1"/>
  <c r="AE12" i="23"/>
  <c r="AE11" i="23"/>
  <c r="AE10" i="21"/>
  <c r="AE11" i="21"/>
  <c r="AE9" i="21"/>
  <c r="AE8" i="21"/>
  <c r="Z13" i="14"/>
  <c r="U13" i="14"/>
  <c r="V13" i="14"/>
  <c r="F17" i="12"/>
  <c r="F16" i="12"/>
  <c r="F15" i="12"/>
  <c r="F14" i="12"/>
  <c r="F13" i="12"/>
  <c r="F12" i="12"/>
  <c r="F11" i="12"/>
  <c r="F10" i="12"/>
  <c r="F9" i="12"/>
  <c r="F8" i="12"/>
  <c r="P8" i="12" s="1"/>
  <c r="Z12" i="22"/>
  <c r="AA12" i="22" s="1"/>
  <c r="AB12" i="22" s="1"/>
  <c r="AC12" i="22" s="1"/>
  <c r="Z11" i="22"/>
  <c r="AA11" i="22" s="1"/>
  <c r="Z9" i="22"/>
  <c r="AA9" i="22" s="1"/>
  <c r="AB9" i="22" s="1"/>
  <c r="AC9" i="22" s="1"/>
  <c r="Z10" i="22"/>
  <c r="AA10" i="22" s="1"/>
  <c r="AB10" i="22" s="1"/>
  <c r="AC10" i="22" s="1"/>
  <c r="AA15" i="17"/>
  <c r="AB15" i="17" s="1"/>
  <c r="AC15" i="17" s="1"/>
  <c r="AD15" i="17" s="1"/>
  <c r="AA16" i="17"/>
  <c r="AB16" i="17" s="1"/>
  <c r="AC16" i="17" s="1"/>
  <c r="AD16" i="17" s="1"/>
  <c r="AA11" i="17"/>
  <c r="AB11" i="17" s="1"/>
  <c r="AA20" i="17"/>
  <c r="AB20" i="17" s="1"/>
  <c r="AC20" i="17" s="1"/>
  <c r="AD20" i="17" s="1"/>
  <c r="AA12" i="17"/>
  <c r="AB12" i="17" s="1"/>
  <c r="AC12" i="17" s="1"/>
  <c r="AD12" i="17" s="1"/>
  <c r="AA14" i="17"/>
  <c r="AB14" i="17" s="1"/>
  <c r="AC14" i="17" s="1"/>
  <c r="AD14" i="17" s="1"/>
  <c r="AA17" i="17"/>
  <c r="AB17" i="17" s="1"/>
  <c r="AC17" i="17" s="1"/>
  <c r="AD17" i="17" s="1"/>
  <c r="AA13" i="17"/>
  <c r="AB13" i="17" s="1"/>
  <c r="AC13" i="17" s="1"/>
  <c r="AD13" i="17" s="1"/>
  <c r="Y12" i="26"/>
  <c r="Y14" i="23"/>
  <c r="Y13" i="22"/>
  <c r="Z21" i="17"/>
  <c r="AB9" i="16"/>
  <c r="AC9" i="16" s="1"/>
  <c r="AB8" i="16"/>
  <c r="AA11" i="16"/>
  <c r="Y11" i="16"/>
  <c r="R11" i="15"/>
  <c r="I13" i="14"/>
  <c r="F8" i="14"/>
  <c r="R8" i="14" s="1"/>
  <c r="F20" i="13"/>
  <c r="U25" i="13"/>
  <c r="F9" i="13"/>
  <c r="V25" i="13"/>
  <c r="I25" i="13"/>
  <c r="Z25" i="13"/>
  <c r="U24" i="12"/>
  <c r="V24" i="12"/>
  <c r="Z24" i="12"/>
  <c r="I24" i="12"/>
  <c r="AA10" i="17" l="1"/>
  <c r="AB10" i="17" s="1"/>
  <c r="AC10" i="17" s="1"/>
  <c r="AD10" i="17" s="1"/>
  <c r="X21" i="17"/>
  <c r="O20" i="13"/>
  <c r="R20" i="13"/>
  <c r="P20" i="13"/>
  <c r="Q20" i="13"/>
  <c r="Q19" i="13"/>
  <c r="R19" i="13"/>
  <c r="O19" i="13"/>
  <c r="P19" i="13"/>
  <c r="Q18" i="13"/>
  <c r="R18" i="13"/>
  <c r="O18" i="13"/>
  <c r="P18" i="13"/>
  <c r="Q17" i="13"/>
  <c r="R17" i="13"/>
  <c r="O17" i="13"/>
  <c r="P17" i="13"/>
  <c r="O16" i="13"/>
  <c r="P16" i="13"/>
  <c r="Q16" i="13"/>
  <c r="R16" i="13"/>
  <c r="Q15" i="13"/>
  <c r="P15" i="13"/>
  <c r="R15" i="13"/>
  <c r="O15" i="13"/>
  <c r="O14" i="13"/>
  <c r="P14" i="13"/>
  <c r="R14" i="13"/>
  <c r="Q14" i="13"/>
  <c r="O13" i="13"/>
  <c r="P13" i="13"/>
  <c r="Q13" i="13"/>
  <c r="R13" i="13"/>
  <c r="O12" i="13"/>
  <c r="Q12" i="13"/>
  <c r="R12" i="13"/>
  <c r="P12" i="13"/>
  <c r="O11" i="13"/>
  <c r="P11" i="13"/>
  <c r="Q11" i="13"/>
  <c r="R11" i="13"/>
  <c r="O10" i="13"/>
  <c r="P10" i="13"/>
  <c r="Q10" i="13"/>
  <c r="R10" i="13"/>
  <c r="O9" i="13"/>
  <c r="R9" i="13"/>
  <c r="P9" i="13"/>
  <c r="Q9" i="13"/>
  <c r="Q16" i="12"/>
  <c r="O16" i="12"/>
  <c r="P16" i="12"/>
  <c r="R16" i="12"/>
  <c r="O9" i="12"/>
  <c r="X9" i="12" s="1"/>
  <c r="P9" i="12"/>
  <c r="Q9" i="12"/>
  <c r="O10" i="12"/>
  <c r="P10" i="12"/>
  <c r="Q10" i="12"/>
  <c r="R10" i="12"/>
  <c r="O15" i="12"/>
  <c r="P15" i="12"/>
  <c r="Q15" i="12"/>
  <c r="R15" i="12"/>
  <c r="O17" i="12"/>
  <c r="P17" i="12"/>
  <c r="R17" i="12"/>
  <c r="Q17" i="12"/>
  <c r="O11" i="12"/>
  <c r="P11" i="12"/>
  <c r="R11" i="12"/>
  <c r="Q11" i="12"/>
  <c r="Q12" i="12"/>
  <c r="O12" i="12"/>
  <c r="R12" i="12"/>
  <c r="P12" i="12"/>
  <c r="O13" i="12"/>
  <c r="R13" i="12"/>
  <c r="P13" i="12"/>
  <c r="Q13" i="12"/>
  <c r="P14" i="12"/>
  <c r="R14" i="12"/>
  <c r="O14" i="12"/>
  <c r="Q14" i="12"/>
  <c r="W13" i="23"/>
  <c r="Z13" i="23" s="1"/>
  <c r="AA13" i="23" s="1"/>
  <c r="AB13" i="23" s="1"/>
  <c r="AC13" i="23" s="1"/>
  <c r="W12" i="23"/>
  <c r="Z12" i="23" s="1"/>
  <c r="AA12" i="23" s="1"/>
  <c r="AB12" i="23" s="1"/>
  <c r="AC12" i="23" s="1"/>
  <c r="W11" i="23"/>
  <c r="Z11" i="23" s="1"/>
  <c r="AA11" i="23" s="1"/>
  <c r="AB11" i="23" s="1"/>
  <c r="AC11" i="23" s="1"/>
  <c r="W9" i="23"/>
  <c r="Z9" i="23" s="1"/>
  <c r="AA9" i="23" s="1"/>
  <c r="AB9" i="23" s="1"/>
  <c r="AC9" i="23" s="1"/>
  <c r="W11" i="21"/>
  <c r="Z11" i="21" s="1"/>
  <c r="AA11" i="21" s="1"/>
  <c r="AB11" i="21" s="1"/>
  <c r="AC11" i="21" s="1"/>
  <c r="W12" i="21"/>
  <c r="X9" i="25"/>
  <c r="AA9" i="25" s="1"/>
  <c r="AB9" i="25" s="1"/>
  <c r="AC9" i="25" s="1"/>
  <c r="AD9" i="25" s="1"/>
  <c r="O8" i="14"/>
  <c r="R13" i="14"/>
  <c r="Q8" i="14"/>
  <c r="P8" i="14"/>
  <c r="W12" i="28"/>
  <c r="R8" i="13"/>
  <c r="P8" i="13"/>
  <c r="Q8" i="13"/>
  <c r="Z9" i="21"/>
  <c r="AA9" i="21" s="1"/>
  <c r="AB9" i="21" s="1"/>
  <c r="AC9" i="21" s="1"/>
  <c r="Z9" i="29"/>
  <c r="X10" i="25"/>
  <c r="W12" i="26"/>
  <c r="Z8" i="26"/>
  <c r="AC10" i="23"/>
  <c r="Z8" i="23"/>
  <c r="Z8" i="21"/>
  <c r="Q8" i="12"/>
  <c r="R8" i="12"/>
  <c r="O8" i="12"/>
  <c r="AB11" i="22"/>
  <c r="AC11" i="22" s="1"/>
  <c r="AC11" i="17"/>
  <c r="AD11" i="17" s="1"/>
  <c r="AE10" i="15"/>
  <c r="W10" i="15" s="1"/>
  <c r="AE8" i="15"/>
  <c r="W8" i="15" s="1"/>
  <c r="AE9" i="15"/>
  <c r="Z8" i="22"/>
  <c r="W13" i="22"/>
  <c r="AA9" i="17"/>
  <c r="AB9" i="17" s="1"/>
  <c r="AC9" i="17" s="1"/>
  <c r="AB11" i="16"/>
  <c r="AC8" i="16"/>
  <c r="AC11" i="16" s="1"/>
  <c r="N11" i="15"/>
  <c r="F13" i="14"/>
  <c r="F25" i="13"/>
  <c r="F24" i="12"/>
  <c r="W9" i="15" l="1"/>
  <c r="Z9" i="15" s="1"/>
  <c r="AA9" i="15" s="1"/>
  <c r="AB9" i="15" s="1"/>
  <c r="AC9" i="15" s="1"/>
  <c r="AA8" i="17"/>
  <c r="AB8" i="17" s="1"/>
  <c r="AC8" i="17" s="1"/>
  <c r="AD8" i="17" s="1"/>
  <c r="W14" i="23"/>
  <c r="Z10" i="21"/>
  <c r="AA10" i="21" s="1"/>
  <c r="AB10" i="21" s="1"/>
  <c r="AC10" i="21" s="1"/>
  <c r="AE13" i="13"/>
  <c r="AK13" i="13" s="1"/>
  <c r="AE14" i="13"/>
  <c r="AK14" i="13" s="1"/>
  <c r="AE19" i="13"/>
  <c r="AK19" i="13" s="1"/>
  <c r="AC19" i="13" s="1"/>
  <c r="AE20" i="13"/>
  <c r="AE15" i="13"/>
  <c r="AK15" i="13" s="1"/>
  <c r="AC15" i="13" s="1"/>
  <c r="AE12" i="13"/>
  <c r="AK12" i="13" s="1"/>
  <c r="AC12" i="13" s="1"/>
  <c r="AE9" i="13"/>
  <c r="AK9" i="13" s="1"/>
  <c r="AC9" i="13" s="1"/>
  <c r="AE8" i="13"/>
  <c r="AK8" i="13" s="1"/>
  <c r="AE15" i="12"/>
  <c r="AE17" i="12"/>
  <c r="AK17" i="12" s="1"/>
  <c r="AE10" i="12"/>
  <c r="AE16" i="12"/>
  <c r="AK16" i="12" s="1"/>
  <c r="AE18" i="13"/>
  <c r="AK18" i="13" s="1"/>
  <c r="AE11" i="13"/>
  <c r="AK11" i="13" s="1"/>
  <c r="AE14" i="12"/>
  <c r="AK14" i="12" s="1"/>
  <c r="AE8" i="12"/>
  <c r="AE11" i="12"/>
  <c r="AK11" i="12" s="1"/>
  <c r="AC11" i="12" s="1"/>
  <c r="AE12" i="12"/>
  <c r="AK12" i="12" s="1"/>
  <c r="AC12" i="12" s="1"/>
  <c r="AE9" i="12"/>
  <c r="AK9" i="12" s="1"/>
  <c r="AE16" i="13"/>
  <c r="AK16" i="13" s="1"/>
  <c r="AC16" i="13" s="1"/>
  <c r="AE13" i="12"/>
  <c r="AE17" i="13"/>
  <c r="AK17" i="13" s="1"/>
  <c r="AC17" i="13" s="1"/>
  <c r="X25" i="13"/>
  <c r="AE24" i="13"/>
  <c r="AK24" i="13" s="1"/>
  <c r="AC24" i="13" s="1"/>
  <c r="AE10" i="13"/>
  <c r="AK10" i="13" s="1"/>
  <c r="AE8" i="14"/>
  <c r="AK8" i="14" s="1"/>
  <c r="AC8" i="14" s="1"/>
  <c r="Z12" i="28"/>
  <c r="R25" i="13"/>
  <c r="Q25" i="13"/>
  <c r="Z8" i="15"/>
  <c r="Z10" i="15"/>
  <c r="AA10" i="15" s="1"/>
  <c r="AB10" i="15" s="1"/>
  <c r="AC10" i="15" s="1"/>
  <c r="AA9" i="29"/>
  <c r="AA10" i="25"/>
  <c r="Z12" i="26"/>
  <c r="AA8" i="26"/>
  <c r="Z14" i="23"/>
  <c r="AA8" i="23"/>
  <c r="Z12" i="21"/>
  <c r="AA8" i="21"/>
  <c r="O25" i="13"/>
  <c r="Q24" i="12"/>
  <c r="P24" i="12"/>
  <c r="R24" i="12"/>
  <c r="Z13" i="22"/>
  <c r="AA8" i="22"/>
  <c r="AA21" i="17"/>
  <c r="P25" i="13"/>
  <c r="K11" i="15"/>
  <c r="L11" i="15"/>
  <c r="M11" i="15"/>
  <c r="O13" i="14"/>
  <c r="P13" i="14"/>
  <c r="Q13" i="14"/>
  <c r="X13" i="14"/>
  <c r="O24" i="12"/>
  <c r="AC8" i="13" l="1"/>
  <c r="AF8" i="13" s="1"/>
  <c r="AG8" i="13" s="1"/>
  <c r="AC18" i="13"/>
  <c r="AF18" i="13" s="1"/>
  <c r="AG18" i="13" s="1"/>
  <c r="AC14" i="13"/>
  <c r="AF14" i="13" s="1"/>
  <c r="AG14" i="13" s="1"/>
  <c r="AH14" i="13" s="1"/>
  <c r="AI14" i="13" s="1"/>
  <c r="AC13" i="13"/>
  <c r="AF13" i="13" s="1"/>
  <c r="AG13" i="13" s="1"/>
  <c r="AH13" i="13" s="1"/>
  <c r="AI13" i="13" s="1"/>
  <c r="AC11" i="13"/>
  <c r="AF11" i="13" s="1"/>
  <c r="AG11" i="13" s="1"/>
  <c r="AC10" i="13"/>
  <c r="AF10" i="13" s="1"/>
  <c r="AG10" i="13" s="1"/>
  <c r="AF17" i="13"/>
  <c r="AG17" i="13" s="1"/>
  <c r="AF12" i="13"/>
  <c r="AG12" i="13" s="1"/>
  <c r="AF15" i="13"/>
  <c r="AG15" i="13" s="1"/>
  <c r="AG24" i="13"/>
  <c r="AA12" i="28"/>
  <c r="AF8" i="14"/>
  <c r="AG8" i="14" s="1"/>
  <c r="AF19" i="13"/>
  <c r="AG19" i="13" s="1"/>
  <c r="AF16" i="13"/>
  <c r="AG16" i="13" s="1"/>
  <c r="AF17" i="12"/>
  <c r="AG17" i="12" s="1"/>
  <c r="AH17" i="12" s="1"/>
  <c r="AI17" i="12" s="1"/>
  <c r="AF16" i="12"/>
  <c r="AG16" i="12" s="1"/>
  <c r="AH16" i="12" s="1"/>
  <c r="AI16" i="12" s="1"/>
  <c r="AF14" i="12"/>
  <c r="AG14" i="12" s="1"/>
  <c r="AH14" i="12" s="1"/>
  <c r="AI14" i="12" s="1"/>
  <c r="AF12" i="12"/>
  <c r="AG12" i="12" s="1"/>
  <c r="AH12" i="12" s="1"/>
  <c r="AI12" i="12" s="1"/>
  <c r="AF11" i="12"/>
  <c r="AG11" i="12" s="1"/>
  <c r="AH11" i="12" s="1"/>
  <c r="AI11" i="12" s="1"/>
  <c r="AF9" i="12"/>
  <c r="AG9" i="12" s="1"/>
  <c r="AH9" i="12" s="1"/>
  <c r="AI9" i="12" s="1"/>
  <c r="AK15" i="12"/>
  <c r="AK10" i="12"/>
  <c r="AC10" i="12" s="1"/>
  <c r="AK13" i="12"/>
  <c r="AK8" i="12"/>
  <c r="W11" i="15"/>
  <c r="Z11" i="15"/>
  <c r="AA8" i="15"/>
  <c r="AC8" i="25"/>
  <c r="AB10" i="25"/>
  <c r="AB8" i="26"/>
  <c r="AB12" i="26" s="1"/>
  <c r="AA12" i="26"/>
  <c r="AB8" i="23"/>
  <c r="AB14" i="23" s="1"/>
  <c r="AA14" i="23"/>
  <c r="AB8" i="21"/>
  <c r="AA12" i="21"/>
  <c r="AB8" i="22"/>
  <c r="AA13" i="22"/>
  <c r="AC21" i="17"/>
  <c r="AB21" i="17"/>
  <c r="Y11" i="15"/>
  <c r="AK20" i="13"/>
  <c r="AC20" i="13" s="1"/>
  <c r="X24" i="12"/>
  <c r="AH15" i="13" l="1"/>
  <c r="AI15" i="13" s="1"/>
  <c r="AH16" i="13"/>
  <c r="AI16" i="13" s="1"/>
  <c r="AH24" i="13"/>
  <c r="AI24" i="13" s="1"/>
  <c r="AH12" i="13"/>
  <c r="AI12" i="13" s="1"/>
  <c r="AH11" i="13"/>
  <c r="AI11" i="13" s="1"/>
  <c r="AH19" i="13"/>
  <c r="AI19" i="13" s="1"/>
  <c r="AH17" i="13"/>
  <c r="AI17" i="13" s="1"/>
  <c r="AH10" i="13"/>
  <c r="AI10" i="13" s="1"/>
  <c r="AH18" i="13"/>
  <c r="AI18" i="13" s="1"/>
  <c r="AH8" i="13"/>
  <c r="AI8" i="13" s="1"/>
  <c r="AC12" i="28"/>
  <c r="AB12" i="28"/>
  <c r="AF8" i="12"/>
  <c r="AG8" i="12" s="1"/>
  <c r="AH8" i="12" s="1"/>
  <c r="AI8" i="12" s="1"/>
  <c r="AF15" i="12"/>
  <c r="AG15" i="12" s="1"/>
  <c r="AH15" i="12" s="1"/>
  <c r="AI15" i="12" s="1"/>
  <c r="AF10" i="12"/>
  <c r="AA11" i="15"/>
  <c r="AB8" i="15"/>
  <c r="AC8" i="15" s="1"/>
  <c r="AD8" i="25"/>
  <c r="AD10" i="25" s="1"/>
  <c r="AC10" i="25"/>
  <c r="AC8" i="26"/>
  <c r="AC12" i="26" s="1"/>
  <c r="AC8" i="23"/>
  <c r="AC14" i="23" s="1"/>
  <c r="AC8" i="21"/>
  <c r="AC12" i="21" s="1"/>
  <c r="AB12" i="21"/>
  <c r="AD9" i="17"/>
  <c r="AD21" i="17" s="1"/>
  <c r="AC13" i="14"/>
  <c r="AF9" i="13"/>
  <c r="AF20" i="13"/>
  <c r="AG20" i="13" s="1"/>
  <c r="AC8" i="22"/>
  <c r="AC13" i="22" s="1"/>
  <c r="AB13" i="22"/>
  <c r="AH8" i="14"/>
  <c r="AE13" i="14"/>
  <c r="AE25" i="13"/>
  <c r="AE24" i="12"/>
  <c r="AH20" i="13" l="1"/>
  <c r="AI20" i="13" s="1"/>
  <c r="AC24" i="12"/>
  <c r="AF13" i="12"/>
  <c r="AG13" i="12" s="1"/>
  <c r="AH13" i="12" s="1"/>
  <c r="AI13" i="12" s="1"/>
  <c r="AG10" i="12"/>
  <c r="AH10" i="12" s="1"/>
  <c r="AI10" i="12" s="1"/>
  <c r="AF13" i="14"/>
  <c r="AF25" i="13"/>
  <c r="AG9" i="13"/>
  <c r="AC25" i="13"/>
  <c r="AB11" i="15"/>
  <c r="AC11" i="15"/>
  <c r="AI8" i="14"/>
  <c r="Z33" i="11"/>
  <c r="V25" i="11"/>
  <c r="U25" i="11"/>
  <c r="V24" i="11"/>
  <c r="U24" i="11"/>
  <c r="V23" i="11"/>
  <c r="U23" i="11"/>
  <c r="V22" i="11"/>
  <c r="U22" i="11"/>
  <c r="V21" i="11"/>
  <c r="U21" i="11"/>
  <c r="V20" i="11"/>
  <c r="U20" i="11"/>
  <c r="V19" i="11"/>
  <c r="U19" i="11"/>
  <c r="V18" i="11"/>
  <c r="U18" i="11"/>
  <c r="V17" i="11"/>
  <c r="U17" i="11"/>
  <c r="V16" i="11"/>
  <c r="U16" i="11"/>
  <c r="I25" i="11"/>
  <c r="I24" i="11"/>
  <c r="I23" i="11"/>
  <c r="I22" i="11"/>
  <c r="I21" i="11"/>
  <c r="I20" i="11"/>
  <c r="I19" i="11"/>
  <c r="I18" i="11"/>
  <c r="I17" i="11"/>
  <c r="I16" i="11"/>
  <c r="I15" i="11"/>
  <c r="U15" i="11"/>
  <c r="V15" i="11"/>
  <c r="I26" i="11"/>
  <c r="U26" i="11"/>
  <c r="V26" i="11"/>
  <c r="AD33" i="11"/>
  <c r="AB33" i="11"/>
  <c r="Y33" i="11"/>
  <c r="T33" i="11"/>
  <c r="N33" i="11"/>
  <c r="M33" i="11"/>
  <c r="L33" i="11"/>
  <c r="H33" i="11"/>
  <c r="G33" i="11"/>
  <c r="E33" i="11"/>
  <c r="V14" i="11"/>
  <c r="U14" i="11"/>
  <c r="I14" i="11"/>
  <c r="V13" i="11"/>
  <c r="U13" i="11"/>
  <c r="I13" i="11"/>
  <c r="U12" i="11"/>
  <c r="I12" i="11"/>
  <c r="U11" i="11"/>
  <c r="I11" i="11"/>
  <c r="V10" i="11"/>
  <c r="U10" i="11"/>
  <c r="I10" i="11"/>
  <c r="V9" i="11"/>
  <c r="U9" i="11"/>
  <c r="I9" i="11"/>
  <c r="V8" i="11"/>
  <c r="U8" i="11"/>
  <c r="I8" i="11"/>
  <c r="AD18" i="10"/>
  <c r="AB18" i="10"/>
  <c r="AA18" i="10"/>
  <c r="Y18" i="10"/>
  <c r="T18" i="10"/>
  <c r="N18" i="10"/>
  <c r="M18" i="10"/>
  <c r="L18" i="10"/>
  <c r="H18" i="10"/>
  <c r="G18" i="10"/>
  <c r="E18" i="10"/>
  <c r="Z18" i="10"/>
  <c r="W18" i="10"/>
  <c r="V10" i="10"/>
  <c r="U10" i="10"/>
  <c r="I10" i="10"/>
  <c r="V9" i="10"/>
  <c r="U9" i="10"/>
  <c r="I9" i="10"/>
  <c r="V8" i="10"/>
  <c r="U8" i="10"/>
  <c r="I8" i="10"/>
  <c r="C4" i="10"/>
  <c r="AD19" i="9"/>
  <c r="AB19" i="9"/>
  <c r="AA19" i="9"/>
  <c r="Y19" i="9"/>
  <c r="T19" i="9"/>
  <c r="N19" i="9"/>
  <c r="M19" i="9"/>
  <c r="L19" i="9"/>
  <c r="K19" i="9"/>
  <c r="J19" i="9"/>
  <c r="H19" i="9"/>
  <c r="G19" i="9"/>
  <c r="E19" i="9"/>
  <c r="V18" i="9"/>
  <c r="U18" i="9"/>
  <c r="I18" i="9"/>
  <c r="V11" i="9"/>
  <c r="U11" i="9"/>
  <c r="I11" i="9"/>
  <c r="V10" i="9"/>
  <c r="U10" i="9"/>
  <c r="I10" i="9"/>
  <c r="V9" i="9"/>
  <c r="U9" i="9"/>
  <c r="I9" i="9"/>
  <c r="V8" i="9"/>
  <c r="U8" i="9"/>
  <c r="I8" i="9"/>
  <c r="W18" i="8"/>
  <c r="W19" i="8"/>
  <c r="W20" i="8"/>
  <c r="I18" i="8"/>
  <c r="X18" i="8"/>
  <c r="I19" i="8"/>
  <c r="X19" i="8"/>
  <c r="I20" i="8"/>
  <c r="X20" i="8"/>
  <c r="V28" i="8"/>
  <c r="N28" i="8"/>
  <c r="M28" i="8"/>
  <c r="L28" i="8"/>
  <c r="K28" i="8"/>
  <c r="J28" i="8"/>
  <c r="H28" i="8"/>
  <c r="G28" i="8"/>
  <c r="E28" i="8"/>
  <c r="X22" i="8"/>
  <c r="W22" i="8"/>
  <c r="I22" i="8"/>
  <c r="X21" i="8"/>
  <c r="W21" i="8"/>
  <c r="I21" i="8"/>
  <c r="X17" i="8"/>
  <c r="W17" i="8"/>
  <c r="I17" i="8"/>
  <c r="X16" i="8"/>
  <c r="W16" i="8"/>
  <c r="I16" i="8"/>
  <c r="X15" i="8"/>
  <c r="W15" i="8"/>
  <c r="I15" i="8"/>
  <c r="F15" i="8" s="1"/>
  <c r="X14" i="8"/>
  <c r="W14" i="8"/>
  <c r="I14" i="8"/>
  <c r="X13" i="8"/>
  <c r="W13" i="8"/>
  <c r="I13" i="8"/>
  <c r="X12" i="8"/>
  <c r="W12" i="8"/>
  <c r="I12" i="8"/>
  <c r="X11" i="8"/>
  <c r="W11" i="8"/>
  <c r="I11" i="8"/>
  <c r="X10" i="8"/>
  <c r="W10" i="8"/>
  <c r="I10" i="8"/>
  <c r="X9" i="8"/>
  <c r="W9" i="8"/>
  <c r="I9" i="8"/>
  <c r="I8" i="8"/>
  <c r="F8" i="8" s="1"/>
  <c r="W23" i="7"/>
  <c r="E23" i="7"/>
  <c r="I16" i="7"/>
  <c r="I17" i="7"/>
  <c r="I18" i="7"/>
  <c r="U16" i="7"/>
  <c r="V16" i="7"/>
  <c r="U17" i="7"/>
  <c r="V17" i="7"/>
  <c r="U18" i="7"/>
  <c r="V18" i="7"/>
  <c r="I11" i="7"/>
  <c r="U11" i="7"/>
  <c r="V11" i="7"/>
  <c r="I12" i="7"/>
  <c r="U12" i="7"/>
  <c r="V12" i="7"/>
  <c r="I13" i="7"/>
  <c r="U13" i="7"/>
  <c r="V13" i="7"/>
  <c r="I14" i="7"/>
  <c r="U14" i="7"/>
  <c r="V14" i="7"/>
  <c r="I15" i="7"/>
  <c r="U15" i="7"/>
  <c r="V15" i="7"/>
  <c r="J23" i="7"/>
  <c r="K23" i="7"/>
  <c r="AD23" i="7"/>
  <c r="AB23" i="7"/>
  <c r="AA23" i="7"/>
  <c r="Y23" i="7"/>
  <c r="T23" i="7"/>
  <c r="N23" i="7"/>
  <c r="M23" i="7"/>
  <c r="L23" i="7"/>
  <c r="H23" i="7"/>
  <c r="G23" i="7"/>
  <c r="V22" i="7"/>
  <c r="U22" i="7"/>
  <c r="I22" i="7"/>
  <c r="V20" i="7"/>
  <c r="U20" i="7"/>
  <c r="I20" i="7"/>
  <c r="V19" i="7"/>
  <c r="U19" i="7"/>
  <c r="I19" i="7"/>
  <c r="V10" i="7"/>
  <c r="U10" i="7"/>
  <c r="I10" i="7"/>
  <c r="V9" i="7"/>
  <c r="U9" i="7"/>
  <c r="I9" i="7"/>
  <c r="U8" i="7"/>
  <c r="I8" i="7"/>
  <c r="AD51" i="6"/>
  <c r="AB51" i="6"/>
  <c r="AA51" i="6"/>
  <c r="Y51" i="6"/>
  <c r="W51" i="6"/>
  <c r="T51" i="6"/>
  <c r="N51" i="6"/>
  <c r="M51" i="6"/>
  <c r="L51" i="6"/>
  <c r="K51" i="6"/>
  <c r="J51" i="6"/>
  <c r="H51" i="6"/>
  <c r="G51" i="6"/>
  <c r="E51" i="6"/>
  <c r="V50" i="6"/>
  <c r="U50" i="6"/>
  <c r="V22" i="6"/>
  <c r="U22" i="6"/>
  <c r="I22" i="6"/>
  <c r="V21" i="6"/>
  <c r="U21" i="6"/>
  <c r="I21" i="6"/>
  <c r="V20" i="6"/>
  <c r="U20" i="6"/>
  <c r="I20" i="6"/>
  <c r="V19" i="6"/>
  <c r="U19" i="6"/>
  <c r="I19" i="6"/>
  <c r="V18" i="6"/>
  <c r="U18" i="6"/>
  <c r="I18" i="6"/>
  <c r="V17" i="6"/>
  <c r="U17" i="6"/>
  <c r="I17" i="6"/>
  <c r="V16" i="6"/>
  <c r="U16" i="6"/>
  <c r="I16" i="6"/>
  <c r="V15" i="6"/>
  <c r="I15" i="6"/>
  <c r="V13" i="6"/>
  <c r="U13" i="6"/>
  <c r="I13" i="6"/>
  <c r="U12" i="6"/>
  <c r="I12" i="6"/>
  <c r="U11" i="6"/>
  <c r="I11" i="6"/>
  <c r="U10" i="6"/>
  <c r="I10" i="6"/>
  <c r="U9" i="6"/>
  <c r="I9" i="6"/>
  <c r="U8" i="5"/>
  <c r="F21" i="11" l="1"/>
  <c r="F8" i="10"/>
  <c r="Q8" i="10" s="1"/>
  <c r="P15" i="8"/>
  <c r="Q15" i="8"/>
  <c r="R15" i="8"/>
  <c r="F10" i="6"/>
  <c r="F9" i="6"/>
  <c r="P21" i="11"/>
  <c r="F10" i="10"/>
  <c r="F9" i="10"/>
  <c r="F22" i="8"/>
  <c r="F20" i="8"/>
  <c r="F19" i="8"/>
  <c r="F18" i="8"/>
  <c r="F17" i="8"/>
  <c r="F16" i="8"/>
  <c r="F14" i="8"/>
  <c r="F13" i="8"/>
  <c r="F12" i="8"/>
  <c r="F11" i="8"/>
  <c r="F10" i="8"/>
  <c r="F9" i="8"/>
  <c r="R8" i="8"/>
  <c r="P8" i="8"/>
  <c r="Q8" i="8"/>
  <c r="F21" i="6"/>
  <c r="F21" i="8"/>
  <c r="AF24" i="12"/>
  <c r="AG24" i="12"/>
  <c r="AH24" i="12"/>
  <c r="F8" i="11"/>
  <c r="F9" i="11"/>
  <c r="F12" i="11"/>
  <c r="F11" i="11"/>
  <c r="F10" i="11"/>
  <c r="F22" i="6"/>
  <c r="F19" i="6"/>
  <c r="F15" i="6"/>
  <c r="F13" i="6"/>
  <c r="F11" i="6"/>
  <c r="F22" i="7"/>
  <c r="F19" i="7"/>
  <c r="F18" i="7"/>
  <c r="F17" i="7"/>
  <c r="F16" i="7"/>
  <c r="F15" i="7"/>
  <c r="F14" i="7"/>
  <c r="F13" i="7"/>
  <c r="F11" i="7"/>
  <c r="F10" i="7"/>
  <c r="F9" i="7"/>
  <c r="F8" i="7"/>
  <c r="AG13" i="14"/>
  <c r="AH9" i="13"/>
  <c r="AI9" i="13" s="1"/>
  <c r="AG25" i="13"/>
  <c r="F26" i="11"/>
  <c r="R26" i="11" s="1"/>
  <c r="F25" i="11"/>
  <c r="F24" i="11"/>
  <c r="F23" i="11"/>
  <c r="F22" i="11"/>
  <c r="F20" i="11"/>
  <c r="F19" i="11"/>
  <c r="F18" i="11"/>
  <c r="F17" i="11"/>
  <c r="F16" i="11"/>
  <c r="F15" i="11"/>
  <c r="F14" i="11"/>
  <c r="F13" i="11"/>
  <c r="F11" i="9"/>
  <c r="F10" i="9"/>
  <c r="F9" i="9"/>
  <c r="F8" i="9"/>
  <c r="O8" i="9" s="1"/>
  <c r="F12" i="6"/>
  <c r="F17" i="6"/>
  <c r="F16" i="6"/>
  <c r="F18" i="6"/>
  <c r="F20" i="6"/>
  <c r="Z51" i="6"/>
  <c r="Y28" i="8"/>
  <c r="W19" i="9"/>
  <c r="AI24" i="12"/>
  <c r="I33" i="11"/>
  <c r="U33" i="11"/>
  <c r="U18" i="10"/>
  <c r="V18" i="10"/>
  <c r="V33" i="11"/>
  <c r="I18" i="10"/>
  <c r="Z19" i="9"/>
  <c r="U19" i="9"/>
  <c r="V19" i="9"/>
  <c r="I19" i="9"/>
  <c r="F18" i="9"/>
  <c r="X28" i="8"/>
  <c r="I28" i="8"/>
  <c r="W28" i="8"/>
  <c r="F20" i="7"/>
  <c r="F12" i="7"/>
  <c r="U23" i="7"/>
  <c r="V23" i="7"/>
  <c r="Z23" i="7"/>
  <c r="I23" i="7"/>
  <c r="U51" i="6"/>
  <c r="V51" i="6"/>
  <c r="I51" i="6"/>
  <c r="Q21" i="11" l="1"/>
  <c r="R21" i="11"/>
  <c r="O8" i="10"/>
  <c r="P8" i="10"/>
  <c r="R8" i="10"/>
  <c r="P22" i="8"/>
  <c r="Q22" i="8"/>
  <c r="R22" i="8"/>
  <c r="P21" i="8"/>
  <c r="Q21" i="8"/>
  <c r="R21" i="8"/>
  <c r="P20" i="8"/>
  <c r="Q20" i="8"/>
  <c r="R20" i="8"/>
  <c r="P19" i="8"/>
  <c r="Q19" i="8"/>
  <c r="R19" i="8"/>
  <c r="P18" i="8"/>
  <c r="Q18" i="8"/>
  <c r="P17" i="8"/>
  <c r="Q17" i="8"/>
  <c r="P16" i="8"/>
  <c r="Q16" i="8"/>
  <c r="P14" i="8"/>
  <c r="R14" i="8"/>
  <c r="Q14" i="8"/>
  <c r="P13" i="8"/>
  <c r="Q13" i="8"/>
  <c r="R13" i="8"/>
  <c r="P12" i="8"/>
  <c r="Q12" i="8"/>
  <c r="R12" i="8"/>
  <c r="P11" i="8"/>
  <c r="Q11" i="8"/>
  <c r="P10" i="8"/>
  <c r="Q10" i="8"/>
  <c r="R10" i="8"/>
  <c r="P9" i="8"/>
  <c r="Q9" i="8"/>
  <c r="R9" i="8"/>
  <c r="P8" i="7"/>
  <c r="R8" i="7"/>
  <c r="R9" i="7"/>
  <c r="P9" i="7"/>
  <c r="Q9" i="7"/>
  <c r="P10" i="7"/>
  <c r="Q10" i="7"/>
  <c r="R10" i="7"/>
  <c r="P12" i="7"/>
  <c r="R12" i="7"/>
  <c r="Q12" i="7"/>
  <c r="Q20" i="7"/>
  <c r="R20" i="7"/>
  <c r="P20" i="7"/>
  <c r="P19" i="7"/>
  <c r="R19" i="7"/>
  <c r="Q19" i="7"/>
  <c r="Q22" i="7"/>
  <c r="P22" i="7"/>
  <c r="R22" i="7"/>
  <c r="P13" i="7"/>
  <c r="R13" i="7"/>
  <c r="Q13" i="7"/>
  <c r="P14" i="7"/>
  <c r="Q14" i="7"/>
  <c r="R14" i="7"/>
  <c r="Q15" i="7"/>
  <c r="P15" i="7"/>
  <c r="R17" i="7"/>
  <c r="Q17" i="7"/>
  <c r="P17" i="7"/>
  <c r="P18" i="7"/>
  <c r="R18" i="7"/>
  <c r="Q18" i="7"/>
  <c r="P11" i="7"/>
  <c r="R11" i="7"/>
  <c r="Q11" i="7"/>
  <c r="R16" i="7"/>
  <c r="P16" i="7"/>
  <c r="Q16" i="7"/>
  <c r="P22" i="6"/>
  <c r="Q22" i="6"/>
  <c r="R22" i="6"/>
  <c r="P21" i="6"/>
  <c r="Q21" i="6"/>
  <c r="R21" i="6"/>
  <c r="P20" i="6"/>
  <c r="Q20" i="6"/>
  <c r="R20" i="6"/>
  <c r="P19" i="6"/>
  <c r="Q19" i="6"/>
  <c r="R19" i="6"/>
  <c r="P18" i="6"/>
  <c r="Q18" i="6"/>
  <c r="R18" i="6"/>
  <c r="P17" i="6"/>
  <c r="Q17" i="6"/>
  <c r="R17" i="6"/>
  <c r="P16" i="6"/>
  <c r="Q16" i="6"/>
  <c r="R16" i="6"/>
  <c r="P15" i="6"/>
  <c r="Q15" i="6"/>
  <c r="R15" i="6"/>
  <c r="P13" i="6"/>
  <c r="Q13" i="6"/>
  <c r="R13" i="6"/>
  <c r="P12" i="6"/>
  <c r="Q12" i="6"/>
  <c r="P11" i="6"/>
  <c r="Q11" i="6"/>
  <c r="R11" i="6"/>
  <c r="P10" i="6"/>
  <c r="Q10" i="6"/>
  <c r="P9" i="6"/>
  <c r="Q9" i="6"/>
  <c r="R9" i="6"/>
  <c r="O21" i="6"/>
  <c r="P26" i="11"/>
  <c r="Q26" i="11"/>
  <c r="Q25" i="11"/>
  <c r="P25" i="11"/>
  <c r="P24" i="11"/>
  <c r="Q24" i="11"/>
  <c r="R24" i="11"/>
  <c r="P23" i="11"/>
  <c r="Q23" i="11"/>
  <c r="R23" i="11"/>
  <c r="P22" i="11"/>
  <c r="R22" i="11"/>
  <c r="Q22" i="11"/>
  <c r="P20" i="11"/>
  <c r="Q20" i="11"/>
  <c r="R20" i="11"/>
  <c r="P19" i="11"/>
  <c r="Q19" i="11"/>
  <c r="R19" i="11"/>
  <c r="P18" i="11"/>
  <c r="Q18" i="11"/>
  <c r="R18" i="11"/>
  <c r="P17" i="11"/>
  <c r="Q17" i="11"/>
  <c r="R17" i="11"/>
  <c r="P16" i="11"/>
  <c r="Q16" i="11"/>
  <c r="R16" i="11"/>
  <c r="Q15" i="11"/>
  <c r="R15" i="11"/>
  <c r="P15" i="11"/>
  <c r="P14" i="11"/>
  <c r="Q14" i="11"/>
  <c r="R14" i="11"/>
  <c r="P13" i="11"/>
  <c r="Q13" i="11"/>
  <c r="R13" i="11"/>
  <c r="P12" i="11"/>
  <c r="Q12" i="11"/>
  <c r="R12" i="11"/>
  <c r="Q11" i="11"/>
  <c r="P11" i="11"/>
  <c r="R11" i="11"/>
  <c r="R10" i="11"/>
  <c r="P10" i="11"/>
  <c r="Q10" i="11"/>
  <c r="Q9" i="11"/>
  <c r="R9" i="11"/>
  <c r="P9" i="11"/>
  <c r="P8" i="11"/>
  <c r="Q8" i="11"/>
  <c r="R8" i="11"/>
  <c r="P10" i="10"/>
  <c r="R10" i="10"/>
  <c r="Q10" i="10"/>
  <c r="P9" i="10"/>
  <c r="Q9" i="10"/>
  <c r="R9" i="10"/>
  <c r="O21" i="8"/>
  <c r="AM21" i="8" s="1"/>
  <c r="AE21" i="8" s="1"/>
  <c r="O50" i="6"/>
  <c r="O22" i="6"/>
  <c r="O19" i="6"/>
  <c r="O11" i="6"/>
  <c r="Q8" i="7"/>
  <c r="O11" i="7"/>
  <c r="O15" i="6"/>
  <c r="O9" i="6"/>
  <c r="O13" i="6"/>
  <c r="O10" i="10"/>
  <c r="O11" i="8"/>
  <c r="Z11" i="8" s="1"/>
  <c r="O9" i="8"/>
  <c r="O20" i="7"/>
  <c r="O19" i="7"/>
  <c r="O22" i="7"/>
  <c r="O18" i="7"/>
  <c r="O17" i="7"/>
  <c r="O16" i="7"/>
  <c r="O15" i="7"/>
  <c r="X15" i="7" s="1"/>
  <c r="O14" i="7"/>
  <c r="O13" i="7"/>
  <c r="O12" i="7"/>
  <c r="O25" i="11"/>
  <c r="O24" i="11"/>
  <c r="O22" i="11"/>
  <c r="AE22" i="11" s="1"/>
  <c r="O21" i="11"/>
  <c r="AE21" i="11" s="1"/>
  <c r="O15" i="11"/>
  <c r="O11" i="11"/>
  <c r="O9" i="11"/>
  <c r="O23" i="11"/>
  <c r="O20" i="11"/>
  <c r="AE20" i="11" s="1"/>
  <c r="O19" i="8"/>
  <c r="O12" i="8"/>
  <c r="O8" i="8"/>
  <c r="O14" i="8"/>
  <c r="O20" i="8"/>
  <c r="O13" i="8"/>
  <c r="O17" i="6"/>
  <c r="O20" i="6"/>
  <c r="O12" i="6"/>
  <c r="X12" i="6" s="1"/>
  <c r="O18" i="6"/>
  <c r="O16" i="6"/>
  <c r="O10" i="6"/>
  <c r="O15" i="8"/>
  <c r="O22" i="8"/>
  <c r="O17" i="8"/>
  <c r="O18" i="8"/>
  <c r="O16" i="8"/>
  <c r="Z16" i="8" s="1"/>
  <c r="O17" i="11"/>
  <c r="O26" i="11"/>
  <c r="P8" i="9"/>
  <c r="Q8" i="9"/>
  <c r="R8" i="9"/>
  <c r="AI13" i="14"/>
  <c r="AH13" i="14"/>
  <c r="AI25" i="13"/>
  <c r="AH25" i="13"/>
  <c r="O14" i="11"/>
  <c r="O8" i="11"/>
  <c r="O16" i="11"/>
  <c r="O19" i="11"/>
  <c r="O10" i="11"/>
  <c r="AE10" i="11" s="1"/>
  <c r="O18" i="11"/>
  <c r="AE18" i="11" s="1"/>
  <c r="O12" i="11"/>
  <c r="F33" i="11"/>
  <c r="F51" i="6"/>
  <c r="F23" i="7"/>
  <c r="O9" i="10"/>
  <c r="F18" i="10"/>
  <c r="F19" i="9"/>
  <c r="F28" i="8"/>
  <c r="O10" i="8"/>
  <c r="X25" i="11" l="1"/>
  <c r="AE25" i="11"/>
  <c r="AE19" i="11"/>
  <c r="AE9" i="11"/>
  <c r="AE8" i="11"/>
  <c r="AK8" i="11" s="1"/>
  <c r="AC8" i="11" s="1"/>
  <c r="AE15" i="11"/>
  <c r="AE26" i="11"/>
  <c r="AK26" i="11" s="1"/>
  <c r="AC26" i="11" s="1"/>
  <c r="AE23" i="11"/>
  <c r="AK23" i="11" s="1"/>
  <c r="AC23" i="11" s="1"/>
  <c r="AE11" i="11"/>
  <c r="AE16" i="11"/>
  <c r="AE14" i="11"/>
  <c r="AK14" i="11" s="1"/>
  <c r="AC14" i="11" s="1"/>
  <c r="AE17" i="11"/>
  <c r="AE12" i="11"/>
  <c r="AE24" i="11"/>
  <c r="AK24" i="11" s="1"/>
  <c r="AC24" i="11" s="1"/>
  <c r="AE21" i="6"/>
  <c r="AK21" i="6" s="1"/>
  <c r="AK21" i="11"/>
  <c r="AC21" i="11" s="1"/>
  <c r="AK20" i="11"/>
  <c r="AC20" i="11" s="1"/>
  <c r="AK10" i="11"/>
  <c r="AC10" i="11" s="1"/>
  <c r="AK10" i="10"/>
  <c r="AC10" i="10" s="1"/>
  <c r="AE10" i="9"/>
  <c r="AK10" i="9" s="1"/>
  <c r="AC10" i="9" s="1"/>
  <c r="AM20" i="8"/>
  <c r="AE20" i="8" s="1"/>
  <c r="AM19" i="8"/>
  <c r="AE19" i="8" s="1"/>
  <c r="AM18" i="8"/>
  <c r="AE18" i="8" s="1"/>
  <c r="AM16" i="8"/>
  <c r="AE16" i="8" s="1"/>
  <c r="AM15" i="8"/>
  <c r="AE15" i="8" s="1"/>
  <c r="AM14" i="8"/>
  <c r="AE14" i="8" s="1"/>
  <c r="AM12" i="8"/>
  <c r="AE12" i="8" s="1"/>
  <c r="AM11" i="8"/>
  <c r="AE11" i="8" s="1"/>
  <c r="AM9" i="8"/>
  <c r="AE9" i="8" s="1"/>
  <c r="AM8" i="8"/>
  <c r="AE8" i="8" s="1"/>
  <c r="AE18" i="7"/>
  <c r="AK18" i="7" s="1"/>
  <c r="AC18" i="7" s="1"/>
  <c r="AE17" i="7"/>
  <c r="AK17" i="7" s="1"/>
  <c r="AC17" i="7" s="1"/>
  <c r="AM13" i="8"/>
  <c r="AE13" i="8" s="1"/>
  <c r="AE22" i="6"/>
  <c r="AE8" i="9"/>
  <c r="AK8" i="9" s="1"/>
  <c r="AK8" i="10"/>
  <c r="AC8" i="10" s="1"/>
  <c r="AE9" i="9"/>
  <c r="AK9" i="9" s="1"/>
  <c r="AC9" i="9" s="1"/>
  <c r="AE22" i="7"/>
  <c r="AK22" i="7" s="1"/>
  <c r="AC22" i="7" s="1"/>
  <c r="AE19" i="7"/>
  <c r="AK19" i="7" s="1"/>
  <c r="AC19" i="7" s="1"/>
  <c r="AE11" i="7"/>
  <c r="AK11" i="7" s="1"/>
  <c r="AK12" i="11"/>
  <c r="AC12" i="11" s="1"/>
  <c r="AK9" i="11"/>
  <c r="AC9" i="11" s="1"/>
  <c r="AK22" i="11"/>
  <c r="AC22" i="11" s="1"/>
  <c r="AK25" i="11"/>
  <c r="AC25" i="11" s="1"/>
  <c r="AK11" i="11"/>
  <c r="AC11" i="11" s="1"/>
  <c r="AE11" i="9"/>
  <c r="AK11" i="9" s="1"/>
  <c r="AE18" i="9"/>
  <c r="AK18" i="9" s="1"/>
  <c r="AC18" i="9" s="1"/>
  <c r="AE12" i="7"/>
  <c r="AE10" i="7"/>
  <c r="AK10" i="7" s="1"/>
  <c r="AC10" i="7" s="1"/>
  <c r="AE20" i="7"/>
  <c r="AK20" i="7" s="1"/>
  <c r="AC20" i="7" s="1"/>
  <c r="AE8" i="7"/>
  <c r="AK8" i="7" s="1"/>
  <c r="AE9" i="7"/>
  <c r="AK9" i="7" s="1"/>
  <c r="AC9" i="7" s="1"/>
  <c r="AE13" i="7"/>
  <c r="AK13" i="7" s="1"/>
  <c r="AE14" i="7"/>
  <c r="AK14" i="7" s="1"/>
  <c r="AC14" i="7" s="1"/>
  <c r="AE15" i="7"/>
  <c r="AK15" i="7" s="1"/>
  <c r="AC15" i="7" s="1"/>
  <c r="AE16" i="7"/>
  <c r="AK16" i="7" s="1"/>
  <c r="AC16" i="7" s="1"/>
  <c r="AE50" i="6"/>
  <c r="AK50" i="6" s="1"/>
  <c r="AE10" i="6"/>
  <c r="AE20" i="6"/>
  <c r="AE11" i="6"/>
  <c r="AE15" i="6"/>
  <c r="AE16" i="6"/>
  <c r="AE9" i="6"/>
  <c r="AE19" i="6"/>
  <c r="AE18" i="6"/>
  <c r="AE17" i="6"/>
  <c r="AE13" i="6"/>
  <c r="AE12" i="6"/>
  <c r="AF8" i="6"/>
  <c r="R23" i="7"/>
  <c r="R18" i="10"/>
  <c r="O13" i="11"/>
  <c r="AE13" i="11" s="1"/>
  <c r="W33" i="11"/>
  <c r="R33" i="11"/>
  <c r="O23" i="7"/>
  <c r="P51" i="6"/>
  <c r="Q51" i="6"/>
  <c r="R51" i="6"/>
  <c r="O51" i="6"/>
  <c r="Q23" i="7"/>
  <c r="P23" i="7"/>
  <c r="Q18" i="10"/>
  <c r="P18" i="10"/>
  <c r="O18" i="10"/>
  <c r="R19" i="9"/>
  <c r="O19" i="9"/>
  <c r="P19" i="9"/>
  <c r="AC13" i="7" l="1"/>
  <c r="AF13" i="7" s="1"/>
  <c r="AG13" i="7" s="1"/>
  <c r="AH13" i="7" s="1"/>
  <c r="AI13" i="7" s="1"/>
  <c r="AK19" i="11"/>
  <c r="AK18" i="11"/>
  <c r="AK17" i="11"/>
  <c r="AK16" i="11"/>
  <c r="AK15" i="11"/>
  <c r="AF12" i="11"/>
  <c r="AG12" i="11" s="1"/>
  <c r="AH12" i="11" s="1"/>
  <c r="AI12" i="11" s="1"/>
  <c r="AF11" i="11"/>
  <c r="AG11" i="11" s="1"/>
  <c r="AH11" i="11" s="1"/>
  <c r="AI11" i="11" s="1"/>
  <c r="AF10" i="11"/>
  <c r="AG10" i="11" s="1"/>
  <c r="AH10" i="11" s="1"/>
  <c r="AI10" i="11" s="1"/>
  <c r="AC8" i="7"/>
  <c r="AF8" i="7" s="1"/>
  <c r="AG8" i="7" s="1"/>
  <c r="AH8" i="7" s="1"/>
  <c r="AI8" i="7" s="1"/>
  <c r="X51" i="6"/>
  <c r="AF8" i="11"/>
  <c r="AG8" i="11" s="1"/>
  <c r="AH8" i="11" s="1"/>
  <c r="AI8" i="11" s="1"/>
  <c r="X18" i="10"/>
  <c r="AC11" i="9"/>
  <c r="AF11" i="9" s="1"/>
  <c r="AG11" i="9" s="1"/>
  <c r="AH11" i="9" s="1"/>
  <c r="AI11" i="9" s="1"/>
  <c r="AC8" i="9"/>
  <c r="AF8" i="9" s="1"/>
  <c r="AG8" i="9" s="1"/>
  <c r="AH8" i="9" s="1"/>
  <c r="AI8" i="9" s="1"/>
  <c r="AF11" i="7"/>
  <c r="AG11" i="7" s="1"/>
  <c r="AH11" i="7" s="1"/>
  <c r="AI11" i="7" s="1"/>
  <c r="AF15" i="7"/>
  <c r="AG15" i="7" s="1"/>
  <c r="AH15" i="7" s="1"/>
  <c r="AI15" i="7" s="1"/>
  <c r="AF22" i="7"/>
  <c r="AG22" i="7" s="1"/>
  <c r="AH22" i="7" s="1"/>
  <c r="AI22" i="7" s="1"/>
  <c r="AF19" i="7"/>
  <c r="AG19" i="7" s="1"/>
  <c r="AH19" i="7" s="1"/>
  <c r="AI19" i="7" s="1"/>
  <c r="AF18" i="7"/>
  <c r="AG18" i="7" s="1"/>
  <c r="AH18" i="7" s="1"/>
  <c r="AI18" i="7" s="1"/>
  <c r="AF17" i="7"/>
  <c r="AG17" i="7" s="1"/>
  <c r="AH17" i="7" s="1"/>
  <c r="AI17" i="7" s="1"/>
  <c r="AF16" i="7"/>
  <c r="AG16" i="7" s="1"/>
  <c r="AH16" i="7" s="1"/>
  <c r="AI16" i="7" s="1"/>
  <c r="AK11" i="6"/>
  <c r="AK10" i="6"/>
  <c r="AK9" i="6"/>
  <c r="AK22" i="6"/>
  <c r="AK20" i="6"/>
  <c r="AK19" i="6"/>
  <c r="AK18" i="6"/>
  <c r="AK17" i="6"/>
  <c r="AK16" i="6"/>
  <c r="AK15" i="6"/>
  <c r="AK13" i="6"/>
  <c r="AK12" i="6"/>
  <c r="AK13" i="11"/>
  <c r="AC13" i="11" s="1"/>
  <c r="Q19" i="9"/>
  <c r="AF26" i="11"/>
  <c r="AG26" i="11" s="1"/>
  <c r="AH26" i="11" s="1"/>
  <c r="AI26" i="11" s="1"/>
  <c r="AF25" i="11"/>
  <c r="AG25" i="11" s="1"/>
  <c r="AH25" i="11" s="1"/>
  <c r="AI25" i="11" s="1"/>
  <c r="AF24" i="11"/>
  <c r="AG24" i="11" s="1"/>
  <c r="AH24" i="11" s="1"/>
  <c r="AI24" i="11" s="1"/>
  <c r="AF23" i="11"/>
  <c r="AG23" i="11" s="1"/>
  <c r="AH23" i="11" s="1"/>
  <c r="AI23" i="11" s="1"/>
  <c r="AF22" i="11"/>
  <c r="AG22" i="11" s="1"/>
  <c r="AH22" i="11" s="1"/>
  <c r="AI22" i="11" s="1"/>
  <c r="AF21" i="11"/>
  <c r="AG21" i="11" s="1"/>
  <c r="AH21" i="11" s="1"/>
  <c r="AI21" i="11" s="1"/>
  <c r="AF20" i="11"/>
  <c r="AG20" i="11" s="1"/>
  <c r="AH20" i="11" s="1"/>
  <c r="AI20" i="11" s="1"/>
  <c r="AF14" i="11"/>
  <c r="AG14" i="11" s="1"/>
  <c r="AH14" i="11" s="1"/>
  <c r="AI14" i="11" s="1"/>
  <c r="AF9" i="11"/>
  <c r="AG9" i="11" s="1"/>
  <c r="AH9" i="11" s="1"/>
  <c r="AI9" i="11" s="1"/>
  <c r="AF9" i="9"/>
  <c r="AG9" i="9" s="1"/>
  <c r="AH9" i="9" s="1"/>
  <c r="AI9" i="9" s="1"/>
  <c r="AH16" i="8"/>
  <c r="AI16" i="8" s="1"/>
  <c r="AJ16" i="8" s="1"/>
  <c r="AK16" i="8" s="1"/>
  <c r="AH12" i="8"/>
  <c r="AI12" i="8" s="1"/>
  <c r="AJ12" i="8" s="1"/>
  <c r="AK12" i="8" s="1"/>
  <c r="AH14" i="8"/>
  <c r="AI14" i="8" s="1"/>
  <c r="AJ14" i="8" s="1"/>
  <c r="AK14" i="8" s="1"/>
  <c r="AH18" i="8"/>
  <c r="AI18" i="8" s="1"/>
  <c r="AJ18" i="8" s="1"/>
  <c r="AK18" i="8" s="1"/>
  <c r="AH20" i="8"/>
  <c r="AI20" i="8" s="1"/>
  <c r="AJ20" i="8" s="1"/>
  <c r="AK20" i="8" s="1"/>
  <c r="AH9" i="8"/>
  <c r="AI9" i="8" s="1"/>
  <c r="AJ9" i="8" s="1"/>
  <c r="AK9" i="8" s="1"/>
  <c r="AH11" i="8"/>
  <c r="AI11" i="8" s="1"/>
  <c r="AJ11" i="8" s="1"/>
  <c r="AK11" i="8" s="1"/>
  <c r="AH19" i="8"/>
  <c r="AI19" i="8" s="1"/>
  <c r="AJ19" i="8" s="1"/>
  <c r="AK19" i="8" s="1"/>
  <c r="AH13" i="8"/>
  <c r="AI13" i="8" s="1"/>
  <c r="AJ13" i="8" s="1"/>
  <c r="AK13" i="8" s="1"/>
  <c r="X23" i="7"/>
  <c r="AF20" i="7"/>
  <c r="AG20" i="7" s="1"/>
  <c r="AH20" i="7" s="1"/>
  <c r="AI20" i="7" s="1"/>
  <c r="AF14" i="7"/>
  <c r="AG14" i="7" s="1"/>
  <c r="AH14" i="7" s="1"/>
  <c r="AI14" i="7" s="1"/>
  <c r="AF10" i="7"/>
  <c r="AG10" i="7" s="1"/>
  <c r="AH10" i="7" s="1"/>
  <c r="AI10" i="7" s="1"/>
  <c r="P33" i="11"/>
  <c r="Q33" i="11"/>
  <c r="X33" i="11"/>
  <c r="AK9" i="10"/>
  <c r="AC9" i="10" s="1"/>
  <c r="AF10" i="10"/>
  <c r="AG10" i="10" s="1"/>
  <c r="AH10" i="10" s="1"/>
  <c r="AI10" i="10" s="1"/>
  <c r="AM22" i="8"/>
  <c r="AE22" i="8" s="1"/>
  <c r="O33" i="11"/>
  <c r="AF21" i="6"/>
  <c r="AG21" i="6" s="1"/>
  <c r="AH21" i="6" s="1"/>
  <c r="AI21" i="6" s="1"/>
  <c r="AF18" i="9"/>
  <c r="AG18" i="9" s="1"/>
  <c r="AH18" i="9" s="1"/>
  <c r="AI18" i="9" s="1"/>
  <c r="AF50" i="6"/>
  <c r="AG50" i="6" s="1"/>
  <c r="AH50" i="6" s="1"/>
  <c r="AI50" i="6" s="1"/>
  <c r="AF9" i="7"/>
  <c r="AH15" i="8"/>
  <c r="AI15" i="8" s="1"/>
  <c r="AJ15" i="8" s="1"/>
  <c r="AK15" i="8" s="1"/>
  <c r="AF10" i="9"/>
  <c r="AF8" i="10"/>
  <c r="X19" i="9"/>
  <c r="AE19" i="9"/>
  <c r="AK12" i="7"/>
  <c r="AC19" i="11" l="1"/>
  <c r="AF19" i="11" s="1"/>
  <c r="AG19" i="11" s="1"/>
  <c r="AH19" i="11" s="1"/>
  <c r="AI19" i="11" s="1"/>
  <c r="AC18" i="11"/>
  <c r="AF18" i="11" s="1"/>
  <c r="AG18" i="11" s="1"/>
  <c r="AH18" i="11" s="1"/>
  <c r="AI18" i="11" s="1"/>
  <c r="AC17" i="11"/>
  <c r="AF17" i="11" s="1"/>
  <c r="AG17" i="11" s="1"/>
  <c r="AH17" i="11" s="1"/>
  <c r="AI17" i="11" s="1"/>
  <c r="AC16" i="11"/>
  <c r="AF16" i="11" s="1"/>
  <c r="AG16" i="11" s="1"/>
  <c r="AH16" i="11" s="1"/>
  <c r="AI16" i="11" s="1"/>
  <c r="AC15" i="11"/>
  <c r="AF15" i="11" s="1"/>
  <c r="AG15" i="11" s="1"/>
  <c r="AH15" i="11" s="1"/>
  <c r="AI15" i="11" s="1"/>
  <c r="AF13" i="11"/>
  <c r="AG13" i="11" s="1"/>
  <c r="AH13" i="11" s="1"/>
  <c r="AI13" i="11" s="1"/>
  <c r="AF16" i="6"/>
  <c r="AG16" i="6" s="1"/>
  <c r="AH16" i="6" s="1"/>
  <c r="AI16" i="6" s="1"/>
  <c r="AF18" i="6"/>
  <c r="AG18" i="6" s="1"/>
  <c r="AH18" i="6" s="1"/>
  <c r="AI18" i="6" s="1"/>
  <c r="AF13" i="6"/>
  <c r="AG13" i="6" s="1"/>
  <c r="AH13" i="6" s="1"/>
  <c r="AI13" i="6" s="1"/>
  <c r="AF9" i="6"/>
  <c r="AG9" i="6" s="1"/>
  <c r="AH9" i="6" s="1"/>
  <c r="AI9" i="6" s="1"/>
  <c r="AF10" i="6"/>
  <c r="AG10" i="6" s="1"/>
  <c r="AH10" i="6" s="1"/>
  <c r="AI10" i="6" s="1"/>
  <c r="AF11" i="6"/>
  <c r="AG11" i="6" s="1"/>
  <c r="AH11" i="6" s="1"/>
  <c r="AI11" i="6" s="1"/>
  <c r="AF19" i="6"/>
  <c r="AG19" i="6" s="1"/>
  <c r="AH19" i="6" s="1"/>
  <c r="AI19" i="6" s="1"/>
  <c r="AF20" i="6"/>
  <c r="AG20" i="6" s="1"/>
  <c r="AH20" i="6" s="1"/>
  <c r="AI20" i="6" s="1"/>
  <c r="AF12" i="6"/>
  <c r="AG12" i="6" s="1"/>
  <c r="AH12" i="6" s="1"/>
  <c r="AI12" i="6" s="1"/>
  <c r="AF22" i="6"/>
  <c r="AG22" i="6" s="1"/>
  <c r="AH22" i="6" s="1"/>
  <c r="AI22" i="6" s="1"/>
  <c r="AF17" i="6"/>
  <c r="AG17" i="6" s="1"/>
  <c r="AH17" i="6" s="1"/>
  <c r="AI17" i="6" s="1"/>
  <c r="AC18" i="10"/>
  <c r="AH22" i="8"/>
  <c r="AI22" i="8" s="1"/>
  <c r="AJ22" i="8" s="1"/>
  <c r="AK22" i="8" s="1"/>
  <c r="AE33" i="11"/>
  <c r="AH8" i="8"/>
  <c r="AI8" i="8" s="1"/>
  <c r="AM10" i="8"/>
  <c r="AE10" i="8" s="1"/>
  <c r="AE51" i="6"/>
  <c r="AG8" i="10"/>
  <c r="AH8" i="10" s="1"/>
  <c r="AC19" i="9"/>
  <c r="AF15" i="6"/>
  <c r="AG15" i="6" s="1"/>
  <c r="AG9" i="7"/>
  <c r="AH9" i="7" s="1"/>
  <c r="AI9" i="7" s="1"/>
  <c r="AG10" i="9"/>
  <c r="AH10" i="9" s="1"/>
  <c r="AI10" i="9" s="1"/>
  <c r="AE18" i="10"/>
  <c r="AE23" i="7"/>
  <c r="AJ8" i="8" l="1"/>
  <c r="AK8" i="8" s="1"/>
  <c r="AC33" i="11"/>
  <c r="AG33" i="11"/>
  <c r="AF33" i="11"/>
  <c r="AF9" i="10"/>
  <c r="AI19" i="9"/>
  <c r="AF19" i="9"/>
  <c r="AH15" i="6"/>
  <c r="AI15" i="6" s="1"/>
  <c r="AF12" i="7"/>
  <c r="AC23" i="7"/>
  <c r="AI8" i="10"/>
  <c r="E22" i="5"/>
  <c r="AH33" i="11" l="1"/>
  <c r="AG9" i="10"/>
  <c r="AF18" i="10"/>
  <c r="AG19" i="9"/>
  <c r="AH19" i="9"/>
  <c r="AH10" i="8"/>
  <c r="AF23" i="7"/>
  <c r="AG12" i="7"/>
  <c r="I15" i="5"/>
  <c r="I14" i="5"/>
  <c r="I13" i="5"/>
  <c r="I12" i="5"/>
  <c r="I11" i="5"/>
  <c r="I10" i="5"/>
  <c r="I9" i="5"/>
  <c r="F9" i="5" s="1"/>
  <c r="I8" i="5"/>
  <c r="F8" i="5" s="1"/>
  <c r="AD22" i="5"/>
  <c r="AB22" i="5"/>
  <c r="G22" i="5"/>
  <c r="H22" i="5"/>
  <c r="J22" i="5"/>
  <c r="K22" i="5"/>
  <c r="L22" i="5"/>
  <c r="M22" i="5"/>
  <c r="N22" i="5"/>
  <c r="T22" i="5"/>
  <c r="W22" i="5"/>
  <c r="Y22" i="5"/>
  <c r="Z22" i="5"/>
  <c r="AA22" i="5"/>
  <c r="F10" i="5" l="1"/>
  <c r="F11" i="5"/>
  <c r="AI33" i="11"/>
  <c r="AH9" i="10"/>
  <c r="AG18" i="10"/>
  <c r="AI10" i="8"/>
  <c r="AH12" i="7"/>
  <c r="AH23" i="7" s="1"/>
  <c r="AG23" i="7"/>
  <c r="F12" i="5"/>
  <c r="F14" i="5"/>
  <c r="F13" i="5"/>
  <c r="F15" i="5"/>
  <c r="P8" i="5" l="1"/>
  <c r="R8" i="5"/>
  <c r="AI9" i="10"/>
  <c r="AI18" i="10" s="1"/>
  <c r="AH18" i="10"/>
  <c r="AJ10" i="8"/>
  <c r="O8" i="5"/>
  <c r="Q8" i="5"/>
  <c r="O14" i="5"/>
  <c r="O12" i="5"/>
  <c r="AI12" i="7"/>
  <c r="AI23" i="7" s="1"/>
  <c r="O11" i="5"/>
  <c r="O9" i="5"/>
  <c r="O10" i="5"/>
  <c r="X10" i="5" s="1"/>
  <c r="O15" i="5"/>
  <c r="O13" i="5"/>
  <c r="X13" i="5" s="1"/>
  <c r="V15" i="5"/>
  <c r="U15" i="5"/>
  <c r="V14" i="5"/>
  <c r="U14" i="5"/>
  <c r="V13" i="5"/>
  <c r="U13" i="5"/>
  <c r="V12" i="5"/>
  <c r="U12" i="5"/>
  <c r="V11" i="5"/>
  <c r="U11" i="5"/>
  <c r="V10" i="5"/>
  <c r="U10" i="5"/>
  <c r="U9" i="5"/>
  <c r="AE8" i="5" l="1"/>
  <c r="AK8" i="5" s="1"/>
  <c r="AC8" i="5" s="1"/>
  <c r="AE11" i="5"/>
  <c r="AK11" i="5" s="1"/>
  <c r="AC11" i="5" s="1"/>
  <c r="AE15" i="5"/>
  <c r="AK15" i="5" s="1"/>
  <c r="AC15" i="5" s="1"/>
  <c r="AE10" i="5"/>
  <c r="AK10" i="5" s="1"/>
  <c r="AC10" i="5" s="1"/>
  <c r="AE9" i="5"/>
  <c r="AK9" i="5" s="1"/>
  <c r="AC9" i="5" s="1"/>
  <c r="AE14" i="5"/>
  <c r="AK14" i="5" s="1"/>
  <c r="AC14" i="5" s="1"/>
  <c r="AE13" i="5"/>
  <c r="AK13" i="5" s="1"/>
  <c r="AC13" i="5" s="1"/>
  <c r="AE12" i="5"/>
  <c r="AK12" i="5" s="1"/>
  <c r="AC12" i="5" s="1"/>
  <c r="AK10" i="8"/>
  <c r="O22" i="5"/>
  <c r="Q22" i="5"/>
  <c r="V22" i="5"/>
  <c r="R22" i="5"/>
  <c r="U22" i="5"/>
  <c r="I22" i="5"/>
  <c r="P22" i="5"/>
  <c r="X22" i="5" l="1"/>
  <c r="AF15" i="5"/>
  <c r="AG15" i="5" s="1"/>
  <c r="AH15" i="5" s="1"/>
  <c r="AI15" i="5" s="1"/>
  <c r="AF11" i="5"/>
  <c r="AG11" i="5" s="1"/>
  <c r="AH11" i="5" s="1"/>
  <c r="AI11" i="5" s="1"/>
  <c r="AF9" i="5"/>
  <c r="AG9" i="5" s="1"/>
  <c r="AF12" i="5"/>
  <c r="AG12" i="5" s="1"/>
  <c r="AH12" i="5" s="1"/>
  <c r="AI12" i="5" s="1"/>
  <c r="F22" i="5"/>
  <c r="AF8" i="5" l="1"/>
  <c r="AG8" i="5" s="1"/>
  <c r="AH8" i="5" s="1"/>
  <c r="AF14" i="5"/>
  <c r="AG14" i="5" s="1"/>
  <c r="AH14" i="5" s="1"/>
  <c r="AI14" i="5" s="1"/>
  <c r="AF10" i="5"/>
  <c r="AG10" i="5" s="1"/>
  <c r="AH10" i="5" s="1"/>
  <c r="AI10" i="5" s="1"/>
  <c r="AE22" i="5"/>
  <c r="AH9" i="5"/>
  <c r="AI9" i="5" s="1"/>
  <c r="AI8" i="5" l="1"/>
  <c r="AF13" i="5"/>
  <c r="AF22" i="5" s="1"/>
  <c r="AC22" i="5"/>
  <c r="AG13" i="5" l="1"/>
  <c r="AH13" i="5" s="1"/>
  <c r="AH22" i="5" s="1"/>
  <c r="AF51" i="6"/>
  <c r="AC51" i="6"/>
  <c r="AG22" i="5" l="1"/>
  <c r="AI13" i="5"/>
  <c r="AI22" i="5" s="1"/>
  <c r="AG8" i="6"/>
  <c r="AH8" i="6" s="1"/>
  <c r="AH51" i="6" s="1"/>
  <c r="AG51" i="6" l="1"/>
  <c r="AI8" i="6"/>
  <c r="AI51" i="6" s="1"/>
  <c r="AH21" i="8" l="1"/>
  <c r="AI21" i="8" l="1"/>
  <c r="AJ21" i="8" l="1"/>
  <c r="AK21" i="8" l="1"/>
  <c r="AG17" i="8"/>
  <c r="AM17" i="8" s="1"/>
  <c r="AH17" i="8" l="1"/>
  <c r="AH28" i="8" s="1"/>
  <c r="AI17" i="8" l="1"/>
  <c r="AJ17" i="8" s="1"/>
  <c r="AJ28" i="8" s="1"/>
  <c r="AI28" i="8" l="1"/>
  <c r="AK17" i="8"/>
  <c r="AK2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68C4BD32-3DE3-4119-8135-66B207CA1E1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A90599EF-6103-4FDC-A519-D04E7F52CAC9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50C44635-95A3-4D4E-93C9-01C820CD1C6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Q6" authorId="0" shapeId="0" xr:uid="{1399015D-6DD5-4F53-8ECE-3CF6B4ED8EB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AAA66A4D-3B92-442B-9C78-C3949F00933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5601BE70-622F-453F-B9E5-9638A93FCE5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72A1B716-FDC3-4EBF-B586-0EA3F2551CC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EAD41A68-D626-4F82-A670-0C12D56B1303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Q6" authorId="0" shapeId="0" xr:uid="{737F3D76-5B64-4128-8CFD-ADF55291600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C07C397F-94D7-4151-AD45-113AAA8989B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Q6" authorId="0" shapeId="0" xr:uid="{B6F780E1-9EA4-4FBC-9857-489054BE965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01A39344-FD52-4042-8C96-23FE77B0FBAA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67BA9C32-C2A4-415E-8987-3B711FEEAAE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P6" authorId="0" shapeId="0" xr:uid="{99A3449D-EB37-4549-A3D7-4A978E518E52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5D6B512C-27AA-428E-87EA-4458BD12B87D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V6" authorId="0" shapeId="0" xr:uid="{39D4BBB8-EA38-4F46-8ED2-9A29EE46CDFE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5AA075F4-1310-48AF-AB5A-EB8D2391B47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47BEDC91-C649-4939-B8A0-69E6BCC18A5B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460938C5-7768-4EF6-AA2D-6C3C73942817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444E84A9-CBA4-43C0-9FC3-D17878B7AA05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T6" authorId="0" shapeId="0" xr:uid="{36B96F6E-1A1D-4BAA-B183-2EC9529A6F8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<sst xmlns="http://schemas.openxmlformats.org/spreadsheetml/2006/main" count="2249" uniqueCount="665">
  <si>
    <t>លេខ</t>
  </si>
  <si>
    <t>ឈ្មោះ</t>
  </si>
  <si>
    <t>ថ្ងៃខែឆ្នាំ</t>
  </si>
  <si>
    <t>ចំនួន</t>
  </si>
  <si>
    <t>ប្រាក់</t>
  </si>
  <si>
    <t>ម៉ោងធ្វើ</t>
  </si>
  <si>
    <t>ច្បាប់</t>
  </si>
  <si>
    <t>ថែម</t>
  </si>
  <si>
    <t>ថ្ងៃ</t>
  </si>
  <si>
    <t>ប្រាក់ធ្វើ</t>
  </si>
  <si>
    <t>ប្រាក់ថ្ងៃ</t>
  </si>
  <si>
    <t>សំរាក៥០%</t>
  </si>
  <si>
    <t>ប្រាក់ខែ</t>
  </si>
  <si>
    <t>ប្រាក់ដុល្លា</t>
  </si>
  <si>
    <t>កាត</t>
  </si>
  <si>
    <t>ចូលធ្វើការ</t>
  </si>
  <si>
    <t>បៀវត្ស</t>
  </si>
  <si>
    <t>ថ្ងៃធ្វើការ</t>
  </si>
  <si>
    <t>ការសរុប</t>
  </si>
  <si>
    <t>ការធម្មតា</t>
  </si>
  <si>
    <t>ម៉ោង</t>
  </si>
  <si>
    <t>អាទិត្យ</t>
  </si>
  <si>
    <t>បុណ្យ</t>
  </si>
  <si>
    <t>ថែមម៉ោង</t>
  </si>
  <si>
    <t>ចំនួនថ្ងៃ</t>
  </si>
  <si>
    <t>បាយ</t>
  </si>
  <si>
    <t>អតីតភាព</t>
  </si>
  <si>
    <t>ធ្វើដំណើរ</t>
  </si>
  <si>
    <t>កាត់ពន្ធ</t>
  </si>
  <si>
    <t>អាមេរិច</t>
  </si>
  <si>
    <t>រៀល</t>
  </si>
  <si>
    <t>សរុប</t>
  </si>
  <si>
    <t>រស់ សុភក្តិ</t>
  </si>
  <si>
    <t>TOTAL</t>
  </si>
  <si>
    <t>APPROVED BY:</t>
  </si>
  <si>
    <t>CHECKED BY:</t>
  </si>
  <si>
    <t>PAYROLL BY:</t>
  </si>
  <si>
    <t>ស្ព្រីងអ៊ែរហ្វេសិន(ខេមបូឌា)ឯ.ក</t>
  </si>
  <si>
    <t>SPRINGAIR FASHION (CAMBODIA) CO.,LTD</t>
  </si>
  <si>
    <t>ព្រំ សុខណេ</t>
  </si>
  <si>
    <t>អ៊ុត ជឿន</t>
  </si>
  <si>
    <t>ដូយ សារ៉េត</t>
  </si>
  <si>
    <t>មាស សាម៉េន</t>
  </si>
  <si>
    <t>ប៉ែន គន្ធា</t>
  </si>
  <si>
    <t>ស្រៀង សម្បត្តិ</t>
  </si>
  <si>
    <t>TKZ-001</t>
  </si>
  <si>
    <t>DG-001</t>
  </si>
  <si>
    <t>FJ-001</t>
  </si>
  <si>
    <t>FJ-002</t>
  </si>
  <si>
    <t>SJ-001</t>
  </si>
  <si>
    <t>SF-003</t>
  </si>
  <si>
    <t>ណុប ថោង</t>
  </si>
  <si>
    <t>SF-004</t>
  </si>
  <si>
    <t>SF-005</t>
  </si>
  <si>
    <t>GL-001</t>
  </si>
  <si>
    <t>FL-001</t>
  </si>
  <si>
    <t>FL-002</t>
  </si>
  <si>
    <t>ZX-001</t>
  </si>
  <si>
    <t>ZX-002</t>
  </si>
  <si>
    <t>លឹម ស្រី</t>
  </si>
  <si>
    <t>ZX-003</t>
  </si>
  <si>
    <t>ZX-004</t>
  </si>
  <si>
    <t>ZX-005</t>
  </si>
  <si>
    <t>ZX-006</t>
  </si>
  <si>
    <t>XS-001</t>
  </si>
  <si>
    <t>XS-002</t>
  </si>
  <si>
    <t>XS-003</t>
  </si>
  <si>
    <t>អ៊ុត ធូ</t>
  </si>
  <si>
    <t>XS-004</t>
  </si>
  <si>
    <t>ស្រូយ ភីរម្យ</t>
  </si>
  <si>
    <t>QA-001</t>
  </si>
  <si>
    <t>TD-001</t>
  </si>
  <si>
    <t>TD-003</t>
  </si>
  <si>
    <t>សុភា ណាវី</t>
  </si>
  <si>
    <t>TD-004</t>
  </si>
  <si>
    <t>គី ជីម៉ា</t>
  </si>
  <si>
    <t>CPZ 001</t>
  </si>
  <si>
    <t>SF-001</t>
  </si>
  <si>
    <t>SF-002</t>
  </si>
  <si>
    <t>DN-002</t>
  </si>
  <si>
    <t>DN-003</t>
  </si>
  <si>
    <t>DN-004</t>
  </si>
  <si>
    <t>DN-005</t>
  </si>
  <si>
    <t>DN-008</t>
  </si>
  <si>
    <t>DN-009</t>
  </si>
  <si>
    <t>DN-010</t>
  </si>
  <si>
    <t>DN-011</t>
  </si>
  <si>
    <t>DN-014</t>
  </si>
  <si>
    <t>DN-015</t>
  </si>
  <si>
    <t>DN-016</t>
  </si>
  <si>
    <t>DN-017</t>
  </si>
  <si>
    <t>DN-020</t>
  </si>
  <si>
    <t>DM-002</t>
  </si>
  <si>
    <t>DM-004</t>
  </si>
  <si>
    <t>ឡាយ ប៊ុនថេង</t>
  </si>
  <si>
    <t>ចាត សុខា</t>
  </si>
  <si>
    <t>ឈួន ស្រីមុំ</t>
  </si>
  <si>
    <t>ផេង គន្ធា</t>
  </si>
  <si>
    <t>កុយ ផេន</t>
  </si>
  <si>
    <t>អេង រ៉ាត់</t>
  </si>
  <si>
    <t>យ៉ត ពិសាល</t>
  </si>
  <si>
    <t>ប៉ាវ សុធា</t>
  </si>
  <si>
    <t>ទុយ កក្កដា</t>
  </si>
  <si>
    <t>ចិន ផល្លី</t>
  </si>
  <si>
    <t>ហ៊ីម សីហា</t>
  </si>
  <si>
    <t>ដួង មករា</t>
  </si>
  <si>
    <t>សួន ចន្ថា</t>
  </si>
  <si>
    <t>ឃុន គឹមហ៊ីម</t>
  </si>
  <si>
    <t>ប៉ក់ បូរី</t>
  </si>
  <si>
    <t>ឡេង វណ្ណា</t>
  </si>
  <si>
    <t>ស៊ុន ផុល</t>
  </si>
  <si>
    <t>សយ  កន្និកា</t>
  </si>
  <si>
    <t>អែម រ៉ា</t>
  </si>
  <si>
    <t>ហឹម  សុវណ្ណ</t>
  </si>
  <si>
    <t>ទ្រី  ស៊ីម</t>
  </si>
  <si>
    <t>ប៉ែន ផៃ</t>
  </si>
  <si>
    <t>ស​​  ស្រីមុំ</t>
  </si>
  <si>
    <t>CT 001</t>
  </si>
  <si>
    <t>CT 002</t>
  </si>
  <si>
    <t>ង៉ឺយ  ស្រី</t>
  </si>
  <si>
    <t>CT 003</t>
  </si>
  <si>
    <t>CT 005</t>
  </si>
  <si>
    <t>ឡេ នី</t>
  </si>
  <si>
    <t>CT 006</t>
  </si>
  <si>
    <t>ជា ចន្ថា</t>
  </si>
  <si>
    <t>CF 001</t>
  </si>
  <si>
    <t>ជា ​ហឿន</t>
  </si>
  <si>
    <t>CF 002</t>
  </si>
  <si>
    <t>ជា  ចន្ធី</t>
  </si>
  <si>
    <t>CF 003</t>
  </si>
  <si>
    <t>លន  ស្រី</t>
  </si>
  <si>
    <t>TB 001</t>
  </si>
  <si>
    <t>អ៊ូ ​ពៅ</t>
  </si>
  <si>
    <t>TB 002</t>
  </si>
  <si>
    <t>TB 003</t>
  </si>
  <si>
    <t>ហែម  សុវណ្ណ</t>
  </si>
  <si>
    <t>ណន  ចណ្ណា</t>
  </si>
  <si>
    <t>ម៉ាន់ សេរីរដ្ឋ</t>
  </si>
  <si>
    <t>អ៊ុន សារុន</t>
  </si>
  <si>
    <t>ចិន សុខលៀប</t>
  </si>
  <si>
    <t>ស្រួយ មាន</t>
  </si>
  <si>
    <t>អ៊ុំ  ម៉េត</t>
  </si>
  <si>
    <t>ប៉ច ថា</t>
  </si>
  <si>
    <t>ជួន រ៉ានី</t>
  </si>
  <si>
    <t>សៀម បុល</t>
  </si>
  <si>
    <t>ដូយ ដាំ</t>
  </si>
  <si>
    <t>ហ៊ុន  វណ្ណះ</t>
  </si>
  <si>
    <t>SP-001</t>
  </si>
  <si>
    <t>SP-002</t>
  </si>
  <si>
    <t>SP-003</t>
  </si>
  <si>
    <t>TYZ-001</t>
  </si>
  <si>
    <t>លឹម មករា</t>
  </si>
  <si>
    <t>TYZ-002</t>
  </si>
  <si>
    <t>ZXZ-001</t>
  </si>
  <si>
    <t>ធុច មករា</t>
  </si>
  <si>
    <t>TZ-001</t>
  </si>
  <si>
    <t>XSZ-001</t>
  </si>
  <si>
    <t>CMZ-001</t>
  </si>
  <si>
    <t>សាក់ សេរីរ័ត្ន</t>
  </si>
  <si>
    <t>CSZ-001</t>
  </si>
  <si>
    <t>អែ ដា</t>
  </si>
  <si>
    <t>CSZ-002</t>
  </si>
  <si>
    <t>BYZ-001</t>
  </si>
  <si>
    <t>ស្រី បូរ៉ាន់</t>
  </si>
  <si>
    <t>ណុប គយ</t>
  </si>
  <si>
    <t>ណេន ហុង</t>
  </si>
  <si>
    <t>ស៊ាន់ គឹមសេង</t>
  </si>
  <si>
    <t>ភាព ស៊ីលាង</t>
  </si>
  <si>
    <t>ជា វណ្ណា</t>
  </si>
  <si>
    <t>ប៊ុត ដានី</t>
  </si>
  <si>
    <t>ស្រ៊ាង សារុន</t>
  </si>
  <si>
    <t>ស្រូយ ចាន់ធឿន</t>
  </si>
  <si>
    <t>សេន ដាវីន</t>
  </si>
  <si>
    <t>ប៊ុនលី មីងហុង</t>
  </si>
  <si>
    <t>វ៉ិត វិសាល</t>
  </si>
  <si>
    <t>ស៊ុំ រី</t>
  </si>
  <si>
    <t>សេង ចន</t>
  </si>
  <si>
    <t>យ៉ង់ ចន</t>
  </si>
  <si>
    <t>អ៊ុន វណ្ណៈ</t>
  </si>
  <si>
    <t>ស៊ន គឹមលុយ</t>
  </si>
  <si>
    <t>ម៉ាន់ រចនា</t>
  </si>
  <si>
    <t>TD-007</t>
  </si>
  <si>
    <t>ហ៊ាន ម៉ាលីហ្សា</t>
  </si>
  <si>
    <t>SJ-002</t>
  </si>
  <si>
    <t>ព្រំ សារុំ</t>
  </si>
  <si>
    <t>QJ-002</t>
  </si>
  <si>
    <t>មាស ស៊្រា</t>
  </si>
  <si>
    <t>DNZ-001</t>
  </si>
  <si>
    <t>រ៉ា ចាន់រិទ្ធ</t>
  </si>
  <si>
    <t>DNZ-002</t>
  </si>
  <si>
    <t>ទុយ សុខមាន</t>
  </si>
  <si>
    <t>DNZ-003</t>
  </si>
  <si>
    <t>ឃឹម ចិតត្រា</t>
  </si>
  <si>
    <t>DNZ-004</t>
  </si>
  <si>
    <t>DNZ-005</t>
  </si>
  <si>
    <t>ខៀវ ចិត្ត</t>
  </si>
  <si>
    <t>ឈួន ស្រីណុច</t>
  </si>
  <si>
    <t>ជា ភក្ដី</t>
  </si>
  <si>
    <t>ឈុន ស្រីពៅ</t>
  </si>
  <si>
    <t>អ៊ិន សៀវមួយ</t>
  </si>
  <si>
    <t>ស៊្រុន ចន្នី</t>
  </si>
  <si>
    <t>DM-007</t>
  </si>
  <si>
    <t>អឿ ជឿន</t>
  </si>
  <si>
    <t>TK-001</t>
  </si>
  <si>
    <t>TK-002</t>
  </si>
  <si>
    <t>TK-003</t>
  </si>
  <si>
    <t>TK-005</t>
  </si>
  <si>
    <t>TK-008</t>
  </si>
  <si>
    <t>ហង់ នីម</t>
  </si>
  <si>
    <t>TK-010</t>
  </si>
  <si>
    <t>TK-013</t>
  </si>
  <si>
    <t>TK-014</t>
  </si>
  <si>
    <t>TK-015</t>
  </si>
  <si>
    <t>TK-016</t>
  </si>
  <si>
    <t>TK-017</t>
  </si>
  <si>
    <t>កែវ ចាន់ណេត</t>
  </si>
  <si>
    <t>TK-018</t>
  </si>
  <si>
    <t>TK-019</t>
  </si>
  <si>
    <t>ទឹម សុខលី</t>
  </si>
  <si>
    <t>TK-020</t>
  </si>
  <si>
    <t>CM-020</t>
  </si>
  <si>
    <t>CM-021</t>
  </si>
  <si>
    <t>CM-026</t>
  </si>
  <si>
    <t>T- 001</t>
  </si>
  <si>
    <t>ណេង ម៉ាលី</t>
  </si>
  <si>
    <t>T- 002</t>
  </si>
  <si>
    <t>T- 003</t>
  </si>
  <si>
    <t>T- 004</t>
  </si>
  <si>
    <t>T- 006</t>
  </si>
  <si>
    <t>គុណ បូរី</t>
  </si>
  <si>
    <t>T- 007</t>
  </si>
  <si>
    <t>ស្រ៊ន សុភាព</t>
  </si>
  <si>
    <t>T- 008</t>
  </si>
  <si>
    <t>កែវ វណ្ណៈ</t>
  </si>
  <si>
    <t>តេង ស៊ីថា</t>
  </si>
  <si>
    <t>សឿង សារុំ</t>
  </si>
  <si>
    <t>ហ៊ីន ធារ៉ា</t>
  </si>
  <si>
    <t>ឡាក់  សុចាន់</t>
  </si>
  <si>
    <t>ZD-006</t>
  </si>
  <si>
    <t>សុខ​​ លីណា</t>
  </si>
  <si>
    <t>ZD-007</t>
  </si>
  <si>
    <t>សុខ​​​​  លីដា</t>
  </si>
  <si>
    <t>ZD-008</t>
  </si>
  <si>
    <t>វណ្ណ  សុធា</t>
  </si>
  <si>
    <t>នាងស៊ុម  ចិន</t>
  </si>
  <si>
    <t>ស៊ីន សុខផាន់ណៃ</t>
  </si>
  <si>
    <t>ឡូយ ម៉េងហួរ</t>
  </si>
  <si>
    <t>ឃុយ ស្រីនី</t>
  </si>
  <si>
    <t>អូត សុខហេង</t>
  </si>
  <si>
    <t>សៅ  បូរី</t>
  </si>
  <si>
    <t>CS-003</t>
  </si>
  <si>
    <t>CS-008</t>
  </si>
  <si>
    <t>ស៊ឹម ឈុនឡេង</t>
  </si>
  <si>
    <t>CS-019</t>
  </si>
  <si>
    <t>ជួន ចាន់ធួន</t>
  </si>
  <si>
    <t>CS-020</t>
  </si>
  <si>
    <t>ណុប សារិន</t>
  </si>
  <si>
    <t>CS-021</t>
  </si>
  <si>
    <t>យ៉ាន់ លក្ខ័</t>
  </si>
  <si>
    <t>TY-002</t>
  </si>
  <si>
    <t>ជា  សារុន</t>
  </si>
  <si>
    <t>TY-003</t>
  </si>
  <si>
    <t>TY-005</t>
  </si>
  <si>
    <t>TY-006</t>
  </si>
  <si>
    <t>TY-007</t>
  </si>
  <si>
    <t>TY-010</t>
  </si>
  <si>
    <t>TY-013</t>
  </si>
  <si>
    <t>ផេង ស្រីនិច</t>
  </si>
  <si>
    <t>TY-015</t>
  </si>
  <si>
    <t>គឹម សុផុន</t>
  </si>
  <si>
    <t>TY-016</t>
  </si>
  <si>
    <t>TY-017</t>
  </si>
  <si>
    <t>សុខ ឃុនលី</t>
  </si>
  <si>
    <t>TY-019</t>
  </si>
  <si>
    <t>ស៊ិន  សុភា</t>
  </si>
  <si>
    <t>TY-020</t>
  </si>
  <si>
    <t>ស្រ៊ន ហួរ</t>
  </si>
  <si>
    <t>TY-023</t>
  </si>
  <si>
    <t>ហ៊  ស្រីអូន</t>
  </si>
  <si>
    <t>TY-024</t>
  </si>
  <si>
    <t>ស្រួយ  ជូ</t>
  </si>
  <si>
    <t>TY-025</t>
  </si>
  <si>
    <t>បៀរ  សុវ៉ាន់</t>
  </si>
  <si>
    <t>TY-026</t>
  </si>
  <si>
    <t>នួន ម៉េងហួរ</t>
  </si>
  <si>
    <t>TY-027</t>
  </si>
  <si>
    <t>ហឿន សៀវហេង</t>
  </si>
  <si>
    <t>TY-028</t>
  </si>
  <si>
    <t>កែវ ស៊ីណា</t>
  </si>
  <si>
    <t>TY-029</t>
  </si>
  <si>
    <t>សួង  វន</t>
  </si>
  <si>
    <t>TY-030</t>
  </si>
  <si>
    <t>ហៀង ខ្នា</t>
  </si>
  <si>
    <t>មាន</t>
  </si>
  <si>
    <t>អត់</t>
  </si>
  <si>
    <t>គោល</t>
  </si>
  <si>
    <t>បើកទី១</t>
  </si>
  <si>
    <t>សោធន</t>
  </si>
  <si>
    <t>ចំនួនឡូត៏៍</t>
  </si>
  <si>
    <t>ប្រាក់ឡូតិ៍</t>
  </si>
  <si>
    <t>ប៉ូវឡូតិ៍</t>
  </si>
  <si>
    <t>ទទួលបាន</t>
  </si>
  <si>
    <t>ដកចេញ</t>
  </si>
  <si>
    <t>ប្រាក់ខែទទួល</t>
  </si>
  <si>
    <t>បានពិត</t>
  </si>
  <si>
    <t>ផ្នែក ផុង</t>
  </si>
  <si>
    <t>ទៀងទាត់</t>
  </si>
  <si>
    <t>02/05/24</t>
  </si>
  <si>
    <t>15/05/24</t>
  </si>
  <si>
    <t>10/06/24</t>
  </si>
  <si>
    <t>01/06/24</t>
  </si>
  <si>
    <t>03/06/24</t>
  </si>
  <si>
    <t>06/06/24</t>
  </si>
  <si>
    <t>17/06/24</t>
  </si>
  <si>
    <t>ស៊ីម៉ោង</t>
  </si>
  <si>
    <t>ផ្នែក ម៉ុក</t>
  </si>
  <si>
    <t>19/06/24</t>
  </si>
  <si>
    <t>22/06/24</t>
  </si>
  <si>
    <t>24/06/24</t>
  </si>
  <si>
    <t>ផ្នែក ឆែកផុង+ឆែកម៉ុក+ឆ្លុះភ្លើង+ប៉ះម៉ុក</t>
  </si>
  <si>
    <t>ផ្នែក ​ដេរផ្លាកករ</t>
  </si>
  <si>
    <t>ផ្នែក ​ឆែកទិ១</t>
  </si>
  <si>
    <t>04/06/24</t>
  </si>
  <si>
    <t>ផ្នែក ​ប៉ះ</t>
  </si>
  <si>
    <t>ផ្នែក ​អ៊ុត</t>
  </si>
  <si>
    <t>BY-001</t>
  </si>
  <si>
    <t>ហេង  សុខុន</t>
  </si>
  <si>
    <t>BY-002</t>
  </si>
  <si>
    <t>ស្រ៊ិន គឹមហាវ</t>
  </si>
  <si>
    <t>BY-003</t>
  </si>
  <si>
    <t>ផុន  ស៊ីនួន</t>
  </si>
  <si>
    <t>BY2-001</t>
  </si>
  <si>
    <t>ងន  ផល្លីន</t>
  </si>
  <si>
    <t>11/06/24</t>
  </si>
  <si>
    <t>ផ្នែក ​ឆែកទិ២</t>
  </si>
  <si>
    <t>CS2-001</t>
  </si>
  <si>
    <t>ឡុច  ស្រី</t>
  </si>
  <si>
    <t>CS2-005</t>
  </si>
  <si>
    <t>ផូ ចន្ទ័បុរី</t>
  </si>
  <si>
    <t>CS2-007</t>
  </si>
  <si>
    <t>ស្រូយ  ជីម</t>
  </si>
  <si>
    <t>CS2-008</t>
  </si>
  <si>
    <t>សៀន សំអាត</t>
  </si>
  <si>
    <t>CS2-009</t>
  </si>
  <si>
    <t>ឈុន វ៉ាន់ថា</t>
  </si>
  <si>
    <t>CS2-010</t>
  </si>
  <si>
    <t>តេង  ចន្ថា</t>
  </si>
  <si>
    <t>CS2-011</t>
  </si>
  <si>
    <t>ឯក  ស្រី</t>
  </si>
  <si>
    <t>CS2-015</t>
  </si>
  <si>
    <t>ផ្លុង​​​  ស្រឿន</t>
  </si>
  <si>
    <t>CS2-016</t>
  </si>
  <si>
    <t>ហាន វ៉ាន</t>
  </si>
  <si>
    <t>CS2-017</t>
  </si>
  <si>
    <t>ចិន សុភា</t>
  </si>
  <si>
    <t>25/06/24</t>
  </si>
  <si>
    <t>ផ្នែក ​វេចខ្ចប់</t>
  </si>
  <si>
    <t>BZ-001</t>
  </si>
  <si>
    <t>សាយ  សោភា</t>
  </si>
  <si>
    <t>BZ-002</t>
  </si>
  <si>
    <t>ស្រូយ​ ចន្ថា</t>
  </si>
  <si>
    <t>BZ-003</t>
  </si>
  <si>
    <t>ញ៉ាញ  រ៉ា</t>
  </si>
  <si>
    <t>BZ-004</t>
  </si>
  <si>
    <t>ស្រ៊ាង  ថាវី</t>
  </si>
  <si>
    <t>BZ-005</t>
  </si>
  <si>
    <t>សុខ  សារ៉េត</t>
  </si>
  <si>
    <t>BZ-006</t>
  </si>
  <si>
    <t>ម៉ាញ់  ស្រ៊ី</t>
  </si>
  <si>
    <t>BZ-008</t>
  </si>
  <si>
    <t>ស្រេត​​  សារុន</t>
  </si>
  <si>
    <t>BZ-009</t>
  </si>
  <si>
    <t>នួន ទូច</t>
  </si>
  <si>
    <t>BZ-010</t>
  </si>
  <si>
    <t>ផាន សៀងលីម</t>
  </si>
  <si>
    <t>BZ-011</t>
  </si>
  <si>
    <t>គ្រី ខាន់នី</t>
  </si>
  <si>
    <t>BZ-013</t>
  </si>
  <si>
    <t>សួស  ជូរី</t>
  </si>
  <si>
    <t>BZ-014</t>
  </si>
  <si>
    <t>ស្រ៊ាង គន្ធា</t>
  </si>
  <si>
    <t>BZ-016</t>
  </si>
  <si>
    <t>យ៉ែម  អូលិ</t>
  </si>
  <si>
    <t>BZ-018</t>
  </si>
  <si>
    <t>អ៊ែម  ផល្លី</t>
  </si>
  <si>
    <t>ផ្នែក ​ឆែកប៉ះផ្ទាំង</t>
  </si>
  <si>
    <t>CP-001</t>
  </si>
  <si>
    <t>ប៉ែន ពៅ</t>
  </si>
  <si>
    <t>ពូង ផល្លី</t>
  </si>
  <si>
    <t>CP-003</t>
  </si>
  <si>
    <t>07/06/24</t>
  </si>
  <si>
    <t>ផ្នែក ​​ការិយាល័យ</t>
  </si>
  <si>
    <t>ផ្នែក ​​ប្រធាន</t>
  </si>
  <si>
    <t>ផ្នែក ​​កាតុង</t>
  </si>
  <si>
    <t>ផ្នែក ​​ត្បាញ + ខាលអំបោះ</t>
  </si>
  <si>
    <r>
      <t>ផ្នែក ​​​</t>
    </r>
    <r>
      <rPr>
        <b/>
        <sz val="10"/>
        <color theme="1"/>
        <rFont val="Khmer OS Battambang"/>
      </rPr>
      <t>QC</t>
    </r>
    <r>
      <rPr>
        <b/>
        <sz val="14"/>
        <color theme="1"/>
        <rFont val="Khmer OS Battambang"/>
      </rPr>
      <t xml:space="preserve"> ​​​​​​+</t>
    </r>
    <r>
      <rPr>
        <b/>
        <sz val="8"/>
        <color theme="1"/>
        <rFont val="Khmer OS Battambang"/>
      </rPr>
      <t xml:space="preserve">  វាស់</t>
    </r>
  </si>
  <si>
    <t>ផ្នែក ​​​បោកគក់</t>
  </si>
  <si>
    <t>ផ្នែក ​​ឃ្លាំងសម្ភារះ</t>
  </si>
  <si>
    <t>ផ្នែក ​​អនាម័យ</t>
  </si>
  <si>
    <t xml:space="preserve">ផ្នែក ​ ជាង+ ឡ </t>
  </si>
  <si>
    <t>វេនយប់</t>
  </si>
  <si>
    <t>DN-007</t>
  </si>
  <si>
    <t>ផុន វីរះសត្យា</t>
  </si>
  <si>
    <t>បេន សុខា</t>
  </si>
  <si>
    <t>SJ-003</t>
  </si>
  <si>
    <t>TK-021</t>
  </si>
  <si>
    <t>TK-022</t>
  </si>
  <si>
    <t>TK-025</t>
  </si>
  <si>
    <t>TK-028</t>
  </si>
  <si>
    <t>TK-029</t>
  </si>
  <si>
    <t xml:space="preserve">យ៉ែម  លាងអ៊ី  </t>
  </si>
  <si>
    <t>ខាន់  ចន្ធី</t>
  </si>
  <si>
    <t>អេន  ថាវី</t>
  </si>
  <si>
    <t>CM-011</t>
  </si>
  <si>
    <t>ហាង ឡា</t>
  </si>
  <si>
    <t>ណុប​​  ថាវី</t>
  </si>
  <si>
    <t>យឹម  ហុង</t>
  </si>
  <si>
    <t>ស្រ៊ន  សារ៉ាក់</t>
  </si>
  <si>
    <t>ប៉ច ចាវ</t>
  </si>
  <si>
    <t>តុប គឹមស្រង</t>
  </si>
  <si>
    <t>ម៉េង ចន្ធួន</t>
  </si>
  <si>
    <t>ឡឹក ឃឿន</t>
  </si>
  <si>
    <t>វែន ឆែណា</t>
  </si>
  <si>
    <t>មុត ចាន់ដេត</t>
  </si>
  <si>
    <t>ចិន ផល្លា</t>
  </si>
  <si>
    <t>ឡឹក ឃុង</t>
  </si>
  <si>
    <t>TK-030</t>
  </si>
  <si>
    <t>ថន ពុដ្ថា</t>
  </si>
  <si>
    <t>TK-031</t>
  </si>
  <si>
    <t>01/07/24</t>
  </si>
  <si>
    <t>12/07/24</t>
  </si>
  <si>
    <t>15/07/24</t>
  </si>
  <si>
    <t>ជន សុខឡា</t>
  </si>
  <si>
    <t>17/07/24</t>
  </si>
  <si>
    <t>19/07/24</t>
  </si>
  <si>
    <t>29/07/24</t>
  </si>
  <si>
    <t>31/07/24</t>
  </si>
  <si>
    <t>08/07/24</t>
  </si>
  <si>
    <t>ZD-009</t>
  </si>
  <si>
    <t>ឡាច ង៉ែត</t>
  </si>
  <si>
    <t>CM-030</t>
  </si>
  <si>
    <t>ទិត ម៉ាច</t>
  </si>
  <si>
    <t>CS-023</t>
  </si>
  <si>
    <t>CS-024</t>
  </si>
  <si>
    <t>CS-025</t>
  </si>
  <si>
    <t>CS-026</t>
  </si>
  <si>
    <t>សៀង រីយ៉ា</t>
  </si>
  <si>
    <t>យ៉ាង សៀវហ៊</t>
  </si>
  <si>
    <t>ព្រំ ទូច</t>
  </si>
  <si>
    <t>ដឺម មករា</t>
  </si>
  <si>
    <t>13/07/24</t>
  </si>
  <si>
    <t>26/07/24</t>
  </si>
  <si>
    <t>31/07/024</t>
  </si>
  <si>
    <t>BY-004</t>
  </si>
  <si>
    <t>BY2-002</t>
  </si>
  <si>
    <t>ហ៊ សៀកមួយ</t>
  </si>
  <si>
    <t>ឡុច ស្រស់</t>
  </si>
  <si>
    <t>09/07/24</t>
  </si>
  <si>
    <t>10/07/24</t>
  </si>
  <si>
    <t>ភន  គឹមហួ</t>
  </si>
  <si>
    <t>TY-031</t>
  </si>
  <si>
    <t>TY-033</t>
  </si>
  <si>
    <t>TY-035</t>
  </si>
  <si>
    <t>TY-037</t>
  </si>
  <si>
    <t>នូ ចក់</t>
  </si>
  <si>
    <t>យ៉ែម សារ៉ុម</t>
  </si>
  <si>
    <t>ចាន់ ណេត</t>
  </si>
  <si>
    <t>ហេង​ បូរ៉ា</t>
  </si>
  <si>
    <t>02/07/24</t>
  </si>
  <si>
    <t>CS2-018</t>
  </si>
  <si>
    <t>CS2-019</t>
  </si>
  <si>
    <t>សាយ តុលា</t>
  </si>
  <si>
    <t>24/07/24</t>
  </si>
  <si>
    <t>CP-004</t>
  </si>
  <si>
    <t>មូល លីដា</t>
  </si>
  <si>
    <t>CP-005</t>
  </si>
  <si>
    <t>ស៊ន​  សុភីម</t>
  </si>
  <si>
    <t>CP-006</t>
  </si>
  <si>
    <t>ឃ្លុំ ស្រស់</t>
  </si>
  <si>
    <t>01/08/24</t>
  </si>
  <si>
    <t>TK-035</t>
  </si>
  <si>
    <t>TK-036</t>
  </si>
  <si>
    <t>TK-037</t>
  </si>
  <si>
    <t>TK-038</t>
  </si>
  <si>
    <t>TK-039</t>
  </si>
  <si>
    <t>TK-040</t>
  </si>
  <si>
    <t>ផង់ ពៅ</t>
  </si>
  <si>
    <t>06/08/24</t>
  </si>
  <si>
    <t>12/08/24</t>
  </si>
  <si>
    <t>20/08/24</t>
  </si>
  <si>
    <t>21/08/24</t>
  </si>
  <si>
    <t>26/08/24</t>
  </si>
  <si>
    <t>T- 010</t>
  </si>
  <si>
    <t>T- 011</t>
  </si>
  <si>
    <t>T- 012</t>
  </si>
  <si>
    <t>T- 013</t>
  </si>
  <si>
    <t>T- 014</t>
  </si>
  <si>
    <t>T- 015</t>
  </si>
  <si>
    <t>នួន គង់</t>
  </si>
  <si>
    <t>សាយ គន្ធា</t>
  </si>
  <si>
    <t>08/08/24</t>
  </si>
  <si>
    <t>CM-035</t>
  </si>
  <si>
    <t>CM-036</t>
  </si>
  <si>
    <t>CM-037</t>
  </si>
  <si>
    <t>ស្រូយ  យឿន</t>
  </si>
  <si>
    <t>02/08/24</t>
  </si>
  <si>
    <t>CS-027</t>
  </si>
  <si>
    <t>CS-028</t>
  </si>
  <si>
    <t>យុន ស្រ៊ីម</t>
  </si>
  <si>
    <t>ឈន  ផល្លី</t>
  </si>
  <si>
    <t>13/08/24</t>
  </si>
  <si>
    <t>BY-005</t>
  </si>
  <si>
    <t>ញ៉េន សុខា</t>
  </si>
  <si>
    <t>17/08/24</t>
  </si>
  <si>
    <t>BY2-004</t>
  </si>
  <si>
    <t>BY2-005</t>
  </si>
  <si>
    <t>BY2-006</t>
  </si>
  <si>
    <t>ជា  ពុទ្ធី</t>
  </si>
  <si>
    <t>ជន ហេង</t>
  </si>
  <si>
    <t>12/8/24</t>
  </si>
  <si>
    <t>TY-036</t>
  </si>
  <si>
    <t>27/08/24</t>
  </si>
  <si>
    <t>09/08/24</t>
  </si>
  <si>
    <t>CS2-020</t>
  </si>
  <si>
    <t>CS2-021</t>
  </si>
  <si>
    <t>CS2-023</t>
  </si>
  <si>
    <t>CS2-024</t>
  </si>
  <si>
    <t>ស្រូយ គឿន</t>
  </si>
  <si>
    <t>សេង សារឹម</t>
  </si>
  <si>
    <t>ឆេង សារួន</t>
  </si>
  <si>
    <t>07/08/24</t>
  </si>
  <si>
    <t>14/08/24</t>
  </si>
  <si>
    <t>ហេង ស៊ីណា</t>
  </si>
  <si>
    <t>12/8/2024</t>
  </si>
  <si>
    <t>BZ-020</t>
  </si>
  <si>
    <t>BZ-021</t>
  </si>
  <si>
    <t>ងួន ដាលីន</t>
  </si>
  <si>
    <t>សាយ រុំ</t>
  </si>
  <si>
    <t>FLZ-001</t>
  </si>
  <si>
    <t>សេង លាងអេង</t>
  </si>
  <si>
    <t>ពុំ ចេក</t>
  </si>
  <si>
    <t>ផ្នែក ​​បើកបរ -ចល័ត</t>
  </si>
  <si>
    <t>15/08/24</t>
  </si>
  <si>
    <t>ផ្នែក ​ឃ្លាំងកត់ឡូតិ៍</t>
  </si>
  <si>
    <t>CM-002</t>
  </si>
  <si>
    <t>CM-004</t>
  </si>
  <si>
    <t>CM-005</t>
  </si>
  <si>
    <t>CM-006</t>
  </si>
  <si>
    <t>CM-009</t>
  </si>
  <si>
    <t>CM-012</t>
  </si>
  <si>
    <t>CM-014</t>
  </si>
  <si>
    <t>CM-015</t>
  </si>
  <si>
    <t>CM-017</t>
  </si>
  <si>
    <t>CM-018</t>
  </si>
  <si>
    <t>CM-022</t>
  </si>
  <si>
    <t>CM-024</t>
  </si>
  <si>
    <t>CM-027</t>
  </si>
  <si>
    <t>CM-029</t>
  </si>
  <si>
    <t>CM-007</t>
  </si>
  <si>
    <t>TK-011</t>
  </si>
  <si>
    <t>TK-042</t>
  </si>
  <si>
    <t>TK-043</t>
  </si>
  <si>
    <t>TK-044</t>
  </si>
  <si>
    <t>ប៉េង ស្រីកាត់</t>
  </si>
  <si>
    <t>02/09/24</t>
  </si>
  <si>
    <t>03/09/24</t>
  </si>
  <si>
    <t>T- 016</t>
  </si>
  <si>
    <t>ហៀក សុខឡេង</t>
  </si>
  <si>
    <t>មឿន សុខណាក់</t>
  </si>
  <si>
    <t>DN-025</t>
  </si>
  <si>
    <t>DN-026</t>
  </si>
  <si>
    <t>DN-027</t>
  </si>
  <si>
    <t>DN-028</t>
  </si>
  <si>
    <t>ឆិល សិលា</t>
  </si>
  <si>
    <t>ស៊ុំ  វុត្ថា</t>
  </si>
  <si>
    <t>ខន   ប៊ុនធឿន</t>
  </si>
  <si>
    <t>ជឹម រីណា</t>
  </si>
  <si>
    <t>19/09/24</t>
  </si>
  <si>
    <t>20/09/24</t>
  </si>
  <si>
    <t>25/09/24</t>
  </si>
  <si>
    <t>បំណាច់ឆ្នាំ</t>
  </si>
  <si>
    <t>ប្រាក់ច្បាប់</t>
  </si>
  <si>
    <t>ឈឺ</t>
  </si>
  <si>
    <t>ពិសេស</t>
  </si>
  <si>
    <t>ហត្ថលេខា</t>
  </si>
  <si>
    <t>TK-004</t>
  </si>
  <si>
    <t>ឡឹក កាន</t>
  </si>
  <si>
    <t>ម៉ូវ សារ៉ុម</t>
  </si>
  <si>
    <t>វឿន ថារិ</t>
  </si>
  <si>
    <t>អ៊ិន ភារិទ្ធ</t>
  </si>
  <si>
    <t>យឹម ធិ</t>
  </si>
  <si>
    <t>ផង់ ង៉ែត</t>
  </si>
  <si>
    <t>ម៉ៅ វណ្ណ</t>
  </si>
  <si>
    <t>រឿងចិន្តា</t>
  </si>
  <si>
    <t>ហួន ហួត</t>
  </si>
  <si>
    <t>បយ  ណារី</t>
  </si>
  <si>
    <t>12/10/24</t>
  </si>
  <si>
    <t>11/7/24</t>
  </si>
  <si>
    <t>បាវ ថុន</t>
  </si>
  <si>
    <t>ម៉ៅ សោភា</t>
  </si>
  <si>
    <t>នាង ផល្លា</t>
  </si>
  <si>
    <t>ស៊ឹង សារ៉ា</t>
  </si>
  <si>
    <t>ឆាន់  សុគន្ឌា</t>
  </si>
  <si>
    <t>ងិន ស្រីទូច</t>
  </si>
  <si>
    <t>យ៉ឹង វិចិត្ត</t>
  </si>
  <si>
    <t>ចិន ជឿន</t>
  </si>
  <si>
    <t>គង់ សារី</t>
  </si>
  <si>
    <t>អ៊ុន ស៊ីនា</t>
  </si>
  <si>
    <t>BA-001</t>
  </si>
  <si>
    <t>ប្រាក់ ដេត</t>
  </si>
  <si>
    <t>DNZ-006</t>
  </si>
  <si>
    <t>មុំ សង់</t>
  </si>
  <si>
    <t>28/10/24</t>
  </si>
  <si>
    <t>DN-031</t>
  </si>
  <si>
    <t>DN-032</t>
  </si>
  <si>
    <t>DN-033</t>
  </si>
  <si>
    <t>DN-034</t>
  </si>
  <si>
    <t>DN-035</t>
  </si>
  <si>
    <t>DN-036</t>
  </si>
  <si>
    <t>DN-037</t>
  </si>
  <si>
    <t>សែត គៀន</t>
  </si>
  <si>
    <t>ពៅ ចាន់សុខ</t>
  </si>
  <si>
    <t>ម៉ៅ ប្រុសពេជ្រ</t>
  </si>
  <si>
    <t>អ៊ួន ចន្នា</t>
  </si>
  <si>
    <t>ទុំ សុភា</t>
  </si>
  <si>
    <t>យ៉ុន ភារម្យ</t>
  </si>
  <si>
    <t>ជា កក្កដា</t>
  </si>
  <si>
    <t>17/10/24</t>
  </si>
  <si>
    <t>16/10/24</t>
  </si>
  <si>
    <t>23/10/24</t>
  </si>
  <si>
    <t>25/10/24</t>
  </si>
  <si>
    <t>DM-001</t>
  </si>
  <si>
    <t>ព្រុំ សមអឿន</t>
  </si>
  <si>
    <t>04/10/24</t>
  </si>
  <si>
    <t>តារាងប្រាក់បៀវវត្តន៍ប្រចាំខែ ១១-២០២៤</t>
  </si>
  <si>
    <t>TK-006</t>
  </si>
  <si>
    <t>កែម ផល្លា</t>
  </si>
  <si>
    <t>01/11/24</t>
  </si>
  <si>
    <t>TK-007</t>
  </si>
  <si>
    <t>ណុប ចាន់ណារ៉ា</t>
  </si>
  <si>
    <t>18/11/24</t>
  </si>
  <si>
    <t>TK-012</t>
  </si>
  <si>
    <t>ផាន សុខជា</t>
  </si>
  <si>
    <t>20/11/24</t>
  </si>
  <si>
    <t>TK-024</t>
  </si>
  <si>
    <t>ប៉េង ចាន់ធឿន</t>
  </si>
  <si>
    <t>27/11/24</t>
  </si>
  <si>
    <t>TK-026</t>
  </si>
  <si>
    <t>នូ  ស្រីមុំ</t>
  </si>
  <si>
    <t>21/11/24</t>
  </si>
  <si>
    <t>TK-027</t>
  </si>
  <si>
    <t>26/11/24</t>
  </si>
  <si>
    <t>TK-032</t>
  </si>
  <si>
    <t>យ៉ុន លាងអ៊ីន</t>
  </si>
  <si>
    <t>28/11/24</t>
  </si>
  <si>
    <t>TK-033</t>
  </si>
  <si>
    <t>ភឿន លីហៀង</t>
  </si>
  <si>
    <t>សំរាកពិសេស</t>
  </si>
  <si>
    <t>ច្បាប់ឈឺ</t>
  </si>
  <si>
    <t>BZ-022</t>
  </si>
  <si>
    <t>ស្រ៊ន សុភា</t>
  </si>
  <si>
    <t>QA-002</t>
  </si>
  <si>
    <t>វ៉ិត ស្រីកា</t>
  </si>
  <si>
    <t>01/11/2024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</si>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</sst>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0;[Red]#,##0.00"/>
    <numFmt numFmtId="166" formatCode="_ &quot;¥&quot;* #,##0.00_ ;_ &quot;¥&quot;* \-#,##0.00_ ;_ &quot;¥&quot;* &quot;-&quot;??_ ;_ @_ "/>
    <numFmt numFmtId="167" formatCode="[$-12000425]0%"/>
    <numFmt numFmtId="168" formatCode="000"/>
    <numFmt numFmtId="169" formatCode="[$-409]d\-mmm\-yy;@"/>
    <numFmt numFmtId="170" formatCode="#,##0;[Red]#,##0"/>
    <numFmt numFmtId="171" formatCode="#,##0.0;[Red]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8"/>
      <color theme="1"/>
      <name val="Khmer OS Battambang"/>
    </font>
    <font>
      <b/>
      <sz val="14"/>
      <name val="Limon S1"/>
    </font>
    <font>
      <sz val="7"/>
      <name val="Khmer OS Battambang"/>
    </font>
    <font>
      <sz val="7"/>
      <name val="Arial"/>
      <family val="2"/>
    </font>
    <font>
      <sz val="6"/>
      <name val="Khmer OS Battambang"/>
    </font>
    <font>
      <sz val="8"/>
      <name val="Khmer OS Battambang"/>
    </font>
    <font>
      <sz val="9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Khmer Unicode R1"/>
      <family val="1"/>
    </font>
    <font>
      <sz val="9"/>
      <name val="Khmer Unicode R1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sz val="9"/>
      <name val="Khmer OS Battambang"/>
    </font>
    <font>
      <sz val="10"/>
      <name val="Khmer OS Battambang"/>
    </font>
    <font>
      <sz val="5"/>
      <name val="Khmer OS Battambang"/>
    </font>
    <font>
      <sz val="9"/>
      <color rgb="FFFF0000"/>
      <name val="Times New Roman"/>
      <family val="1"/>
    </font>
    <font>
      <sz val="7"/>
      <color rgb="FFFF0000"/>
      <name val="Khmer OS Battambang"/>
    </font>
    <font>
      <sz val="10"/>
      <color indexed="10"/>
      <name val="Times New Roman"/>
      <family val="1"/>
    </font>
    <font>
      <b/>
      <sz val="6"/>
      <color theme="1"/>
      <name val="Khmer OS Battambang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Khmer OS Battambang"/>
    </font>
    <font>
      <b/>
      <sz val="14"/>
      <color theme="1"/>
      <name val="Khmer OS Battambang"/>
    </font>
    <font>
      <b/>
      <sz val="12"/>
      <color theme="1"/>
      <name val="Khmer OS Battambang"/>
    </font>
    <font>
      <sz val="13"/>
      <name val="Khmer Unicode R1"/>
      <family val="1"/>
    </font>
    <font>
      <sz val="10"/>
      <name val="Khmer Unicode R1"/>
      <family val="1"/>
    </font>
    <font>
      <b/>
      <sz val="8"/>
      <color rgb="FFFF0000"/>
      <name val="Times New Roman"/>
      <family val="1"/>
    </font>
    <font>
      <sz val="9"/>
      <color rgb="FFFF0000"/>
      <name val="Khmer OS Battambang"/>
    </font>
    <font>
      <sz val="9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0" fontId="6" fillId="0" borderId="0"/>
  </cellStyleXfs>
  <cellXfs count="126">
    <xf numFmtId="0" fontId="0" fillId="0" borderId="0" xfId="0"/>
    <xf numFmtId="0" fontId="4" fillId="0" borderId="0" xfId="3"/>
    <xf numFmtId="0" fontId="4" fillId="0" borderId="0" xfId="3" applyAlignment="1">
      <alignment horizontal="center" vertical="center"/>
    </xf>
    <xf numFmtId="17" fontId="8" fillId="0" borderId="0" xfId="3" applyNumberFormat="1" applyFont="1" applyAlignment="1">
      <alignment horizontal="center"/>
    </xf>
    <xf numFmtId="0" fontId="2" fillId="0" borderId="0" xfId="3" applyFont="1"/>
    <xf numFmtId="0" fontId="3" fillId="0" borderId="0" xfId="3" applyFont="1"/>
    <xf numFmtId="0" fontId="9" fillId="0" borderId="5" xfId="3" applyFont="1" applyBorder="1" applyAlignment="1">
      <alignment horizontal="center" vertical="center" shrinkToFit="1"/>
    </xf>
    <xf numFmtId="0" fontId="9" fillId="0" borderId="6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shrinkToFit="1"/>
    </xf>
    <xf numFmtId="0" fontId="11" fillId="0" borderId="9" xfId="3" applyFont="1" applyBorder="1" applyAlignment="1">
      <alignment horizontal="center" vertical="center" wrapText="1"/>
    </xf>
    <xf numFmtId="167" fontId="11" fillId="0" borderId="9" xfId="3" applyNumberFormat="1" applyFont="1" applyBorder="1" applyAlignment="1">
      <alignment horizontal="center" vertical="center" shrinkToFit="1"/>
    </xf>
    <xf numFmtId="167" fontId="9" fillId="0" borderId="9" xfId="3" applyNumberFormat="1" applyFont="1" applyBorder="1" applyAlignment="1">
      <alignment horizontal="center" vertical="center" shrinkToFit="1"/>
    </xf>
    <xf numFmtId="2" fontId="12" fillId="0" borderId="9" xfId="3" applyNumberFormat="1" applyFont="1" applyBorder="1" applyAlignment="1">
      <alignment horizontal="center" vertical="center" shrinkToFit="1"/>
    </xf>
    <xf numFmtId="0" fontId="2" fillId="0" borderId="11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168" fontId="13" fillId="0" borderId="4" xfId="4" applyNumberFormat="1" applyFont="1" applyBorder="1" applyAlignment="1">
      <alignment horizontal="left" vertical="center" shrinkToFit="1"/>
    </xf>
    <xf numFmtId="171" fontId="13" fillId="0" borderId="3" xfId="3" applyNumberFormat="1" applyFont="1" applyBorder="1" applyAlignment="1">
      <alignment horizontal="center" vertical="center" shrinkToFit="1"/>
    </xf>
    <xf numFmtId="1" fontId="13" fillId="4" borderId="3" xfId="3" applyNumberFormat="1" applyFont="1" applyFill="1" applyBorder="1" applyAlignment="1">
      <alignment horizontal="center" vertical="center" shrinkToFit="1"/>
    </xf>
    <xf numFmtId="0" fontId="13" fillId="2" borderId="3" xfId="3" applyFont="1" applyFill="1" applyBorder="1" applyAlignment="1">
      <alignment horizontal="center" vertical="center" shrinkToFit="1"/>
    </xf>
    <xf numFmtId="1" fontId="13" fillId="0" borderId="3" xfId="3" applyNumberFormat="1" applyFont="1" applyBorder="1" applyAlignment="1">
      <alignment horizontal="center" vertical="center" shrinkToFit="1"/>
    </xf>
    <xf numFmtId="165" fontId="13" fillId="2" borderId="3" xfId="3" applyNumberFormat="1" applyFont="1" applyFill="1" applyBorder="1" applyAlignment="1">
      <alignment horizontal="center" vertical="center" shrinkToFit="1"/>
    </xf>
    <xf numFmtId="165" fontId="13" fillId="0" borderId="3" xfId="3" applyNumberFormat="1" applyFont="1" applyBorder="1" applyAlignment="1">
      <alignment horizontal="center" vertical="center" shrinkToFit="1"/>
    </xf>
    <xf numFmtId="170" fontId="13" fillId="2" borderId="3" xfId="3" applyNumberFormat="1" applyFont="1" applyFill="1" applyBorder="1" applyAlignment="1">
      <alignment horizontal="center" vertical="center" shrinkToFit="1"/>
    </xf>
    <xf numFmtId="2" fontId="13" fillId="0" borderId="3" xfId="3" applyNumberFormat="1" applyFont="1" applyBorder="1" applyAlignment="1">
      <alignment horizontal="center" vertical="center"/>
    </xf>
    <xf numFmtId="2" fontId="13" fillId="2" borderId="3" xfId="3" applyNumberFormat="1" applyFont="1" applyFill="1" applyBorder="1" applyAlignment="1">
      <alignment horizontal="center" vertical="center" shrinkToFit="1"/>
    </xf>
    <xf numFmtId="165" fontId="15" fillId="2" borderId="3" xfId="3" applyNumberFormat="1" applyFont="1" applyFill="1" applyBorder="1" applyAlignment="1">
      <alignment horizontal="center" vertical="center" shrinkToFit="1"/>
    </xf>
    <xf numFmtId="0" fontId="16" fillId="2" borderId="13" xfId="3" applyFont="1" applyFill="1" applyBorder="1" applyAlignment="1">
      <alignment horizontal="center" vertical="center" shrinkToFit="1"/>
    </xf>
    <xf numFmtId="0" fontId="4" fillId="2" borderId="0" xfId="3" applyFill="1" applyAlignment="1">
      <alignment horizontal="center" vertical="center"/>
    </xf>
    <xf numFmtId="0" fontId="2" fillId="3" borderId="9" xfId="3" applyFont="1" applyFill="1" applyBorder="1" applyAlignment="1">
      <alignment vertical="center"/>
    </xf>
    <xf numFmtId="0" fontId="13" fillId="3" borderId="9" xfId="3" applyFont="1" applyFill="1" applyBorder="1" applyAlignment="1">
      <alignment horizontal="center" vertical="center" shrinkToFit="1"/>
    </xf>
    <xf numFmtId="165" fontId="13" fillId="3" borderId="9" xfId="3" applyNumberFormat="1" applyFont="1" applyFill="1" applyBorder="1" applyAlignment="1">
      <alignment horizontal="center" vertical="center" shrinkToFit="1"/>
    </xf>
    <xf numFmtId="165" fontId="13" fillId="3" borderId="10" xfId="3" applyNumberFormat="1" applyFont="1" applyFill="1" applyBorder="1" applyAlignment="1">
      <alignment horizontal="center" vertical="center" shrinkToFit="1"/>
    </xf>
    <xf numFmtId="0" fontId="17" fillId="2" borderId="0" xfId="3" applyFont="1" applyFill="1" applyAlignment="1">
      <alignment horizontal="center" vertical="center"/>
    </xf>
    <xf numFmtId="0" fontId="2" fillId="0" borderId="0" xfId="3" applyFont="1" applyAlignment="1">
      <alignment horizontal="center"/>
    </xf>
    <xf numFmtId="165" fontId="2" fillId="0" borderId="16" xfId="3" applyNumberFormat="1" applyFont="1" applyBorder="1" applyAlignment="1">
      <alignment shrinkToFit="1"/>
    </xf>
    <xf numFmtId="0" fontId="2" fillId="0" borderId="16" xfId="3" applyFont="1" applyBorder="1" applyAlignment="1">
      <alignment shrinkToFit="1"/>
    </xf>
    <xf numFmtId="0" fontId="2" fillId="0" borderId="16" xfId="3" applyFont="1" applyBorder="1" applyAlignment="1">
      <alignment horizontal="center" shrinkToFit="1"/>
    </xf>
    <xf numFmtId="0" fontId="17" fillId="0" borderId="0" xfId="3" applyFont="1"/>
    <xf numFmtId="0" fontId="12" fillId="0" borderId="3" xfId="0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0" fontId="9" fillId="0" borderId="17" xfId="3" applyFont="1" applyBorder="1" applyAlignment="1">
      <alignment vertical="center" shrinkToFit="1"/>
    </xf>
    <xf numFmtId="0" fontId="9" fillId="0" borderId="6" xfId="3" applyFont="1" applyBorder="1" applyAlignment="1">
      <alignment vertical="center" shrinkToFit="1"/>
    </xf>
    <xf numFmtId="0" fontId="27" fillId="0" borderId="6" xfId="3" applyFont="1" applyBorder="1" applyAlignment="1">
      <alignment horizontal="center" vertical="center" wrapText="1"/>
    </xf>
    <xf numFmtId="1" fontId="3" fillId="0" borderId="3" xfId="4" applyNumberFormat="1" applyFont="1" applyBorder="1" applyAlignment="1">
      <alignment horizontal="center" vertical="center" shrinkToFit="1"/>
    </xf>
    <xf numFmtId="0" fontId="29" fillId="0" borderId="6" xfId="3" applyFont="1" applyBorder="1" applyAlignment="1">
      <alignment horizontal="center" vertical="center" shrinkToFit="1"/>
    </xf>
    <xf numFmtId="0" fontId="29" fillId="0" borderId="9" xfId="3" applyFont="1" applyBorder="1" applyAlignment="1">
      <alignment horizontal="center" vertical="center" shrinkToFit="1"/>
    </xf>
    <xf numFmtId="0" fontId="29" fillId="0" borderId="6" xfId="3" applyFont="1" applyBorder="1" applyAlignment="1">
      <alignment horizontal="center" vertical="center" wrapText="1"/>
    </xf>
    <xf numFmtId="165" fontId="30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 shrinkToFit="1"/>
    </xf>
    <xf numFmtId="2" fontId="3" fillId="2" borderId="3" xfId="0" applyNumberFormat="1" applyFont="1" applyFill="1" applyBorder="1" applyAlignment="1">
      <alignment horizontal="center" vertical="center" shrinkToFit="1"/>
    </xf>
    <xf numFmtId="2" fontId="28" fillId="0" borderId="3" xfId="3" applyNumberFormat="1" applyFont="1" applyBorder="1" applyAlignment="1">
      <alignment horizontal="center" vertical="center" shrinkToFit="1"/>
    </xf>
    <xf numFmtId="169" fontId="14" fillId="0" borderId="3" xfId="4" quotePrefix="1" applyNumberFormat="1" applyFont="1" applyBorder="1" applyAlignment="1">
      <alignment horizontal="center" vertical="center" shrinkToFit="1"/>
    </xf>
    <xf numFmtId="164" fontId="13" fillId="4" borderId="3" xfId="3" applyNumberFormat="1" applyFont="1" applyFill="1" applyBorder="1" applyAlignment="1">
      <alignment horizontal="center" vertical="center" shrinkToFit="1"/>
    </xf>
    <xf numFmtId="165" fontId="3" fillId="2" borderId="3" xfId="0" applyNumberFormat="1" applyFont="1" applyFill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65" fontId="3" fillId="2" borderId="3" xfId="3" applyNumberFormat="1" applyFont="1" applyFill="1" applyBorder="1" applyAlignment="1">
      <alignment horizontal="center" vertical="center" shrinkToFit="1"/>
    </xf>
    <xf numFmtId="165" fontId="5" fillId="2" borderId="3" xfId="3" applyNumberFormat="1" applyFont="1" applyFill="1" applyBorder="1" applyAlignment="1">
      <alignment horizontal="center" vertical="center" shrinkToFit="1"/>
    </xf>
    <xf numFmtId="2" fontId="33" fillId="0" borderId="3" xfId="0" quotePrefix="1" applyNumberFormat="1" applyFont="1" applyBorder="1" applyAlignment="1">
      <alignment horizontal="center" vertical="center"/>
    </xf>
    <xf numFmtId="170" fontId="3" fillId="2" borderId="3" xfId="3" applyNumberFormat="1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shrinkToFit="1"/>
    </xf>
    <xf numFmtId="165" fontId="33" fillId="0" borderId="3" xfId="0" quotePrefix="1" applyNumberFormat="1" applyFont="1" applyBorder="1" applyAlignment="1">
      <alignment horizontal="center" vertical="center"/>
    </xf>
    <xf numFmtId="165" fontId="32" fillId="0" borderId="3" xfId="0" quotePrefix="1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49" fontId="34" fillId="0" borderId="3" xfId="4" applyNumberFormat="1" applyFont="1" applyBorder="1" applyAlignment="1">
      <alignment horizontal="center" vertical="center"/>
    </xf>
    <xf numFmtId="2" fontId="4" fillId="2" borderId="0" xfId="3" applyNumberFormat="1" applyFill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left" vertical="center" shrinkToFit="1"/>
    </xf>
    <xf numFmtId="2" fontId="40" fillId="0" borderId="3" xfId="0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17" fillId="0" borderId="0" xfId="3" quotePrefix="1" applyFont="1"/>
    <xf numFmtId="0" fontId="4" fillId="0" borderId="0" xfId="3" applyAlignment="1">
      <alignment vertical="center"/>
    </xf>
    <xf numFmtId="164" fontId="13" fillId="2" borderId="3" xfId="3" applyNumberFormat="1" applyFont="1" applyFill="1" applyBorder="1" applyAlignment="1">
      <alignment horizontal="center" vertical="center" shrinkToFit="1"/>
    </xf>
    <xf numFmtId="49" fontId="7" fillId="0" borderId="3" xfId="4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 shrinkToFit="1"/>
    </xf>
    <xf numFmtId="169" fontId="14" fillId="0" borderId="3" xfId="4" quotePrefix="1" applyNumberFormat="1" applyFont="1" applyBorder="1" applyAlignment="1">
      <alignment vertical="center" shrinkToFit="1"/>
    </xf>
    <xf numFmtId="165" fontId="2" fillId="0" borderId="16" xfId="3" applyNumberFormat="1" applyFont="1" applyBorder="1" applyAlignment="1">
      <alignment horizontal="center" shrinkToFit="1"/>
    </xf>
    <xf numFmtId="0" fontId="4" fillId="0" borderId="0" xfId="3" quotePrefix="1"/>
    <xf numFmtId="2" fontId="4" fillId="0" borderId="0" xfId="3" applyNumberFormat="1"/>
    <xf numFmtId="0" fontId="17" fillId="2" borderId="0" xfId="3" quotePrefix="1" applyFont="1" applyFill="1" applyAlignment="1">
      <alignment horizontal="center" vertical="center"/>
    </xf>
    <xf numFmtId="2" fontId="17" fillId="0" borderId="0" xfId="3" applyNumberFormat="1" applyFont="1"/>
    <xf numFmtId="165" fontId="30" fillId="2" borderId="3" xfId="0" applyNumberFormat="1" applyFont="1" applyFill="1" applyBorder="1" applyAlignment="1">
      <alignment horizontal="center" vertical="center" shrinkToFit="1"/>
    </xf>
    <xf numFmtId="0" fontId="4" fillId="0" borderId="0" xfId="3" applyAlignment="1">
      <alignment horizontal="left"/>
    </xf>
    <xf numFmtId="0" fontId="17" fillId="0" borderId="0" xfId="3" applyFont="1" applyAlignment="1">
      <alignment horizontal="left"/>
    </xf>
    <xf numFmtId="0" fontId="37" fillId="0" borderId="0" xfId="3" applyFont="1" applyAlignment="1">
      <alignment wrapText="1"/>
    </xf>
    <xf numFmtId="0" fontId="23" fillId="0" borderId="0" xfId="3" applyFont="1" applyAlignment="1">
      <alignment vertical="center"/>
    </xf>
    <xf numFmtId="2" fontId="13" fillId="0" borderId="3" xfId="3" applyNumberFormat="1" applyFont="1" applyBorder="1" applyAlignment="1">
      <alignment horizontal="center" vertical="center" shrinkToFit="1"/>
    </xf>
    <xf numFmtId="165" fontId="32" fillId="0" borderId="3" xfId="0" quotePrefix="1" applyNumberFormat="1" applyFont="1" applyBorder="1" applyAlignment="1">
      <alignment horizontal="center" vertical="center" shrinkToFit="1"/>
    </xf>
    <xf numFmtId="0" fontId="2" fillId="3" borderId="9" xfId="3" applyFont="1" applyFill="1" applyBorder="1" applyAlignment="1">
      <alignment vertical="center" shrinkToFit="1"/>
    </xf>
    <xf numFmtId="0" fontId="21" fillId="0" borderId="0" xfId="3" applyFont="1" applyAlignment="1">
      <alignment horizontal="center" wrapText="1"/>
    </xf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center" wrapText="1"/>
    </xf>
    <xf numFmtId="49" fontId="36" fillId="0" borderId="1" xfId="4" applyNumberFormat="1" applyFont="1" applyBorder="1" applyAlignment="1">
      <alignment horizontal="center" vertical="center"/>
    </xf>
    <xf numFmtId="49" fontId="36" fillId="0" borderId="2" xfId="4" applyNumberFormat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/>
    </xf>
    <xf numFmtId="0" fontId="2" fillId="3" borderId="15" xfId="3" applyFont="1" applyFill="1" applyBorder="1" applyAlignment="1">
      <alignment horizontal="center" vertical="center"/>
    </xf>
    <xf numFmtId="0" fontId="2" fillId="0" borderId="16" xfId="3" applyFont="1" applyBorder="1" applyAlignment="1">
      <alignment horizontal="center"/>
    </xf>
    <xf numFmtId="165" fontId="2" fillId="0" borderId="16" xfId="3" applyNumberFormat="1" applyFont="1" applyBorder="1" applyAlignment="1">
      <alignment horizontal="center" shrinkToFit="1"/>
    </xf>
    <xf numFmtId="0" fontId="2" fillId="0" borderId="16" xfId="3" applyFont="1" applyBorder="1" applyAlignment="1">
      <alignment horizontal="center" shrinkToFit="1"/>
    </xf>
    <xf numFmtId="0" fontId="37" fillId="0" borderId="0" xfId="3" applyFont="1" applyAlignment="1">
      <alignment horizontal="center" wrapText="1"/>
    </xf>
    <xf numFmtId="0" fontId="21" fillId="0" borderId="0" xfId="3" applyFont="1" applyAlignment="1">
      <alignment horizontal="center" vertical="center" wrapText="1"/>
    </xf>
    <xf numFmtId="0" fontId="38" fillId="0" borderId="0" xfId="3" applyFont="1" applyAlignment="1">
      <alignment horizontal="center" wrapText="1"/>
    </xf>
    <xf numFmtId="49" fontId="31" fillId="0" borderId="1" xfId="4" applyNumberFormat="1" applyFont="1" applyBorder="1" applyAlignment="1">
      <alignment horizontal="center" vertical="center"/>
    </xf>
    <xf numFmtId="49" fontId="31" fillId="0" borderId="2" xfId="4" applyNumberFormat="1" applyFont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/>
    </xf>
    <xf numFmtId="49" fontId="7" fillId="0" borderId="2" xfId="4" applyNumberFormat="1" applyFont="1" applyBorder="1" applyAlignment="1">
      <alignment horizontal="center" vertical="center"/>
    </xf>
    <xf numFmtId="49" fontId="34" fillId="0" borderId="1" xfId="4" applyNumberFormat="1" applyFont="1" applyBorder="1" applyAlignment="1">
      <alignment horizontal="center" vertical="center"/>
    </xf>
    <xf numFmtId="49" fontId="34" fillId="0" borderId="2" xfId="4" applyNumberFormat="1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165" fontId="41" fillId="2" borderId="3" xfId="0" applyNumberFormat="1" applyFont="1" applyFill="1" applyBorder="1" applyAlignment="1">
      <alignment horizontal="center" vertical="center"/>
    </xf>
  </cellXfs>
  <cellStyles count="5">
    <cellStyle name="Currency 2" xfId="2" xr:uid="{74F34CB8-5350-4730-8DEE-75567432D11A}"/>
    <cellStyle name="Normal" xfId="0" builtinId="0"/>
    <cellStyle name="Normal 2" xfId="3" xr:uid="{747A058A-C96A-464B-BB29-FDAFBF4161C6}"/>
    <cellStyle name="Normal 2 2" xfId="1" xr:uid="{7E52389B-827A-4955-8AFF-643E205963DB}"/>
    <cellStyle name="Normal 3" xfId="4" xr:uid="{4E943926-8CDF-404E-89A0-BD0E5F2A81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F0C5B3F6-AEC2-4AF5-A01B-EC499501C589}"/>
            </a:ext>
          </a:extLst>
        </xdr:cNvPr>
        <xdr:cNvSpPr txBox="1"/>
      </xdr:nvSpPr>
      <xdr:spPr>
        <a:xfrm>
          <a:off x="0" y="1093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50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FA0B43ED-6EFC-4C3A-AB77-242D6E975DD0}"/>
            </a:ext>
          </a:extLst>
        </xdr:cNvPr>
        <xdr:cNvSpPr txBox="1"/>
      </xdr:nvSpPr>
      <xdr:spPr>
        <a:xfrm>
          <a:off x="0" y="1093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50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6BC291FC-26EE-4FAF-AF17-255925ED80C3}"/>
            </a:ext>
          </a:extLst>
        </xdr:cNvPr>
        <xdr:cNvSpPr txBox="1"/>
      </xdr:nvSpPr>
      <xdr:spPr>
        <a:xfrm>
          <a:off x="0" y="1093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50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E3B6D89-F4F1-470A-8781-451DF8AC2780}"/>
            </a:ext>
          </a:extLst>
        </xdr:cNvPr>
        <xdr:cNvSpPr txBox="1"/>
      </xdr:nvSpPr>
      <xdr:spPr>
        <a:xfrm>
          <a:off x="0" y="1093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4DA7A97C-1F56-4D07-B903-2C856ACB75E9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F47CC7AC-A72B-4415-B404-F9C374E42BE9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19B4A64F-98AC-4F1F-A6B6-79A0806B762A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F6B9EC90-CF95-492E-8F21-BEBC3AF00946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2DB921AC-8013-44E9-9FD5-7D0DD073F69F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DB5B5B62-1A59-4E94-A32A-385A0783F835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AC7DBAC6-3664-495D-A420-006393868BF8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4D356904-EFAF-49D1-95BE-0EB568600557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94BA2CE6-E4FF-46FE-A1DA-216AE6724CDA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37B5843B-BA28-4542-BDAD-3266A248EECE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16C1990E-2FD6-4730-8ED6-5E743CF07ABC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8A2EE9E0-FD89-4360-96C9-8F884CBF72F4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72B4673B-5D95-4E05-876D-5F116CEF1C1B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8147E1B0-1AE5-4D65-9C04-4A348765CFB6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9122DB72-FDDF-47D1-8370-1D1D470ED840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8DCEA808-A0BA-4506-B291-C5078CECB8A5}"/>
            </a:ext>
          </a:extLst>
        </xdr:cNvPr>
        <xdr:cNvSpPr txBox="1"/>
      </xdr:nvSpPr>
      <xdr:spPr>
        <a:xfrm>
          <a:off x="0" y="9258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85644748-1F18-43EB-8B91-3FD7B9374E01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912792AE-46FB-4B63-92AD-31CD61191A88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D18BAF51-7FAA-4493-8457-C208375803B2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EDF6DEF4-59F8-4423-B659-1CF6B3277688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95DC92E0-8779-47A8-8560-B4B86B0C1351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BF1FAD54-6D23-49D0-A59D-D17481779536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56399BD9-C564-4799-AD97-E12EA0FCDF54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476C34E7-451F-414C-A63C-E48C2A604F61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7511551D-18B3-4351-98DF-3813C9E93A15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586A98C-5982-4D7C-BCBD-5EE07097D8E3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FF0E5E2C-5455-4F8A-9721-6DF425D7AC20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FA7B3335-031E-419C-8A83-3CF7B8E93E7D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F5FF5548-4C8E-45C1-BD91-ED3098AF68E6}"/>
            </a:ext>
          </a:extLst>
        </xdr:cNvPr>
        <xdr:cNvSpPr txBox="1"/>
      </xdr:nvSpPr>
      <xdr:spPr>
        <a:xfrm>
          <a:off x="0" y="414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CA3700E3-4C14-4C4B-914A-7EB5C31B357A}"/>
            </a:ext>
          </a:extLst>
        </xdr:cNvPr>
        <xdr:cNvSpPr txBox="1"/>
      </xdr:nvSpPr>
      <xdr:spPr>
        <a:xfrm>
          <a:off x="0" y="414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5402ABDD-7FCA-4626-B4A9-7F6322F7EAD0}"/>
            </a:ext>
          </a:extLst>
        </xdr:cNvPr>
        <xdr:cNvSpPr txBox="1"/>
      </xdr:nvSpPr>
      <xdr:spPr>
        <a:xfrm>
          <a:off x="0" y="414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DFE66C38-13B5-43A8-A226-C5096ACA3B90}"/>
            </a:ext>
          </a:extLst>
        </xdr:cNvPr>
        <xdr:cNvSpPr txBox="1"/>
      </xdr:nvSpPr>
      <xdr:spPr>
        <a:xfrm>
          <a:off x="0" y="41433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81B5F461-F1BB-479F-940E-E6CF7CBC239A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7FDCB55E-82AE-4C38-A0F3-1AC91997A184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A1D555CE-7262-4FBB-80E2-CCBC340A1E35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94695A60-41E7-4319-9072-BD5A7A413322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E27730D2-1B7F-4018-9349-B289C3B275AC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0C4E0F82-E4A2-43E1-BBDA-63D34A931BF2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42C46C79-AA9F-4C16-8218-D6BB433EDFC1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28EAC12D-DDD6-491E-8B52-557F88F6D8E8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AC75B1EA-D212-4AEF-8F75-C3647EAEA7CE}"/>
            </a:ext>
          </a:extLst>
        </xdr:cNvPr>
        <xdr:cNvSpPr txBox="1"/>
      </xdr:nvSpPr>
      <xdr:spPr>
        <a:xfrm>
          <a:off x="0" y="9916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E37277C3-B183-44B1-9F31-3F976823BCA4}"/>
            </a:ext>
          </a:extLst>
        </xdr:cNvPr>
        <xdr:cNvSpPr txBox="1"/>
      </xdr:nvSpPr>
      <xdr:spPr>
        <a:xfrm>
          <a:off x="0" y="9916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CADD82A0-F909-4816-8E80-67C15C80B720}"/>
            </a:ext>
          </a:extLst>
        </xdr:cNvPr>
        <xdr:cNvSpPr txBox="1"/>
      </xdr:nvSpPr>
      <xdr:spPr>
        <a:xfrm>
          <a:off x="0" y="9916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7764191E-E777-4AAD-AFD2-C9640D27C447}"/>
            </a:ext>
          </a:extLst>
        </xdr:cNvPr>
        <xdr:cNvSpPr txBox="1"/>
      </xdr:nvSpPr>
      <xdr:spPr>
        <a:xfrm>
          <a:off x="0" y="99164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EE2BF04A-BD3F-49E5-AC46-AE8818C95C2D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565EDA0E-7549-40AB-85D8-7B7470704C3D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C0DBE98C-E6D1-4433-A87A-CEC4C42541CA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AC16B40F-F0ED-4E87-97C1-81D95E381E0D}"/>
            </a:ext>
          </a:extLst>
        </xdr:cNvPr>
        <xdr:cNvSpPr txBox="1"/>
      </xdr:nvSpPr>
      <xdr:spPr>
        <a:xfrm>
          <a:off x="0" y="32727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2D8B59D0-E618-430E-943D-F8F22021A8CC}"/>
            </a:ext>
          </a:extLst>
        </xdr:cNvPr>
        <xdr:cNvSpPr txBox="1"/>
      </xdr:nvSpPr>
      <xdr:spPr>
        <a:xfrm>
          <a:off x="0" y="297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DF877EDC-4FC5-4C4C-AA20-188F27AD4CF9}"/>
            </a:ext>
          </a:extLst>
        </xdr:cNvPr>
        <xdr:cNvSpPr txBox="1"/>
      </xdr:nvSpPr>
      <xdr:spPr>
        <a:xfrm>
          <a:off x="0" y="297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6C5E1217-904F-4E54-89CC-A2BF9248146C}"/>
            </a:ext>
          </a:extLst>
        </xdr:cNvPr>
        <xdr:cNvSpPr txBox="1"/>
      </xdr:nvSpPr>
      <xdr:spPr>
        <a:xfrm>
          <a:off x="0" y="297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C1F638D-828A-459C-B74B-20088D12216C}"/>
            </a:ext>
          </a:extLst>
        </xdr:cNvPr>
        <xdr:cNvSpPr txBox="1"/>
      </xdr:nvSpPr>
      <xdr:spPr>
        <a:xfrm>
          <a:off x="0" y="2971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DC50A51E-F6FD-4E21-8BE2-051B32472FE7}"/>
            </a:ext>
          </a:extLst>
        </xdr:cNvPr>
        <xdr:cNvSpPr txBox="1"/>
      </xdr:nvSpPr>
      <xdr:spPr>
        <a:xfrm>
          <a:off x="0" y="590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7D74F005-6520-41D8-8687-871201C3E078}"/>
            </a:ext>
          </a:extLst>
        </xdr:cNvPr>
        <xdr:cNvSpPr txBox="1"/>
      </xdr:nvSpPr>
      <xdr:spPr>
        <a:xfrm>
          <a:off x="0" y="590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915C6CB3-1279-41CF-95B5-6F098F75BD13}"/>
            </a:ext>
          </a:extLst>
        </xdr:cNvPr>
        <xdr:cNvSpPr txBox="1"/>
      </xdr:nvSpPr>
      <xdr:spPr>
        <a:xfrm>
          <a:off x="0" y="590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92422BCA-0115-414A-B799-17B110AE852D}"/>
            </a:ext>
          </a:extLst>
        </xdr:cNvPr>
        <xdr:cNvSpPr txBox="1"/>
      </xdr:nvSpPr>
      <xdr:spPr>
        <a:xfrm>
          <a:off x="0" y="5905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70B5010C-FE2F-4D73-A802-1249393AD6AF}"/>
            </a:ext>
          </a:extLst>
        </xdr:cNvPr>
        <xdr:cNvSpPr txBox="1"/>
      </xdr:nvSpPr>
      <xdr:spPr>
        <a:xfrm>
          <a:off x="0" y="967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2D05C039-E8BB-47ED-9CED-E2F8C7D42C8C}"/>
            </a:ext>
          </a:extLst>
        </xdr:cNvPr>
        <xdr:cNvSpPr txBox="1"/>
      </xdr:nvSpPr>
      <xdr:spPr>
        <a:xfrm>
          <a:off x="0" y="967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98AF8B5E-0B53-4B4B-8B35-85A3F0F40973}"/>
            </a:ext>
          </a:extLst>
        </xdr:cNvPr>
        <xdr:cNvSpPr txBox="1"/>
      </xdr:nvSpPr>
      <xdr:spPr>
        <a:xfrm>
          <a:off x="0" y="967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8E42767A-1E8A-4F5D-AA29-B8E9B1194F11}"/>
            </a:ext>
          </a:extLst>
        </xdr:cNvPr>
        <xdr:cNvSpPr txBox="1"/>
      </xdr:nvSpPr>
      <xdr:spPr>
        <a:xfrm>
          <a:off x="0" y="967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7DA43797-C181-445C-9515-85BD8CD5AF6F}"/>
            </a:ext>
          </a:extLst>
        </xdr:cNvPr>
        <xdr:cNvSpPr txBox="1"/>
      </xdr:nvSpPr>
      <xdr:spPr>
        <a:xfrm>
          <a:off x="0" y="1051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9ADD2822-C4FA-4111-9B99-0A6D8D6D6BB0}"/>
            </a:ext>
          </a:extLst>
        </xdr:cNvPr>
        <xdr:cNvSpPr txBox="1"/>
      </xdr:nvSpPr>
      <xdr:spPr>
        <a:xfrm>
          <a:off x="0" y="1051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65834F1F-5066-4690-813E-7325618DC11B}"/>
            </a:ext>
          </a:extLst>
        </xdr:cNvPr>
        <xdr:cNvSpPr txBox="1"/>
      </xdr:nvSpPr>
      <xdr:spPr>
        <a:xfrm>
          <a:off x="0" y="1051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AA982535-EFF5-49F1-8D32-62B16AF0CD4A}"/>
            </a:ext>
          </a:extLst>
        </xdr:cNvPr>
        <xdr:cNvSpPr txBox="1"/>
      </xdr:nvSpPr>
      <xdr:spPr>
        <a:xfrm>
          <a:off x="0" y="10515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5FAD1934-4833-4322-B33F-C00395F974AA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DF6CBBB3-DDD7-4EA9-8F35-7D8C46C47B6B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EBC8FE13-1291-4C62-A99D-8706FEBDCB5C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E3973EAC-A0CF-4E4F-82E8-029CECCF8194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F4841BF5-C62F-4EBD-99D5-717E9D22A43D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B17CC761-A174-4ABE-8EF4-88F3CC86FED1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03C2E00D-1841-4521-85CF-96258E1DAF60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32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01C3186D-F3AF-42AB-9DEE-5EC4FF978A2A}"/>
            </a:ext>
          </a:extLst>
        </xdr:cNvPr>
        <xdr:cNvSpPr txBox="1"/>
      </xdr:nvSpPr>
      <xdr:spPr>
        <a:xfrm>
          <a:off x="0" y="883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6C04ED1F-5971-49F3-B861-9EA5C38AB830}"/>
            </a:ext>
          </a:extLst>
        </xdr:cNvPr>
        <xdr:cNvSpPr txBox="1"/>
      </xdr:nvSpPr>
      <xdr:spPr>
        <a:xfrm>
          <a:off x="0" y="1386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F9CC3C0B-38E7-44A0-A868-8B81B80EAE7B}"/>
            </a:ext>
          </a:extLst>
        </xdr:cNvPr>
        <xdr:cNvSpPr txBox="1"/>
      </xdr:nvSpPr>
      <xdr:spPr>
        <a:xfrm>
          <a:off x="0" y="1386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4DB5A5F3-6E82-45DB-BB41-E4DB050E9A41}"/>
            </a:ext>
          </a:extLst>
        </xdr:cNvPr>
        <xdr:cNvSpPr txBox="1"/>
      </xdr:nvSpPr>
      <xdr:spPr>
        <a:xfrm>
          <a:off x="0" y="1386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516CF377-4011-43CA-BC34-47AE412230EC}"/>
            </a:ext>
          </a:extLst>
        </xdr:cNvPr>
        <xdr:cNvSpPr txBox="1"/>
      </xdr:nvSpPr>
      <xdr:spPr>
        <a:xfrm>
          <a:off x="0" y="13868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4C0CCAA0-75FC-41E1-B2FF-A9595ADDB780}"/>
            </a:ext>
          </a:extLst>
        </xdr:cNvPr>
        <xdr:cNvSpPr txBox="1"/>
      </xdr:nvSpPr>
      <xdr:spPr>
        <a:xfrm>
          <a:off x="0" y="8420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65" cy="172227"/>
    <xdr:sp macro="" textlink="">
      <xdr:nvSpPr>
        <xdr:cNvPr id="3" name="文本框 1">
          <a:extLst>
            <a:ext uri="{FF2B5EF4-FFF2-40B4-BE49-F238E27FC236}">
              <a16:creationId xmlns:a16="http://schemas.microsoft.com/office/drawing/2014/main" id="{4C576751-1D89-4BEB-8692-CC927866A885}"/>
            </a:ext>
          </a:extLst>
        </xdr:cNvPr>
        <xdr:cNvSpPr txBox="1"/>
      </xdr:nvSpPr>
      <xdr:spPr>
        <a:xfrm>
          <a:off x="0" y="8420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65" cy="172227"/>
    <xdr:sp macro="" textlink="">
      <xdr:nvSpPr>
        <xdr:cNvPr id="4" name="文本框 1">
          <a:extLst>
            <a:ext uri="{FF2B5EF4-FFF2-40B4-BE49-F238E27FC236}">
              <a16:creationId xmlns:a16="http://schemas.microsoft.com/office/drawing/2014/main" id="{CC1E40C2-63FC-4B78-87AC-E033340B8626}"/>
            </a:ext>
          </a:extLst>
        </xdr:cNvPr>
        <xdr:cNvSpPr txBox="1"/>
      </xdr:nvSpPr>
      <xdr:spPr>
        <a:xfrm>
          <a:off x="0" y="8420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65" cy="172227"/>
    <xdr:sp macro="" textlink="">
      <xdr:nvSpPr>
        <xdr:cNvPr id="5" name="文本框 1">
          <a:extLst>
            <a:ext uri="{FF2B5EF4-FFF2-40B4-BE49-F238E27FC236}">
              <a16:creationId xmlns:a16="http://schemas.microsoft.com/office/drawing/2014/main" id="{2C5D972D-8A45-4925-BB25-429E72E4A91C}"/>
            </a:ext>
          </a:extLst>
        </xdr:cNvPr>
        <xdr:cNvSpPr txBox="1"/>
      </xdr:nvSpPr>
      <xdr:spPr>
        <a:xfrm>
          <a:off x="0" y="8420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1A9E-EB67-414F-93C3-008608344098}">
  <sheetPr>
    <tabColor theme="7" tint="0.39997558519241921"/>
  </sheetPr>
  <dimension ref="A1:AQ106"/>
  <sheetViews>
    <sheetView tabSelected="1" zoomScale="130" zoomScaleNormal="130" zoomScaleSheetLayoutView="100" workbookViewId="0">
      <pane ySplit="7" topLeftCell="A49" activePane="bottomLeft" state="frozen"/>
      <selection pane="bottomLeft" activeCell="W50" sqref="W50"/>
    </sheetView>
  </sheetViews>
  <sheetFormatPr defaultColWidth="9.140625" defaultRowHeight="12.75" x14ac:dyDescent="0.2"/>
  <cols>
    <col min="1" max="1" width="6.28515625" style="1" customWidth="1"/>
    <col min="2" max="2" width="8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5.7109375" style="1" customWidth="1"/>
    <col min="16" max="16" width="5" style="1" customWidth="1"/>
    <col min="17" max="19" width="4.5703125" style="1" customWidth="1"/>
    <col min="20" max="21" width="4.140625" style="1" customWidth="1"/>
    <col min="22" max="22" width="4.42578125" style="1" customWidth="1"/>
    <col min="23" max="23" width="4.28515625" style="1" customWidth="1"/>
    <col min="24" max="24" width="5.140625" style="1" customWidth="1"/>
    <col min="25" max="25" width="4.42578125" style="1" customWidth="1"/>
    <col min="26" max="26" width="4.7109375" style="1" customWidth="1"/>
    <col min="27" max="27" width="4.5703125" style="1" customWidth="1"/>
    <col min="28" max="29" width="4.28515625" style="1" customWidth="1"/>
    <col min="30" max="30" width="4" style="1" customWidth="1"/>
    <col min="31" max="31" width="5.7109375" style="1" customWidth="1"/>
    <col min="32" max="32" width="5" style="1" customWidth="1"/>
    <col min="33" max="33" width="5.7109375" style="1" customWidth="1"/>
    <col min="34" max="34" width="6" style="1" customWidth="1"/>
    <col min="35" max="35" width="6.28515625" style="1" customWidth="1"/>
    <col min="36" max="36" width="11.140625" style="1" customWidth="1"/>
    <col min="37" max="60" width="9.140625" style="1"/>
    <col min="61" max="62" width="9.140625" style="1" customWidth="1"/>
    <col min="63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">
        <v>634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4" customHeight="1" thickBot="1" x14ac:dyDescent="0.4">
      <c r="A4" s="101" t="s">
        <v>305</v>
      </c>
      <c r="B4" s="102"/>
      <c r="C4" s="2">
        <f>COUNTA(B8:B50)</f>
        <v>43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1.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1.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24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67.5" customHeight="1" x14ac:dyDescent="0.25">
      <c r="A8" s="74" t="s">
        <v>203</v>
      </c>
      <c r="B8" s="65" t="s">
        <v>410</v>
      </c>
      <c r="C8" s="56" t="s">
        <v>308</v>
      </c>
      <c r="D8" s="48">
        <v>204</v>
      </c>
      <c r="E8" s="20">
        <v>22</v>
      </c>
      <c r="F8" s="21">
        <f>I8+L8+(M8)*8</f>
        <v>176</v>
      </c>
      <c r="G8" s="57"/>
      <c r="H8" s="81"/>
      <c r="I8" s="23">
        <f>E8*8</f>
        <v>176</v>
      </c>
      <c r="J8" s="55">
        <v>236.49</v>
      </c>
      <c r="K8" s="55">
        <f>369.634-80-110</f>
        <v>179.63400000000001</v>
      </c>
      <c r="L8" s="23"/>
      <c r="M8" s="22"/>
      <c r="N8" s="22">
        <v>4</v>
      </c>
      <c r="O8" s="125">
        <f>IF(F8&gt;0,((K8+W8)/F8*I8),0)</f>
        <v>179.63400000000004</v>
      </c>
      <c r="P8" s="58">
        <f>IF(F8&gt;0,((K8+W8)/F8*L8*1.5)*100)/100</f>
        <v>0</v>
      </c>
      <c r="Q8" s="53">
        <f>IF(F8&gt;0,((K8+W8)/F8*M8*8*2)*100)/100</f>
        <v>0</v>
      </c>
      <c r="R8" s="53">
        <f>IF(F8&gt;0,((K8+W8)/F8*N8*8*1)*100)/100</f>
        <v>32.660727272727279</v>
      </c>
      <c r="S8" s="53">
        <v>0</v>
      </c>
      <c r="T8" s="25">
        <v>0</v>
      </c>
      <c r="U8" s="24">
        <f>D8/26*T8/2</f>
        <v>0</v>
      </c>
      <c r="V8" s="24">
        <f>((L8)*1500/4000)</f>
        <v>0</v>
      </c>
      <c r="W8" s="24"/>
      <c r="X8" s="53"/>
      <c r="Y8" s="27"/>
      <c r="Z8" s="24">
        <v>10</v>
      </c>
      <c r="AA8" s="24">
        <v>10</v>
      </c>
      <c r="AB8" s="26">
        <f>D8/2</f>
        <v>102</v>
      </c>
      <c r="AC8" s="24">
        <f>AK8</f>
        <v>4.6458000000000004</v>
      </c>
      <c r="AD8" s="26"/>
      <c r="AE8" s="54">
        <f>INT((O8+P8+Q8+R8+U8+V8+Z8+AA8+Y8-X8+S8)*100)/100</f>
        <v>232.29</v>
      </c>
      <c r="AF8" s="28">
        <f>AB8+AC8+AD8</f>
        <v>106.64579999999999</v>
      </c>
      <c r="AG8" s="54">
        <f>INT((AE8-AF8)*100)/100</f>
        <v>125.64</v>
      </c>
      <c r="AH8" s="29">
        <f>INT(AG8)</f>
        <v>125</v>
      </c>
      <c r="AI8" s="24">
        <f>INT((AG8-AH8)*40+0.5)*100</f>
        <v>2600</v>
      </c>
      <c r="AJ8" s="30"/>
      <c r="AK8" s="73">
        <f t="shared" ref="AK8:AK24" si="0">(AE8*0.04)/2</f>
        <v>4.6458000000000004</v>
      </c>
    </row>
    <row r="9" spans="1:37" s="31" customFormat="1" ht="67.5" customHeight="1" x14ac:dyDescent="0.25">
      <c r="A9" s="74" t="s">
        <v>204</v>
      </c>
      <c r="B9" s="65" t="s">
        <v>110</v>
      </c>
      <c r="C9" s="56" t="s">
        <v>308</v>
      </c>
      <c r="D9" s="48">
        <v>204</v>
      </c>
      <c r="E9" s="20">
        <v>21.5</v>
      </c>
      <c r="F9" s="21">
        <f>I9+L9+(M9)*8</f>
        <v>172</v>
      </c>
      <c r="G9" s="57">
        <v>0.5</v>
      </c>
      <c r="H9" s="81"/>
      <c r="I9" s="23">
        <f t="shared" ref="I9:I13" si="1">E9*8</f>
        <v>172</v>
      </c>
      <c r="J9" s="55">
        <v>442.25</v>
      </c>
      <c r="K9" s="55">
        <f>260.6-80</f>
        <v>180.60000000000002</v>
      </c>
      <c r="L9" s="23"/>
      <c r="M9" s="22"/>
      <c r="N9" s="22">
        <v>4</v>
      </c>
      <c r="O9" s="125">
        <f t="shared" ref="O9:O50" si="2">IF(F9&gt;0,((K9+W9)/F9*I9),0)</f>
        <v>180.6</v>
      </c>
      <c r="P9" s="58">
        <f t="shared" ref="P9:P50" si="3">IF(F9&gt;0,((K9+W9)/F9*L9*1.5)*100)/100</f>
        <v>0</v>
      </c>
      <c r="Q9" s="53">
        <f t="shared" ref="Q9:Q50" si="4">IF(F9&gt;0,((K9+W9)/F9*M9*8*2)*100)/100</f>
        <v>0</v>
      </c>
      <c r="R9" s="53">
        <f t="shared" ref="R9:R50" si="5">IF(F9&gt;0,((K9+W9)/F9*N9*8*1)*100)/100</f>
        <v>33.6</v>
      </c>
      <c r="S9" s="53">
        <v>0</v>
      </c>
      <c r="T9" s="25">
        <v>0</v>
      </c>
      <c r="U9" s="24">
        <f t="shared" ref="U9:U50" si="6">D9/26*T9/2</f>
        <v>0</v>
      </c>
      <c r="V9" s="24">
        <f>((L9)*1500/4000)</f>
        <v>0</v>
      </c>
      <c r="W9" s="24"/>
      <c r="X9" s="53"/>
      <c r="Y9" s="27"/>
      <c r="Z9" s="24">
        <v>7</v>
      </c>
      <c r="AA9" s="24">
        <v>10</v>
      </c>
      <c r="AB9" s="26">
        <f>D9/2</f>
        <v>102</v>
      </c>
      <c r="AC9" s="24">
        <f t="shared" ref="AC9:AC50" si="7">AK9</f>
        <v>4.6239999999999997</v>
      </c>
      <c r="AD9" s="26"/>
      <c r="AE9" s="54">
        <f t="shared" ref="AE9:AE50" si="8">INT((O9+P9+Q9+R9+U9+V9+Z9+AA9+Y9-X9+S9)*100)/100</f>
        <v>231.2</v>
      </c>
      <c r="AF9" s="28">
        <f t="shared" ref="AF9:AF50" si="9">AB9+AC9+AD9</f>
        <v>106.624</v>
      </c>
      <c r="AG9" s="54">
        <f t="shared" ref="AG9:AG50" si="10">INT((AE9-AF9)*100)/100</f>
        <v>124.57</v>
      </c>
      <c r="AH9" s="29">
        <f t="shared" ref="AH9:AH50" si="11">INT(AG9)</f>
        <v>124</v>
      </c>
      <c r="AI9" s="24">
        <f t="shared" ref="AI9:AI50" si="12">INT((AG9-AH9)*40+0.5)*100</f>
        <v>2300</v>
      </c>
      <c r="AJ9" s="30"/>
      <c r="AK9" s="73">
        <f t="shared" si="0"/>
        <v>4.6239999999999997</v>
      </c>
    </row>
    <row r="10" spans="1:37" s="31" customFormat="1" ht="67.5" customHeight="1" x14ac:dyDescent="0.25">
      <c r="A10" s="74" t="s">
        <v>205</v>
      </c>
      <c r="B10" s="65" t="s">
        <v>411</v>
      </c>
      <c r="C10" s="56" t="s">
        <v>308</v>
      </c>
      <c r="D10" s="48">
        <v>204</v>
      </c>
      <c r="E10" s="20">
        <v>19</v>
      </c>
      <c r="F10" s="21">
        <f>I10+L10+(M10)*8</f>
        <v>152</v>
      </c>
      <c r="G10" s="57">
        <v>3</v>
      </c>
      <c r="H10" s="81"/>
      <c r="I10" s="23">
        <f t="shared" si="1"/>
        <v>152</v>
      </c>
      <c r="J10" s="55">
        <v>73.84</v>
      </c>
      <c r="K10" s="55">
        <f>123.686+10</f>
        <v>133.68600000000001</v>
      </c>
      <c r="L10" s="23"/>
      <c r="M10" s="22"/>
      <c r="N10" s="22">
        <v>4</v>
      </c>
      <c r="O10" s="125">
        <f t="shared" si="2"/>
        <v>133.68600000000001</v>
      </c>
      <c r="P10" s="58">
        <f t="shared" si="3"/>
        <v>0</v>
      </c>
      <c r="Q10" s="53">
        <f t="shared" si="4"/>
        <v>0</v>
      </c>
      <c r="R10" s="53">
        <f>D10/26*N10</f>
        <v>31.384615384615383</v>
      </c>
      <c r="S10" s="53">
        <v>0</v>
      </c>
      <c r="T10" s="25">
        <v>0</v>
      </c>
      <c r="U10" s="24">
        <f t="shared" si="6"/>
        <v>0</v>
      </c>
      <c r="V10" s="24">
        <f>((L10)*1500/4000)</f>
        <v>0</v>
      </c>
      <c r="W10" s="24"/>
      <c r="X10" s="53">
        <f>(-D10/208*I10)+(O10)</f>
        <v>-15.390923076923059</v>
      </c>
      <c r="Y10" s="27"/>
      <c r="Z10" s="24"/>
      <c r="AA10" s="24">
        <v>10</v>
      </c>
      <c r="AB10" s="26">
        <f>D10/2</f>
        <v>102</v>
      </c>
      <c r="AC10" s="24">
        <f t="shared" si="7"/>
        <v>3.8092000000000001</v>
      </c>
      <c r="AD10" s="26"/>
      <c r="AE10" s="54">
        <f t="shared" si="8"/>
        <v>190.46</v>
      </c>
      <c r="AF10" s="28">
        <f t="shared" si="9"/>
        <v>105.8092</v>
      </c>
      <c r="AG10" s="54">
        <f t="shared" si="10"/>
        <v>84.65</v>
      </c>
      <c r="AH10" s="29">
        <f t="shared" si="11"/>
        <v>84</v>
      </c>
      <c r="AI10" s="24">
        <f t="shared" si="12"/>
        <v>2600</v>
      </c>
      <c r="AJ10" s="30"/>
      <c r="AK10" s="73">
        <f t="shared" si="0"/>
        <v>3.8092000000000001</v>
      </c>
    </row>
    <row r="11" spans="1:37" s="31" customFormat="1" ht="67.5" customHeight="1" x14ac:dyDescent="0.25">
      <c r="A11" s="74" t="s">
        <v>585</v>
      </c>
      <c r="B11" s="65" t="s">
        <v>586</v>
      </c>
      <c r="C11" s="56" t="s">
        <v>596</v>
      </c>
      <c r="D11" s="48">
        <v>202</v>
      </c>
      <c r="E11" s="20">
        <v>22</v>
      </c>
      <c r="F11" s="21">
        <f t="shared" ref="F11:F28" si="13">I11+L11+(M11)*8</f>
        <v>176</v>
      </c>
      <c r="G11" s="57"/>
      <c r="H11" s="81"/>
      <c r="I11" s="23">
        <f t="shared" si="1"/>
        <v>176</v>
      </c>
      <c r="J11" s="55">
        <v>180.17</v>
      </c>
      <c r="K11" s="55">
        <f>295.791-115</f>
        <v>180.791</v>
      </c>
      <c r="L11" s="23"/>
      <c r="M11" s="22"/>
      <c r="N11" s="22">
        <v>4</v>
      </c>
      <c r="O11" s="125">
        <f t="shared" si="2"/>
        <v>180.791</v>
      </c>
      <c r="P11" s="58">
        <f t="shared" si="3"/>
        <v>0</v>
      </c>
      <c r="Q11" s="53">
        <f t="shared" si="4"/>
        <v>0</v>
      </c>
      <c r="R11" s="53">
        <f t="shared" si="5"/>
        <v>32.87109090909091</v>
      </c>
      <c r="S11" s="53">
        <v>0</v>
      </c>
      <c r="T11" s="25">
        <v>0</v>
      </c>
      <c r="U11" s="24">
        <f t="shared" si="6"/>
        <v>0</v>
      </c>
      <c r="V11" s="24">
        <f>((L11)*1500/4000)</f>
        <v>0</v>
      </c>
      <c r="W11" s="24"/>
      <c r="X11" s="53"/>
      <c r="Y11" s="27"/>
      <c r="Z11" s="24">
        <v>10</v>
      </c>
      <c r="AA11" s="24">
        <v>10</v>
      </c>
      <c r="AB11" s="26">
        <f t="shared" ref="AB11:AB39" si="14">D11/2</f>
        <v>101</v>
      </c>
      <c r="AC11" s="24">
        <f t="shared" si="7"/>
        <v>4.6732000000000005</v>
      </c>
      <c r="AD11" s="26"/>
      <c r="AE11" s="54">
        <f>INT((O11+P11+Q11+R11+U11+V11+Z11+AA11+Y11-X11+S11)*100)/100</f>
        <v>233.66</v>
      </c>
      <c r="AF11" s="28">
        <f t="shared" si="9"/>
        <v>105.67319999999999</v>
      </c>
      <c r="AG11" s="54">
        <f t="shared" si="10"/>
        <v>127.98</v>
      </c>
      <c r="AH11" s="29">
        <f t="shared" si="11"/>
        <v>127</v>
      </c>
      <c r="AI11" s="24">
        <f t="shared" si="12"/>
        <v>3900</v>
      </c>
      <c r="AJ11" s="30"/>
      <c r="AK11" s="73">
        <f t="shared" si="0"/>
        <v>4.6732000000000005</v>
      </c>
    </row>
    <row r="12" spans="1:37" s="31" customFormat="1" ht="67.5" customHeight="1" x14ac:dyDescent="0.25">
      <c r="A12" s="74" t="s">
        <v>206</v>
      </c>
      <c r="B12" s="65" t="s">
        <v>111</v>
      </c>
      <c r="C12" s="56" t="s">
        <v>308</v>
      </c>
      <c r="D12" s="48">
        <v>204</v>
      </c>
      <c r="E12" s="20">
        <v>21</v>
      </c>
      <c r="F12" s="21">
        <f t="shared" si="13"/>
        <v>168</v>
      </c>
      <c r="G12" s="57">
        <v>1</v>
      </c>
      <c r="H12" s="81"/>
      <c r="I12" s="23">
        <f t="shared" si="1"/>
        <v>168</v>
      </c>
      <c r="J12" s="55">
        <v>57.67</v>
      </c>
      <c r="K12" s="55">
        <f>103.841+50</f>
        <v>153.84100000000001</v>
      </c>
      <c r="L12" s="23"/>
      <c r="M12" s="22"/>
      <c r="N12" s="22">
        <v>4</v>
      </c>
      <c r="O12" s="125">
        <f t="shared" si="2"/>
        <v>153.84100000000001</v>
      </c>
      <c r="P12" s="58">
        <f t="shared" si="3"/>
        <v>0</v>
      </c>
      <c r="Q12" s="53">
        <f t="shared" si="4"/>
        <v>0</v>
      </c>
      <c r="R12" s="53">
        <f>D12/26*N12</f>
        <v>31.384615384615383</v>
      </c>
      <c r="S12" s="53">
        <v>0</v>
      </c>
      <c r="T12" s="25">
        <v>0</v>
      </c>
      <c r="U12" s="24">
        <f t="shared" si="6"/>
        <v>0</v>
      </c>
      <c r="V12" s="24">
        <f>((L12)*1500/4000)</f>
        <v>0</v>
      </c>
      <c r="W12" s="24"/>
      <c r="X12" s="53">
        <f t="shared" ref="X12:X38" si="15">(-D12/208*I12)+(O12)</f>
        <v>-10.928230769230765</v>
      </c>
      <c r="Y12" s="27"/>
      <c r="Z12" s="24">
        <v>7</v>
      </c>
      <c r="AA12" s="24">
        <v>10</v>
      </c>
      <c r="AB12" s="26">
        <f t="shared" si="14"/>
        <v>102</v>
      </c>
      <c r="AC12" s="24">
        <f t="shared" si="7"/>
        <v>4.2629999999999999</v>
      </c>
      <c r="AD12" s="26"/>
      <c r="AE12" s="54">
        <f t="shared" si="8"/>
        <v>213.15</v>
      </c>
      <c r="AF12" s="28">
        <f t="shared" si="9"/>
        <v>106.26300000000001</v>
      </c>
      <c r="AG12" s="54">
        <f t="shared" si="10"/>
        <v>106.88</v>
      </c>
      <c r="AH12" s="29">
        <f t="shared" si="11"/>
        <v>106</v>
      </c>
      <c r="AI12" s="24">
        <f t="shared" si="12"/>
        <v>3500</v>
      </c>
      <c r="AJ12" s="30"/>
      <c r="AK12" s="73">
        <f t="shared" si="0"/>
        <v>4.2629999999999999</v>
      </c>
    </row>
    <row r="13" spans="1:37" s="31" customFormat="1" ht="67.5" customHeight="1" x14ac:dyDescent="0.25">
      <c r="A13" s="74" t="s">
        <v>635</v>
      </c>
      <c r="B13" s="65" t="s">
        <v>636</v>
      </c>
      <c r="C13" s="56" t="s">
        <v>637</v>
      </c>
      <c r="D13" s="48">
        <v>202</v>
      </c>
      <c r="E13" s="20">
        <v>22</v>
      </c>
      <c r="F13" s="21">
        <f t="shared" si="13"/>
        <v>176</v>
      </c>
      <c r="G13" s="57"/>
      <c r="H13" s="81"/>
      <c r="I13" s="23">
        <f t="shared" si="1"/>
        <v>176</v>
      </c>
      <c r="J13" s="55">
        <v>127.34</v>
      </c>
      <c r="K13" s="55">
        <f>209.2535-30</f>
        <v>179.2535</v>
      </c>
      <c r="L13" s="23"/>
      <c r="M13" s="22"/>
      <c r="N13" s="22">
        <v>4</v>
      </c>
      <c r="O13" s="125">
        <f t="shared" si="2"/>
        <v>179.2535</v>
      </c>
      <c r="P13" s="58">
        <f t="shared" si="3"/>
        <v>0</v>
      </c>
      <c r="Q13" s="53">
        <f t="shared" si="4"/>
        <v>0</v>
      </c>
      <c r="R13" s="53">
        <f t="shared" si="5"/>
        <v>32.591545454545454</v>
      </c>
      <c r="S13" s="53">
        <v>0</v>
      </c>
      <c r="T13" s="25">
        <v>0</v>
      </c>
      <c r="U13" s="24">
        <f t="shared" si="6"/>
        <v>0</v>
      </c>
      <c r="V13" s="24">
        <f t="shared" ref="V13:V50" si="16">((L13)*1500/4000)</f>
        <v>0</v>
      </c>
      <c r="W13" s="24"/>
      <c r="X13" s="53"/>
      <c r="Y13" s="27"/>
      <c r="Z13" s="24">
        <v>10</v>
      </c>
      <c r="AA13" s="24">
        <v>10</v>
      </c>
      <c r="AB13" s="26">
        <f t="shared" si="14"/>
        <v>101</v>
      </c>
      <c r="AC13" s="24">
        <f t="shared" si="7"/>
        <v>4.6368</v>
      </c>
      <c r="AD13" s="26"/>
      <c r="AE13" s="54">
        <f t="shared" si="8"/>
        <v>231.84</v>
      </c>
      <c r="AF13" s="28">
        <f t="shared" si="9"/>
        <v>105.63679999999999</v>
      </c>
      <c r="AG13" s="54">
        <f t="shared" si="10"/>
        <v>126.2</v>
      </c>
      <c r="AH13" s="29">
        <f t="shared" si="11"/>
        <v>126</v>
      </c>
      <c r="AI13" s="24">
        <f t="shared" si="12"/>
        <v>800</v>
      </c>
      <c r="AJ13" s="30"/>
      <c r="AK13" s="73">
        <f t="shared" si="0"/>
        <v>4.6368</v>
      </c>
    </row>
    <row r="14" spans="1:37" s="31" customFormat="1" ht="67.5" customHeight="1" x14ac:dyDescent="0.25">
      <c r="A14" s="74" t="s">
        <v>638</v>
      </c>
      <c r="B14" s="65" t="s">
        <v>639</v>
      </c>
      <c r="C14" s="56" t="s">
        <v>640</v>
      </c>
      <c r="D14" s="48">
        <v>202</v>
      </c>
      <c r="E14" s="20">
        <v>12</v>
      </c>
      <c r="F14" s="21">
        <f t="shared" ref="F14" si="17">I14+L14+(M14)*8</f>
        <v>96</v>
      </c>
      <c r="G14" s="57"/>
      <c r="H14" s="81"/>
      <c r="I14" s="23">
        <f t="shared" ref="I14" si="18">E14*8</f>
        <v>96</v>
      </c>
      <c r="J14" s="55">
        <v>88.42</v>
      </c>
      <c r="K14" s="55">
        <f>42.186+50</f>
        <v>92.186000000000007</v>
      </c>
      <c r="L14" s="23"/>
      <c r="M14" s="22"/>
      <c r="N14" s="22"/>
      <c r="O14" s="125">
        <f t="shared" si="2"/>
        <v>92.186000000000007</v>
      </c>
      <c r="P14" s="58">
        <f t="shared" si="3"/>
        <v>0</v>
      </c>
      <c r="Q14" s="53">
        <f t="shared" si="4"/>
        <v>0</v>
      </c>
      <c r="R14" s="53">
        <f t="shared" si="5"/>
        <v>0</v>
      </c>
      <c r="S14" s="53">
        <v>0</v>
      </c>
      <c r="T14" s="25">
        <v>0</v>
      </c>
      <c r="U14" s="24">
        <f t="shared" ref="U14" si="19">D14/26*T14/2</f>
        <v>0</v>
      </c>
      <c r="V14" s="24">
        <f t="shared" ref="V14" si="20">((L14)*1500/4000)</f>
        <v>0</v>
      </c>
      <c r="W14" s="24"/>
      <c r="X14" s="53">
        <f t="shared" si="15"/>
        <v>-1.0447692307692193</v>
      </c>
      <c r="Y14" s="27"/>
      <c r="Z14" s="24">
        <f>10/26*E14</f>
        <v>4.6153846153846159</v>
      </c>
      <c r="AA14" s="24">
        <v>5</v>
      </c>
      <c r="AB14" s="26">
        <v>47</v>
      </c>
      <c r="AC14" s="24">
        <f t="shared" si="7"/>
        <v>2.0568</v>
      </c>
      <c r="AD14" s="26"/>
      <c r="AE14" s="54">
        <f t="shared" si="8"/>
        <v>102.84</v>
      </c>
      <c r="AF14" s="28">
        <f t="shared" si="9"/>
        <v>49.056800000000003</v>
      </c>
      <c r="AG14" s="54">
        <f t="shared" ref="AG14" si="21">INT((AE14-AF14)*100)/100</f>
        <v>53.78</v>
      </c>
      <c r="AH14" s="29">
        <f t="shared" ref="AH14" si="22">INT(AG14)</f>
        <v>53</v>
      </c>
      <c r="AI14" s="24">
        <f t="shared" ref="AI14" si="23">INT((AG14-AH14)*40+0.5)*100</f>
        <v>3100</v>
      </c>
      <c r="AJ14" s="30"/>
      <c r="AK14" s="73">
        <f t="shared" si="0"/>
        <v>2.0568</v>
      </c>
    </row>
    <row r="15" spans="1:37" s="31" customFormat="1" ht="67.5" customHeight="1" x14ac:dyDescent="0.25">
      <c r="A15" s="74" t="s">
        <v>207</v>
      </c>
      <c r="B15" s="65" t="s">
        <v>208</v>
      </c>
      <c r="C15" s="56" t="s">
        <v>308</v>
      </c>
      <c r="D15" s="48">
        <v>204</v>
      </c>
      <c r="E15" s="20">
        <v>18</v>
      </c>
      <c r="F15" s="21">
        <f t="shared" si="13"/>
        <v>144</v>
      </c>
      <c r="G15" s="57">
        <v>4</v>
      </c>
      <c r="H15" s="81"/>
      <c r="I15" s="23">
        <f t="shared" ref="I15:I28" si="24">E15*8</f>
        <v>144</v>
      </c>
      <c r="J15" s="55">
        <v>218.5</v>
      </c>
      <c r="K15" s="55">
        <f>338.549-80-100</f>
        <v>158.54899999999998</v>
      </c>
      <c r="L15" s="23"/>
      <c r="M15" s="22"/>
      <c r="N15" s="22">
        <v>4</v>
      </c>
      <c r="O15" s="125">
        <f t="shared" si="2"/>
        <v>158.54899999999998</v>
      </c>
      <c r="P15" s="58">
        <f t="shared" si="3"/>
        <v>0</v>
      </c>
      <c r="Q15" s="53">
        <f t="shared" si="4"/>
        <v>0</v>
      </c>
      <c r="R15" s="53">
        <f t="shared" si="5"/>
        <v>35.233111111111107</v>
      </c>
      <c r="S15" s="53">
        <v>0</v>
      </c>
      <c r="T15" s="25">
        <v>0</v>
      </c>
      <c r="U15" s="24">
        <f t="shared" si="6"/>
        <v>0</v>
      </c>
      <c r="V15" s="24">
        <f t="shared" si="16"/>
        <v>0</v>
      </c>
      <c r="W15" s="24"/>
      <c r="X15" s="53"/>
      <c r="Y15" s="27"/>
      <c r="Z15" s="24"/>
      <c r="AA15" s="24">
        <v>10</v>
      </c>
      <c r="AB15" s="26">
        <f t="shared" si="14"/>
        <v>102</v>
      </c>
      <c r="AC15" s="24">
        <f t="shared" si="7"/>
        <v>4.0755999999999997</v>
      </c>
      <c r="AD15" s="26"/>
      <c r="AE15" s="54">
        <f t="shared" si="8"/>
        <v>203.78</v>
      </c>
      <c r="AF15" s="28">
        <f t="shared" si="9"/>
        <v>106.07559999999999</v>
      </c>
      <c r="AG15" s="54">
        <f t="shared" si="10"/>
        <v>97.7</v>
      </c>
      <c r="AH15" s="29">
        <f t="shared" si="11"/>
        <v>97</v>
      </c>
      <c r="AI15" s="24">
        <f t="shared" si="12"/>
        <v>2800</v>
      </c>
      <c r="AJ15" s="30"/>
      <c r="AK15" s="73">
        <f t="shared" si="0"/>
        <v>4.0755999999999997</v>
      </c>
    </row>
    <row r="16" spans="1:37" s="31" customFormat="1" ht="67.5" customHeight="1" x14ac:dyDescent="0.25">
      <c r="A16" s="74" t="s">
        <v>209</v>
      </c>
      <c r="B16" s="65" t="s">
        <v>412</v>
      </c>
      <c r="C16" s="56" t="s">
        <v>308</v>
      </c>
      <c r="D16" s="48">
        <v>204</v>
      </c>
      <c r="E16" s="20">
        <v>21</v>
      </c>
      <c r="F16" s="21">
        <f t="shared" si="13"/>
        <v>168</v>
      </c>
      <c r="G16" s="57">
        <v>1</v>
      </c>
      <c r="H16" s="81"/>
      <c r="I16" s="23">
        <f t="shared" si="24"/>
        <v>168</v>
      </c>
      <c r="J16" s="55">
        <v>6</v>
      </c>
      <c r="K16" s="55">
        <f>15.3+20</f>
        <v>35.299999999999997</v>
      </c>
      <c r="L16" s="23"/>
      <c r="M16" s="22"/>
      <c r="N16" s="22">
        <v>4</v>
      </c>
      <c r="O16" s="125">
        <f t="shared" si="2"/>
        <v>172.6076923076923</v>
      </c>
      <c r="P16" s="58">
        <f t="shared" si="3"/>
        <v>0</v>
      </c>
      <c r="Q16" s="53">
        <f t="shared" si="4"/>
        <v>0</v>
      </c>
      <c r="R16" s="53">
        <f t="shared" si="5"/>
        <v>32.877655677655675</v>
      </c>
      <c r="S16" s="53">
        <v>0</v>
      </c>
      <c r="T16" s="25">
        <v>0</v>
      </c>
      <c r="U16" s="24">
        <f t="shared" si="6"/>
        <v>0</v>
      </c>
      <c r="V16" s="24">
        <f t="shared" si="16"/>
        <v>0</v>
      </c>
      <c r="W16" s="24">
        <f>D16/208*140</f>
        <v>137.30769230769229</v>
      </c>
      <c r="X16" s="53"/>
      <c r="Y16" s="27"/>
      <c r="Z16" s="24">
        <v>4</v>
      </c>
      <c r="AA16" s="24">
        <v>10</v>
      </c>
      <c r="AB16" s="26">
        <f t="shared" si="14"/>
        <v>102</v>
      </c>
      <c r="AC16" s="24">
        <f t="shared" si="7"/>
        <v>4.3895999999999997</v>
      </c>
      <c r="AD16" s="26"/>
      <c r="AE16" s="54">
        <f t="shared" si="8"/>
        <v>219.48</v>
      </c>
      <c r="AF16" s="28">
        <f t="shared" si="9"/>
        <v>106.3896</v>
      </c>
      <c r="AG16" s="54">
        <f t="shared" si="10"/>
        <v>113.09</v>
      </c>
      <c r="AH16" s="29">
        <f t="shared" si="11"/>
        <v>113</v>
      </c>
      <c r="AI16" s="24">
        <f t="shared" si="12"/>
        <v>400</v>
      </c>
      <c r="AJ16" s="30"/>
      <c r="AK16" s="73">
        <f t="shared" si="0"/>
        <v>4.3895999999999997</v>
      </c>
    </row>
    <row r="17" spans="1:37" s="31" customFormat="1" ht="67.5" customHeight="1" x14ac:dyDescent="0.25">
      <c r="A17" s="74" t="s">
        <v>559</v>
      </c>
      <c r="B17" s="65" t="s">
        <v>414</v>
      </c>
      <c r="C17" s="56" t="s">
        <v>597</v>
      </c>
      <c r="D17" s="48">
        <v>204</v>
      </c>
      <c r="E17" s="20">
        <v>22</v>
      </c>
      <c r="F17" s="21">
        <f t="shared" si="13"/>
        <v>176</v>
      </c>
      <c r="G17" s="57"/>
      <c r="H17" s="81"/>
      <c r="I17" s="23">
        <f t="shared" si="24"/>
        <v>176</v>
      </c>
      <c r="J17" s="55">
        <v>213.49</v>
      </c>
      <c r="K17" s="55">
        <f>271.159-90</f>
        <v>181.15899999999999</v>
      </c>
      <c r="L17" s="23"/>
      <c r="M17" s="22"/>
      <c r="N17" s="22">
        <v>4</v>
      </c>
      <c r="O17" s="125">
        <f t="shared" si="2"/>
        <v>181.15899999999996</v>
      </c>
      <c r="P17" s="58">
        <f t="shared" si="3"/>
        <v>0</v>
      </c>
      <c r="Q17" s="53">
        <f t="shared" si="4"/>
        <v>0</v>
      </c>
      <c r="R17" s="53">
        <f t="shared" si="5"/>
        <v>32.937999999999995</v>
      </c>
      <c r="S17" s="53">
        <v>0</v>
      </c>
      <c r="T17" s="25">
        <v>0</v>
      </c>
      <c r="U17" s="24">
        <f t="shared" si="6"/>
        <v>0</v>
      </c>
      <c r="V17" s="24">
        <f t="shared" si="16"/>
        <v>0</v>
      </c>
      <c r="W17" s="24"/>
      <c r="X17" s="53"/>
      <c r="Y17" s="27"/>
      <c r="Z17" s="24">
        <v>10</v>
      </c>
      <c r="AA17" s="24">
        <v>10</v>
      </c>
      <c r="AB17" s="26">
        <f t="shared" si="14"/>
        <v>102</v>
      </c>
      <c r="AC17" s="24">
        <f t="shared" si="7"/>
        <v>4.6818</v>
      </c>
      <c r="AD17" s="26"/>
      <c r="AE17" s="54">
        <f t="shared" si="8"/>
        <v>234.09</v>
      </c>
      <c r="AF17" s="28">
        <f t="shared" si="9"/>
        <v>106.6818</v>
      </c>
      <c r="AG17" s="54">
        <f t="shared" si="10"/>
        <v>127.4</v>
      </c>
      <c r="AH17" s="29">
        <f t="shared" si="11"/>
        <v>127</v>
      </c>
      <c r="AI17" s="24">
        <f t="shared" si="12"/>
        <v>1600</v>
      </c>
      <c r="AJ17" s="30"/>
      <c r="AK17" s="73">
        <f t="shared" si="0"/>
        <v>4.6818</v>
      </c>
    </row>
    <row r="18" spans="1:37" s="31" customFormat="1" ht="67.5" customHeight="1" x14ac:dyDescent="0.25">
      <c r="A18" s="74" t="s">
        <v>641</v>
      </c>
      <c r="B18" s="65" t="s">
        <v>642</v>
      </c>
      <c r="C18" s="56" t="s">
        <v>643</v>
      </c>
      <c r="D18" s="48">
        <v>202</v>
      </c>
      <c r="E18" s="20">
        <v>9</v>
      </c>
      <c r="F18" s="21">
        <f t="shared" si="13"/>
        <v>72</v>
      </c>
      <c r="G18" s="57">
        <v>1</v>
      </c>
      <c r="H18" s="81"/>
      <c r="I18" s="23">
        <f t="shared" si="24"/>
        <v>72</v>
      </c>
      <c r="J18" s="55">
        <v>59</v>
      </c>
      <c r="K18" s="55">
        <f>60.1+10</f>
        <v>70.099999999999994</v>
      </c>
      <c r="L18" s="23"/>
      <c r="M18" s="22"/>
      <c r="N18" s="22"/>
      <c r="O18" s="125">
        <f t="shared" si="2"/>
        <v>70.099999999999994</v>
      </c>
      <c r="P18" s="58">
        <f t="shared" si="3"/>
        <v>0</v>
      </c>
      <c r="Q18" s="53">
        <f t="shared" si="4"/>
        <v>0</v>
      </c>
      <c r="R18" s="53">
        <f t="shared" si="5"/>
        <v>0</v>
      </c>
      <c r="S18" s="53">
        <v>0</v>
      </c>
      <c r="T18" s="25">
        <v>0</v>
      </c>
      <c r="U18" s="24">
        <f t="shared" si="6"/>
        <v>0</v>
      </c>
      <c r="V18" s="24">
        <f t="shared" si="16"/>
        <v>0</v>
      </c>
      <c r="W18" s="24"/>
      <c r="X18" s="53"/>
      <c r="Y18" s="27"/>
      <c r="Z18" s="24">
        <f>10/26*E18</f>
        <v>3.4615384615384617</v>
      </c>
      <c r="AA18" s="24">
        <v>5</v>
      </c>
      <c r="AB18" s="26">
        <v>31</v>
      </c>
      <c r="AC18" s="24">
        <f t="shared" si="7"/>
        <v>1.5712000000000002</v>
      </c>
      <c r="AD18" s="26"/>
      <c r="AE18" s="54">
        <f t="shared" si="8"/>
        <v>78.56</v>
      </c>
      <c r="AF18" s="28">
        <f t="shared" si="9"/>
        <v>32.571199999999997</v>
      </c>
      <c r="AG18" s="54">
        <f t="shared" si="10"/>
        <v>45.98</v>
      </c>
      <c r="AH18" s="29">
        <f t="shared" si="11"/>
        <v>45</v>
      </c>
      <c r="AI18" s="24">
        <f t="shared" si="12"/>
        <v>3900</v>
      </c>
      <c r="AJ18" s="30"/>
      <c r="AK18" s="73">
        <f t="shared" si="0"/>
        <v>1.5712000000000002</v>
      </c>
    </row>
    <row r="19" spans="1:37" s="31" customFormat="1" ht="67.5" customHeight="1" x14ac:dyDescent="0.25">
      <c r="A19" s="74" t="s">
        <v>210</v>
      </c>
      <c r="B19" s="65" t="s">
        <v>415</v>
      </c>
      <c r="C19" s="56" t="s">
        <v>308</v>
      </c>
      <c r="D19" s="48">
        <v>204</v>
      </c>
      <c r="E19" s="20">
        <v>20</v>
      </c>
      <c r="F19" s="21">
        <f t="shared" si="13"/>
        <v>160</v>
      </c>
      <c r="G19" s="57">
        <v>2</v>
      </c>
      <c r="H19" s="81"/>
      <c r="I19" s="23">
        <f t="shared" si="24"/>
        <v>160</v>
      </c>
      <c r="J19" s="55">
        <v>108.92</v>
      </c>
      <c r="K19" s="55">
        <v>169.09000000000003</v>
      </c>
      <c r="L19" s="23"/>
      <c r="M19" s="22"/>
      <c r="N19" s="22">
        <v>4</v>
      </c>
      <c r="O19" s="125">
        <f t="shared" si="2"/>
        <v>169.09000000000003</v>
      </c>
      <c r="P19" s="58">
        <f t="shared" si="3"/>
        <v>0</v>
      </c>
      <c r="Q19" s="53">
        <f t="shared" si="4"/>
        <v>0</v>
      </c>
      <c r="R19" s="53">
        <f t="shared" si="5"/>
        <v>33.818000000000005</v>
      </c>
      <c r="S19" s="53">
        <v>0</v>
      </c>
      <c r="T19" s="25">
        <v>0</v>
      </c>
      <c r="U19" s="24">
        <f t="shared" si="6"/>
        <v>0</v>
      </c>
      <c r="V19" s="24">
        <f t="shared" si="16"/>
        <v>0</v>
      </c>
      <c r="W19" s="24"/>
      <c r="X19" s="53"/>
      <c r="Y19" s="27"/>
      <c r="Z19" s="24">
        <v>4</v>
      </c>
      <c r="AA19" s="24">
        <v>10</v>
      </c>
      <c r="AB19" s="26">
        <f t="shared" si="14"/>
        <v>102</v>
      </c>
      <c r="AC19" s="24">
        <f t="shared" si="7"/>
        <v>4.3380000000000001</v>
      </c>
      <c r="AD19" s="26"/>
      <c r="AE19" s="54">
        <f t="shared" si="8"/>
        <v>216.9</v>
      </c>
      <c r="AF19" s="28">
        <f t="shared" si="9"/>
        <v>106.33799999999999</v>
      </c>
      <c r="AG19" s="54">
        <f t="shared" si="10"/>
        <v>110.56</v>
      </c>
      <c r="AH19" s="29">
        <f t="shared" si="11"/>
        <v>110</v>
      </c>
      <c r="AI19" s="24">
        <f t="shared" si="12"/>
        <v>2200</v>
      </c>
      <c r="AJ19" s="30"/>
      <c r="AK19" s="73">
        <f t="shared" si="0"/>
        <v>4.3380000000000001</v>
      </c>
    </row>
    <row r="20" spans="1:37" s="31" customFormat="1" ht="67.5" customHeight="1" x14ac:dyDescent="0.25">
      <c r="A20" s="74" t="s">
        <v>211</v>
      </c>
      <c r="B20" s="65" t="s">
        <v>416</v>
      </c>
      <c r="C20" s="56" t="s">
        <v>308</v>
      </c>
      <c r="D20" s="48">
        <v>204</v>
      </c>
      <c r="E20" s="20">
        <v>19</v>
      </c>
      <c r="F20" s="21">
        <f t="shared" si="13"/>
        <v>152</v>
      </c>
      <c r="G20" s="57">
        <v>3</v>
      </c>
      <c r="H20" s="81"/>
      <c r="I20" s="23">
        <f t="shared" si="24"/>
        <v>152</v>
      </c>
      <c r="J20" s="55">
        <v>92.58</v>
      </c>
      <c r="K20" s="55">
        <v>153.35899999999998</v>
      </c>
      <c r="L20" s="23"/>
      <c r="M20" s="22"/>
      <c r="N20" s="22">
        <v>4</v>
      </c>
      <c r="O20" s="125">
        <f t="shared" si="2"/>
        <v>153.35899999999998</v>
      </c>
      <c r="P20" s="58">
        <f t="shared" si="3"/>
        <v>0</v>
      </c>
      <c r="Q20" s="53">
        <f t="shared" si="4"/>
        <v>0</v>
      </c>
      <c r="R20" s="53">
        <f t="shared" si="5"/>
        <v>32.286105263157893</v>
      </c>
      <c r="S20" s="53">
        <v>0</v>
      </c>
      <c r="T20" s="25">
        <v>0</v>
      </c>
      <c r="U20" s="24">
        <f t="shared" si="6"/>
        <v>0</v>
      </c>
      <c r="V20" s="24">
        <f t="shared" si="16"/>
        <v>0</v>
      </c>
      <c r="W20" s="24"/>
      <c r="X20" s="53"/>
      <c r="Y20" s="27"/>
      <c r="Z20" s="24"/>
      <c r="AA20" s="24">
        <v>10</v>
      </c>
      <c r="AB20" s="26">
        <f t="shared" si="14"/>
        <v>102</v>
      </c>
      <c r="AC20" s="24">
        <f t="shared" si="7"/>
        <v>3.9127999999999998</v>
      </c>
      <c r="AD20" s="26"/>
      <c r="AE20" s="54">
        <f t="shared" si="8"/>
        <v>195.64</v>
      </c>
      <c r="AF20" s="28">
        <f t="shared" si="9"/>
        <v>105.9128</v>
      </c>
      <c r="AG20" s="54">
        <f t="shared" si="10"/>
        <v>89.72</v>
      </c>
      <c r="AH20" s="29">
        <f t="shared" si="11"/>
        <v>89</v>
      </c>
      <c r="AI20" s="24">
        <f t="shared" si="12"/>
        <v>2900</v>
      </c>
      <c r="AJ20" s="30"/>
      <c r="AK20" s="73">
        <f t="shared" si="0"/>
        <v>3.9127999999999998</v>
      </c>
    </row>
    <row r="21" spans="1:37" s="31" customFormat="1" ht="67.5" customHeight="1" x14ac:dyDescent="0.25">
      <c r="A21" s="74" t="s">
        <v>212</v>
      </c>
      <c r="B21" s="65" t="s">
        <v>417</v>
      </c>
      <c r="C21" s="56" t="s">
        <v>309</v>
      </c>
      <c r="D21" s="48">
        <v>204</v>
      </c>
      <c r="E21" s="20">
        <v>21</v>
      </c>
      <c r="F21" s="21">
        <f t="shared" si="13"/>
        <v>168</v>
      </c>
      <c r="G21" s="57">
        <v>1</v>
      </c>
      <c r="H21" s="81"/>
      <c r="I21" s="23">
        <f t="shared" si="24"/>
        <v>168</v>
      </c>
      <c r="J21" s="55">
        <v>128.92000000000002</v>
      </c>
      <c r="K21" s="55">
        <v>167.827</v>
      </c>
      <c r="L21" s="23"/>
      <c r="M21" s="22"/>
      <c r="N21" s="22">
        <v>4</v>
      </c>
      <c r="O21" s="125">
        <f t="shared" si="2"/>
        <v>167.827</v>
      </c>
      <c r="P21" s="58">
        <f t="shared" si="3"/>
        <v>0</v>
      </c>
      <c r="Q21" s="53">
        <f t="shared" si="4"/>
        <v>0</v>
      </c>
      <c r="R21" s="53">
        <f t="shared" si="5"/>
        <v>31.967047619047619</v>
      </c>
      <c r="S21" s="53">
        <v>0</v>
      </c>
      <c r="T21" s="25">
        <v>0</v>
      </c>
      <c r="U21" s="24">
        <f t="shared" si="6"/>
        <v>0</v>
      </c>
      <c r="V21" s="24">
        <f t="shared" si="16"/>
        <v>0</v>
      </c>
      <c r="W21" s="24"/>
      <c r="X21" s="53"/>
      <c r="Y21" s="27"/>
      <c r="Z21" s="24">
        <v>7</v>
      </c>
      <c r="AA21" s="24">
        <v>10</v>
      </c>
      <c r="AB21" s="26">
        <f t="shared" si="14"/>
        <v>102</v>
      </c>
      <c r="AC21" s="24">
        <f t="shared" si="7"/>
        <v>4.3357999999999999</v>
      </c>
      <c r="AD21" s="26"/>
      <c r="AE21" s="54">
        <f t="shared" si="8"/>
        <v>216.79</v>
      </c>
      <c r="AF21" s="28">
        <f t="shared" si="9"/>
        <v>106.33580000000001</v>
      </c>
      <c r="AG21" s="54">
        <f t="shared" si="10"/>
        <v>110.45</v>
      </c>
      <c r="AH21" s="29">
        <f t="shared" si="11"/>
        <v>110</v>
      </c>
      <c r="AI21" s="24">
        <f t="shared" si="12"/>
        <v>1800</v>
      </c>
      <c r="AJ21" s="30"/>
      <c r="AK21" s="73">
        <f t="shared" si="0"/>
        <v>4.3357999999999999</v>
      </c>
    </row>
    <row r="22" spans="1:37" s="31" customFormat="1" ht="67.5" customHeight="1" x14ac:dyDescent="0.25">
      <c r="A22" s="74" t="s">
        <v>213</v>
      </c>
      <c r="B22" s="65" t="s">
        <v>418</v>
      </c>
      <c r="C22" s="56" t="s">
        <v>310</v>
      </c>
      <c r="D22" s="48">
        <v>204</v>
      </c>
      <c r="E22" s="20">
        <v>20</v>
      </c>
      <c r="F22" s="21">
        <f t="shared" si="13"/>
        <v>160</v>
      </c>
      <c r="G22" s="57">
        <v>2</v>
      </c>
      <c r="H22" s="81"/>
      <c r="I22" s="23">
        <f t="shared" si="24"/>
        <v>160</v>
      </c>
      <c r="J22" s="55">
        <v>92.57</v>
      </c>
      <c r="K22" s="55">
        <v>177.60900000000001</v>
      </c>
      <c r="L22" s="23"/>
      <c r="M22" s="22"/>
      <c r="N22" s="22">
        <v>4</v>
      </c>
      <c r="O22" s="125">
        <f t="shared" si="2"/>
        <v>177.60899999999998</v>
      </c>
      <c r="P22" s="58">
        <f t="shared" si="3"/>
        <v>0</v>
      </c>
      <c r="Q22" s="53">
        <f t="shared" si="4"/>
        <v>0</v>
      </c>
      <c r="R22" s="53">
        <f t="shared" si="5"/>
        <v>35.521799999999999</v>
      </c>
      <c r="S22" s="53">
        <v>0</v>
      </c>
      <c r="T22" s="25">
        <v>0</v>
      </c>
      <c r="U22" s="24">
        <f t="shared" si="6"/>
        <v>0</v>
      </c>
      <c r="V22" s="24">
        <f t="shared" si="16"/>
        <v>0</v>
      </c>
      <c r="W22" s="24"/>
      <c r="X22" s="53"/>
      <c r="Y22" s="27"/>
      <c r="Z22" s="24">
        <v>4</v>
      </c>
      <c r="AA22" s="24">
        <v>10</v>
      </c>
      <c r="AB22" s="26">
        <f t="shared" si="14"/>
        <v>102</v>
      </c>
      <c r="AC22" s="24">
        <f t="shared" si="7"/>
        <v>4.5426000000000002</v>
      </c>
      <c r="AD22" s="26"/>
      <c r="AE22" s="54">
        <f t="shared" si="8"/>
        <v>227.13</v>
      </c>
      <c r="AF22" s="28">
        <f t="shared" si="9"/>
        <v>106.54259999999999</v>
      </c>
      <c r="AG22" s="54">
        <f t="shared" si="10"/>
        <v>120.58</v>
      </c>
      <c r="AH22" s="29">
        <f t="shared" si="11"/>
        <v>120</v>
      </c>
      <c r="AI22" s="24">
        <f t="shared" si="12"/>
        <v>2300</v>
      </c>
      <c r="AJ22" s="30"/>
      <c r="AK22" s="73">
        <f t="shared" si="0"/>
        <v>4.5426000000000002</v>
      </c>
    </row>
    <row r="23" spans="1:37" s="31" customFormat="1" ht="67.5" customHeight="1" x14ac:dyDescent="0.25">
      <c r="A23" s="74" t="s">
        <v>214</v>
      </c>
      <c r="B23" s="65" t="s">
        <v>215</v>
      </c>
      <c r="C23" s="56" t="s">
        <v>310</v>
      </c>
      <c r="D23" s="48">
        <v>204</v>
      </c>
      <c r="E23" s="20">
        <v>21</v>
      </c>
      <c r="F23" s="21">
        <f t="shared" si="13"/>
        <v>168</v>
      </c>
      <c r="G23" s="57">
        <v>1</v>
      </c>
      <c r="H23" s="81"/>
      <c r="I23" s="23">
        <f t="shared" si="24"/>
        <v>168</v>
      </c>
      <c r="J23" s="55">
        <v>36.33</v>
      </c>
      <c r="K23" s="55">
        <f>59.759+10</f>
        <v>69.759</v>
      </c>
      <c r="L23" s="23"/>
      <c r="M23" s="22"/>
      <c r="N23" s="22">
        <v>4</v>
      </c>
      <c r="O23" s="125">
        <f t="shared" si="2"/>
        <v>167.83592307692305</v>
      </c>
      <c r="P23" s="58">
        <f t="shared" si="3"/>
        <v>0</v>
      </c>
      <c r="Q23" s="53">
        <f t="shared" si="4"/>
        <v>0</v>
      </c>
      <c r="R23" s="53">
        <f t="shared" si="5"/>
        <v>31.968747252747249</v>
      </c>
      <c r="S23" s="53">
        <v>0</v>
      </c>
      <c r="T23" s="25">
        <v>0</v>
      </c>
      <c r="U23" s="24">
        <f t="shared" si="6"/>
        <v>0</v>
      </c>
      <c r="V23" s="24">
        <f t="shared" si="16"/>
        <v>0</v>
      </c>
      <c r="W23" s="24">
        <f>D23/208*100</f>
        <v>98.076923076923066</v>
      </c>
      <c r="X23" s="53"/>
      <c r="Y23" s="27"/>
      <c r="Z23" s="24">
        <v>7</v>
      </c>
      <c r="AA23" s="24">
        <v>10</v>
      </c>
      <c r="AB23" s="26">
        <f t="shared" si="14"/>
        <v>102</v>
      </c>
      <c r="AC23" s="24">
        <f t="shared" si="7"/>
        <v>4.3360000000000003</v>
      </c>
      <c r="AD23" s="26"/>
      <c r="AE23" s="54">
        <f t="shared" si="8"/>
        <v>216.8</v>
      </c>
      <c r="AF23" s="28">
        <f t="shared" si="9"/>
        <v>106.336</v>
      </c>
      <c r="AG23" s="54">
        <f t="shared" si="10"/>
        <v>110.46</v>
      </c>
      <c r="AH23" s="29">
        <f t="shared" si="11"/>
        <v>110</v>
      </c>
      <c r="AI23" s="24">
        <f t="shared" si="12"/>
        <v>1800</v>
      </c>
      <c r="AJ23" s="30"/>
      <c r="AK23" s="73">
        <f t="shared" si="0"/>
        <v>4.3360000000000003</v>
      </c>
    </row>
    <row r="24" spans="1:37" s="31" customFormat="1" ht="67.5" customHeight="1" x14ac:dyDescent="0.25">
      <c r="A24" s="74" t="s">
        <v>216</v>
      </c>
      <c r="B24" s="65" t="s">
        <v>419</v>
      </c>
      <c r="C24" s="56" t="s">
        <v>311</v>
      </c>
      <c r="D24" s="48">
        <v>204</v>
      </c>
      <c r="E24" s="20">
        <v>21</v>
      </c>
      <c r="F24" s="21">
        <f t="shared" si="13"/>
        <v>168</v>
      </c>
      <c r="G24" s="57">
        <v>1</v>
      </c>
      <c r="H24" s="81"/>
      <c r="I24" s="23">
        <f t="shared" si="24"/>
        <v>168</v>
      </c>
      <c r="J24" s="55">
        <v>156.91</v>
      </c>
      <c r="K24" s="55">
        <f>224.691-50</f>
        <v>174.691</v>
      </c>
      <c r="L24" s="23"/>
      <c r="M24" s="22"/>
      <c r="N24" s="22">
        <v>4</v>
      </c>
      <c r="O24" s="125">
        <f t="shared" si="2"/>
        <v>174.691</v>
      </c>
      <c r="P24" s="58">
        <f t="shared" si="3"/>
        <v>0</v>
      </c>
      <c r="Q24" s="53">
        <f t="shared" si="4"/>
        <v>0</v>
      </c>
      <c r="R24" s="53">
        <f t="shared" si="5"/>
        <v>33.274476190476193</v>
      </c>
      <c r="S24" s="53">
        <v>0</v>
      </c>
      <c r="T24" s="25">
        <v>0</v>
      </c>
      <c r="U24" s="24">
        <f t="shared" si="6"/>
        <v>0</v>
      </c>
      <c r="V24" s="24">
        <f t="shared" si="16"/>
        <v>0</v>
      </c>
      <c r="W24" s="24"/>
      <c r="X24" s="53"/>
      <c r="Y24" s="27"/>
      <c r="Z24" s="24">
        <v>7</v>
      </c>
      <c r="AA24" s="24">
        <v>10</v>
      </c>
      <c r="AB24" s="26">
        <f t="shared" si="14"/>
        <v>102</v>
      </c>
      <c r="AC24" s="24">
        <f t="shared" si="7"/>
        <v>4.4992000000000001</v>
      </c>
      <c r="AD24" s="26"/>
      <c r="AE24" s="54">
        <f t="shared" si="8"/>
        <v>224.96</v>
      </c>
      <c r="AF24" s="28">
        <f t="shared" si="9"/>
        <v>106.4992</v>
      </c>
      <c r="AG24" s="54">
        <f t="shared" si="10"/>
        <v>118.46</v>
      </c>
      <c r="AH24" s="29">
        <f t="shared" si="11"/>
        <v>118</v>
      </c>
      <c r="AI24" s="24">
        <f t="shared" si="12"/>
        <v>1800</v>
      </c>
      <c r="AJ24" s="30"/>
      <c r="AK24" s="73">
        <f t="shared" si="0"/>
        <v>4.4992000000000001</v>
      </c>
    </row>
    <row r="25" spans="1:37" s="31" customFormat="1" ht="67.5" customHeight="1" x14ac:dyDescent="0.25">
      <c r="A25" s="74" t="s">
        <v>217</v>
      </c>
      <c r="B25" s="65" t="s">
        <v>218</v>
      </c>
      <c r="C25" s="56" t="s">
        <v>312</v>
      </c>
      <c r="D25" s="48">
        <v>204</v>
      </c>
      <c r="E25" s="20">
        <v>21</v>
      </c>
      <c r="F25" s="21">
        <f t="shared" si="13"/>
        <v>168</v>
      </c>
      <c r="G25" s="57">
        <v>1</v>
      </c>
      <c r="H25" s="81"/>
      <c r="I25" s="23">
        <f t="shared" si="24"/>
        <v>168</v>
      </c>
      <c r="J25" s="55">
        <v>263.15999999999997</v>
      </c>
      <c r="K25" s="55">
        <f>319.371-40-110</f>
        <v>169.37099999999998</v>
      </c>
      <c r="L25" s="23"/>
      <c r="M25" s="22"/>
      <c r="N25" s="22">
        <v>4</v>
      </c>
      <c r="O25" s="125">
        <f t="shared" si="2"/>
        <v>169.37099999999995</v>
      </c>
      <c r="P25" s="58">
        <f t="shared" si="3"/>
        <v>0</v>
      </c>
      <c r="Q25" s="53">
        <f t="shared" si="4"/>
        <v>0</v>
      </c>
      <c r="R25" s="53">
        <f t="shared" si="5"/>
        <v>32.26114285714285</v>
      </c>
      <c r="S25" s="53">
        <v>0</v>
      </c>
      <c r="T25" s="25">
        <v>0</v>
      </c>
      <c r="U25" s="24">
        <f t="shared" si="6"/>
        <v>0</v>
      </c>
      <c r="V25" s="24">
        <f t="shared" si="16"/>
        <v>0</v>
      </c>
      <c r="W25" s="24"/>
      <c r="X25" s="53"/>
      <c r="Y25" s="27"/>
      <c r="Z25" s="24">
        <v>7</v>
      </c>
      <c r="AA25" s="24">
        <v>10</v>
      </c>
      <c r="AB25" s="26">
        <f t="shared" si="14"/>
        <v>102</v>
      </c>
      <c r="AC25" s="24">
        <f t="shared" si="7"/>
        <v>4.3726000000000003</v>
      </c>
      <c r="AD25" s="26"/>
      <c r="AE25" s="54">
        <f t="shared" si="8"/>
        <v>218.63</v>
      </c>
      <c r="AF25" s="28">
        <f t="shared" si="9"/>
        <v>106.37260000000001</v>
      </c>
      <c r="AG25" s="54">
        <f t="shared" si="10"/>
        <v>112.25</v>
      </c>
      <c r="AH25" s="29">
        <f t="shared" si="11"/>
        <v>112</v>
      </c>
      <c r="AI25" s="24">
        <f t="shared" si="12"/>
        <v>1000</v>
      </c>
      <c r="AJ25" s="30"/>
      <c r="AK25" s="73">
        <f t="shared" ref="AK25:AK50" si="25">(AE25*0.04)/2</f>
        <v>4.3726000000000003</v>
      </c>
    </row>
    <row r="26" spans="1:37" s="31" customFormat="1" ht="67.5" customHeight="1" x14ac:dyDescent="0.25">
      <c r="A26" s="74" t="s">
        <v>219</v>
      </c>
      <c r="B26" s="65" t="s">
        <v>420</v>
      </c>
      <c r="C26" s="56" t="s">
        <v>313</v>
      </c>
      <c r="D26" s="48">
        <v>204</v>
      </c>
      <c r="E26" s="20">
        <v>17</v>
      </c>
      <c r="F26" s="21">
        <f t="shared" si="13"/>
        <v>136</v>
      </c>
      <c r="G26" s="57">
        <v>5</v>
      </c>
      <c r="H26" s="81"/>
      <c r="I26" s="23">
        <f t="shared" si="24"/>
        <v>136</v>
      </c>
      <c r="J26" s="55">
        <v>42.84</v>
      </c>
      <c r="K26" s="55">
        <v>89.213499999999996</v>
      </c>
      <c r="L26" s="23"/>
      <c r="M26" s="22"/>
      <c r="N26" s="22">
        <v>4</v>
      </c>
      <c r="O26" s="125">
        <f t="shared" si="2"/>
        <v>148.05965384615385</v>
      </c>
      <c r="P26" s="58">
        <f t="shared" si="3"/>
        <v>0</v>
      </c>
      <c r="Q26" s="53">
        <f t="shared" si="4"/>
        <v>0</v>
      </c>
      <c r="R26" s="53">
        <f t="shared" si="5"/>
        <v>34.837565610859727</v>
      </c>
      <c r="S26" s="53">
        <v>0</v>
      </c>
      <c r="T26" s="25">
        <v>0</v>
      </c>
      <c r="U26" s="24">
        <f t="shared" si="6"/>
        <v>0</v>
      </c>
      <c r="V26" s="24">
        <f t="shared" si="16"/>
        <v>0</v>
      </c>
      <c r="W26" s="24">
        <f>D26/208*60</f>
        <v>58.846153846153847</v>
      </c>
      <c r="X26" s="53"/>
      <c r="Y26" s="27"/>
      <c r="Z26" s="24"/>
      <c r="AA26" s="24">
        <v>10</v>
      </c>
      <c r="AB26" s="26">
        <f t="shared" si="14"/>
        <v>102</v>
      </c>
      <c r="AC26" s="24">
        <f t="shared" si="7"/>
        <v>3.8577999999999997</v>
      </c>
      <c r="AD26" s="26"/>
      <c r="AE26" s="54">
        <f t="shared" si="8"/>
        <v>192.89</v>
      </c>
      <c r="AF26" s="28">
        <f t="shared" si="9"/>
        <v>105.8578</v>
      </c>
      <c r="AG26" s="54">
        <f t="shared" si="10"/>
        <v>87.03</v>
      </c>
      <c r="AH26" s="29">
        <f t="shared" si="11"/>
        <v>87</v>
      </c>
      <c r="AI26" s="24">
        <f t="shared" si="12"/>
        <v>100</v>
      </c>
      <c r="AJ26" s="30"/>
      <c r="AK26" s="73">
        <f t="shared" si="25"/>
        <v>3.8577999999999997</v>
      </c>
    </row>
    <row r="27" spans="1:37" s="31" customFormat="1" ht="67.5" customHeight="1" x14ac:dyDescent="0.25">
      <c r="A27" s="74" t="s">
        <v>405</v>
      </c>
      <c r="B27" s="65" t="s">
        <v>421</v>
      </c>
      <c r="C27" s="56" t="s">
        <v>429</v>
      </c>
      <c r="D27" s="48">
        <v>204</v>
      </c>
      <c r="E27" s="20">
        <v>22</v>
      </c>
      <c r="F27" s="21">
        <f t="shared" si="13"/>
        <v>176</v>
      </c>
      <c r="G27" s="57"/>
      <c r="H27" s="81"/>
      <c r="I27" s="23">
        <f t="shared" si="24"/>
        <v>176</v>
      </c>
      <c r="J27" s="55">
        <v>115.09</v>
      </c>
      <c r="K27" s="55">
        <f>162.119+15</f>
        <v>177.119</v>
      </c>
      <c r="L27" s="23"/>
      <c r="M27" s="22"/>
      <c r="N27" s="22">
        <v>4</v>
      </c>
      <c r="O27" s="125">
        <f t="shared" si="2"/>
        <v>177.11900000000003</v>
      </c>
      <c r="P27" s="58">
        <f t="shared" si="3"/>
        <v>0</v>
      </c>
      <c r="Q27" s="53">
        <f t="shared" si="4"/>
        <v>0</v>
      </c>
      <c r="R27" s="53">
        <f t="shared" si="5"/>
        <v>32.203454545454548</v>
      </c>
      <c r="S27" s="53">
        <v>0</v>
      </c>
      <c r="T27" s="25">
        <v>0</v>
      </c>
      <c r="U27" s="24">
        <f t="shared" si="6"/>
        <v>0</v>
      </c>
      <c r="V27" s="24">
        <f t="shared" si="16"/>
        <v>0</v>
      </c>
      <c r="W27" s="24"/>
      <c r="X27" s="53"/>
      <c r="Y27" s="27"/>
      <c r="Z27" s="24">
        <v>10</v>
      </c>
      <c r="AA27" s="24">
        <v>10</v>
      </c>
      <c r="AB27" s="26">
        <f t="shared" si="14"/>
        <v>102</v>
      </c>
      <c r="AC27" s="24">
        <f t="shared" si="7"/>
        <v>4.5864000000000003</v>
      </c>
      <c r="AD27" s="26"/>
      <c r="AE27" s="54">
        <f t="shared" si="8"/>
        <v>229.32</v>
      </c>
      <c r="AF27" s="28">
        <f t="shared" si="9"/>
        <v>106.5864</v>
      </c>
      <c r="AG27" s="54">
        <f t="shared" si="10"/>
        <v>122.73</v>
      </c>
      <c r="AH27" s="29">
        <f t="shared" si="11"/>
        <v>122</v>
      </c>
      <c r="AI27" s="24">
        <f t="shared" si="12"/>
        <v>2900</v>
      </c>
      <c r="AJ27" s="30"/>
      <c r="AK27" s="73">
        <f t="shared" si="25"/>
        <v>4.5864000000000003</v>
      </c>
    </row>
    <row r="28" spans="1:37" s="31" customFormat="1" ht="67.5" customHeight="1" x14ac:dyDescent="0.25">
      <c r="A28" s="74" t="s">
        <v>406</v>
      </c>
      <c r="B28" s="65" t="s">
        <v>422</v>
      </c>
      <c r="C28" s="56" t="s">
        <v>430</v>
      </c>
      <c r="D28" s="48">
        <v>204</v>
      </c>
      <c r="E28" s="20">
        <v>22</v>
      </c>
      <c r="F28" s="21">
        <f t="shared" si="13"/>
        <v>176</v>
      </c>
      <c r="G28" s="57"/>
      <c r="H28" s="81"/>
      <c r="I28" s="23">
        <f t="shared" si="24"/>
        <v>176</v>
      </c>
      <c r="J28" s="55">
        <v>224.32999999999998</v>
      </c>
      <c r="K28" s="55">
        <f>292.466-15-100</f>
        <v>177.46600000000001</v>
      </c>
      <c r="L28" s="23"/>
      <c r="M28" s="22"/>
      <c r="N28" s="22">
        <v>4</v>
      </c>
      <c r="O28" s="125">
        <f t="shared" si="2"/>
        <v>177.46600000000001</v>
      </c>
      <c r="P28" s="58">
        <f t="shared" si="3"/>
        <v>0</v>
      </c>
      <c r="Q28" s="53">
        <f t="shared" si="4"/>
        <v>0</v>
      </c>
      <c r="R28" s="53">
        <f t="shared" si="5"/>
        <v>32.266545454545458</v>
      </c>
      <c r="S28" s="53">
        <v>0</v>
      </c>
      <c r="T28" s="25">
        <v>0</v>
      </c>
      <c r="U28" s="24">
        <f t="shared" si="6"/>
        <v>0</v>
      </c>
      <c r="V28" s="24">
        <f t="shared" si="16"/>
        <v>0</v>
      </c>
      <c r="W28" s="24"/>
      <c r="X28" s="53"/>
      <c r="Y28" s="27"/>
      <c r="Z28" s="24">
        <v>10</v>
      </c>
      <c r="AA28" s="24">
        <v>10</v>
      </c>
      <c r="AB28" s="26">
        <f t="shared" si="14"/>
        <v>102</v>
      </c>
      <c r="AC28" s="24">
        <f t="shared" si="7"/>
        <v>4.5945999999999998</v>
      </c>
      <c r="AD28" s="26"/>
      <c r="AE28" s="54">
        <f t="shared" si="8"/>
        <v>229.73</v>
      </c>
      <c r="AF28" s="28">
        <f t="shared" si="9"/>
        <v>106.5946</v>
      </c>
      <c r="AG28" s="54">
        <f t="shared" si="10"/>
        <v>123.13</v>
      </c>
      <c r="AH28" s="29">
        <f t="shared" si="11"/>
        <v>123</v>
      </c>
      <c r="AI28" s="24">
        <f t="shared" si="12"/>
        <v>500</v>
      </c>
      <c r="AJ28" s="30"/>
      <c r="AK28" s="73">
        <f t="shared" si="25"/>
        <v>4.5945999999999998</v>
      </c>
    </row>
    <row r="29" spans="1:37" s="31" customFormat="1" ht="67.5" customHeight="1" x14ac:dyDescent="0.25">
      <c r="A29" s="74" t="s">
        <v>644</v>
      </c>
      <c r="B29" s="65" t="s">
        <v>645</v>
      </c>
      <c r="C29" s="56" t="s">
        <v>646</v>
      </c>
      <c r="D29" s="48">
        <v>202</v>
      </c>
      <c r="E29" s="20">
        <v>4</v>
      </c>
      <c r="F29" s="21">
        <f t="shared" ref="F29:F37" si="26">I29+L29+(M29)*8</f>
        <v>32</v>
      </c>
      <c r="G29" s="57"/>
      <c r="H29" s="81"/>
      <c r="I29" s="23">
        <f t="shared" ref="I29:I37" si="27">E29*8</f>
        <v>32</v>
      </c>
      <c r="J29" s="55">
        <v>8</v>
      </c>
      <c r="K29" s="55">
        <f>10.55+15</f>
        <v>25.55</v>
      </c>
      <c r="L29" s="23"/>
      <c r="M29" s="22"/>
      <c r="N29" s="22"/>
      <c r="O29" s="125">
        <f t="shared" si="2"/>
        <v>25.55</v>
      </c>
      <c r="P29" s="58">
        <f t="shared" si="3"/>
        <v>0</v>
      </c>
      <c r="Q29" s="53">
        <f t="shared" si="4"/>
        <v>0</v>
      </c>
      <c r="R29" s="53">
        <f t="shared" si="5"/>
        <v>0</v>
      </c>
      <c r="S29" s="53">
        <v>0</v>
      </c>
      <c r="T29" s="25">
        <v>0</v>
      </c>
      <c r="U29" s="24">
        <f t="shared" ref="U29:U37" si="28">D29/26*T29/2</f>
        <v>0</v>
      </c>
      <c r="V29" s="24">
        <f t="shared" ref="V29:V37" si="29">((L29)*1500/4000)</f>
        <v>0</v>
      </c>
      <c r="W29" s="24"/>
      <c r="X29" s="53">
        <f t="shared" si="15"/>
        <v>-5.5269230769230759</v>
      </c>
      <c r="Y29" s="27"/>
      <c r="Z29" s="24">
        <f>10/26*E29</f>
        <v>1.5384615384615385</v>
      </c>
      <c r="AA29" s="24">
        <v>5</v>
      </c>
      <c r="AB29" s="26"/>
      <c r="AC29" s="24">
        <f t="shared" si="7"/>
        <v>0.75219999999999998</v>
      </c>
      <c r="AD29" s="26"/>
      <c r="AE29" s="54">
        <f t="shared" si="8"/>
        <v>37.61</v>
      </c>
      <c r="AF29" s="28">
        <f t="shared" si="9"/>
        <v>0.75219999999999998</v>
      </c>
      <c r="AG29" s="54">
        <f t="shared" ref="AG29:AG37" si="30">INT((AE29-AF29)*100)/100</f>
        <v>36.85</v>
      </c>
      <c r="AH29" s="29">
        <f t="shared" ref="AH29:AH37" si="31">INT(AG29)</f>
        <v>36</v>
      </c>
      <c r="AI29" s="24">
        <f t="shared" ref="AI29:AI37" si="32">INT((AG29-AH29)*40+0.5)*100</f>
        <v>3400</v>
      </c>
      <c r="AJ29" s="30"/>
      <c r="AK29" s="73">
        <f t="shared" si="25"/>
        <v>0.75219999999999998</v>
      </c>
    </row>
    <row r="30" spans="1:37" s="31" customFormat="1" ht="67.5" customHeight="1" x14ac:dyDescent="0.25">
      <c r="A30" s="74" t="s">
        <v>407</v>
      </c>
      <c r="B30" s="65" t="s">
        <v>424</v>
      </c>
      <c r="C30" s="56" t="s">
        <v>431</v>
      </c>
      <c r="D30" s="48">
        <v>204</v>
      </c>
      <c r="E30" s="20">
        <v>18</v>
      </c>
      <c r="F30" s="21">
        <f t="shared" si="26"/>
        <v>144</v>
      </c>
      <c r="G30" s="57">
        <v>4</v>
      </c>
      <c r="H30" s="81"/>
      <c r="I30" s="23">
        <f t="shared" si="27"/>
        <v>144</v>
      </c>
      <c r="J30" s="55">
        <v>104.74</v>
      </c>
      <c r="K30" s="55">
        <f>141.161+5</f>
        <v>146.161</v>
      </c>
      <c r="L30" s="23"/>
      <c r="M30" s="22"/>
      <c r="N30" s="22">
        <v>4</v>
      </c>
      <c r="O30" s="125">
        <f t="shared" si="2"/>
        <v>146.161</v>
      </c>
      <c r="P30" s="58">
        <f t="shared" si="3"/>
        <v>0</v>
      </c>
      <c r="Q30" s="53">
        <f t="shared" si="4"/>
        <v>0</v>
      </c>
      <c r="R30" s="53">
        <f t="shared" si="5"/>
        <v>32.480222222222224</v>
      </c>
      <c r="S30" s="53">
        <v>0</v>
      </c>
      <c r="T30" s="25">
        <v>0</v>
      </c>
      <c r="U30" s="24">
        <f t="shared" si="28"/>
        <v>0</v>
      </c>
      <c r="V30" s="24">
        <f t="shared" si="29"/>
        <v>0</v>
      </c>
      <c r="W30" s="24"/>
      <c r="X30" s="53"/>
      <c r="Y30" s="27"/>
      <c r="Z30" s="24"/>
      <c r="AA30" s="24">
        <v>10</v>
      </c>
      <c r="AB30" s="26">
        <f t="shared" si="14"/>
        <v>102</v>
      </c>
      <c r="AC30" s="24">
        <f t="shared" si="7"/>
        <v>3.7727999999999997</v>
      </c>
      <c r="AD30" s="26"/>
      <c r="AE30" s="54">
        <f t="shared" si="8"/>
        <v>188.64</v>
      </c>
      <c r="AF30" s="28">
        <f t="shared" si="9"/>
        <v>105.7728</v>
      </c>
      <c r="AG30" s="54">
        <f t="shared" si="30"/>
        <v>82.86</v>
      </c>
      <c r="AH30" s="29">
        <f t="shared" si="31"/>
        <v>82</v>
      </c>
      <c r="AI30" s="24">
        <f t="shared" si="32"/>
        <v>3400</v>
      </c>
      <c r="AJ30" s="30"/>
      <c r="AK30" s="73">
        <f t="shared" si="25"/>
        <v>3.7727999999999997</v>
      </c>
    </row>
    <row r="31" spans="1:37" s="31" customFormat="1" ht="67.5" customHeight="1" x14ac:dyDescent="0.25">
      <c r="A31" s="74" t="s">
        <v>647</v>
      </c>
      <c r="B31" s="65" t="s">
        <v>648</v>
      </c>
      <c r="C31" s="56" t="s">
        <v>649</v>
      </c>
      <c r="D31" s="48">
        <v>202</v>
      </c>
      <c r="E31" s="20">
        <v>9</v>
      </c>
      <c r="F31" s="21">
        <f t="shared" ref="F31:F35" si="33">I31+L31+(M31)*8</f>
        <v>72</v>
      </c>
      <c r="G31" s="57"/>
      <c r="H31" s="81"/>
      <c r="I31" s="23">
        <f t="shared" ref="I31:I35" si="34">E31*8</f>
        <v>72</v>
      </c>
      <c r="J31" s="55">
        <v>49</v>
      </c>
      <c r="K31" s="55">
        <v>74.299999999999983</v>
      </c>
      <c r="L31" s="23"/>
      <c r="M31" s="22"/>
      <c r="N31" s="22"/>
      <c r="O31" s="125">
        <f t="shared" ref="O31:O35" si="35">IF(F31&gt;0,((K31+W31)/F31*I31),0)</f>
        <v>74.299999999999983</v>
      </c>
      <c r="P31" s="58">
        <f t="shared" si="3"/>
        <v>0</v>
      </c>
      <c r="Q31" s="53">
        <f t="shared" si="4"/>
        <v>0</v>
      </c>
      <c r="R31" s="53">
        <f t="shared" si="5"/>
        <v>0</v>
      </c>
      <c r="S31" s="53">
        <v>0</v>
      </c>
      <c r="T31" s="25">
        <v>0</v>
      </c>
      <c r="U31" s="24">
        <f t="shared" ref="U31:U35" si="36">D31/26*T31/2</f>
        <v>0</v>
      </c>
      <c r="V31" s="24">
        <f t="shared" ref="V31:V35" si="37">((L31)*1500/4000)</f>
        <v>0</v>
      </c>
      <c r="W31" s="24"/>
      <c r="X31" s="53"/>
      <c r="Y31" s="27"/>
      <c r="Z31" s="24">
        <f>10/26*E31</f>
        <v>3.4615384615384617</v>
      </c>
      <c r="AA31" s="24">
        <v>5</v>
      </c>
      <c r="AB31" s="26">
        <v>23</v>
      </c>
      <c r="AC31" s="24">
        <f t="shared" si="7"/>
        <v>1.6552000000000002</v>
      </c>
      <c r="AD31" s="26"/>
      <c r="AE31" s="54">
        <f t="shared" si="8"/>
        <v>82.76</v>
      </c>
      <c r="AF31" s="28">
        <f t="shared" ref="AF31:AF35" si="38">AB31+AC31+AD31</f>
        <v>24.655200000000001</v>
      </c>
      <c r="AG31" s="54">
        <f t="shared" ref="AG31:AG35" si="39">INT((AE31-AF31)*100)/100</f>
        <v>58.1</v>
      </c>
      <c r="AH31" s="29">
        <f t="shared" ref="AH31:AH35" si="40">INT(AG31)</f>
        <v>58</v>
      </c>
      <c r="AI31" s="24">
        <f t="shared" ref="AI31:AI35" si="41">INT((AG31-AH31)*40+0.5)*100</f>
        <v>400</v>
      </c>
      <c r="AJ31" s="30"/>
      <c r="AK31" s="73">
        <f t="shared" ref="AK31:AK35" si="42">(AE31*0.04)/2</f>
        <v>1.6552000000000002</v>
      </c>
    </row>
    <row r="32" spans="1:37" s="31" customFormat="1" ht="67.5" customHeight="1" x14ac:dyDescent="0.25">
      <c r="A32" s="74" t="s">
        <v>650</v>
      </c>
      <c r="B32" s="65" t="s">
        <v>423</v>
      </c>
      <c r="C32" s="56" t="s">
        <v>651</v>
      </c>
      <c r="D32" s="48">
        <v>202</v>
      </c>
      <c r="E32" s="20">
        <v>12</v>
      </c>
      <c r="F32" s="21">
        <f t="shared" si="33"/>
        <v>96</v>
      </c>
      <c r="G32" s="57"/>
      <c r="H32" s="81"/>
      <c r="I32" s="23">
        <f t="shared" si="34"/>
        <v>96</v>
      </c>
      <c r="J32" s="55">
        <v>11</v>
      </c>
      <c r="K32" s="55">
        <f>17.65+80</f>
        <v>97.65</v>
      </c>
      <c r="L32" s="23"/>
      <c r="M32" s="22"/>
      <c r="N32" s="22"/>
      <c r="O32" s="125">
        <f t="shared" si="35"/>
        <v>97.65</v>
      </c>
      <c r="P32" s="58">
        <f t="shared" si="3"/>
        <v>0</v>
      </c>
      <c r="Q32" s="53">
        <f t="shared" si="4"/>
        <v>0</v>
      </c>
      <c r="R32" s="53">
        <f t="shared" si="5"/>
        <v>0</v>
      </c>
      <c r="S32" s="53">
        <v>0</v>
      </c>
      <c r="T32" s="25">
        <v>0</v>
      </c>
      <c r="U32" s="24">
        <f t="shared" si="36"/>
        <v>0</v>
      </c>
      <c r="V32" s="24">
        <f t="shared" si="37"/>
        <v>0</v>
      </c>
      <c r="W32" s="24"/>
      <c r="X32" s="53"/>
      <c r="Y32" s="27"/>
      <c r="Z32" s="24">
        <f>10/26*E32</f>
        <v>4.6153846153846159</v>
      </c>
      <c r="AA32" s="24">
        <v>5</v>
      </c>
      <c r="AB32" s="26"/>
      <c r="AC32" s="24">
        <f t="shared" si="7"/>
        <v>2.1452</v>
      </c>
      <c r="AD32" s="26"/>
      <c r="AE32" s="54">
        <f t="shared" si="8"/>
        <v>107.26</v>
      </c>
      <c r="AF32" s="28">
        <f t="shared" si="38"/>
        <v>2.1452</v>
      </c>
      <c r="AG32" s="54">
        <f t="shared" si="39"/>
        <v>105.11</v>
      </c>
      <c r="AH32" s="29">
        <f t="shared" si="40"/>
        <v>105</v>
      </c>
      <c r="AI32" s="24">
        <f t="shared" si="41"/>
        <v>400</v>
      </c>
      <c r="AJ32" s="30"/>
      <c r="AK32" s="73">
        <f t="shared" si="42"/>
        <v>2.1452</v>
      </c>
    </row>
    <row r="33" spans="1:37" s="31" customFormat="1" ht="67.5" customHeight="1" x14ac:dyDescent="0.25">
      <c r="A33" s="74" t="s">
        <v>408</v>
      </c>
      <c r="B33" s="65" t="s">
        <v>432</v>
      </c>
      <c r="C33" s="56" t="s">
        <v>433</v>
      </c>
      <c r="D33" s="48">
        <v>204</v>
      </c>
      <c r="E33" s="20">
        <v>20.5</v>
      </c>
      <c r="F33" s="21">
        <f t="shared" si="33"/>
        <v>164</v>
      </c>
      <c r="G33" s="57">
        <v>1.5</v>
      </c>
      <c r="H33" s="81"/>
      <c r="I33" s="23">
        <f t="shared" si="34"/>
        <v>164</v>
      </c>
      <c r="J33" s="55">
        <v>104.09</v>
      </c>
      <c r="K33" s="55">
        <v>179.97599999999994</v>
      </c>
      <c r="L33" s="23"/>
      <c r="M33" s="22"/>
      <c r="N33" s="22">
        <v>4</v>
      </c>
      <c r="O33" s="125">
        <f t="shared" si="35"/>
        <v>179.97599999999994</v>
      </c>
      <c r="P33" s="58">
        <f t="shared" si="3"/>
        <v>0</v>
      </c>
      <c r="Q33" s="53">
        <f t="shared" si="4"/>
        <v>0</v>
      </c>
      <c r="R33" s="53">
        <f t="shared" si="5"/>
        <v>35.117268292682915</v>
      </c>
      <c r="S33" s="53">
        <v>0</v>
      </c>
      <c r="T33" s="25">
        <v>0</v>
      </c>
      <c r="U33" s="24">
        <f t="shared" si="36"/>
        <v>0</v>
      </c>
      <c r="V33" s="24">
        <f t="shared" si="37"/>
        <v>0</v>
      </c>
      <c r="W33" s="24"/>
      <c r="X33" s="53"/>
      <c r="Y33" s="27"/>
      <c r="Z33" s="24">
        <v>4</v>
      </c>
      <c r="AA33" s="24">
        <v>10</v>
      </c>
      <c r="AB33" s="26">
        <f t="shared" si="14"/>
        <v>102</v>
      </c>
      <c r="AC33" s="24">
        <f t="shared" si="7"/>
        <v>4.5818000000000003</v>
      </c>
      <c r="AD33" s="26"/>
      <c r="AE33" s="54">
        <f t="shared" si="8"/>
        <v>229.09</v>
      </c>
      <c r="AF33" s="28">
        <f t="shared" si="38"/>
        <v>106.5818</v>
      </c>
      <c r="AG33" s="54">
        <f t="shared" si="39"/>
        <v>122.5</v>
      </c>
      <c r="AH33" s="29">
        <f t="shared" si="40"/>
        <v>122</v>
      </c>
      <c r="AI33" s="24">
        <f t="shared" si="41"/>
        <v>2000</v>
      </c>
      <c r="AJ33" s="30"/>
      <c r="AK33" s="73">
        <f t="shared" si="42"/>
        <v>4.5818000000000003</v>
      </c>
    </row>
    <row r="34" spans="1:37" s="31" customFormat="1" ht="67.5" customHeight="1" x14ac:dyDescent="0.25">
      <c r="A34" s="74" t="s">
        <v>409</v>
      </c>
      <c r="B34" s="65" t="s">
        <v>425</v>
      </c>
      <c r="C34" s="56" t="s">
        <v>433</v>
      </c>
      <c r="D34" s="48">
        <v>204</v>
      </c>
      <c r="E34" s="20">
        <v>22</v>
      </c>
      <c r="F34" s="21">
        <f t="shared" si="33"/>
        <v>176</v>
      </c>
      <c r="G34" s="57"/>
      <c r="H34" s="81"/>
      <c r="I34" s="23">
        <f t="shared" si="34"/>
        <v>176</v>
      </c>
      <c r="J34" s="55">
        <v>308.26</v>
      </c>
      <c r="K34" s="55">
        <f>242.9365-65</f>
        <v>177.9365</v>
      </c>
      <c r="L34" s="23"/>
      <c r="M34" s="22"/>
      <c r="N34" s="22">
        <v>4</v>
      </c>
      <c r="O34" s="125">
        <f t="shared" si="35"/>
        <v>177.93650000000002</v>
      </c>
      <c r="P34" s="58">
        <f t="shared" si="3"/>
        <v>0</v>
      </c>
      <c r="Q34" s="53">
        <f t="shared" si="4"/>
        <v>0</v>
      </c>
      <c r="R34" s="53">
        <f t="shared" si="5"/>
        <v>32.352090909090911</v>
      </c>
      <c r="S34" s="53">
        <v>0</v>
      </c>
      <c r="T34" s="25">
        <v>0</v>
      </c>
      <c r="U34" s="24">
        <f t="shared" si="36"/>
        <v>0</v>
      </c>
      <c r="V34" s="24">
        <f t="shared" si="37"/>
        <v>0</v>
      </c>
      <c r="W34" s="24"/>
      <c r="X34" s="53"/>
      <c r="Y34" s="27"/>
      <c r="Z34" s="24">
        <v>10</v>
      </c>
      <c r="AA34" s="24">
        <v>10</v>
      </c>
      <c r="AB34" s="26">
        <f t="shared" si="14"/>
        <v>102</v>
      </c>
      <c r="AC34" s="24">
        <f t="shared" si="7"/>
        <v>4.6055999999999999</v>
      </c>
      <c r="AD34" s="26"/>
      <c r="AE34" s="54">
        <f t="shared" si="8"/>
        <v>230.28</v>
      </c>
      <c r="AF34" s="28">
        <f t="shared" si="38"/>
        <v>106.6056</v>
      </c>
      <c r="AG34" s="54">
        <f t="shared" si="39"/>
        <v>123.67</v>
      </c>
      <c r="AH34" s="29">
        <f t="shared" si="40"/>
        <v>123</v>
      </c>
      <c r="AI34" s="24">
        <f t="shared" si="41"/>
        <v>2700</v>
      </c>
      <c r="AJ34" s="30"/>
      <c r="AK34" s="73">
        <f t="shared" si="42"/>
        <v>4.6055999999999999</v>
      </c>
    </row>
    <row r="35" spans="1:37" s="31" customFormat="1" ht="67.5" customHeight="1" x14ac:dyDescent="0.25">
      <c r="A35" s="74" t="s">
        <v>426</v>
      </c>
      <c r="B35" s="65" t="s">
        <v>427</v>
      </c>
      <c r="C35" s="56" t="s">
        <v>434</v>
      </c>
      <c r="D35" s="48">
        <v>204</v>
      </c>
      <c r="E35" s="20">
        <v>20</v>
      </c>
      <c r="F35" s="21">
        <f t="shared" si="33"/>
        <v>160</v>
      </c>
      <c r="G35" s="57">
        <v>2</v>
      </c>
      <c r="H35" s="81"/>
      <c r="I35" s="23">
        <f t="shared" si="34"/>
        <v>160</v>
      </c>
      <c r="J35" s="55">
        <v>133.83000000000001</v>
      </c>
      <c r="K35" s="55">
        <f>233.439-60</f>
        <v>173.43899999999999</v>
      </c>
      <c r="L35" s="23"/>
      <c r="M35" s="22"/>
      <c r="N35" s="22">
        <v>4</v>
      </c>
      <c r="O35" s="125">
        <f t="shared" si="35"/>
        <v>173.43899999999996</v>
      </c>
      <c r="P35" s="58">
        <f t="shared" si="3"/>
        <v>0</v>
      </c>
      <c r="Q35" s="53">
        <f t="shared" si="4"/>
        <v>0</v>
      </c>
      <c r="R35" s="53">
        <f t="shared" si="5"/>
        <v>34.687799999999996</v>
      </c>
      <c r="S35" s="53">
        <v>0</v>
      </c>
      <c r="T35" s="25">
        <v>0</v>
      </c>
      <c r="U35" s="24">
        <f t="shared" si="36"/>
        <v>0</v>
      </c>
      <c r="V35" s="24">
        <f t="shared" si="37"/>
        <v>0</v>
      </c>
      <c r="W35" s="24"/>
      <c r="X35" s="53"/>
      <c r="Y35" s="27"/>
      <c r="Z35" s="24">
        <v>4</v>
      </c>
      <c r="AA35" s="24">
        <v>10</v>
      </c>
      <c r="AB35" s="26">
        <f t="shared" si="14"/>
        <v>102</v>
      </c>
      <c r="AC35" s="24">
        <f t="shared" si="7"/>
        <v>4.4424000000000001</v>
      </c>
      <c r="AD35" s="26"/>
      <c r="AE35" s="54">
        <f t="shared" si="8"/>
        <v>222.12</v>
      </c>
      <c r="AF35" s="28">
        <f t="shared" si="38"/>
        <v>106.44240000000001</v>
      </c>
      <c r="AG35" s="54">
        <f t="shared" si="39"/>
        <v>115.67</v>
      </c>
      <c r="AH35" s="29">
        <f t="shared" si="40"/>
        <v>115</v>
      </c>
      <c r="AI35" s="24">
        <f t="shared" si="41"/>
        <v>2700</v>
      </c>
      <c r="AJ35" s="30"/>
      <c r="AK35" s="73">
        <f t="shared" si="42"/>
        <v>4.4424000000000001</v>
      </c>
    </row>
    <row r="36" spans="1:37" s="31" customFormat="1" ht="67.5" customHeight="1" x14ac:dyDescent="0.25">
      <c r="A36" s="74" t="s">
        <v>428</v>
      </c>
      <c r="B36" s="65" t="s">
        <v>587</v>
      </c>
      <c r="C36" s="56" t="s">
        <v>435</v>
      </c>
      <c r="D36" s="48">
        <v>204</v>
      </c>
      <c r="E36" s="20">
        <v>16.5</v>
      </c>
      <c r="F36" s="21">
        <f t="shared" si="26"/>
        <v>132</v>
      </c>
      <c r="G36" s="57">
        <v>5.5</v>
      </c>
      <c r="H36" s="81"/>
      <c r="I36" s="23">
        <f t="shared" si="27"/>
        <v>132</v>
      </c>
      <c r="J36" s="55">
        <v>79.08</v>
      </c>
      <c r="K36" s="55">
        <v>141.76000000000002</v>
      </c>
      <c r="L36" s="23"/>
      <c r="M36" s="22"/>
      <c r="N36" s="22">
        <v>4</v>
      </c>
      <c r="O36" s="125">
        <f t="shared" si="2"/>
        <v>141.76000000000005</v>
      </c>
      <c r="P36" s="58">
        <f t="shared" si="3"/>
        <v>0</v>
      </c>
      <c r="Q36" s="53">
        <f t="shared" si="4"/>
        <v>0</v>
      </c>
      <c r="R36" s="53">
        <f t="shared" si="5"/>
        <v>34.366060606060614</v>
      </c>
      <c r="S36" s="53">
        <v>0</v>
      </c>
      <c r="T36" s="25">
        <v>0</v>
      </c>
      <c r="U36" s="24">
        <f t="shared" si="28"/>
        <v>0</v>
      </c>
      <c r="V36" s="24">
        <f t="shared" si="29"/>
        <v>0</v>
      </c>
      <c r="W36" s="24"/>
      <c r="X36" s="53"/>
      <c r="Y36" s="27"/>
      <c r="Z36" s="24"/>
      <c r="AA36" s="24">
        <v>10</v>
      </c>
      <c r="AB36" s="26">
        <f t="shared" si="14"/>
        <v>102</v>
      </c>
      <c r="AC36" s="24">
        <f t="shared" si="7"/>
        <v>3.7224000000000004</v>
      </c>
      <c r="AD36" s="26"/>
      <c r="AE36" s="54">
        <f t="shared" si="8"/>
        <v>186.12</v>
      </c>
      <c r="AF36" s="28">
        <f t="shared" si="9"/>
        <v>105.72239999999999</v>
      </c>
      <c r="AG36" s="54">
        <f t="shared" si="30"/>
        <v>80.39</v>
      </c>
      <c r="AH36" s="29">
        <f t="shared" si="31"/>
        <v>80</v>
      </c>
      <c r="AI36" s="24">
        <f t="shared" si="32"/>
        <v>1600</v>
      </c>
      <c r="AJ36" s="30"/>
      <c r="AK36" s="73">
        <f t="shared" si="25"/>
        <v>3.7224000000000004</v>
      </c>
    </row>
    <row r="37" spans="1:37" s="31" customFormat="1" ht="67.5" customHeight="1" x14ac:dyDescent="0.25">
      <c r="A37" s="74" t="s">
        <v>652</v>
      </c>
      <c r="B37" s="65" t="s">
        <v>653</v>
      </c>
      <c r="C37" s="56" t="s">
        <v>654</v>
      </c>
      <c r="D37" s="48">
        <v>202</v>
      </c>
      <c r="E37" s="20">
        <v>3</v>
      </c>
      <c r="F37" s="21">
        <f t="shared" si="26"/>
        <v>24</v>
      </c>
      <c r="G37" s="57"/>
      <c r="H37" s="81"/>
      <c r="I37" s="23">
        <f t="shared" si="27"/>
        <v>24</v>
      </c>
      <c r="J37" s="55">
        <f>7+5</f>
        <v>12</v>
      </c>
      <c r="K37" s="55">
        <f>5.6+20</f>
        <v>25.6</v>
      </c>
      <c r="L37" s="23"/>
      <c r="M37" s="22"/>
      <c r="N37" s="22"/>
      <c r="O37" s="125">
        <f>IF(F37&gt;0,((K37+W37)/F37*I37),0)</f>
        <v>25.6</v>
      </c>
      <c r="P37" s="58">
        <f t="shared" si="3"/>
        <v>0</v>
      </c>
      <c r="Q37" s="53">
        <f t="shared" si="4"/>
        <v>0</v>
      </c>
      <c r="R37" s="53">
        <f t="shared" si="5"/>
        <v>0</v>
      </c>
      <c r="S37" s="53">
        <v>0</v>
      </c>
      <c r="T37" s="25">
        <v>0</v>
      </c>
      <c r="U37" s="24">
        <f t="shared" si="28"/>
        <v>0</v>
      </c>
      <c r="V37" s="24">
        <f t="shared" si="29"/>
        <v>0</v>
      </c>
      <c r="W37" s="24"/>
      <c r="X37" s="53"/>
      <c r="Y37" s="27"/>
      <c r="Z37" s="24">
        <f>10/26*E37</f>
        <v>1.153846153846154</v>
      </c>
      <c r="AA37" s="24">
        <v>5</v>
      </c>
      <c r="AB37" s="26"/>
      <c r="AC37" s="24">
        <f t="shared" si="7"/>
        <v>0.63500000000000001</v>
      </c>
      <c r="AD37" s="26"/>
      <c r="AE37" s="54">
        <f t="shared" si="8"/>
        <v>31.75</v>
      </c>
      <c r="AF37" s="28">
        <f t="shared" ref="AF37" si="43">AB37+AC37+AD37</f>
        <v>0.63500000000000001</v>
      </c>
      <c r="AG37" s="54">
        <f t="shared" si="30"/>
        <v>31.11</v>
      </c>
      <c r="AH37" s="29">
        <f t="shared" si="31"/>
        <v>31</v>
      </c>
      <c r="AI37" s="24">
        <f t="shared" si="32"/>
        <v>400</v>
      </c>
      <c r="AJ37" s="30"/>
      <c r="AK37" s="73">
        <f t="shared" ref="AK37" si="44">(AE37*0.04)/2</f>
        <v>0.63500000000000001</v>
      </c>
    </row>
    <row r="38" spans="1:37" s="31" customFormat="1" ht="67.5" customHeight="1" x14ac:dyDescent="0.25">
      <c r="A38" s="74" t="s">
        <v>655</v>
      </c>
      <c r="B38" s="65" t="s">
        <v>656</v>
      </c>
      <c r="C38" s="56" t="s">
        <v>649</v>
      </c>
      <c r="D38" s="48">
        <v>202</v>
      </c>
      <c r="E38" s="20">
        <v>9</v>
      </c>
      <c r="F38" s="21">
        <f t="shared" ref="F38:F39" si="45">I38+L38+(M38)*8</f>
        <v>72</v>
      </c>
      <c r="G38" s="57"/>
      <c r="H38" s="81"/>
      <c r="I38" s="23">
        <f t="shared" ref="I38:I39" si="46">E38*8</f>
        <v>72</v>
      </c>
      <c r="J38" s="55">
        <v>20</v>
      </c>
      <c r="K38" s="55">
        <f>30.4+18</f>
        <v>48.4</v>
      </c>
      <c r="L38" s="23"/>
      <c r="M38" s="22"/>
      <c r="N38" s="22"/>
      <c r="O38" s="125">
        <f t="shared" ref="O38:O39" si="47">IF(F38&gt;0,((K38+W38)/F38*I38),0)</f>
        <v>48.4</v>
      </c>
      <c r="P38" s="58">
        <f t="shared" si="3"/>
        <v>0</v>
      </c>
      <c r="Q38" s="53">
        <f t="shared" si="4"/>
        <v>0</v>
      </c>
      <c r="R38" s="53">
        <f t="shared" si="5"/>
        <v>0</v>
      </c>
      <c r="S38" s="53">
        <v>0</v>
      </c>
      <c r="T38" s="25">
        <v>0</v>
      </c>
      <c r="U38" s="24">
        <f t="shared" ref="U38:U39" si="48">D38/26*T38/2</f>
        <v>0</v>
      </c>
      <c r="V38" s="24">
        <f t="shared" ref="V38:V39" si="49">((L38)*1500/4000)</f>
        <v>0</v>
      </c>
      <c r="W38" s="24"/>
      <c r="X38" s="53">
        <f t="shared" si="15"/>
        <v>-21.523076923076921</v>
      </c>
      <c r="Y38" s="27"/>
      <c r="Z38" s="24">
        <f>10/26*E38</f>
        <v>3.4615384615384617</v>
      </c>
      <c r="AA38" s="24">
        <v>5</v>
      </c>
      <c r="AB38" s="26">
        <v>23</v>
      </c>
      <c r="AC38" s="24">
        <f t="shared" si="7"/>
        <v>1.5675999999999999</v>
      </c>
      <c r="AD38" s="26"/>
      <c r="AE38" s="54">
        <f t="shared" si="8"/>
        <v>78.38</v>
      </c>
      <c r="AF38" s="28">
        <f t="shared" ref="AF38:AF39" si="50">AB38+AC38+AD38</f>
        <v>24.567599999999999</v>
      </c>
      <c r="AG38" s="54">
        <f t="shared" ref="AG38:AG39" si="51">INT((AE38-AF38)*100)/100</f>
        <v>53.81</v>
      </c>
      <c r="AH38" s="29">
        <f t="shared" ref="AH38:AH39" si="52">INT(AG38)</f>
        <v>53</v>
      </c>
      <c r="AI38" s="24">
        <f t="shared" ref="AI38:AI39" si="53">INT((AG38-AH38)*40+0.5)*100</f>
        <v>3200</v>
      </c>
      <c r="AJ38" s="30"/>
      <c r="AK38" s="73">
        <f t="shared" ref="AK38:AK39" si="54">(AE38*0.04)/2</f>
        <v>1.5675999999999999</v>
      </c>
    </row>
    <row r="39" spans="1:37" s="31" customFormat="1" ht="67.5" customHeight="1" x14ac:dyDescent="0.25">
      <c r="A39" s="74" t="s">
        <v>480</v>
      </c>
      <c r="B39" s="65" t="s">
        <v>588</v>
      </c>
      <c r="C39" s="56" t="s">
        <v>479</v>
      </c>
      <c r="D39" s="48">
        <v>204</v>
      </c>
      <c r="E39" s="20">
        <v>20.5</v>
      </c>
      <c r="F39" s="21">
        <f t="shared" si="45"/>
        <v>164</v>
      </c>
      <c r="G39" s="57">
        <v>1.5</v>
      </c>
      <c r="H39" s="81"/>
      <c r="I39" s="23">
        <f t="shared" si="46"/>
        <v>164</v>
      </c>
      <c r="J39" s="55">
        <v>88</v>
      </c>
      <c r="K39" s="55">
        <f>140.6875+25</f>
        <v>165.6875</v>
      </c>
      <c r="L39" s="23"/>
      <c r="M39" s="22"/>
      <c r="N39" s="22">
        <v>4</v>
      </c>
      <c r="O39" s="125">
        <f t="shared" si="47"/>
        <v>165.6875</v>
      </c>
      <c r="P39" s="58">
        <f t="shared" si="3"/>
        <v>0</v>
      </c>
      <c r="Q39" s="53">
        <f t="shared" si="4"/>
        <v>0</v>
      </c>
      <c r="R39" s="53">
        <f t="shared" si="5"/>
        <v>32.329268292682926</v>
      </c>
      <c r="S39" s="53">
        <v>0</v>
      </c>
      <c r="T39" s="25">
        <v>0</v>
      </c>
      <c r="U39" s="24">
        <f t="shared" si="48"/>
        <v>0</v>
      </c>
      <c r="V39" s="24">
        <f t="shared" si="49"/>
        <v>0</v>
      </c>
      <c r="W39" s="24"/>
      <c r="X39" s="53"/>
      <c r="Y39" s="27"/>
      <c r="Z39" s="24">
        <v>4</v>
      </c>
      <c r="AA39" s="24">
        <v>10</v>
      </c>
      <c r="AB39" s="26">
        <f t="shared" si="14"/>
        <v>102</v>
      </c>
      <c r="AC39" s="24">
        <f t="shared" si="7"/>
        <v>4.2401999999999997</v>
      </c>
      <c r="AD39" s="26"/>
      <c r="AE39" s="54">
        <f t="shared" si="8"/>
        <v>212.01</v>
      </c>
      <c r="AF39" s="28">
        <f t="shared" si="50"/>
        <v>106.2402</v>
      </c>
      <c r="AG39" s="54">
        <f t="shared" si="51"/>
        <v>105.76</v>
      </c>
      <c r="AH39" s="29">
        <f t="shared" si="52"/>
        <v>105</v>
      </c>
      <c r="AI39" s="24">
        <f t="shared" si="53"/>
        <v>3000</v>
      </c>
      <c r="AJ39" s="30"/>
      <c r="AK39" s="73">
        <f t="shared" si="54"/>
        <v>4.2401999999999997</v>
      </c>
    </row>
    <row r="40" spans="1:37" s="31" customFormat="1" ht="67.5" customHeight="1" x14ac:dyDescent="0.25">
      <c r="A40" s="74" t="s">
        <v>481</v>
      </c>
      <c r="B40" s="65" t="s">
        <v>589</v>
      </c>
      <c r="C40" s="56" t="s">
        <v>487</v>
      </c>
      <c r="D40" s="48">
        <v>204</v>
      </c>
      <c r="E40" s="20">
        <v>18</v>
      </c>
      <c r="F40" s="21">
        <f t="shared" ref="F40" si="55">I40+L40+(M40)*8</f>
        <v>144</v>
      </c>
      <c r="G40" s="57">
        <v>4</v>
      </c>
      <c r="H40" s="81"/>
      <c r="I40" s="23">
        <f t="shared" ref="I40" si="56">E40*8</f>
        <v>144</v>
      </c>
      <c r="J40" s="55">
        <v>104.67</v>
      </c>
      <c r="K40" s="55">
        <v>159.90949999999995</v>
      </c>
      <c r="L40" s="23"/>
      <c r="M40" s="22"/>
      <c r="N40" s="22">
        <v>4</v>
      </c>
      <c r="O40" s="125">
        <f t="shared" ref="O40" si="57">IF(F40&gt;0,((K40+W40)/F40*I40),0)</f>
        <v>159.90949999999998</v>
      </c>
      <c r="P40" s="58">
        <f t="shared" si="3"/>
        <v>0</v>
      </c>
      <c r="Q40" s="53">
        <f t="shared" si="4"/>
        <v>0</v>
      </c>
      <c r="R40" s="53">
        <f t="shared" si="5"/>
        <v>35.535444444444437</v>
      </c>
      <c r="S40" s="53">
        <v>0</v>
      </c>
      <c r="T40" s="25">
        <v>0</v>
      </c>
      <c r="U40" s="24">
        <f t="shared" ref="U40" si="58">D40/26*T40/2</f>
        <v>0</v>
      </c>
      <c r="V40" s="24">
        <f t="shared" ref="V40" si="59">((L40)*1500/4000)</f>
        <v>0</v>
      </c>
      <c r="W40" s="24"/>
      <c r="X40" s="53"/>
      <c r="Y40" s="27"/>
      <c r="Z40" s="24"/>
      <c r="AA40" s="24">
        <v>10</v>
      </c>
      <c r="AB40" s="26">
        <f>D40/2</f>
        <v>102</v>
      </c>
      <c r="AC40" s="24">
        <f t="shared" si="7"/>
        <v>4.1088000000000005</v>
      </c>
      <c r="AD40" s="26"/>
      <c r="AE40" s="54">
        <f>INT((O40+P40+Q40+R40+U40+V40+Z40+AA40+Y40-X40+S40)*100)/100</f>
        <v>205.44</v>
      </c>
      <c r="AF40" s="28">
        <f t="shared" ref="AF40" si="60">AB40+AC40+AD40</f>
        <v>106.1088</v>
      </c>
      <c r="AG40" s="54">
        <f t="shared" ref="AG40" si="61">INT((AE40-AF40)*100)/100</f>
        <v>99.33</v>
      </c>
      <c r="AH40" s="29">
        <f t="shared" ref="AH40" si="62">INT(AG40)</f>
        <v>99</v>
      </c>
      <c r="AI40" s="24">
        <f t="shared" ref="AI40" si="63">INT((AG40-AH40)*40+0.5)*100</f>
        <v>1300</v>
      </c>
      <c r="AJ40" s="30"/>
      <c r="AK40" s="73">
        <f t="shared" ref="AK40:AK49" si="64">(AE40*0.04)/2</f>
        <v>4.1088000000000005</v>
      </c>
    </row>
    <row r="41" spans="1:37" s="31" customFormat="1" ht="67.5" customHeight="1" x14ac:dyDescent="0.25">
      <c r="A41" s="74" t="s">
        <v>482</v>
      </c>
      <c r="B41" s="65" t="s">
        <v>590</v>
      </c>
      <c r="C41" s="56" t="s">
        <v>488</v>
      </c>
      <c r="D41" s="48">
        <v>204</v>
      </c>
      <c r="E41" s="20">
        <v>21.5</v>
      </c>
      <c r="F41" s="21">
        <f t="shared" ref="F41:F50" si="65">I41+L41+(M41)*8</f>
        <v>172</v>
      </c>
      <c r="G41" s="57">
        <v>0.5</v>
      </c>
      <c r="H41" s="81"/>
      <c r="I41" s="23">
        <f t="shared" ref="I41:I50" si="66">E41*8</f>
        <v>172</v>
      </c>
      <c r="J41" s="55">
        <v>110.92</v>
      </c>
      <c r="K41" s="55">
        <v>172.90299999999999</v>
      </c>
      <c r="L41" s="23"/>
      <c r="M41" s="22"/>
      <c r="N41" s="22">
        <v>4</v>
      </c>
      <c r="O41" s="125">
        <f t="shared" ref="O41:O49" si="67">IF(F41&gt;0,((K41+W41)/F41*I41),0)</f>
        <v>172.90299999999999</v>
      </c>
      <c r="P41" s="58">
        <f t="shared" si="3"/>
        <v>0</v>
      </c>
      <c r="Q41" s="53">
        <f t="shared" si="4"/>
        <v>0</v>
      </c>
      <c r="R41" s="53">
        <f t="shared" si="5"/>
        <v>32.167999999999999</v>
      </c>
      <c r="S41" s="53">
        <v>0</v>
      </c>
      <c r="T41" s="25">
        <v>0</v>
      </c>
      <c r="U41" s="24">
        <f t="shared" ref="U41:U49" si="68">D41/26*T41/2</f>
        <v>0</v>
      </c>
      <c r="V41" s="24">
        <f t="shared" ref="V41:V49" si="69">((L41)*1500/4000)</f>
        <v>0</v>
      </c>
      <c r="W41" s="24"/>
      <c r="X41" s="53"/>
      <c r="Y41" s="27"/>
      <c r="Z41" s="24">
        <v>7</v>
      </c>
      <c r="AA41" s="24">
        <v>10</v>
      </c>
      <c r="AB41" s="26">
        <f t="shared" ref="AB41:AB49" si="70">D41/2</f>
        <v>102</v>
      </c>
      <c r="AC41" s="24">
        <f t="shared" si="7"/>
        <v>4.4413999999999998</v>
      </c>
      <c r="AD41" s="26"/>
      <c r="AE41" s="54">
        <f>INT((O41+P41+Q41+R41+U41+V41+Z41+AA41+Y41-X41+S41)*100)/100</f>
        <v>222.07</v>
      </c>
      <c r="AF41" s="28">
        <f t="shared" ref="AF41:AF49" si="71">AB41+AC41+AD41</f>
        <v>106.4414</v>
      </c>
      <c r="AG41" s="54">
        <f t="shared" ref="AG41:AG49" si="72">INT((AE41-AF41)*100)/100</f>
        <v>115.62</v>
      </c>
      <c r="AH41" s="29">
        <f t="shared" ref="AH41:AH49" si="73">INT(AG41)</f>
        <v>115</v>
      </c>
      <c r="AI41" s="24">
        <f t="shared" ref="AI41:AI49" si="74">INT((AG41-AH41)*40+0.5)*100</f>
        <v>2500</v>
      </c>
      <c r="AJ41" s="30"/>
      <c r="AK41" s="73">
        <f t="shared" si="64"/>
        <v>4.4413999999999998</v>
      </c>
    </row>
    <row r="42" spans="1:37" s="31" customFormat="1" ht="67.5" customHeight="1" x14ac:dyDescent="0.25">
      <c r="A42" s="74" t="s">
        <v>483</v>
      </c>
      <c r="B42" s="65" t="s">
        <v>591</v>
      </c>
      <c r="C42" s="56" t="s">
        <v>489</v>
      </c>
      <c r="D42" s="48">
        <v>204</v>
      </c>
      <c r="E42" s="20">
        <v>20</v>
      </c>
      <c r="F42" s="21">
        <f t="shared" si="65"/>
        <v>160</v>
      </c>
      <c r="G42" s="57">
        <v>2</v>
      </c>
      <c r="H42" s="81"/>
      <c r="I42" s="23">
        <f t="shared" si="66"/>
        <v>160</v>
      </c>
      <c r="J42" s="55">
        <v>230.25</v>
      </c>
      <c r="K42" s="55">
        <v>172.631</v>
      </c>
      <c r="L42" s="23"/>
      <c r="M42" s="22"/>
      <c r="N42" s="22">
        <v>4</v>
      </c>
      <c r="O42" s="125">
        <f t="shared" si="67"/>
        <v>172.63100000000003</v>
      </c>
      <c r="P42" s="58">
        <f t="shared" si="3"/>
        <v>0</v>
      </c>
      <c r="Q42" s="53">
        <f t="shared" si="4"/>
        <v>0</v>
      </c>
      <c r="R42" s="53">
        <f t="shared" si="5"/>
        <v>34.526200000000003</v>
      </c>
      <c r="S42" s="53">
        <v>0</v>
      </c>
      <c r="T42" s="25">
        <v>0</v>
      </c>
      <c r="U42" s="24">
        <f t="shared" si="68"/>
        <v>0</v>
      </c>
      <c r="V42" s="24">
        <f t="shared" si="69"/>
        <v>0</v>
      </c>
      <c r="W42" s="24"/>
      <c r="X42" s="53"/>
      <c r="Y42" s="27"/>
      <c r="Z42" s="24">
        <v>4</v>
      </c>
      <c r="AA42" s="24">
        <v>10</v>
      </c>
      <c r="AB42" s="26">
        <f t="shared" si="70"/>
        <v>102</v>
      </c>
      <c r="AC42" s="24">
        <f t="shared" si="7"/>
        <v>4.423</v>
      </c>
      <c r="AD42" s="26"/>
      <c r="AE42" s="54">
        <f t="shared" ref="AE42:AE49" si="75">INT((O42+P42+Q42+R42+U42+V42+Z42+AA42+Y42-X42+S42)*100)/100</f>
        <v>221.15</v>
      </c>
      <c r="AF42" s="28">
        <f t="shared" si="71"/>
        <v>106.423</v>
      </c>
      <c r="AG42" s="54">
        <f t="shared" si="72"/>
        <v>114.72</v>
      </c>
      <c r="AH42" s="29">
        <f t="shared" si="73"/>
        <v>114</v>
      </c>
      <c r="AI42" s="24">
        <f t="shared" si="74"/>
        <v>2900</v>
      </c>
      <c r="AJ42" s="30"/>
      <c r="AK42" s="73">
        <f t="shared" si="64"/>
        <v>4.423</v>
      </c>
    </row>
    <row r="43" spans="1:37" s="31" customFormat="1" ht="67.5" customHeight="1" x14ac:dyDescent="0.25">
      <c r="A43" s="74" t="s">
        <v>484</v>
      </c>
      <c r="B43" s="65" t="s">
        <v>486</v>
      </c>
      <c r="C43" s="56" t="s">
        <v>490</v>
      </c>
      <c r="D43" s="48">
        <v>204</v>
      </c>
      <c r="E43" s="20">
        <v>21</v>
      </c>
      <c r="F43" s="21">
        <f t="shared" si="65"/>
        <v>168</v>
      </c>
      <c r="G43" s="57">
        <v>1</v>
      </c>
      <c r="H43" s="81"/>
      <c r="I43" s="23">
        <f t="shared" si="66"/>
        <v>168</v>
      </c>
      <c r="J43" s="55">
        <v>191.76999999999998</v>
      </c>
      <c r="K43" s="55">
        <f>317.6385-50-90</f>
        <v>177.63850000000002</v>
      </c>
      <c r="L43" s="23"/>
      <c r="M43" s="22"/>
      <c r="N43" s="22">
        <v>4</v>
      </c>
      <c r="O43" s="125">
        <f t="shared" si="67"/>
        <v>177.63850000000002</v>
      </c>
      <c r="P43" s="58">
        <f t="shared" si="3"/>
        <v>0</v>
      </c>
      <c r="Q43" s="53">
        <f t="shared" si="4"/>
        <v>0</v>
      </c>
      <c r="R43" s="53">
        <f t="shared" si="5"/>
        <v>33.835904761904764</v>
      </c>
      <c r="S43" s="53">
        <v>0</v>
      </c>
      <c r="T43" s="25">
        <v>0</v>
      </c>
      <c r="U43" s="24">
        <f t="shared" si="68"/>
        <v>0</v>
      </c>
      <c r="V43" s="24">
        <f t="shared" si="69"/>
        <v>0</v>
      </c>
      <c r="W43" s="24"/>
      <c r="X43" s="53"/>
      <c r="Y43" s="27"/>
      <c r="Z43" s="24">
        <v>7</v>
      </c>
      <c r="AA43" s="24">
        <v>10</v>
      </c>
      <c r="AB43" s="26">
        <f t="shared" si="70"/>
        <v>102</v>
      </c>
      <c r="AC43" s="24">
        <f t="shared" si="7"/>
        <v>4.5693999999999999</v>
      </c>
      <c r="AD43" s="26"/>
      <c r="AE43" s="54">
        <f t="shared" si="75"/>
        <v>228.47</v>
      </c>
      <c r="AF43" s="28">
        <f t="shared" si="71"/>
        <v>106.5694</v>
      </c>
      <c r="AG43" s="54">
        <f t="shared" si="72"/>
        <v>121.9</v>
      </c>
      <c r="AH43" s="29">
        <f t="shared" si="73"/>
        <v>121</v>
      </c>
      <c r="AI43" s="24">
        <f t="shared" si="74"/>
        <v>3600</v>
      </c>
      <c r="AJ43" s="30"/>
      <c r="AK43" s="73">
        <f t="shared" si="64"/>
        <v>4.5693999999999999</v>
      </c>
    </row>
    <row r="44" spans="1:37" s="31" customFormat="1" ht="67.5" customHeight="1" x14ac:dyDescent="0.25">
      <c r="A44" s="74" t="s">
        <v>485</v>
      </c>
      <c r="B44" s="65" t="s">
        <v>592</v>
      </c>
      <c r="C44" s="56" t="s">
        <v>491</v>
      </c>
      <c r="D44" s="48">
        <v>204</v>
      </c>
      <c r="E44" s="20">
        <v>21</v>
      </c>
      <c r="F44" s="21">
        <f t="shared" si="65"/>
        <v>168</v>
      </c>
      <c r="G44" s="57">
        <v>1</v>
      </c>
      <c r="H44" s="81"/>
      <c r="I44" s="23">
        <f t="shared" si="66"/>
        <v>168</v>
      </c>
      <c r="J44" s="55">
        <v>124.16</v>
      </c>
      <c r="K44" s="55">
        <f>182.71-10</f>
        <v>172.71</v>
      </c>
      <c r="L44" s="23"/>
      <c r="M44" s="22"/>
      <c r="N44" s="22">
        <v>4</v>
      </c>
      <c r="O44" s="125">
        <f t="shared" si="67"/>
        <v>172.71</v>
      </c>
      <c r="P44" s="58">
        <f t="shared" si="3"/>
        <v>0</v>
      </c>
      <c r="Q44" s="53">
        <f t="shared" si="4"/>
        <v>0</v>
      </c>
      <c r="R44" s="53">
        <f t="shared" si="5"/>
        <v>32.89714285714286</v>
      </c>
      <c r="S44" s="53">
        <v>0</v>
      </c>
      <c r="T44" s="25">
        <v>0</v>
      </c>
      <c r="U44" s="24">
        <f t="shared" si="68"/>
        <v>0</v>
      </c>
      <c r="V44" s="24">
        <f t="shared" si="69"/>
        <v>0</v>
      </c>
      <c r="W44" s="24"/>
      <c r="X44" s="53"/>
      <c r="Y44" s="27"/>
      <c r="Z44" s="24">
        <v>7</v>
      </c>
      <c r="AA44" s="24">
        <v>10</v>
      </c>
      <c r="AB44" s="26">
        <f t="shared" si="70"/>
        <v>102</v>
      </c>
      <c r="AC44" s="24">
        <f t="shared" si="7"/>
        <v>4.452</v>
      </c>
      <c r="AD44" s="26"/>
      <c r="AE44" s="54">
        <f t="shared" si="75"/>
        <v>222.6</v>
      </c>
      <c r="AF44" s="28">
        <f t="shared" si="71"/>
        <v>106.452</v>
      </c>
      <c r="AG44" s="54">
        <f t="shared" si="72"/>
        <v>116.14</v>
      </c>
      <c r="AH44" s="29">
        <f t="shared" si="73"/>
        <v>116</v>
      </c>
      <c r="AI44" s="24">
        <f t="shared" si="74"/>
        <v>600</v>
      </c>
      <c r="AJ44" s="30"/>
      <c r="AK44" s="73">
        <f t="shared" si="64"/>
        <v>4.452</v>
      </c>
    </row>
    <row r="45" spans="1:37" s="31" customFormat="1" ht="67.5" customHeight="1" x14ac:dyDescent="0.25">
      <c r="A45" s="74" t="s">
        <v>560</v>
      </c>
      <c r="B45" s="65" t="s">
        <v>593</v>
      </c>
      <c r="C45" s="56" t="s">
        <v>564</v>
      </c>
      <c r="D45" s="48">
        <v>204</v>
      </c>
      <c r="E45" s="20">
        <v>22</v>
      </c>
      <c r="F45" s="21">
        <f t="shared" si="65"/>
        <v>176</v>
      </c>
      <c r="G45" s="57"/>
      <c r="H45" s="81"/>
      <c r="I45" s="23">
        <f t="shared" si="66"/>
        <v>176</v>
      </c>
      <c r="J45" s="55">
        <v>109.5</v>
      </c>
      <c r="K45" s="55">
        <f>169.95+5</f>
        <v>174.95</v>
      </c>
      <c r="L45" s="23"/>
      <c r="M45" s="22"/>
      <c r="N45" s="22">
        <v>4</v>
      </c>
      <c r="O45" s="125">
        <f t="shared" si="67"/>
        <v>174.95</v>
      </c>
      <c r="P45" s="58">
        <f t="shared" si="3"/>
        <v>0</v>
      </c>
      <c r="Q45" s="53">
        <f t="shared" si="4"/>
        <v>0</v>
      </c>
      <c r="R45" s="53">
        <f t="shared" si="5"/>
        <v>31.809090909090909</v>
      </c>
      <c r="S45" s="53">
        <v>0</v>
      </c>
      <c r="T45" s="25">
        <v>0</v>
      </c>
      <c r="U45" s="24">
        <f t="shared" si="68"/>
        <v>0</v>
      </c>
      <c r="V45" s="24">
        <f t="shared" si="69"/>
        <v>0</v>
      </c>
      <c r="W45" s="24"/>
      <c r="X45" s="53"/>
      <c r="Y45" s="27"/>
      <c r="Z45" s="24">
        <v>10</v>
      </c>
      <c r="AA45" s="24">
        <v>10</v>
      </c>
      <c r="AB45" s="26">
        <f t="shared" si="70"/>
        <v>102</v>
      </c>
      <c r="AC45" s="24">
        <f t="shared" si="7"/>
        <v>4.5350000000000001</v>
      </c>
      <c r="AD45" s="26"/>
      <c r="AE45" s="54">
        <f t="shared" si="75"/>
        <v>226.75</v>
      </c>
      <c r="AF45" s="28">
        <f t="shared" si="71"/>
        <v>106.535</v>
      </c>
      <c r="AG45" s="54">
        <f t="shared" si="72"/>
        <v>120.21</v>
      </c>
      <c r="AH45" s="29">
        <f t="shared" si="73"/>
        <v>120</v>
      </c>
      <c r="AI45" s="24">
        <f t="shared" si="74"/>
        <v>800</v>
      </c>
      <c r="AJ45" s="30"/>
      <c r="AK45" s="73">
        <f t="shared" si="64"/>
        <v>4.5350000000000001</v>
      </c>
    </row>
    <row r="46" spans="1:37" s="31" customFormat="1" ht="67.5" customHeight="1" x14ac:dyDescent="0.25">
      <c r="A46" s="74" t="s">
        <v>561</v>
      </c>
      <c r="B46" s="65" t="s">
        <v>594</v>
      </c>
      <c r="C46" s="56" t="s">
        <v>564</v>
      </c>
      <c r="D46" s="48">
        <v>204</v>
      </c>
      <c r="E46" s="20">
        <v>20.5</v>
      </c>
      <c r="F46" s="21">
        <f t="shared" si="65"/>
        <v>164</v>
      </c>
      <c r="G46" s="57">
        <v>1.5</v>
      </c>
      <c r="H46" s="81"/>
      <c r="I46" s="23">
        <f t="shared" si="66"/>
        <v>164</v>
      </c>
      <c r="J46" s="55">
        <v>202.49999999999997</v>
      </c>
      <c r="K46" s="55">
        <f>124.9335+40</f>
        <v>164.93349999999998</v>
      </c>
      <c r="L46" s="23"/>
      <c r="M46" s="22"/>
      <c r="N46" s="22">
        <v>4</v>
      </c>
      <c r="O46" s="125">
        <f t="shared" si="67"/>
        <v>164.93349999999998</v>
      </c>
      <c r="P46" s="58">
        <f t="shared" si="3"/>
        <v>0</v>
      </c>
      <c r="Q46" s="53">
        <f t="shared" si="4"/>
        <v>0</v>
      </c>
      <c r="R46" s="53">
        <f t="shared" si="5"/>
        <v>32.182146341463408</v>
      </c>
      <c r="S46" s="53">
        <v>0</v>
      </c>
      <c r="T46" s="25">
        <v>0</v>
      </c>
      <c r="U46" s="24">
        <f t="shared" si="68"/>
        <v>0</v>
      </c>
      <c r="V46" s="24">
        <f t="shared" si="69"/>
        <v>0</v>
      </c>
      <c r="W46" s="24"/>
      <c r="X46" s="53"/>
      <c r="Y46" s="27"/>
      <c r="Z46" s="24">
        <v>4</v>
      </c>
      <c r="AA46" s="24">
        <v>10</v>
      </c>
      <c r="AB46" s="26">
        <f t="shared" si="70"/>
        <v>102</v>
      </c>
      <c r="AC46" s="24">
        <f t="shared" si="7"/>
        <v>4.2222</v>
      </c>
      <c r="AD46" s="26"/>
      <c r="AE46" s="54">
        <f t="shared" si="75"/>
        <v>211.11</v>
      </c>
      <c r="AF46" s="28">
        <f t="shared" si="71"/>
        <v>106.2222</v>
      </c>
      <c r="AG46" s="54">
        <f t="shared" si="72"/>
        <v>104.88</v>
      </c>
      <c r="AH46" s="29">
        <f t="shared" si="73"/>
        <v>104</v>
      </c>
      <c r="AI46" s="24">
        <f t="shared" si="74"/>
        <v>3500</v>
      </c>
      <c r="AJ46" s="30"/>
      <c r="AK46" s="73">
        <f t="shared" si="64"/>
        <v>4.2222</v>
      </c>
    </row>
    <row r="47" spans="1:37" s="31" customFormat="1" ht="67.5" customHeight="1" x14ac:dyDescent="0.25">
      <c r="A47" s="74" t="s">
        <v>562</v>
      </c>
      <c r="B47" s="65" t="s">
        <v>563</v>
      </c>
      <c r="C47" s="56" t="s">
        <v>565</v>
      </c>
      <c r="D47" s="48">
        <v>204</v>
      </c>
      <c r="E47" s="20">
        <v>22</v>
      </c>
      <c r="F47" s="21">
        <f t="shared" si="65"/>
        <v>176</v>
      </c>
      <c r="G47" s="57"/>
      <c r="H47" s="81"/>
      <c r="I47" s="23">
        <f t="shared" si="66"/>
        <v>176</v>
      </c>
      <c r="J47" s="55">
        <v>236.25</v>
      </c>
      <c r="K47" s="55">
        <f>325.551-50-95</f>
        <v>180.55099999999999</v>
      </c>
      <c r="L47" s="23"/>
      <c r="M47" s="22"/>
      <c r="N47" s="22">
        <v>4</v>
      </c>
      <c r="O47" s="125">
        <f t="shared" si="67"/>
        <v>180.55099999999999</v>
      </c>
      <c r="P47" s="58">
        <f t="shared" si="3"/>
        <v>0</v>
      </c>
      <c r="Q47" s="53">
        <f t="shared" si="4"/>
        <v>0</v>
      </c>
      <c r="R47" s="53">
        <f t="shared" si="5"/>
        <v>32.827454545454543</v>
      </c>
      <c r="S47" s="53">
        <v>0</v>
      </c>
      <c r="T47" s="25">
        <v>0</v>
      </c>
      <c r="U47" s="24">
        <f t="shared" si="68"/>
        <v>0</v>
      </c>
      <c r="V47" s="24">
        <f t="shared" si="69"/>
        <v>0</v>
      </c>
      <c r="W47" s="24"/>
      <c r="X47" s="53"/>
      <c r="Y47" s="27"/>
      <c r="Z47" s="24">
        <v>10</v>
      </c>
      <c r="AA47" s="24">
        <v>10</v>
      </c>
      <c r="AB47" s="26">
        <f t="shared" si="70"/>
        <v>102</v>
      </c>
      <c r="AC47" s="24">
        <f t="shared" si="7"/>
        <v>4.6673999999999998</v>
      </c>
      <c r="AD47" s="26"/>
      <c r="AE47" s="54">
        <f t="shared" si="75"/>
        <v>233.37</v>
      </c>
      <c r="AF47" s="28">
        <f t="shared" si="71"/>
        <v>106.6674</v>
      </c>
      <c r="AG47" s="54">
        <f t="shared" si="72"/>
        <v>126.7</v>
      </c>
      <c r="AH47" s="29">
        <f t="shared" si="73"/>
        <v>126</v>
      </c>
      <c r="AI47" s="24">
        <f t="shared" si="74"/>
        <v>2800</v>
      </c>
      <c r="AJ47" s="30"/>
      <c r="AK47" s="73">
        <f t="shared" si="64"/>
        <v>4.6673999999999998</v>
      </c>
    </row>
    <row r="48" spans="1:37" s="31" customFormat="1" ht="67.5" customHeight="1" x14ac:dyDescent="0.25">
      <c r="A48" s="74" t="s">
        <v>220</v>
      </c>
      <c r="B48" s="65" t="s">
        <v>595</v>
      </c>
      <c r="C48" s="56" t="s">
        <v>308</v>
      </c>
      <c r="D48" s="48">
        <v>204</v>
      </c>
      <c r="E48" s="20">
        <v>18</v>
      </c>
      <c r="F48" s="21">
        <f t="shared" si="65"/>
        <v>144</v>
      </c>
      <c r="G48" s="57">
        <v>4</v>
      </c>
      <c r="H48" s="81"/>
      <c r="I48" s="23">
        <f t="shared" si="66"/>
        <v>144</v>
      </c>
      <c r="J48" s="55">
        <v>258.25</v>
      </c>
      <c r="K48" s="55">
        <v>109.06599999999997</v>
      </c>
      <c r="L48" s="23"/>
      <c r="M48" s="22"/>
      <c r="N48" s="22">
        <v>4</v>
      </c>
      <c r="O48" s="125">
        <f t="shared" si="67"/>
        <v>128.68138461538459</v>
      </c>
      <c r="P48" s="58">
        <f t="shared" si="3"/>
        <v>0</v>
      </c>
      <c r="Q48" s="53">
        <f t="shared" si="4"/>
        <v>0</v>
      </c>
      <c r="R48" s="53">
        <f>D48/26*N48</f>
        <v>31.384615384615383</v>
      </c>
      <c r="S48" s="53">
        <v>0</v>
      </c>
      <c r="T48" s="25">
        <v>0</v>
      </c>
      <c r="U48" s="24">
        <f t="shared" si="68"/>
        <v>0</v>
      </c>
      <c r="V48" s="24">
        <f t="shared" si="69"/>
        <v>0</v>
      </c>
      <c r="W48" s="24">
        <f>D48/26/8*20</f>
        <v>19.615384615384613</v>
      </c>
      <c r="X48" s="53">
        <f>(-D48/208*I48)+(O48)</f>
        <v>-12.549384615384639</v>
      </c>
      <c r="Y48" s="27"/>
      <c r="Z48" s="24"/>
      <c r="AA48" s="24">
        <v>10</v>
      </c>
      <c r="AB48" s="26">
        <f t="shared" si="70"/>
        <v>102</v>
      </c>
      <c r="AC48" s="24">
        <f t="shared" si="7"/>
        <v>3.6522000000000006</v>
      </c>
      <c r="AD48" s="26"/>
      <c r="AE48" s="54">
        <f t="shared" si="75"/>
        <v>182.61</v>
      </c>
      <c r="AF48" s="28">
        <f t="shared" si="71"/>
        <v>105.65219999999999</v>
      </c>
      <c r="AG48" s="54">
        <f t="shared" si="72"/>
        <v>76.95</v>
      </c>
      <c r="AH48" s="29">
        <f t="shared" si="73"/>
        <v>76</v>
      </c>
      <c r="AI48" s="24">
        <f t="shared" si="74"/>
        <v>3800</v>
      </c>
      <c r="AJ48" s="30"/>
      <c r="AK48" s="73">
        <f t="shared" si="64"/>
        <v>3.6522000000000006</v>
      </c>
    </row>
    <row r="49" spans="1:43" s="31" customFormat="1" ht="67.5" customHeight="1" x14ac:dyDescent="0.25">
      <c r="A49" s="74" t="s">
        <v>221</v>
      </c>
      <c r="B49" s="65" t="s">
        <v>112</v>
      </c>
      <c r="C49" s="56" t="s">
        <v>308</v>
      </c>
      <c r="D49" s="48">
        <v>204</v>
      </c>
      <c r="E49" s="20">
        <v>21</v>
      </c>
      <c r="F49" s="21">
        <f t="shared" si="65"/>
        <v>168</v>
      </c>
      <c r="G49" s="57">
        <v>1</v>
      </c>
      <c r="H49" s="81"/>
      <c r="I49" s="23">
        <f t="shared" si="66"/>
        <v>168</v>
      </c>
      <c r="J49" s="55">
        <v>314.08</v>
      </c>
      <c r="K49" s="55">
        <v>152.95100000000002</v>
      </c>
      <c r="L49" s="23"/>
      <c r="M49" s="22"/>
      <c r="N49" s="22">
        <v>4</v>
      </c>
      <c r="O49" s="125">
        <f t="shared" si="67"/>
        <v>172.56638461538466</v>
      </c>
      <c r="P49" s="58">
        <f t="shared" si="3"/>
        <v>0</v>
      </c>
      <c r="Q49" s="53">
        <f t="shared" si="4"/>
        <v>0</v>
      </c>
      <c r="R49" s="53">
        <f t="shared" si="5"/>
        <v>32.869787545787553</v>
      </c>
      <c r="S49" s="53">
        <v>0</v>
      </c>
      <c r="T49" s="25">
        <v>0</v>
      </c>
      <c r="U49" s="24">
        <f t="shared" si="68"/>
        <v>0</v>
      </c>
      <c r="V49" s="24">
        <f t="shared" si="69"/>
        <v>0</v>
      </c>
      <c r="W49" s="24">
        <f>D49/26/8*20</f>
        <v>19.615384615384613</v>
      </c>
      <c r="X49" s="53"/>
      <c r="Y49" s="27"/>
      <c r="Z49" s="24">
        <v>7</v>
      </c>
      <c r="AA49" s="24">
        <v>10</v>
      </c>
      <c r="AB49" s="26">
        <f t="shared" si="70"/>
        <v>102</v>
      </c>
      <c r="AC49" s="24">
        <f t="shared" si="7"/>
        <v>4.4485999999999999</v>
      </c>
      <c r="AD49" s="26"/>
      <c r="AE49" s="54">
        <f t="shared" si="75"/>
        <v>222.43</v>
      </c>
      <c r="AF49" s="28">
        <f t="shared" si="71"/>
        <v>106.4486</v>
      </c>
      <c r="AG49" s="54">
        <f t="shared" si="72"/>
        <v>115.98</v>
      </c>
      <c r="AH49" s="29">
        <f t="shared" si="73"/>
        <v>115</v>
      </c>
      <c r="AI49" s="24">
        <f t="shared" si="74"/>
        <v>3900</v>
      </c>
      <c r="AJ49" s="30"/>
      <c r="AK49" s="73">
        <f t="shared" si="64"/>
        <v>4.4485999999999999</v>
      </c>
    </row>
    <row r="50" spans="1:43" s="31" customFormat="1" ht="67.5" customHeight="1" x14ac:dyDescent="0.25">
      <c r="A50" s="74" t="s">
        <v>222</v>
      </c>
      <c r="B50" s="65" t="s">
        <v>113</v>
      </c>
      <c r="C50" s="56" t="s">
        <v>308</v>
      </c>
      <c r="D50" s="48">
        <v>204</v>
      </c>
      <c r="E50" s="20">
        <v>14.5</v>
      </c>
      <c r="F50" s="21">
        <f t="shared" si="65"/>
        <v>116</v>
      </c>
      <c r="G50" s="57">
        <v>7.5</v>
      </c>
      <c r="H50" s="81"/>
      <c r="I50" s="23">
        <f t="shared" si="66"/>
        <v>116</v>
      </c>
      <c r="J50" s="55">
        <v>536.17999999999995</v>
      </c>
      <c r="K50" s="55">
        <f>271.99-100</f>
        <v>171.99</v>
      </c>
      <c r="L50" s="23"/>
      <c r="M50" s="22"/>
      <c r="N50" s="22">
        <v>4</v>
      </c>
      <c r="O50" s="125">
        <f t="shared" si="2"/>
        <v>171.99</v>
      </c>
      <c r="P50" s="58">
        <f t="shared" si="3"/>
        <v>0</v>
      </c>
      <c r="Q50" s="53">
        <f t="shared" si="4"/>
        <v>0</v>
      </c>
      <c r="R50" s="53">
        <f t="shared" si="5"/>
        <v>47.445517241379314</v>
      </c>
      <c r="S50" s="53">
        <v>0</v>
      </c>
      <c r="T50" s="25">
        <v>0</v>
      </c>
      <c r="U50" s="24">
        <f t="shared" si="6"/>
        <v>0</v>
      </c>
      <c r="V50" s="24">
        <f t="shared" si="16"/>
        <v>0</v>
      </c>
      <c r="W50" s="24"/>
      <c r="X50" s="53"/>
      <c r="Y50" s="27"/>
      <c r="Z50" s="24"/>
      <c r="AA50" s="24">
        <v>10</v>
      </c>
      <c r="AB50" s="26">
        <f>D50/2</f>
        <v>102</v>
      </c>
      <c r="AC50" s="24">
        <f t="shared" si="7"/>
        <v>4.5886000000000005</v>
      </c>
      <c r="AD50" s="26"/>
      <c r="AE50" s="54">
        <f t="shared" si="8"/>
        <v>229.43</v>
      </c>
      <c r="AF50" s="28">
        <f t="shared" si="9"/>
        <v>106.5886</v>
      </c>
      <c r="AG50" s="54">
        <f t="shared" si="10"/>
        <v>122.84</v>
      </c>
      <c r="AH50" s="29">
        <f t="shared" si="11"/>
        <v>122</v>
      </c>
      <c r="AI50" s="24">
        <f t="shared" si="12"/>
        <v>3400</v>
      </c>
      <c r="AJ50" s="30"/>
      <c r="AK50" s="73">
        <f t="shared" si="25"/>
        <v>4.5886000000000005</v>
      </c>
    </row>
    <row r="51" spans="1:43" s="36" customFormat="1" ht="35.25" customHeight="1" thickBot="1" x14ac:dyDescent="0.3">
      <c r="A51" s="107" t="s">
        <v>33</v>
      </c>
      <c r="B51" s="108"/>
      <c r="C51" s="32"/>
      <c r="D51" s="33"/>
      <c r="E51" s="34">
        <f t="shared" ref="E51:AI51" si="76">SUM(E8:E50)</f>
        <v>787.5</v>
      </c>
      <c r="F51" s="34">
        <f t="shared" si="76"/>
        <v>6300</v>
      </c>
      <c r="G51" s="34">
        <f t="shared" si="76"/>
        <v>63.5</v>
      </c>
      <c r="H51" s="34">
        <f t="shared" si="76"/>
        <v>0</v>
      </c>
      <c r="I51" s="34">
        <f t="shared" si="76"/>
        <v>6300</v>
      </c>
      <c r="J51" s="34">
        <f t="shared" si="76"/>
        <v>6301.35</v>
      </c>
      <c r="K51" s="34">
        <f t="shared" si="76"/>
        <v>6137.2975000000006</v>
      </c>
      <c r="L51" s="34">
        <f t="shared" si="76"/>
        <v>0</v>
      </c>
      <c r="M51" s="34">
        <f t="shared" si="76"/>
        <v>0</v>
      </c>
      <c r="N51" s="34">
        <f t="shared" si="76"/>
        <v>144</v>
      </c>
      <c r="O51" s="34">
        <f t="shared" si="76"/>
        <v>6470.7590384615396</v>
      </c>
      <c r="P51" s="34">
        <f t="shared" si="76"/>
        <v>0</v>
      </c>
      <c r="Q51" s="34">
        <f t="shared" si="76"/>
        <v>0</v>
      </c>
      <c r="R51" s="34">
        <f t="shared" si="76"/>
        <v>1204.7602603418161</v>
      </c>
      <c r="S51" s="34">
        <f t="shared" si="76"/>
        <v>0</v>
      </c>
      <c r="T51" s="34">
        <f t="shared" si="76"/>
        <v>0</v>
      </c>
      <c r="U51" s="34">
        <f t="shared" si="76"/>
        <v>0</v>
      </c>
      <c r="V51" s="34">
        <f t="shared" si="76"/>
        <v>0</v>
      </c>
      <c r="W51" s="34">
        <f t="shared" si="76"/>
        <v>333.46153846153845</v>
      </c>
      <c r="X51" s="34">
        <f t="shared" si="76"/>
        <v>-66.96330769230768</v>
      </c>
      <c r="Y51" s="34">
        <f t="shared" si="76"/>
        <v>0</v>
      </c>
      <c r="Z51" s="34">
        <f t="shared" si="76"/>
        <v>214.30769230769232</v>
      </c>
      <c r="AA51" s="34">
        <f t="shared" si="76"/>
        <v>395</v>
      </c>
      <c r="AB51" s="34">
        <f t="shared" si="76"/>
        <v>3794</v>
      </c>
      <c r="AC51" s="34">
        <f t="shared" si="76"/>
        <v>167.03179999999998</v>
      </c>
      <c r="AD51" s="34">
        <f t="shared" si="76"/>
        <v>0</v>
      </c>
      <c r="AE51" s="34">
        <f t="shared" si="76"/>
        <v>8351.5899999999983</v>
      </c>
      <c r="AF51" s="34">
        <f t="shared" si="76"/>
        <v>3961.0318000000002</v>
      </c>
      <c r="AG51" s="34">
        <f t="shared" si="76"/>
        <v>4390.34</v>
      </c>
      <c r="AH51" s="34">
        <f t="shared" si="76"/>
        <v>4366</v>
      </c>
      <c r="AI51" s="34">
        <f t="shared" si="76"/>
        <v>97100</v>
      </c>
      <c r="AJ51" s="35"/>
    </row>
    <row r="52" spans="1:43" ht="21.75" customHeight="1" thickTop="1" x14ac:dyDescent="0.2">
      <c r="A52" s="109" t="s">
        <v>34</v>
      </c>
      <c r="B52" s="109"/>
      <c r="C52" s="109"/>
      <c r="D52" s="37"/>
      <c r="E52" s="37"/>
      <c r="F52" s="37"/>
      <c r="G52" s="37"/>
      <c r="H52" s="37"/>
      <c r="I52" s="37"/>
      <c r="J52" s="37"/>
      <c r="K52" s="37"/>
      <c r="L52" s="110"/>
      <c r="M52" s="110"/>
      <c r="N52" s="110"/>
      <c r="O52" s="38"/>
      <c r="P52" s="110" t="s">
        <v>35</v>
      </c>
      <c r="Q52" s="110"/>
      <c r="R52" s="110"/>
      <c r="S52" s="85"/>
      <c r="T52" s="38"/>
      <c r="U52" s="38"/>
      <c r="Z52" s="39"/>
      <c r="AA52" s="39"/>
      <c r="AE52" s="39"/>
      <c r="AF52" s="39"/>
      <c r="AG52" s="111" t="s">
        <v>36</v>
      </c>
      <c r="AH52" s="111"/>
      <c r="AI52" s="111"/>
      <c r="AJ52" s="40"/>
      <c r="AN52" s="86"/>
    </row>
    <row r="53" spans="1:43" ht="21" customHeight="1" x14ac:dyDescent="0.2">
      <c r="A53" s="41"/>
      <c r="B53" s="41"/>
      <c r="C53" s="41"/>
      <c r="D53" s="41"/>
      <c r="E53" s="41"/>
      <c r="H53" s="41"/>
      <c r="I53" s="41"/>
      <c r="J53" s="41"/>
      <c r="K53" s="41"/>
      <c r="L53" s="41"/>
      <c r="AN53" s="86"/>
    </row>
    <row r="54" spans="1:43" ht="13.5" customHeight="1" x14ac:dyDescent="0.2">
      <c r="A54" s="41"/>
      <c r="B54" s="41"/>
      <c r="C54" s="41"/>
      <c r="D54" s="41"/>
      <c r="E54" s="41"/>
      <c r="H54" s="41"/>
      <c r="I54" s="41"/>
      <c r="J54" s="41"/>
      <c r="K54" s="41"/>
      <c r="L54" s="41"/>
      <c r="AP54" s="87"/>
      <c r="AQ54" s="87"/>
    </row>
    <row r="55" spans="1:43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43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43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43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43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43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43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43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79"/>
    </row>
    <row r="63" spans="1:43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43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5:36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5:36" s="41" customForma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5:36" s="41" customFormat="1" x14ac:dyDescent="0.2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5:36" s="41" customFormat="1" x14ac:dyDescent="0.2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5:36" s="41" customFormat="1" x14ac:dyDescent="0.2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5:36" s="41" customFormat="1" x14ac:dyDescent="0.2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5:36" s="41" customFormat="1" x14ac:dyDescent="0.2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5:36" s="41" customFormat="1" x14ac:dyDescent="0.2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5:36" s="41" customFormat="1" x14ac:dyDescent="0.2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5:36" s="41" customFormat="1" x14ac:dyDescent="0.2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5:36" s="41" customFormat="1" x14ac:dyDescent="0.2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5:36" s="41" customFormat="1" x14ac:dyDescent="0.2"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5:36" s="41" customFormat="1" x14ac:dyDescent="0.2"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5:36" s="41" customFormat="1" x14ac:dyDescent="0.2"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5:36" s="41" customFormat="1" x14ac:dyDescent="0.2"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5:36" s="41" customFormat="1" x14ac:dyDescent="0.2"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5:36" s="41" customFormat="1" x14ac:dyDescent="0.2"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5:36" s="41" customFormat="1" x14ac:dyDescent="0.2"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5:36" s="41" customFormat="1" x14ac:dyDescent="0.2"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5:36" s="41" customFormat="1" x14ac:dyDescent="0.2"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5:36" s="41" customFormat="1" x14ac:dyDescent="0.2"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5:36" s="41" customFormat="1" x14ac:dyDescent="0.2"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5:36" s="41" customFormat="1" x14ac:dyDescent="0.2"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5:36" s="41" customFormat="1" x14ac:dyDescent="0.2"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5:36" s="41" customFormat="1" x14ac:dyDescent="0.2"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5:36" s="41" customFormat="1" x14ac:dyDescent="0.2"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5:36" s="41" customFormat="1" x14ac:dyDescent="0.2"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5:36" s="41" customFormat="1" x14ac:dyDescent="0.2"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5:36" s="41" customFormat="1" x14ac:dyDescent="0.2"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</sheetData>
  <autoFilter ref="A7:AI53" xr:uid="{00000000-0009-0000-0000-000000000000}"/>
  <mergeCells count="12">
    <mergeCell ref="A51:B51"/>
    <mergeCell ref="A52:C52"/>
    <mergeCell ref="L52:N52"/>
    <mergeCell ref="P52:R52"/>
    <mergeCell ref="AG52:AI52"/>
    <mergeCell ref="A1:AJ1"/>
    <mergeCell ref="A2:AJ2"/>
    <mergeCell ref="A3:AJ3"/>
    <mergeCell ref="A4:B4"/>
    <mergeCell ref="B5:B6"/>
    <mergeCell ref="T5:U5"/>
    <mergeCell ref="AJ5:AJ6"/>
  </mergeCells>
  <phoneticPr fontId="24" type="noConversion"/>
  <printOptions horizontalCentered="1"/>
  <pageMargins left="0" right="0" top="0.31496062992126" bottom="0" header="0" footer="0"/>
  <pageSetup paperSize="9" scale="80" orientation="landscape" horizontalDpi="360" verticalDpi="360" r:id="rId1"/>
  <headerFooter differentOddEven="1" differentFirst="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4FD5-4CE7-40D4-830F-83E16CE4841F}">
  <sheetPr>
    <tabColor theme="7" tint="0.39997558519241921"/>
  </sheetPr>
  <dimension ref="A1:AK68"/>
  <sheetViews>
    <sheetView zoomScale="115" zoomScaleNormal="115" workbookViewId="0">
      <pane ySplit="7" topLeftCell="A8" activePane="bottomLeft" state="frozen"/>
      <selection pane="bottomLeft" activeCell="AJ5" sqref="AJ5:AJ6"/>
    </sheetView>
  </sheetViews>
  <sheetFormatPr defaultColWidth="9.140625" defaultRowHeight="12.75" x14ac:dyDescent="0.2"/>
  <cols>
    <col min="1" max="1" width="6.28515625" style="1" customWidth="1"/>
    <col min="2" max="2" width="7.8554687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5.7109375" style="1" customWidth="1"/>
    <col min="16" max="16" width="5" style="1" customWidth="1"/>
    <col min="17" max="19" width="4.5703125" style="1" customWidth="1"/>
    <col min="20" max="21" width="4.140625" style="1" customWidth="1"/>
    <col min="22" max="22" width="3.85546875" style="1" customWidth="1"/>
    <col min="23" max="23" width="4.28515625" style="1" customWidth="1"/>
    <col min="24" max="24" width="4.5703125" style="1" customWidth="1"/>
    <col min="25" max="25" width="4.42578125" style="1" customWidth="1"/>
    <col min="26" max="26" width="4.7109375" style="1" customWidth="1"/>
    <col min="27" max="27" width="4.5703125" style="1" customWidth="1"/>
    <col min="28" max="29" width="4.2851562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5" width="6" style="1" customWidth="1"/>
    <col min="36" max="36" width="13.85546875" style="1" customWidth="1"/>
    <col min="37" max="16384" width="9.140625" style="1"/>
  </cols>
  <sheetData>
    <row r="1" spans="1:37" ht="26.25" customHeight="1" x14ac:dyDescent="0.75">
      <c r="A1" s="98" t="str">
        <f>ផុង!A1</f>
        <v>ស្ព្រីងអ៊ែរហ្វេសិន(ខេមបូឌា)ឯ.ក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15.75" customHeight="1" thickBot="1" x14ac:dyDescent="0.4">
      <c r="A4" s="117" t="s">
        <v>385</v>
      </c>
      <c r="B4" s="118"/>
      <c r="C4" s="2">
        <f>COUNTA(B8:B12)</f>
        <v>5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43.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43.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96" customHeight="1" x14ac:dyDescent="0.25">
      <c r="A8" s="43" t="s">
        <v>386</v>
      </c>
      <c r="B8" s="42" t="s">
        <v>387</v>
      </c>
      <c r="C8" s="56" t="s">
        <v>390</v>
      </c>
      <c r="D8" s="48">
        <v>204</v>
      </c>
      <c r="E8" s="20">
        <v>22</v>
      </c>
      <c r="F8" s="21">
        <f>I8+L8+(M8)*8</f>
        <v>176</v>
      </c>
      <c r="G8" s="57">
        <v>2.5</v>
      </c>
      <c r="H8" s="22"/>
      <c r="I8" s="23">
        <f t="shared" ref="I8:I12" si="0">E8*8</f>
        <v>176</v>
      </c>
      <c r="J8" s="55">
        <v>733.5</v>
      </c>
      <c r="K8" s="55">
        <f>276.825-90</f>
        <v>186.82499999999999</v>
      </c>
      <c r="L8" s="23"/>
      <c r="M8" s="22"/>
      <c r="N8" s="22">
        <v>4</v>
      </c>
      <c r="O8" s="52">
        <f>IF(F8&gt;0,((K8+W8)/F8*I8),0)</f>
        <v>186.82499999999999</v>
      </c>
      <c r="P8" s="58">
        <f>IF(F8&gt;0,((K8+W8)/F8*L8*1.5)*100)/100</f>
        <v>0</v>
      </c>
      <c r="Q8" s="53">
        <f>IF(F8&gt;0,((K8+W8)/F8*M8*8*2)*100)/100</f>
        <v>0</v>
      </c>
      <c r="R8" s="53">
        <f>IF(F8&gt;0,((K8+W8)/F8*N8*8*1)*100)/100</f>
        <v>33.968181818181819</v>
      </c>
      <c r="S8" s="53">
        <v>0</v>
      </c>
      <c r="T8" s="25">
        <v>0</v>
      </c>
      <c r="U8" s="24">
        <f t="shared" ref="U8:U12" si="1">D8/26*T8/2</f>
        <v>0</v>
      </c>
      <c r="V8" s="24">
        <f>((L8)*1500/4000)</f>
        <v>0</v>
      </c>
      <c r="W8" s="61"/>
      <c r="X8" s="53"/>
      <c r="Y8" s="27"/>
      <c r="Z8" s="24"/>
      <c r="AA8" s="24">
        <v>10</v>
      </c>
      <c r="AB8" s="26">
        <f>D8/2</f>
        <v>102</v>
      </c>
      <c r="AC8" s="24">
        <f>AK8</f>
        <v>4.6158000000000001</v>
      </c>
      <c r="AD8" s="26"/>
      <c r="AE8" s="54">
        <f>INT((O8+P8+Q8+R8+U8+V8+Z8+AA8+Y8-X8+S8)*100)/100</f>
        <v>230.79</v>
      </c>
      <c r="AF8" s="28">
        <f t="shared" ref="AF8:AF12" si="2">AB8+AC8+AD8</f>
        <v>106.61580000000001</v>
      </c>
      <c r="AG8" s="54">
        <f t="shared" ref="AG8" si="3">INT((AE8-AF8)*100)/100</f>
        <v>124.17</v>
      </c>
      <c r="AH8" s="29">
        <f t="shared" ref="AH8" si="4">INT(AG8)</f>
        <v>124</v>
      </c>
      <c r="AI8" s="24">
        <f t="shared" ref="AI8" si="5">INT((AG8-AH8)*40+0.5)*100</f>
        <v>700</v>
      </c>
      <c r="AJ8" s="30"/>
      <c r="AK8" s="73">
        <f t="shared" ref="AK8:AK12" si="6">(AE8*0.04)/2</f>
        <v>4.6158000000000001</v>
      </c>
    </row>
    <row r="9" spans="1:37" s="31" customFormat="1" ht="96" customHeight="1" x14ac:dyDescent="0.25">
      <c r="A9" s="43" t="s">
        <v>389</v>
      </c>
      <c r="B9" s="42" t="s">
        <v>180</v>
      </c>
      <c r="C9" s="56" t="s">
        <v>308</v>
      </c>
      <c r="D9" s="48">
        <v>204</v>
      </c>
      <c r="E9" s="20">
        <v>22</v>
      </c>
      <c r="F9" s="21">
        <f t="shared" ref="F9" si="7">I9+L9+(M9)*8</f>
        <v>176</v>
      </c>
      <c r="G9" s="57">
        <v>1</v>
      </c>
      <c r="H9" s="22"/>
      <c r="I9" s="23">
        <f t="shared" si="0"/>
        <v>176</v>
      </c>
      <c r="J9" s="55">
        <v>480</v>
      </c>
      <c r="K9" s="55">
        <v>177.6</v>
      </c>
      <c r="L9" s="23"/>
      <c r="M9" s="22"/>
      <c r="N9" s="22">
        <v>4</v>
      </c>
      <c r="O9" s="52">
        <f>IF(F9&gt;0,((K9+W9)/F9*I9),0)</f>
        <v>177.6</v>
      </c>
      <c r="P9" s="58">
        <f>IF(F9&gt;0,((K9+W9)/F9*L9*1.5)*100)/100</f>
        <v>0</v>
      </c>
      <c r="Q9" s="53">
        <f>IF(F9&gt;0,((K9+W9)/F9*M9*8*2)*100)/100</f>
        <v>0</v>
      </c>
      <c r="R9" s="53">
        <f>IF(F9&gt;0,((K9+W9)/F9*N9*8*1)*100)/100</f>
        <v>32.290909090909089</v>
      </c>
      <c r="S9" s="53">
        <v>0</v>
      </c>
      <c r="T9" s="25">
        <v>0</v>
      </c>
      <c r="U9" s="24">
        <f t="shared" si="1"/>
        <v>0</v>
      </c>
      <c r="V9" s="24">
        <f>((L9)*1500/4000)</f>
        <v>0</v>
      </c>
      <c r="W9" s="61"/>
      <c r="X9" s="53"/>
      <c r="Y9" s="27"/>
      <c r="Z9" s="24">
        <v>7</v>
      </c>
      <c r="AA9" s="24">
        <v>10</v>
      </c>
      <c r="AB9" s="26">
        <f t="shared" ref="AB9:AB12" si="8">D9/2</f>
        <v>102</v>
      </c>
      <c r="AC9" s="24">
        <f t="shared" ref="AC9:AC12" si="9">AK9</f>
        <v>4.5377999999999998</v>
      </c>
      <c r="AD9" s="26"/>
      <c r="AE9" s="54">
        <f t="shared" ref="AE9:AE12" si="10">INT((O9+P9+Q9+R9+U9+V9+Z9+AA9+Y9-X9+S9)*100)/100</f>
        <v>226.89</v>
      </c>
      <c r="AF9" s="28">
        <f t="shared" si="2"/>
        <v>106.5378</v>
      </c>
      <c r="AG9" s="54">
        <f t="shared" ref="AG9" si="11">INT((AE9-AF9)*100)/100</f>
        <v>120.35</v>
      </c>
      <c r="AH9" s="29">
        <f t="shared" ref="AH9" si="12">INT(AG9)</f>
        <v>120</v>
      </c>
      <c r="AI9" s="24">
        <f t="shared" ref="AI9" si="13">INT((AG9-AH9)*40+0.5)*100</f>
        <v>1400</v>
      </c>
      <c r="AJ9" s="30"/>
      <c r="AK9" s="73">
        <f t="shared" si="6"/>
        <v>4.5377999999999998</v>
      </c>
    </row>
    <row r="10" spans="1:37" s="31" customFormat="1" ht="96" customHeight="1" x14ac:dyDescent="0.25">
      <c r="A10" s="43" t="s">
        <v>473</v>
      </c>
      <c r="B10" s="78" t="s">
        <v>474</v>
      </c>
      <c r="C10" s="56" t="s">
        <v>311</v>
      </c>
      <c r="D10" s="48">
        <v>204</v>
      </c>
      <c r="E10" s="20">
        <v>21.5</v>
      </c>
      <c r="F10" s="21">
        <f t="shared" ref="F10" si="14">I10+L10+(M10)*8</f>
        <v>172</v>
      </c>
      <c r="G10" s="57">
        <v>1</v>
      </c>
      <c r="H10" s="22"/>
      <c r="I10" s="23">
        <f t="shared" si="0"/>
        <v>172</v>
      </c>
      <c r="J10" s="55">
        <v>399.08</v>
      </c>
      <c r="K10" s="55">
        <v>151.84</v>
      </c>
      <c r="L10" s="23"/>
      <c r="M10" s="22"/>
      <c r="N10" s="22">
        <v>4</v>
      </c>
      <c r="O10" s="52">
        <f t="shared" ref="O10" si="15">IF(F10&gt;0,((K10+W10)/F10*I10),0)</f>
        <v>151.84</v>
      </c>
      <c r="P10" s="58">
        <f t="shared" ref="P10" si="16">IF(F10&gt;0,((K10+W10)/F10*L10*1.5)*100)/100</f>
        <v>0</v>
      </c>
      <c r="Q10" s="53">
        <f t="shared" ref="Q10" si="17">IF(F10&gt;0,((K10+W10)/F10*M10*8*2)*100)/100</f>
        <v>0</v>
      </c>
      <c r="R10" s="53">
        <f>D10/26*N10</f>
        <v>31.384615384615383</v>
      </c>
      <c r="S10" s="53">
        <v>0</v>
      </c>
      <c r="T10" s="25">
        <v>0</v>
      </c>
      <c r="U10" s="24">
        <f t="shared" si="1"/>
        <v>0</v>
      </c>
      <c r="V10" s="24">
        <f t="shared" ref="V10" si="18">((L10)*1500/4000)</f>
        <v>0</v>
      </c>
      <c r="W10" s="61"/>
      <c r="X10" s="53">
        <f t="shared" ref="X10" si="19">(-D10/208*I10)+(O10)</f>
        <v>-16.852307692307676</v>
      </c>
      <c r="Y10" s="27"/>
      <c r="Z10" s="24">
        <v>7</v>
      </c>
      <c r="AA10" s="24">
        <v>10</v>
      </c>
      <c r="AB10" s="26">
        <f t="shared" si="8"/>
        <v>102</v>
      </c>
      <c r="AC10" s="24">
        <f t="shared" si="9"/>
        <v>4.3414000000000001</v>
      </c>
      <c r="AD10" s="26"/>
      <c r="AE10" s="54">
        <f t="shared" si="10"/>
        <v>217.07</v>
      </c>
      <c r="AF10" s="28">
        <f t="shared" si="2"/>
        <v>106.34139999999999</v>
      </c>
      <c r="AG10" s="54">
        <f t="shared" ref="AG10" si="20">INT((AE10-AF10)*100)/100</f>
        <v>110.72</v>
      </c>
      <c r="AH10" s="29">
        <f t="shared" ref="AH10" si="21">INT(AG10)</f>
        <v>110</v>
      </c>
      <c r="AI10" s="24">
        <f t="shared" ref="AI10" si="22">INT((AG10-AH10)*40+0.5)*100</f>
        <v>2900</v>
      </c>
      <c r="AJ10" s="30"/>
      <c r="AK10" s="73">
        <f t="shared" si="6"/>
        <v>4.3414000000000001</v>
      </c>
    </row>
    <row r="11" spans="1:37" s="31" customFormat="1" ht="96" customHeight="1" x14ac:dyDescent="0.25">
      <c r="A11" s="43" t="s">
        <v>475</v>
      </c>
      <c r="B11" s="78" t="s">
        <v>476</v>
      </c>
      <c r="C11" s="56" t="s">
        <v>429</v>
      </c>
      <c r="D11" s="48">
        <v>204</v>
      </c>
      <c r="E11" s="20">
        <v>22</v>
      </c>
      <c r="F11" s="21">
        <f t="shared" ref="F11:F12" si="23">I11+L11+(M11)*8</f>
        <v>176</v>
      </c>
      <c r="G11" s="57">
        <v>1</v>
      </c>
      <c r="H11" s="22"/>
      <c r="I11" s="23">
        <f t="shared" si="0"/>
        <v>176</v>
      </c>
      <c r="J11" s="55">
        <v>462.83</v>
      </c>
      <c r="K11" s="55">
        <v>175.91499999999999</v>
      </c>
      <c r="L11" s="23"/>
      <c r="M11" s="22"/>
      <c r="N11" s="22">
        <v>4</v>
      </c>
      <c r="O11" s="52">
        <f t="shared" ref="O11:O12" si="24">IF(F11&gt;0,((K11+W11)/F11*I11),0)</f>
        <v>175.91499999999999</v>
      </c>
      <c r="P11" s="58">
        <f t="shared" ref="P11" si="25">IF(F11&gt;0,((K11+W11)/F11*L11*1.5)*100)/100</f>
        <v>0</v>
      </c>
      <c r="Q11" s="53">
        <f t="shared" ref="Q11:Q12" si="26">IF(F11&gt;0,((K11+W11)/F11*M11*8*2)*100)/100</f>
        <v>0</v>
      </c>
      <c r="R11" s="53">
        <f>IF(F11&gt;0,((K11+W11)/F11*N11*8*1)*100)/100</f>
        <v>31.984545454545454</v>
      </c>
      <c r="S11" s="53">
        <v>0</v>
      </c>
      <c r="T11" s="25">
        <v>0</v>
      </c>
      <c r="U11" s="24">
        <f t="shared" si="1"/>
        <v>0</v>
      </c>
      <c r="V11" s="24">
        <f t="shared" ref="V11:V12" si="27">((L11)*1500/4000)</f>
        <v>0</v>
      </c>
      <c r="W11" s="61"/>
      <c r="X11" s="53"/>
      <c r="Y11" s="27"/>
      <c r="Z11" s="24">
        <v>7</v>
      </c>
      <c r="AA11" s="24">
        <v>10</v>
      </c>
      <c r="AB11" s="26">
        <f t="shared" si="8"/>
        <v>102</v>
      </c>
      <c r="AC11" s="24">
        <f t="shared" si="9"/>
        <v>4.4977999999999998</v>
      </c>
      <c r="AD11" s="26"/>
      <c r="AE11" s="54">
        <f t="shared" si="10"/>
        <v>224.89</v>
      </c>
      <c r="AF11" s="28">
        <f t="shared" si="2"/>
        <v>106.4978</v>
      </c>
      <c r="AG11" s="54">
        <f t="shared" ref="AG11:AG12" si="28">INT((AE11-AF11)*100)/100</f>
        <v>118.39</v>
      </c>
      <c r="AH11" s="29">
        <f t="shared" ref="AH11:AH12" si="29">INT(AG11)</f>
        <v>118</v>
      </c>
      <c r="AI11" s="24">
        <f t="shared" ref="AI11:AI12" si="30">INT((AG11-AH11)*40+0.5)*100</f>
        <v>1600</v>
      </c>
      <c r="AJ11" s="30"/>
      <c r="AK11" s="73">
        <f t="shared" si="6"/>
        <v>4.4977999999999998</v>
      </c>
    </row>
    <row r="12" spans="1:37" s="31" customFormat="1" ht="96" customHeight="1" x14ac:dyDescent="0.25">
      <c r="A12" s="43" t="s">
        <v>477</v>
      </c>
      <c r="B12" s="78" t="s">
        <v>478</v>
      </c>
      <c r="C12" s="56" t="s">
        <v>431</v>
      </c>
      <c r="D12" s="48">
        <v>204</v>
      </c>
      <c r="E12" s="20">
        <v>20</v>
      </c>
      <c r="F12" s="21">
        <f t="shared" si="23"/>
        <v>160</v>
      </c>
      <c r="G12" s="57">
        <v>2</v>
      </c>
      <c r="H12" s="22"/>
      <c r="I12" s="23">
        <f t="shared" si="0"/>
        <v>160</v>
      </c>
      <c r="J12" s="55">
        <v>559</v>
      </c>
      <c r="K12" s="55">
        <f>210.95-40</f>
        <v>170.95</v>
      </c>
      <c r="L12" s="23"/>
      <c r="M12" s="22"/>
      <c r="N12" s="22">
        <v>4</v>
      </c>
      <c r="O12" s="52">
        <f t="shared" si="24"/>
        <v>170.95</v>
      </c>
      <c r="P12" s="58">
        <f>IF(F12&gt;0,((K12+W12)/F12*L12*1.5)*100)/100</f>
        <v>0</v>
      </c>
      <c r="Q12" s="53">
        <f t="shared" si="26"/>
        <v>0</v>
      </c>
      <c r="R12" s="53">
        <f>IF(F12&gt;0,((K12+W12)/F12*N12*8*1)*100)/100</f>
        <v>34.19</v>
      </c>
      <c r="S12" s="53">
        <v>0</v>
      </c>
      <c r="T12" s="25">
        <v>0</v>
      </c>
      <c r="U12" s="24">
        <f t="shared" si="1"/>
        <v>0</v>
      </c>
      <c r="V12" s="24">
        <f t="shared" si="27"/>
        <v>0</v>
      </c>
      <c r="W12" s="61"/>
      <c r="X12" s="53"/>
      <c r="Y12" s="27"/>
      <c r="Z12" s="24">
        <v>4</v>
      </c>
      <c r="AA12" s="24">
        <v>10</v>
      </c>
      <c r="AB12" s="26">
        <f t="shared" si="8"/>
        <v>102</v>
      </c>
      <c r="AC12" s="24">
        <f t="shared" si="9"/>
        <v>4.3827999999999996</v>
      </c>
      <c r="AD12" s="26"/>
      <c r="AE12" s="54">
        <f t="shared" si="10"/>
        <v>219.14</v>
      </c>
      <c r="AF12" s="28">
        <f t="shared" si="2"/>
        <v>106.3828</v>
      </c>
      <c r="AG12" s="54">
        <f t="shared" si="28"/>
        <v>112.75</v>
      </c>
      <c r="AH12" s="29">
        <f t="shared" si="29"/>
        <v>112</v>
      </c>
      <c r="AI12" s="24">
        <f t="shared" si="30"/>
        <v>3000</v>
      </c>
      <c r="AJ12" s="30"/>
      <c r="AK12" s="73">
        <f t="shared" si="6"/>
        <v>4.3827999999999996</v>
      </c>
    </row>
    <row r="13" spans="1:37" s="36" customFormat="1" ht="27.75" customHeight="1" thickBot="1" x14ac:dyDescent="0.3">
      <c r="A13" s="107" t="s">
        <v>33</v>
      </c>
      <c r="B13" s="108"/>
      <c r="C13" s="32"/>
      <c r="D13" s="33"/>
      <c r="E13" s="34">
        <f t="shared" ref="E13:AI13" si="31">SUM(E8:E12)</f>
        <v>107.5</v>
      </c>
      <c r="F13" s="34">
        <f t="shared" si="31"/>
        <v>860</v>
      </c>
      <c r="G13" s="34">
        <f t="shared" si="31"/>
        <v>7.5</v>
      </c>
      <c r="H13" s="34">
        <f t="shared" si="31"/>
        <v>0</v>
      </c>
      <c r="I13" s="34">
        <f t="shared" si="31"/>
        <v>860</v>
      </c>
      <c r="J13" s="34">
        <f t="shared" si="31"/>
        <v>2634.41</v>
      </c>
      <c r="K13" s="34">
        <f t="shared" si="31"/>
        <v>863.12999999999988</v>
      </c>
      <c r="L13" s="34">
        <f t="shared" si="31"/>
        <v>0</v>
      </c>
      <c r="M13" s="34">
        <f t="shared" si="31"/>
        <v>0</v>
      </c>
      <c r="N13" s="34">
        <f t="shared" si="31"/>
        <v>20</v>
      </c>
      <c r="O13" s="34">
        <f t="shared" si="31"/>
        <v>863.12999999999988</v>
      </c>
      <c r="P13" s="34">
        <f t="shared" si="31"/>
        <v>0</v>
      </c>
      <c r="Q13" s="34">
        <f t="shared" si="31"/>
        <v>0</v>
      </c>
      <c r="R13" s="34">
        <f t="shared" si="31"/>
        <v>163.81825174825173</v>
      </c>
      <c r="S13" s="34">
        <f t="shared" si="31"/>
        <v>0</v>
      </c>
      <c r="T13" s="34">
        <f t="shared" si="31"/>
        <v>0</v>
      </c>
      <c r="U13" s="34">
        <f t="shared" si="31"/>
        <v>0</v>
      </c>
      <c r="V13" s="34">
        <f t="shared" si="31"/>
        <v>0</v>
      </c>
      <c r="W13" s="34">
        <f t="shared" si="31"/>
        <v>0</v>
      </c>
      <c r="X13" s="34">
        <f t="shared" si="31"/>
        <v>-16.852307692307676</v>
      </c>
      <c r="Y13" s="34">
        <f t="shared" si="31"/>
        <v>0</v>
      </c>
      <c r="Z13" s="34">
        <f t="shared" si="31"/>
        <v>25</v>
      </c>
      <c r="AA13" s="34">
        <f t="shared" si="31"/>
        <v>50</v>
      </c>
      <c r="AB13" s="34">
        <f t="shared" si="31"/>
        <v>510</v>
      </c>
      <c r="AC13" s="34">
        <f t="shared" si="31"/>
        <v>22.375600000000002</v>
      </c>
      <c r="AD13" s="34">
        <f t="shared" si="31"/>
        <v>0</v>
      </c>
      <c r="AE13" s="34">
        <f t="shared" si="31"/>
        <v>1118.78</v>
      </c>
      <c r="AF13" s="34">
        <f t="shared" si="31"/>
        <v>532.37559999999996</v>
      </c>
      <c r="AG13" s="34">
        <f t="shared" si="31"/>
        <v>586.38</v>
      </c>
      <c r="AH13" s="34">
        <f t="shared" si="31"/>
        <v>584</v>
      </c>
      <c r="AI13" s="34">
        <f t="shared" si="31"/>
        <v>9600</v>
      </c>
      <c r="AJ13" s="35"/>
    </row>
    <row r="14" spans="1:37" ht="21.75" customHeight="1" thickTop="1" x14ac:dyDescent="0.2">
      <c r="A14" s="109" t="s">
        <v>34</v>
      </c>
      <c r="B14" s="109"/>
      <c r="C14" s="109"/>
      <c r="D14" s="37"/>
      <c r="E14" s="37"/>
      <c r="F14" s="37"/>
      <c r="G14" s="37"/>
      <c r="H14" s="37"/>
      <c r="I14" s="37"/>
      <c r="J14" s="37"/>
      <c r="K14" s="37"/>
      <c r="L14" s="110"/>
      <c r="M14" s="110"/>
      <c r="N14" s="110"/>
      <c r="O14" s="38"/>
      <c r="P14" s="110" t="s">
        <v>35</v>
      </c>
      <c r="Q14" s="110"/>
      <c r="R14" s="110"/>
      <c r="S14" s="85"/>
      <c r="T14" s="38"/>
      <c r="U14" s="38"/>
      <c r="Z14" s="39"/>
      <c r="AA14" s="39"/>
      <c r="AE14" s="39"/>
      <c r="AF14" s="39"/>
      <c r="AG14" s="111" t="s">
        <v>36</v>
      </c>
      <c r="AH14" s="111"/>
      <c r="AI14" s="111"/>
      <c r="AJ14" s="40"/>
    </row>
    <row r="15" spans="1:37" ht="21" customHeight="1" x14ac:dyDescent="0.2">
      <c r="A15" s="41"/>
      <c r="B15" s="41"/>
      <c r="C15" s="41"/>
      <c r="D15" s="41"/>
      <c r="E15" s="41"/>
      <c r="H15" s="41"/>
      <c r="I15" s="41"/>
      <c r="J15" s="41"/>
      <c r="K15" s="41"/>
      <c r="L15" s="41"/>
    </row>
    <row r="16" spans="1:37" ht="13.5" customHeight="1" x14ac:dyDescent="0.2">
      <c r="A16" s="41"/>
      <c r="B16" s="41"/>
      <c r="C16" s="41"/>
      <c r="D16" s="41"/>
      <c r="E16" s="41"/>
      <c r="H16" s="41"/>
      <c r="I16" s="41"/>
      <c r="J16" s="41"/>
      <c r="K16" s="41"/>
      <c r="L16" s="41"/>
    </row>
    <row r="17" spans="15:36" s="41" customFormat="1" x14ac:dyDescent="0.2"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5:36" s="41" customFormat="1" x14ac:dyDescent="0.2"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5:36" s="41" customFormat="1" x14ac:dyDescent="0.2"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5:36" s="41" customFormat="1" x14ac:dyDescent="0.2"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5:36" s="41" customFormat="1" x14ac:dyDescent="0.2"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5:36" s="41" customFormat="1" x14ac:dyDescent="0.2"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5:36" s="41" customFormat="1" x14ac:dyDescent="0.2"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5:36" s="41" customFormat="1" x14ac:dyDescent="0.2"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5:36" s="41" customFormat="1" x14ac:dyDescent="0.2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5:36" s="41" customFormat="1" x14ac:dyDescent="0.2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5:36" s="41" customFormat="1" x14ac:dyDescent="0.2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5:36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5:36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5:36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5:36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5:36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</sheetData>
  <autoFilter ref="A7:AI15" xr:uid="{00000000-0009-0000-0000-000000000000}"/>
  <mergeCells count="12">
    <mergeCell ref="A1:AJ1"/>
    <mergeCell ref="A2:AJ2"/>
    <mergeCell ref="A3:AJ3"/>
    <mergeCell ref="A4:B4"/>
    <mergeCell ref="B5:B6"/>
    <mergeCell ref="T5:U5"/>
    <mergeCell ref="AJ5:AJ6"/>
    <mergeCell ref="A13:B13"/>
    <mergeCell ref="A14:C14"/>
    <mergeCell ref="L14:N14"/>
    <mergeCell ref="P14:R14"/>
    <mergeCell ref="AG14:AI14"/>
  </mergeCells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1D692-25EA-4188-8B68-8A00E1F1062A}">
  <sheetPr>
    <tabColor theme="7" tint="0.39997558519241921"/>
  </sheetPr>
  <dimension ref="A1:AD66"/>
  <sheetViews>
    <sheetView zoomScale="115" zoomScaleNormal="115" workbookViewId="0">
      <pane ySplit="7" topLeftCell="A8" activePane="bottomLeft" state="frozen"/>
      <selection activeCell="X8" sqref="X8"/>
      <selection pane="bottomLeft" activeCell="M8" sqref="M8"/>
    </sheetView>
  </sheetViews>
  <sheetFormatPr defaultColWidth="9.140625" defaultRowHeight="12.75" x14ac:dyDescent="0.2"/>
  <cols>
    <col min="1" max="1" width="7.5703125" style="1" customWidth="1"/>
    <col min="2" max="2" width="10.1406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6.7109375" style="1" customWidth="1"/>
    <col min="12" max="18" width="5.42578125" style="1" customWidth="1"/>
    <col min="19" max="19" width="4.85546875" style="1" customWidth="1"/>
    <col min="20" max="22" width="6" style="1" customWidth="1"/>
    <col min="23" max="23" width="5.28515625" style="1" customWidth="1"/>
    <col min="24" max="24" width="6" style="1" customWidth="1"/>
    <col min="25" max="29" width="6.7109375" style="1" customWidth="1"/>
    <col min="30" max="30" width="12.42578125" style="1" customWidth="1"/>
    <col min="31" max="16384" width="9.140625" style="1"/>
  </cols>
  <sheetData>
    <row r="1" spans="1:30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0" ht="24.75" customHeight="1" thickBot="1" x14ac:dyDescent="0.4">
      <c r="A4" s="117" t="s">
        <v>391</v>
      </c>
      <c r="B4" s="118"/>
      <c r="C4" s="2">
        <f>COUNTA(B8:B10)</f>
        <v>3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0" s="9" customFormat="1" ht="41.2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0" s="9" customFormat="1" ht="41.2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0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0" s="31" customFormat="1" ht="86.25" customHeight="1" x14ac:dyDescent="0.25">
      <c r="A8" s="44" t="s">
        <v>147</v>
      </c>
      <c r="B8" s="64" t="s">
        <v>32</v>
      </c>
      <c r="C8" s="56" t="s">
        <v>307</v>
      </c>
      <c r="D8" s="48">
        <v>500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423.07692307692304</v>
      </c>
      <c r="L8" s="58">
        <f>D8/208*H8*1.5</f>
        <v>0</v>
      </c>
      <c r="M8" s="53">
        <f>D8/26*I8*2</f>
        <v>0</v>
      </c>
      <c r="N8" s="53">
        <f>D8/26*J8</f>
        <v>76.92307692307692</v>
      </c>
      <c r="O8" s="53">
        <v>0</v>
      </c>
      <c r="P8" s="25">
        <v>0</v>
      </c>
      <c r="Q8" s="24">
        <f>D8/26*P8/2</f>
        <v>0</v>
      </c>
      <c r="R8" s="24">
        <f>((H8)*1500/4000)</f>
        <v>0</v>
      </c>
      <c r="S8" s="27"/>
      <c r="T8" s="24">
        <v>10</v>
      </c>
      <c r="U8" s="24">
        <v>10</v>
      </c>
      <c r="V8" s="26">
        <f>D8/2</f>
        <v>250</v>
      </c>
      <c r="W8" s="26">
        <v>6</v>
      </c>
      <c r="X8" s="26"/>
      <c r="Y8" s="54">
        <f>INT((K8+L8+M8+N8+Q8+R8+T8+U8+S8+O8)*100)/100</f>
        <v>520</v>
      </c>
      <c r="Z8" s="28">
        <f>V8+W8+X8</f>
        <v>256</v>
      </c>
      <c r="AA8" s="54">
        <f t="shared" ref="AA8:AA10" si="0">INT((Y8-Z8)*100)/100</f>
        <v>264</v>
      </c>
      <c r="AB8" s="29">
        <f>INT(AA8)</f>
        <v>264</v>
      </c>
      <c r="AC8" s="24">
        <f>INT((AA8-AB8)*40+0.5)*100</f>
        <v>0</v>
      </c>
      <c r="AD8" s="30"/>
    </row>
    <row r="9" spans="1:30" s="31" customFormat="1" ht="86.25" customHeight="1" x14ac:dyDescent="0.25">
      <c r="A9" s="44" t="s">
        <v>148</v>
      </c>
      <c r="B9" s="64" t="s">
        <v>108</v>
      </c>
      <c r="C9" s="56" t="s">
        <v>307</v>
      </c>
      <c r="D9" s="48">
        <v>380</v>
      </c>
      <c r="E9" s="20">
        <v>22</v>
      </c>
      <c r="F9" s="57"/>
      <c r="G9" s="22"/>
      <c r="H9" s="23"/>
      <c r="I9" s="22"/>
      <c r="J9" s="22">
        <v>4</v>
      </c>
      <c r="K9" s="52">
        <f t="shared" ref="K9:K10" si="1">D9/26*E9</f>
        <v>321.53846153846155</v>
      </c>
      <c r="L9" s="58">
        <f t="shared" ref="L9:L10" si="2">D9/208*H9*1.5</f>
        <v>0</v>
      </c>
      <c r="M9" s="53">
        <f t="shared" ref="M9:M10" si="3">D9/26*I9*2</f>
        <v>0</v>
      </c>
      <c r="N9" s="53">
        <f t="shared" ref="N9:N10" si="4">D9/26*J9</f>
        <v>58.46153846153846</v>
      </c>
      <c r="O9" s="53">
        <v>0</v>
      </c>
      <c r="P9" s="25">
        <v>0</v>
      </c>
      <c r="Q9" s="24">
        <f t="shared" ref="Q9:Q10" si="5">D9/26*P9/2</f>
        <v>0</v>
      </c>
      <c r="R9" s="24">
        <f t="shared" ref="R9:R10" si="6">((H9)*1500/4000)</f>
        <v>0</v>
      </c>
      <c r="S9" s="27"/>
      <c r="T9" s="24">
        <v>10</v>
      </c>
      <c r="U9" s="24">
        <v>10</v>
      </c>
      <c r="V9" s="26">
        <f t="shared" ref="V9:V10" si="7">D9/2</f>
        <v>190</v>
      </c>
      <c r="W9" s="26">
        <v>6</v>
      </c>
      <c r="X9" s="26"/>
      <c r="Y9" s="54">
        <f t="shared" ref="Y9:Y10" si="8">INT((K9+L9+M9+N9+Q9+R9+T9+U9+S9+O9)*100)/100</f>
        <v>400</v>
      </c>
      <c r="Z9" s="28">
        <f t="shared" ref="Z9:Z10" si="9">V9+W9+X9</f>
        <v>196</v>
      </c>
      <c r="AA9" s="54">
        <f t="shared" si="0"/>
        <v>204</v>
      </c>
      <c r="AB9" s="29">
        <f t="shared" ref="AB9:AB10" si="10">INT(AA9)</f>
        <v>204</v>
      </c>
      <c r="AC9" s="24">
        <f t="shared" ref="AC9:AC10" si="11">INT((AA9-AB9)*40+0.5)*100</f>
        <v>0</v>
      </c>
      <c r="AD9" s="30"/>
    </row>
    <row r="10" spans="1:30" s="31" customFormat="1" ht="86.25" customHeight="1" x14ac:dyDescent="0.25">
      <c r="A10" s="44" t="s">
        <v>149</v>
      </c>
      <c r="B10" s="64" t="s">
        <v>109</v>
      </c>
      <c r="C10" s="56" t="s">
        <v>307</v>
      </c>
      <c r="D10" s="48">
        <v>380</v>
      </c>
      <c r="E10" s="20">
        <v>22</v>
      </c>
      <c r="F10" s="57"/>
      <c r="G10" s="22"/>
      <c r="H10" s="23"/>
      <c r="I10" s="22"/>
      <c r="J10" s="22">
        <v>4</v>
      </c>
      <c r="K10" s="52">
        <f t="shared" si="1"/>
        <v>321.53846153846155</v>
      </c>
      <c r="L10" s="58">
        <f t="shared" si="2"/>
        <v>0</v>
      </c>
      <c r="M10" s="53">
        <f t="shared" si="3"/>
        <v>0</v>
      </c>
      <c r="N10" s="53">
        <f t="shared" si="4"/>
        <v>58.46153846153846</v>
      </c>
      <c r="O10" s="53">
        <v>0</v>
      </c>
      <c r="P10" s="25">
        <v>0</v>
      </c>
      <c r="Q10" s="24">
        <f t="shared" si="5"/>
        <v>0</v>
      </c>
      <c r="R10" s="24">
        <f t="shared" si="6"/>
        <v>0</v>
      </c>
      <c r="S10" s="27"/>
      <c r="T10" s="24">
        <v>10</v>
      </c>
      <c r="U10" s="24">
        <v>10</v>
      </c>
      <c r="V10" s="26">
        <f t="shared" si="7"/>
        <v>190</v>
      </c>
      <c r="W10" s="26">
        <v>6</v>
      </c>
      <c r="X10" s="26"/>
      <c r="Y10" s="54">
        <f t="shared" si="8"/>
        <v>400</v>
      </c>
      <c r="Z10" s="28">
        <f t="shared" si="9"/>
        <v>196</v>
      </c>
      <c r="AA10" s="54">
        <f t="shared" si="0"/>
        <v>204</v>
      </c>
      <c r="AB10" s="29">
        <f t="shared" si="10"/>
        <v>204</v>
      </c>
      <c r="AC10" s="24">
        <f t="shared" si="11"/>
        <v>0</v>
      </c>
      <c r="AD10" s="30"/>
    </row>
    <row r="11" spans="1:30" s="36" customFormat="1" ht="27.75" customHeight="1" thickBot="1" x14ac:dyDescent="0.3">
      <c r="A11" s="107" t="s">
        <v>33</v>
      </c>
      <c r="B11" s="108"/>
      <c r="C11" s="32"/>
      <c r="D11" s="33"/>
      <c r="E11" s="34">
        <f t="shared" ref="E11:AC11" si="12">SUM(E8:E10)</f>
        <v>66</v>
      </c>
      <c r="F11" s="34">
        <f t="shared" si="12"/>
        <v>0</v>
      </c>
      <c r="G11" s="34">
        <f t="shared" si="12"/>
        <v>0</v>
      </c>
      <c r="H11" s="34">
        <f t="shared" si="12"/>
        <v>0</v>
      </c>
      <c r="I11" s="34">
        <f t="shared" si="12"/>
        <v>0</v>
      </c>
      <c r="J11" s="34">
        <f t="shared" si="12"/>
        <v>12</v>
      </c>
      <c r="K11" s="34">
        <f t="shared" si="12"/>
        <v>1066.1538461538462</v>
      </c>
      <c r="L11" s="34">
        <f t="shared" si="12"/>
        <v>0</v>
      </c>
      <c r="M11" s="34">
        <f t="shared" si="12"/>
        <v>0</v>
      </c>
      <c r="N11" s="34">
        <f t="shared" si="12"/>
        <v>193.84615384615384</v>
      </c>
      <c r="O11" s="34">
        <f t="shared" si="12"/>
        <v>0</v>
      </c>
      <c r="P11" s="34">
        <f t="shared" si="12"/>
        <v>0</v>
      </c>
      <c r="Q11" s="34">
        <f t="shared" si="12"/>
        <v>0</v>
      </c>
      <c r="R11" s="34">
        <f t="shared" si="12"/>
        <v>0</v>
      </c>
      <c r="S11" s="34">
        <f t="shared" si="12"/>
        <v>0</v>
      </c>
      <c r="T11" s="34">
        <f t="shared" si="12"/>
        <v>30</v>
      </c>
      <c r="U11" s="34">
        <f t="shared" si="12"/>
        <v>30</v>
      </c>
      <c r="V11" s="34">
        <f t="shared" si="12"/>
        <v>630</v>
      </c>
      <c r="W11" s="34">
        <f t="shared" si="12"/>
        <v>18</v>
      </c>
      <c r="X11" s="34">
        <f t="shared" si="12"/>
        <v>0</v>
      </c>
      <c r="Y11" s="34">
        <f t="shared" si="12"/>
        <v>1320</v>
      </c>
      <c r="Z11" s="34">
        <f t="shared" si="12"/>
        <v>648</v>
      </c>
      <c r="AA11" s="34">
        <f t="shared" si="12"/>
        <v>672</v>
      </c>
      <c r="AB11" s="34">
        <f t="shared" si="12"/>
        <v>672</v>
      </c>
      <c r="AC11" s="34">
        <f t="shared" si="12"/>
        <v>0</v>
      </c>
      <c r="AD11" s="35"/>
    </row>
    <row r="12" spans="1:30" ht="21.75" customHeight="1" thickTop="1" x14ac:dyDescent="0.2">
      <c r="A12" s="109" t="s">
        <v>34</v>
      </c>
      <c r="B12" s="109"/>
      <c r="C12" s="109"/>
      <c r="D12" s="37"/>
      <c r="E12" s="37"/>
      <c r="F12" s="37"/>
      <c r="G12" s="37"/>
      <c r="H12" s="110"/>
      <c r="I12" s="110"/>
      <c r="J12" s="110"/>
      <c r="K12" s="38"/>
      <c r="L12" s="110" t="s">
        <v>35</v>
      </c>
      <c r="M12" s="110"/>
      <c r="N12" s="110"/>
      <c r="O12" s="85"/>
      <c r="P12" s="38"/>
      <c r="Q12" s="38"/>
      <c r="T12" s="39"/>
      <c r="U12" s="39"/>
      <c r="Y12" s="39"/>
      <c r="Z12" s="39"/>
      <c r="AA12" s="111" t="s">
        <v>36</v>
      </c>
      <c r="AB12" s="111"/>
      <c r="AC12" s="111"/>
      <c r="AD12" s="40"/>
    </row>
    <row r="13" spans="1:30" ht="21" customHeight="1" x14ac:dyDescent="0.2">
      <c r="A13" s="41"/>
      <c r="B13" s="41"/>
      <c r="C13" s="41"/>
      <c r="D13" s="41"/>
      <c r="E13" s="41"/>
      <c r="G13" s="41"/>
      <c r="H13" s="41"/>
    </row>
    <row r="14" spans="1:30" ht="13.5" customHeight="1" x14ac:dyDescent="0.2">
      <c r="A14" s="41"/>
      <c r="B14" s="41"/>
      <c r="C14" s="41"/>
      <c r="D14" s="41"/>
      <c r="E14" s="41"/>
      <c r="G14" s="41"/>
      <c r="H14" s="41"/>
    </row>
    <row r="15" spans="1:30" s="41" customFormat="1" x14ac:dyDescent="0.2"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</sheetData>
  <autoFilter ref="A7:AC13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1:B11"/>
    <mergeCell ref="A12:C12"/>
    <mergeCell ref="H12:J12"/>
    <mergeCell ref="L12:N12"/>
    <mergeCell ref="AA12:AC12"/>
  </mergeCells>
  <pageMargins left="0.11811023622047245" right="0" top="0.31496062992125984" bottom="0.11811023622047245" header="0" footer="0.11811023622047245"/>
  <pageSetup paperSize="9" scale="80" orientation="landscape" horizontalDpi="360" verticalDpi="36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4C-BF91-453F-9DB3-C368BD1BCE9E}">
  <sheetPr>
    <tabColor theme="7" tint="0.39997558519241921"/>
  </sheetPr>
  <dimension ref="A1:AF76"/>
  <sheetViews>
    <sheetView zoomScale="118" zoomScaleNormal="118" workbookViewId="0">
      <pane ySplit="7" topLeftCell="A14" activePane="bottomLeft" state="frozen"/>
      <selection activeCell="X8" sqref="X8"/>
      <selection pane="bottomLeft" activeCell="U15" sqref="U15"/>
    </sheetView>
  </sheetViews>
  <sheetFormatPr defaultColWidth="9.140625" defaultRowHeight="12.75" x14ac:dyDescent="0.2"/>
  <cols>
    <col min="1" max="1" width="7.5703125" style="1" customWidth="1"/>
    <col min="2" max="2" width="9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7.28515625" style="1" customWidth="1"/>
    <col min="12" max="14" width="5.42578125" style="1" customWidth="1"/>
    <col min="15" max="15" width="4.42578125" style="1" customWidth="1"/>
    <col min="16" max="16" width="5.42578125" style="1" hidden="1" customWidth="1"/>
    <col min="17" max="17" width="5.140625" style="1" customWidth="1"/>
    <col min="18" max="19" width="4.5703125" style="1" customWidth="1"/>
    <col min="20" max="20" width="5.140625" style="1" customWidth="1"/>
    <col min="21" max="23" width="6" style="1" customWidth="1"/>
    <col min="24" max="24" width="4.5703125" style="1" customWidth="1"/>
    <col min="25" max="25" width="6" style="1" customWidth="1"/>
    <col min="26" max="26" width="5.7109375" style="1" customWidth="1"/>
    <col min="27" max="27" width="5.42578125" style="1" customWidth="1"/>
    <col min="28" max="30" width="6.7109375" style="1" customWidth="1"/>
    <col min="31" max="31" width="14.85546875" style="1" customWidth="1"/>
    <col min="32" max="16384" width="9.140625" style="1"/>
  </cols>
  <sheetData>
    <row r="1" spans="1:32" ht="33" customHeight="1" x14ac:dyDescent="0.85">
      <c r="A1" s="112" t="s">
        <v>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</row>
    <row r="2" spans="1:32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2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2" ht="24.75" customHeight="1" thickBot="1" x14ac:dyDescent="0.4">
      <c r="A4" s="117" t="s">
        <v>392</v>
      </c>
      <c r="B4" s="118"/>
      <c r="C4" s="2">
        <f>COUNTA(B8:B20)</f>
        <v>13</v>
      </c>
      <c r="D4" s="3"/>
      <c r="E4" s="3"/>
      <c r="F4" s="1"/>
      <c r="I4" s="1"/>
      <c r="J4" s="1"/>
      <c r="V4" s="4"/>
      <c r="Z4" s="5"/>
      <c r="AA4" s="5"/>
      <c r="AB4" s="5"/>
      <c r="AD4" s="5"/>
    </row>
    <row r="5" spans="1:32" s="9" customFormat="1" ht="38.2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8" t="s">
        <v>581</v>
      </c>
      <c r="Q5" s="103" t="s">
        <v>11</v>
      </c>
      <c r="R5" s="103"/>
      <c r="S5" s="7" t="s">
        <v>4</v>
      </c>
      <c r="T5" s="8" t="s">
        <v>4</v>
      </c>
      <c r="U5" s="7" t="s">
        <v>4</v>
      </c>
      <c r="V5" s="7" t="s">
        <v>4</v>
      </c>
      <c r="W5" s="7" t="s">
        <v>4</v>
      </c>
      <c r="X5" s="7" t="s">
        <v>4</v>
      </c>
      <c r="Y5" s="8" t="s">
        <v>4</v>
      </c>
      <c r="Z5" s="8" t="s">
        <v>12</v>
      </c>
      <c r="AA5" s="8" t="s">
        <v>4</v>
      </c>
      <c r="AB5" s="8" t="s">
        <v>303</v>
      </c>
      <c r="AC5" s="8" t="s">
        <v>13</v>
      </c>
      <c r="AD5" s="7" t="s">
        <v>4</v>
      </c>
      <c r="AE5" s="105" t="s">
        <v>584</v>
      </c>
    </row>
    <row r="6" spans="1:32" s="9" customFormat="1" ht="38.2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3" t="s">
        <v>583</v>
      </c>
      <c r="Q6" s="14" t="s">
        <v>24</v>
      </c>
      <c r="R6" s="15" t="s">
        <v>4</v>
      </c>
      <c r="S6" s="11" t="s">
        <v>25</v>
      </c>
      <c r="T6" s="12" t="s">
        <v>26</v>
      </c>
      <c r="U6" s="13" t="s">
        <v>306</v>
      </c>
      <c r="V6" s="12" t="s">
        <v>27</v>
      </c>
      <c r="W6" s="12" t="s">
        <v>296</v>
      </c>
      <c r="X6" s="12" t="s">
        <v>297</v>
      </c>
      <c r="Y6" s="16" t="s">
        <v>28</v>
      </c>
      <c r="Z6" s="12" t="s">
        <v>301</v>
      </c>
      <c r="AA6" s="12" t="s">
        <v>302</v>
      </c>
      <c r="AB6" s="12" t="s">
        <v>304</v>
      </c>
      <c r="AC6" s="12" t="s">
        <v>29</v>
      </c>
      <c r="AD6" s="11" t="s">
        <v>30</v>
      </c>
      <c r="AE6" s="106"/>
    </row>
    <row r="7" spans="1:32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16</v>
      </c>
      <c r="R7" s="18">
        <v>17</v>
      </c>
      <c r="S7" s="17">
        <v>18</v>
      </c>
      <c r="T7" s="18">
        <v>19</v>
      </c>
      <c r="U7" s="17">
        <v>20</v>
      </c>
      <c r="V7" s="18">
        <v>21</v>
      </c>
      <c r="W7" s="17">
        <v>22</v>
      </c>
      <c r="X7" s="18">
        <v>23</v>
      </c>
      <c r="Y7" s="17">
        <v>24</v>
      </c>
      <c r="Z7" s="18">
        <v>25</v>
      </c>
      <c r="AA7" s="17">
        <v>26</v>
      </c>
      <c r="AB7" s="18">
        <v>27</v>
      </c>
      <c r="AC7" s="17">
        <v>28</v>
      </c>
      <c r="AD7" s="18">
        <v>29</v>
      </c>
      <c r="AE7" s="17">
        <v>30</v>
      </c>
    </row>
    <row r="8" spans="1:32" s="31" customFormat="1" ht="93.75" customHeight="1" x14ac:dyDescent="0.25">
      <c r="A8" s="44" t="s">
        <v>150</v>
      </c>
      <c r="B8" s="64" t="s">
        <v>151</v>
      </c>
      <c r="C8" s="56" t="s">
        <v>308</v>
      </c>
      <c r="D8" s="48">
        <v>350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296.15384615384613</v>
      </c>
      <c r="L8" s="58">
        <f>D8/208*H8*1.5</f>
        <v>0</v>
      </c>
      <c r="M8" s="53">
        <f>D8/26*I8*2</f>
        <v>0</v>
      </c>
      <c r="N8" s="53">
        <f>D8/26*J8</f>
        <v>53.846153846153847</v>
      </c>
      <c r="O8" s="53">
        <v>0</v>
      </c>
      <c r="P8" s="53">
        <v>0</v>
      </c>
      <c r="Q8" s="25">
        <v>0</v>
      </c>
      <c r="R8" s="24">
        <f t="shared" ref="R8:R17" si="0">D8/26*Q8/2</f>
        <v>0</v>
      </c>
      <c r="S8" s="24">
        <f t="shared" ref="S8:S17" si="1">((H8)*1500/4000)</f>
        <v>0</v>
      </c>
      <c r="T8" s="27"/>
      <c r="U8" s="24">
        <v>10</v>
      </c>
      <c r="V8" s="24">
        <v>10</v>
      </c>
      <c r="W8" s="26">
        <f>D8/2</f>
        <v>175</v>
      </c>
      <c r="X8" s="24">
        <v>6</v>
      </c>
      <c r="Y8" s="26"/>
      <c r="Z8" s="54">
        <f>INT((K8+L8+M8+N8+R8+S8+U8+V8+T8+O8)*100)/100</f>
        <v>370</v>
      </c>
      <c r="AA8" s="28">
        <f t="shared" ref="AA8:AA20" si="2">W8+X8+Y8</f>
        <v>181</v>
      </c>
      <c r="AB8" s="54">
        <f t="shared" ref="AB8:AB20" si="3">INT((Z8-AA8)*100)/100</f>
        <v>189</v>
      </c>
      <c r="AC8" s="29">
        <f t="shared" ref="AC8:AC20" si="4">INT(AB8)</f>
        <v>189</v>
      </c>
      <c r="AD8" s="24">
        <f t="shared" ref="AD8:AD20" si="5">INT((AB8-AC8)*40+0.5)*100</f>
        <v>0</v>
      </c>
      <c r="AE8" s="30"/>
      <c r="AF8" s="73">
        <f t="shared" ref="AF8:AF20" si="6">(Z8*0.04)/2</f>
        <v>7.4</v>
      </c>
    </row>
    <row r="9" spans="1:32" s="31" customFormat="1" ht="93.75" customHeight="1" x14ac:dyDescent="0.25">
      <c r="A9" s="44" t="s">
        <v>152</v>
      </c>
      <c r="B9" s="64" t="s">
        <v>39</v>
      </c>
      <c r="C9" s="56" t="s">
        <v>308</v>
      </c>
      <c r="D9" s="48">
        <v>260</v>
      </c>
      <c r="E9" s="20">
        <v>21</v>
      </c>
      <c r="F9" s="57">
        <v>1</v>
      </c>
      <c r="G9" s="22"/>
      <c r="H9" s="23"/>
      <c r="I9" s="22"/>
      <c r="J9" s="22">
        <v>4</v>
      </c>
      <c r="K9" s="52">
        <f t="shared" ref="K9:K20" si="7">D9/26*E9</f>
        <v>210</v>
      </c>
      <c r="L9" s="58">
        <f t="shared" ref="L9:L18" si="8">D9/208*H9*1.5</f>
        <v>0</v>
      </c>
      <c r="M9" s="53">
        <f t="shared" ref="M9:M20" si="9">D9/26*I9*2</f>
        <v>0</v>
      </c>
      <c r="N9" s="53">
        <f t="shared" ref="N9:N18" si="10">D9/26*J9</f>
        <v>40</v>
      </c>
      <c r="O9" s="53">
        <v>0</v>
      </c>
      <c r="P9" s="53">
        <f>D9/25*F9</f>
        <v>10.4</v>
      </c>
      <c r="Q9" s="25">
        <v>0</v>
      </c>
      <c r="R9" s="24">
        <f t="shared" si="0"/>
        <v>0</v>
      </c>
      <c r="S9" s="24">
        <f t="shared" si="1"/>
        <v>0</v>
      </c>
      <c r="T9" s="27"/>
      <c r="U9" s="24">
        <v>7</v>
      </c>
      <c r="V9" s="24">
        <v>10</v>
      </c>
      <c r="W9" s="26">
        <f t="shared" ref="W9:W20" si="11">D9/2</f>
        <v>130</v>
      </c>
      <c r="X9" s="24">
        <f t="shared" ref="X9:X20" si="12">AF9</f>
        <v>5.34</v>
      </c>
      <c r="Y9" s="26"/>
      <c r="Z9" s="54">
        <f>INT((K9+L9+M9+N9+R9+S9+U9+V9+T9+O9)*100)/100</f>
        <v>267</v>
      </c>
      <c r="AA9" s="28">
        <f t="shared" si="2"/>
        <v>135.34</v>
      </c>
      <c r="AB9" s="54">
        <f>INT((Z9-AA9)*100)/100</f>
        <v>131.66</v>
      </c>
      <c r="AC9" s="29">
        <f>INT(AB9)</f>
        <v>131</v>
      </c>
      <c r="AD9" s="24">
        <f t="shared" si="5"/>
        <v>2600</v>
      </c>
      <c r="AE9" s="30"/>
      <c r="AF9" s="73">
        <f t="shared" si="6"/>
        <v>5.34</v>
      </c>
    </row>
    <row r="10" spans="1:32" s="31" customFormat="1" ht="93.75" customHeight="1" x14ac:dyDescent="0.25">
      <c r="A10" s="68" t="s">
        <v>153</v>
      </c>
      <c r="B10" s="64" t="s">
        <v>154</v>
      </c>
      <c r="C10" s="56" t="s">
        <v>308</v>
      </c>
      <c r="D10" s="48">
        <v>300</v>
      </c>
      <c r="E10" s="20">
        <v>22</v>
      </c>
      <c r="F10" s="57"/>
      <c r="G10" s="22"/>
      <c r="H10" s="23"/>
      <c r="I10" s="22"/>
      <c r="J10" s="22">
        <v>4</v>
      </c>
      <c r="K10" s="52">
        <f t="shared" si="7"/>
        <v>253.84615384615384</v>
      </c>
      <c r="L10" s="58">
        <f t="shared" si="8"/>
        <v>0</v>
      </c>
      <c r="M10" s="53">
        <f t="shared" si="9"/>
        <v>0</v>
      </c>
      <c r="N10" s="53">
        <f t="shared" si="10"/>
        <v>46.153846153846153</v>
      </c>
      <c r="O10" s="53">
        <v>0</v>
      </c>
      <c r="P10" s="53">
        <v>0</v>
      </c>
      <c r="Q10" s="25">
        <v>0</v>
      </c>
      <c r="R10" s="24">
        <f t="shared" si="0"/>
        <v>0</v>
      </c>
      <c r="S10" s="24">
        <f t="shared" si="1"/>
        <v>0</v>
      </c>
      <c r="T10" s="27"/>
      <c r="U10" s="24">
        <v>10</v>
      </c>
      <c r="V10" s="24">
        <v>10</v>
      </c>
      <c r="W10" s="26">
        <f t="shared" si="11"/>
        <v>150</v>
      </c>
      <c r="X10" s="24">
        <v>6</v>
      </c>
      <c r="Y10" s="26"/>
      <c r="Z10" s="54">
        <f t="shared" ref="Z10:Z20" si="13">INT((K10+L10+M10+N10+R10+S10+U10+V10+T10+O10)*100)/100</f>
        <v>320</v>
      </c>
      <c r="AA10" s="28">
        <f t="shared" si="2"/>
        <v>156</v>
      </c>
      <c r="AB10" s="54">
        <f t="shared" si="3"/>
        <v>164</v>
      </c>
      <c r="AC10" s="29">
        <f t="shared" si="4"/>
        <v>164</v>
      </c>
      <c r="AD10" s="24">
        <f>INT((AB10-AC10)*40+0.5)*100</f>
        <v>0</v>
      </c>
      <c r="AE10" s="30"/>
      <c r="AF10" s="73">
        <f t="shared" si="6"/>
        <v>6.4</v>
      </c>
    </row>
    <row r="11" spans="1:32" s="31" customFormat="1" ht="93.75" customHeight="1" x14ac:dyDescent="0.25">
      <c r="A11" s="43" t="s">
        <v>45</v>
      </c>
      <c r="B11" s="64" t="s">
        <v>43</v>
      </c>
      <c r="C11" s="56" t="s">
        <v>308</v>
      </c>
      <c r="D11" s="48">
        <v>250</v>
      </c>
      <c r="E11" s="20">
        <v>20</v>
      </c>
      <c r="F11" s="57">
        <v>2</v>
      </c>
      <c r="G11" s="22"/>
      <c r="H11" s="23"/>
      <c r="I11" s="22"/>
      <c r="J11" s="22">
        <v>4</v>
      </c>
      <c r="K11" s="52">
        <f t="shared" si="7"/>
        <v>192.30769230769229</v>
      </c>
      <c r="L11" s="58">
        <f t="shared" si="8"/>
        <v>0</v>
      </c>
      <c r="M11" s="53">
        <f t="shared" si="9"/>
        <v>0</v>
      </c>
      <c r="N11" s="53">
        <f t="shared" si="10"/>
        <v>38.46153846153846</v>
      </c>
      <c r="O11" s="53">
        <v>0</v>
      </c>
      <c r="P11" s="53">
        <v>0</v>
      </c>
      <c r="Q11" s="25">
        <v>0</v>
      </c>
      <c r="R11" s="24">
        <f t="shared" si="0"/>
        <v>0</v>
      </c>
      <c r="S11" s="24">
        <f t="shared" si="1"/>
        <v>0</v>
      </c>
      <c r="T11" s="27"/>
      <c r="U11" s="24"/>
      <c r="V11" s="24">
        <v>10</v>
      </c>
      <c r="W11" s="26">
        <f t="shared" si="11"/>
        <v>125</v>
      </c>
      <c r="X11" s="24">
        <f t="shared" si="12"/>
        <v>4.8151999999999999</v>
      </c>
      <c r="Y11" s="26"/>
      <c r="Z11" s="54">
        <f t="shared" si="13"/>
        <v>240.76</v>
      </c>
      <c r="AA11" s="28">
        <f t="shared" si="2"/>
        <v>129.8152</v>
      </c>
      <c r="AB11" s="54">
        <f t="shared" si="3"/>
        <v>110.94</v>
      </c>
      <c r="AC11" s="29">
        <f t="shared" si="4"/>
        <v>110</v>
      </c>
      <c r="AD11" s="24">
        <f t="shared" si="5"/>
        <v>3800</v>
      </c>
      <c r="AE11" s="30"/>
      <c r="AF11" s="73">
        <f t="shared" si="6"/>
        <v>4.8151999999999999</v>
      </c>
    </row>
    <row r="12" spans="1:32" s="31" customFormat="1" ht="93.75" customHeight="1" x14ac:dyDescent="0.25">
      <c r="A12" s="43" t="s">
        <v>155</v>
      </c>
      <c r="B12" s="64" t="s">
        <v>42</v>
      </c>
      <c r="C12" s="56" t="s">
        <v>308</v>
      </c>
      <c r="D12" s="48">
        <v>280</v>
      </c>
      <c r="E12" s="20">
        <v>21</v>
      </c>
      <c r="F12" s="57">
        <v>1</v>
      </c>
      <c r="G12" s="22"/>
      <c r="H12" s="23"/>
      <c r="I12" s="22"/>
      <c r="J12" s="22">
        <v>4</v>
      </c>
      <c r="K12" s="52">
        <f t="shared" si="7"/>
        <v>226.15384615384616</v>
      </c>
      <c r="L12" s="58">
        <f t="shared" si="8"/>
        <v>0</v>
      </c>
      <c r="M12" s="53">
        <f t="shared" si="9"/>
        <v>0</v>
      </c>
      <c r="N12" s="53">
        <f t="shared" si="10"/>
        <v>43.07692307692308</v>
      </c>
      <c r="O12" s="53">
        <v>0</v>
      </c>
      <c r="P12" s="53">
        <v>0</v>
      </c>
      <c r="Q12" s="25">
        <v>0</v>
      </c>
      <c r="R12" s="24">
        <f t="shared" si="0"/>
        <v>0</v>
      </c>
      <c r="S12" s="24">
        <f t="shared" si="1"/>
        <v>0</v>
      </c>
      <c r="T12" s="27"/>
      <c r="U12" s="24">
        <v>7</v>
      </c>
      <c r="V12" s="24">
        <v>10</v>
      </c>
      <c r="W12" s="26">
        <f t="shared" si="11"/>
        <v>140</v>
      </c>
      <c r="X12" s="24">
        <f t="shared" si="12"/>
        <v>5.7246000000000006</v>
      </c>
      <c r="Y12" s="26"/>
      <c r="Z12" s="54">
        <f t="shared" si="13"/>
        <v>286.23</v>
      </c>
      <c r="AA12" s="28">
        <f t="shared" si="2"/>
        <v>145.72460000000001</v>
      </c>
      <c r="AB12" s="54">
        <f t="shared" si="3"/>
        <v>140.5</v>
      </c>
      <c r="AC12" s="29">
        <f t="shared" si="4"/>
        <v>140</v>
      </c>
      <c r="AD12" s="24">
        <f t="shared" si="5"/>
        <v>2000</v>
      </c>
      <c r="AE12" s="30"/>
      <c r="AF12" s="73">
        <f t="shared" si="6"/>
        <v>5.7246000000000006</v>
      </c>
    </row>
    <row r="13" spans="1:32" s="31" customFormat="1" ht="93.75" customHeight="1" x14ac:dyDescent="0.25">
      <c r="A13" s="43" t="s">
        <v>156</v>
      </c>
      <c r="B13" s="64" t="s">
        <v>40</v>
      </c>
      <c r="C13" s="56" t="s">
        <v>308</v>
      </c>
      <c r="D13" s="48">
        <v>250</v>
      </c>
      <c r="E13" s="20">
        <v>21.5</v>
      </c>
      <c r="F13" s="57">
        <v>0.5</v>
      </c>
      <c r="G13" s="22"/>
      <c r="H13" s="23"/>
      <c r="I13" s="22"/>
      <c r="J13" s="22">
        <v>4</v>
      </c>
      <c r="K13" s="52">
        <f t="shared" si="7"/>
        <v>206.73076923076923</v>
      </c>
      <c r="L13" s="58">
        <f t="shared" si="8"/>
        <v>0</v>
      </c>
      <c r="M13" s="53">
        <f t="shared" si="9"/>
        <v>0</v>
      </c>
      <c r="N13" s="53">
        <f t="shared" si="10"/>
        <v>38.46153846153846</v>
      </c>
      <c r="O13" s="53">
        <v>0</v>
      </c>
      <c r="P13" s="53">
        <v>0</v>
      </c>
      <c r="Q13" s="25">
        <v>0</v>
      </c>
      <c r="R13" s="24">
        <f t="shared" si="0"/>
        <v>0</v>
      </c>
      <c r="S13" s="24">
        <f t="shared" si="1"/>
        <v>0</v>
      </c>
      <c r="T13" s="27"/>
      <c r="U13" s="24">
        <v>7</v>
      </c>
      <c r="V13" s="24">
        <v>10</v>
      </c>
      <c r="W13" s="26">
        <f t="shared" si="11"/>
        <v>125</v>
      </c>
      <c r="X13" s="24">
        <f t="shared" si="12"/>
        <v>5.2438000000000002</v>
      </c>
      <c r="Y13" s="26"/>
      <c r="Z13" s="54">
        <f t="shared" si="13"/>
        <v>262.19</v>
      </c>
      <c r="AA13" s="28">
        <f t="shared" si="2"/>
        <v>130.24379999999999</v>
      </c>
      <c r="AB13" s="54">
        <f t="shared" si="3"/>
        <v>131.94</v>
      </c>
      <c r="AC13" s="29">
        <f t="shared" si="4"/>
        <v>131</v>
      </c>
      <c r="AD13" s="24">
        <f t="shared" si="5"/>
        <v>3800</v>
      </c>
      <c r="AE13" s="30"/>
      <c r="AF13" s="73">
        <f t="shared" si="6"/>
        <v>5.2438000000000002</v>
      </c>
    </row>
    <row r="14" spans="1:32" s="31" customFormat="1" ht="93.75" customHeight="1" x14ac:dyDescent="0.25">
      <c r="A14" s="43" t="s">
        <v>157</v>
      </c>
      <c r="B14" s="64" t="s">
        <v>158</v>
      </c>
      <c r="C14" s="56" t="s">
        <v>308</v>
      </c>
      <c r="D14" s="48">
        <v>250</v>
      </c>
      <c r="E14" s="20">
        <v>22</v>
      </c>
      <c r="F14" s="57"/>
      <c r="G14" s="22"/>
      <c r="H14" s="23"/>
      <c r="I14" s="22"/>
      <c r="J14" s="22">
        <v>4</v>
      </c>
      <c r="K14" s="52">
        <f t="shared" si="7"/>
        <v>211.53846153846152</v>
      </c>
      <c r="L14" s="58">
        <f t="shared" si="8"/>
        <v>0</v>
      </c>
      <c r="M14" s="53">
        <f t="shared" si="9"/>
        <v>0</v>
      </c>
      <c r="N14" s="53">
        <f t="shared" si="10"/>
        <v>38.46153846153846</v>
      </c>
      <c r="O14" s="53">
        <v>0</v>
      </c>
      <c r="P14" s="53">
        <v>0</v>
      </c>
      <c r="Q14" s="25">
        <v>0</v>
      </c>
      <c r="R14" s="24">
        <f t="shared" si="0"/>
        <v>0</v>
      </c>
      <c r="S14" s="24">
        <f t="shared" si="1"/>
        <v>0</v>
      </c>
      <c r="T14" s="27"/>
      <c r="U14" s="24">
        <v>10</v>
      </c>
      <c r="V14" s="24">
        <v>10</v>
      </c>
      <c r="W14" s="26">
        <f t="shared" si="11"/>
        <v>125</v>
      </c>
      <c r="X14" s="24">
        <f t="shared" si="12"/>
        <v>5.4</v>
      </c>
      <c r="Y14" s="26"/>
      <c r="Z14" s="54">
        <f t="shared" si="13"/>
        <v>270</v>
      </c>
      <c r="AA14" s="28">
        <f t="shared" si="2"/>
        <v>130.4</v>
      </c>
      <c r="AB14" s="54">
        <f t="shared" si="3"/>
        <v>139.6</v>
      </c>
      <c r="AC14" s="29">
        <f t="shared" si="4"/>
        <v>139</v>
      </c>
      <c r="AD14" s="24">
        <f t="shared" si="5"/>
        <v>2400</v>
      </c>
      <c r="AE14" s="30"/>
      <c r="AF14" s="73">
        <f t="shared" si="6"/>
        <v>5.4</v>
      </c>
    </row>
    <row r="15" spans="1:32" s="31" customFormat="1" ht="93.75" customHeight="1" x14ac:dyDescent="0.25">
      <c r="A15" s="43" t="s">
        <v>159</v>
      </c>
      <c r="B15" s="64" t="s">
        <v>160</v>
      </c>
      <c r="C15" s="56" t="s">
        <v>308</v>
      </c>
      <c r="D15" s="48">
        <v>270</v>
      </c>
      <c r="E15" s="20">
        <v>22</v>
      </c>
      <c r="F15" s="57"/>
      <c r="G15" s="22"/>
      <c r="H15" s="23"/>
      <c r="I15" s="22"/>
      <c r="J15" s="22">
        <v>4</v>
      </c>
      <c r="K15" s="52">
        <f t="shared" si="7"/>
        <v>228.46153846153848</v>
      </c>
      <c r="L15" s="58">
        <f t="shared" si="8"/>
        <v>0</v>
      </c>
      <c r="M15" s="53">
        <f t="shared" si="9"/>
        <v>0</v>
      </c>
      <c r="N15" s="53">
        <f t="shared" si="10"/>
        <v>41.53846153846154</v>
      </c>
      <c r="O15" s="53">
        <v>0</v>
      </c>
      <c r="P15" s="53">
        <v>0</v>
      </c>
      <c r="Q15" s="25">
        <v>0</v>
      </c>
      <c r="R15" s="24">
        <f t="shared" si="0"/>
        <v>0</v>
      </c>
      <c r="S15" s="24">
        <f t="shared" si="1"/>
        <v>0</v>
      </c>
      <c r="T15" s="27"/>
      <c r="U15" s="24">
        <v>10</v>
      </c>
      <c r="V15" s="24">
        <v>10</v>
      </c>
      <c r="W15" s="26">
        <f t="shared" si="11"/>
        <v>135</v>
      </c>
      <c r="X15" s="24">
        <f t="shared" si="12"/>
        <v>5.8</v>
      </c>
      <c r="Y15" s="26"/>
      <c r="Z15" s="54">
        <f t="shared" si="13"/>
        <v>290</v>
      </c>
      <c r="AA15" s="28">
        <f t="shared" si="2"/>
        <v>140.80000000000001</v>
      </c>
      <c r="AB15" s="54">
        <f t="shared" si="3"/>
        <v>149.19999999999999</v>
      </c>
      <c r="AC15" s="29">
        <f t="shared" si="4"/>
        <v>149</v>
      </c>
      <c r="AD15" s="24">
        <f t="shared" si="5"/>
        <v>800</v>
      </c>
      <c r="AE15" s="30"/>
      <c r="AF15" s="73">
        <f t="shared" si="6"/>
        <v>5.8</v>
      </c>
    </row>
    <row r="16" spans="1:32" s="31" customFormat="1" ht="93.75" customHeight="1" x14ac:dyDescent="0.25">
      <c r="A16" s="43" t="s">
        <v>161</v>
      </c>
      <c r="B16" s="64" t="s">
        <v>41</v>
      </c>
      <c r="C16" s="56" t="s">
        <v>308</v>
      </c>
      <c r="D16" s="48">
        <v>280</v>
      </c>
      <c r="E16" s="20">
        <v>21</v>
      </c>
      <c r="F16" s="57">
        <v>1</v>
      </c>
      <c r="G16" s="22"/>
      <c r="H16" s="23"/>
      <c r="I16" s="22"/>
      <c r="J16" s="22">
        <v>4</v>
      </c>
      <c r="K16" s="52">
        <f t="shared" si="7"/>
        <v>226.15384615384616</v>
      </c>
      <c r="L16" s="58">
        <f t="shared" si="8"/>
        <v>0</v>
      </c>
      <c r="M16" s="53">
        <f t="shared" si="9"/>
        <v>0</v>
      </c>
      <c r="N16" s="53">
        <f t="shared" si="10"/>
        <v>43.07692307692308</v>
      </c>
      <c r="O16" s="53">
        <v>0</v>
      </c>
      <c r="P16" s="53">
        <v>0</v>
      </c>
      <c r="Q16" s="25">
        <v>0</v>
      </c>
      <c r="R16" s="24">
        <f t="shared" si="0"/>
        <v>0</v>
      </c>
      <c r="S16" s="24">
        <f t="shared" si="1"/>
        <v>0</v>
      </c>
      <c r="T16" s="27"/>
      <c r="U16" s="24">
        <v>7</v>
      </c>
      <c r="V16" s="24">
        <v>10</v>
      </c>
      <c r="W16" s="26">
        <f t="shared" si="11"/>
        <v>140</v>
      </c>
      <c r="X16" s="24">
        <f t="shared" si="12"/>
        <v>5.7246000000000006</v>
      </c>
      <c r="Y16" s="26"/>
      <c r="Z16" s="54">
        <f t="shared" si="13"/>
        <v>286.23</v>
      </c>
      <c r="AA16" s="28">
        <f t="shared" si="2"/>
        <v>145.72460000000001</v>
      </c>
      <c r="AB16" s="54">
        <f t="shared" si="3"/>
        <v>140.5</v>
      </c>
      <c r="AC16" s="29">
        <f t="shared" si="4"/>
        <v>140</v>
      </c>
      <c r="AD16" s="24">
        <f t="shared" si="5"/>
        <v>2000</v>
      </c>
      <c r="AE16" s="30"/>
      <c r="AF16" s="73">
        <f t="shared" si="6"/>
        <v>5.7246000000000006</v>
      </c>
    </row>
    <row r="17" spans="1:32" s="31" customFormat="1" ht="93.75" customHeight="1" x14ac:dyDescent="0.25">
      <c r="A17" s="68" t="s">
        <v>162</v>
      </c>
      <c r="B17" s="64" t="s">
        <v>163</v>
      </c>
      <c r="C17" s="56" t="s">
        <v>308</v>
      </c>
      <c r="D17" s="48">
        <v>280</v>
      </c>
      <c r="E17" s="20">
        <v>21</v>
      </c>
      <c r="F17" s="57">
        <v>1</v>
      </c>
      <c r="G17" s="22"/>
      <c r="H17" s="23"/>
      <c r="I17" s="22"/>
      <c r="J17" s="22">
        <v>4</v>
      </c>
      <c r="K17" s="52">
        <f t="shared" si="7"/>
        <v>226.15384615384616</v>
      </c>
      <c r="L17" s="58">
        <f t="shared" si="8"/>
        <v>0</v>
      </c>
      <c r="M17" s="53">
        <f t="shared" si="9"/>
        <v>0</v>
      </c>
      <c r="N17" s="53">
        <f t="shared" si="10"/>
        <v>43.07692307692308</v>
      </c>
      <c r="O17" s="53">
        <v>0</v>
      </c>
      <c r="P17" s="53">
        <v>0</v>
      </c>
      <c r="Q17" s="25">
        <v>0</v>
      </c>
      <c r="R17" s="24">
        <f t="shared" si="0"/>
        <v>0</v>
      </c>
      <c r="S17" s="24">
        <f t="shared" si="1"/>
        <v>0</v>
      </c>
      <c r="T17" s="27"/>
      <c r="U17" s="24">
        <v>4</v>
      </c>
      <c r="V17" s="24">
        <v>10</v>
      </c>
      <c r="W17" s="26">
        <f t="shared" si="11"/>
        <v>140</v>
      </c>
      <c r="X17" s="24">
        <f t="shared" si="12"/>
        <v>5.6646000000000001</v>
      </c>
      <c r="Y17" s="26"/>
      <c r="Z17" s="54">
        <f t="shared" si="13"/>
        <v>283.23</v>
      </c>
      <c r="AA17" s="28">
        <f t="shared" si="2"/>
        <v>145.66460000000001</v>
      </c>
      <c r="AB17" s="54">
        <f t="shared" si="3"/>
        <v>137.56</v>
      </c>
      <c r="AC17" s="29">
        <f t="shared" si="4"/>
        <v>137</v>
      </c>
      <c r="AD17" s="24">
        <f t="shared" si="5"/>
        <v>2200</v>
      </c>
      <c r="AE17" s="30"/>
      <c r="AF17" s="73">
        <f t="shared" si="6"/>
        <v>5.6646000000000001</v>
      </c>
    </row>
    <row r="18" spans="1:32" s="31" customFormat="1" ht="93.75" customHeight="1" x14ac:dyDescent="0.25">
      <c r="A18" s="19" t="s">
        <v>538</v>
      </c>
      <c r="B18" s="82" t="s">
        <v>539</v>
      </c>
      <c r="C18" s="56" t="s">
        <v>487</v>
      </c>
      <c r="D18" s="48">
        <v>280</v>
      </c>
      <c r="E18" s="20">
        <v>22</v>
      </c>
      <c r="F18" s="57"/>
      <c r="G18" s="22"/>
      <c r="H18" s="23"/>
      <c r="I18" s="22"/>
      <c r="J18" s="22">
        <v>4</v>
      </c>
      <c r="K18" s="52">
        <f t="shared" si="7"/>
        <v>236.92307692307693</v>
      </c>
      <c r="L18" s="58">
        <f t="shared" si="8"/>
        <v>0</v>
      </c>
      <c r="M18" s="53">
        <f t="shared" si="9"/>
        <v>0</v>
      </c>
      <c r="N18" s="53">
        <f t="shared" si="10"/>
        <v>43.07692307692308</v>
      </c>
      <c r="O18" s="53">
        <v>0</v>
      </c>
      <c r="P18" s="53">
        <v>0</v>
      </c>
      <c r="Q18" s="25">
        <v>0</v>
      </c>
      <c r="R18" s="24">
        <f t="shared" ref="R18:R19" si="14">D18/26*Q18/2</f>
        <v>0</v>
      </c>
      <c r="S18" s="24">
        <f t="shared" ref="S18:S19" si="15">((H18)*1500/4000)</f>
        <v>0</v>
      </c>
      <c r="T18" s="27"/>
      <c r="U18" s="24">
        <v>10</v>
      </c>
      <c r="V18" s="24">
        <v>10</v>
      </c>
      <c r="W18" s="26">
        <f t="shared" si="11"/>
        <v>140</v>
      </c>
      <c r="X18" s="24">
        <f t="shared" si="12"/>
        <v>6</v>
      </c>
      <c r="Y18" s="26"/>
      <c r="Z18" s="54">
        <f t="shared" si="13"/>
        <v>300</v>
      </c>
      <c r="AA18" s="28">
        <f t="shared" ref="AA18:AA19" si="16">W18+X18+Y18</f>
        <v>146</v>
      </c>
      <c r="AB18" s="54">
        <f t="shared" ref="AB18:AB19" si="17">INT((Z18-AA18)*100)/100</f>
        <v>154</v>
      </c>
      <c r="AC18" s="29">
        <f t="shared" ref="AC18:AC19" si="18">INT(AB18)</f>
        <v>154</v>
      </c>
      <c r="AD18" s="24">
        <f t="shared" ref="AD18:AD19" si="19">INT((AB18-AC18)*40+0.5)*100</f>
        <v>0</v>
      </c>
      <c r="AE18" s="30"/>
      <c r="AF18" s="73">
        <f t="shared" ref="AF18:AF19" si="20">(Z18*0.04)/2</f>
        <v>6</v>
      </c>
    </row>
    <row r="19" spans="1:32" s="31" customFormat="1" ht="93.75" customHeight="1" x14ac:dyDescent="0.25">
      <c r="A19" s="19" t="s">
        <v>76</v>
      </c>
      <c r="B19" s="72" t="s">
        <v>95</v>
      </c>
      <c r="C19" s="56" t="s">
        <v>308</v>
      </c>
      <c r="D19" s="48">
        <v>250</v>
      </c>
      <c r="E19" s="20">
        <v>22</v>
      </c>
      <c r="F19" s="57"/>
      <c r="G19" s="22"/>
      <c r="H19" s="23"/>
      <c r="I19" s="22"/>
      <c r="J19" s="22">
        <v>4</v>
      </c>
      <c r="K19" s="52">
        <f t="shared" ref="K19" si="21">D19/26*E19</f>
        <v>211.53846153846152</v>
      </c>
      <c r="L19" s="58">
        <f t="shared" ref="L19" si="22">D19/208*H19*1.5</f>
        <v>0</v>
      </c>
      <c r="M19" s="53">
        <f t="shared" ref="M19" si="23">D19/26*I19*2</f>
        <v>0</v>
      </c>
      <c r="N19" s="53">
        <f t="shared" ref="N19" si="24">D19/26*J19</f>
        <v>38.46153846153846</v>
      </c>
      <c r="O19" s="53">
        <v>0</v>
      </c>
      <c r="P19" s="53">
        <v>0</v>
      </c>
      <c r="Q19" s="25">
        <v>0</v>
      </c>
      <c r="R19" s="24">
        <f t="shared" si="14"/>
        <v>0</v>
      </c>
      <c r="S19" s="24">
        <f t="shared" si="15"/>
        <v>0</v>
      </c>
      <c r="T19" s="27"/>
      <c r="U19" s="24">
        <v>10</v>
      </c>
      <c r="V19" s="24">
        <v>10</v>
      </c>
      <c r="W19" s="26">
        <f t="shared" ref="W19" si="25">D19/2</f>
        <v>125</v>
      </c>
      <c r="X19" s="24">
        <f t="shared" si="12"/>
        <v>5.4</v>
      </c>
      <c r="Y19" s="26"/>
      <c r="Z19" s="54">
        <f t="shared" ref="Z19" si="26">INT((K19+L19+M19+N19+R19+S19+U19+V19+T19+O19)*100)/100</f>
        <v>270</v>
      </c>
      <c r="AA19" s="28">
        <f t="shared" si="16"/>
        <v>130.4</v>
      </c>
      <c r="AB19" s="54">
        <f t="shared" si="17"/>
        <v>139.6</v>
      </c>
      <c r="AC19" s="29">
        <f t="shared" si="18"/>
        <v>139</v>
      </c>
      <c r="AD19" s="24">
        <f t="shared" si="19"/>
        <v>2400</v>
      </c>
      <c r="AE19" s="30"/>
      <c r="AF19" s="73">
        <f t="shared" si="20"/>
        <v>5.4</v>
      </c>
    </row>
    <row r="20" spans="1:32" s="31" customFormat="1" ht="93.75" customHeight="1" x14ac:dyDescent="0.25">
      <c r="A20" s="19" t="s">
        <v>661</v>
      </c>
      <c r="B20" s="72" t="s">
        <v>662</v>
      </c>
      <c r="C20" s="56" t="s">
        <v>663</v>
      </c>
      <c r="D20" s="48">
        <v>280</v>
      </c>
      <c r="E20" s="20">
        <v>22</v>
      </c>
      <c r="F20" s="57"/>
      <c r="G20" s="22"/>
      <c r="H20" s="23"/>
      <c r="I20" s="22"/>
      <c r="J20" s="22">
        <v>4</v>
      </c>
      <c r="K20" s="52">
        <f t="shared" si="7"/>
        <v>236.92307692307693</v>
      </c>
      <c r="L20" s="58">
        <f>D20/208*H20*1.5</f>
        <v>0</v>
      </c>
      <c r="M20" s="53">
        <f t="shared" si="9"/>
        <v>0</v>
      </c>
      <c r="N20" s="53">
        <f>D20/26*J20</f>
        <v>43.07692307692308</v>
      </c>
      <c r="O20" s="53">
        <v>0</v>
      </c>
      <c r="P20" s="53">
        <v>0</v>
      </c>
      <c r="Q20" s="25">
        <v>0</v>
      </c>
      <c r="R20" s="24">
        <f>D20/26*Q20/2</f>
        <v>0</v>
      </c>
      <c r="S20" s="24">
        <f>((H20)*1500/4000)</f>
        <v>0</v>
      </c>
      <c r="T20" s="27"/>
      <c r="U20" s="24">
        <v>10</v>
      </c>
      <c r="V20" s="24">
        <v>10</v>
      </c>
      <c r="W20" s="26">
        <f t="shared" si="11"/>
        <v>140</v>
      </c>
      <c r="X20" s="24">
        <f t="shared" si="12"/>
        <v>6</v>
      </c>
      <c r="Y20" s="26"/>
      <c r="Z20" s="54">
        <f t="shared" si="13"/>
        <v>300</v>
      </c>
      <c r="AA20" s="28">
        <f t="shared" si="2"/>
        <v>146</v>
      </c>
      <c r="AB20" s="54">
        <f t="shared" si="3"/>
        <v>154</v>
      </c>
      <c r="AC20" s="29">
        <f t="shared" si="4"/>
        <v>154</v>
      </c>
      <c r="AD20" s="24">
        <f t="shared" si="5"/>
        <v>0</v>
      </c>
      <c r="AE20" s="30"/>
      <c r="AF20" s="73">
        <f t="shared" si="6"/>
        <v>6</v>
      </c>
    </row>
    <row r="21" spans="1:32" s="36" customFormat="1" ht="27.75" customHeight="1" thickBot="1" x14ac:dyDescent="0.3">
      <c r="A21" s="107" t="s">
        <v>33</v>
      </c>
      <c r="B21" s="108"/>
      <c r="C21" s="32"/>
      <c r="D21" s="33"/>
      <c r="E21" s="34">
        <f t="shared" ref="E21:AD21" si="27">SUM(E8:E20)</f>
        <v>279.5</v>
      </c>
      <c r="F21" s="34">
        <f t="shared" si="27"/>
        <v>6.5</v>
      </c>
      <c r="G21" s="34">
        <f t="shared" si="27"/>
        <v>0</v>
      </c>
      <c r="H21" s="34">
        <f t="shared" si="27"/>
        <v>0</v>
      </c>
      <c r="I21" s="34">
        <f t="shared" si="27"/>
        <v>0</v>
      </c>
      <c r="J21" s="34">
        <f t="shared" si="27"/>
        <v>52</v>
      </c>
      <c r="K21" s="34">
        <f t="shared" si="27"/>
        <v>2962.8846153846157</v>
      </c>
      <c r="L21" s="34">
        <f t="shared" si="27"/>
        <v>0</v>
      </c>
      <c r="M21" s="34">
        <f t="shared" si="27"/>
        <v>0</v>
      </c>
      <c r="N21" s="34">
        <f t="shared" si="27"/>
        <v>550.76923076923083</v>
      </c>
      <c r="O21" s="34">
        <f t="shared" si="27"/>
        <v>0</v>
      </c>
      <c r="P21" s="34">
        <f t="shared" si="27"/>
        <v>10.4</v>
      </c>
      <c r="Q21" s="34">
        <f t="shared" si="27"/>
        <v>0</v>
      </c>
      <c r="R21" s="34">
        <f t="shared" si="27"/>
        <v>0</v>
      </c>
      <c r="S21" s="34">
        <f t="shared" si="27"/>
        <v>0</v>
      </c>
      <c r="T21" s="34">
        <f t="shared" si="27"/>
        <v>0</v>
      </c>
      <c r="U21" s="34">
        <f t="shared" si="27"/>
        <v>102</v>
      </c>
      <c r="V21" s="34">
        <f t="shared" si="27"/>
        <v>130</v>
      </c>
      <c r="W21" s="34">
        <f t="shared" si="27"/>
        <v>1790</v>
      </c>
      <c r="X21" s="34">
        <f t="shared" si="27"/>
        <v>73.112800000000007</v>
      </c>
      <c r="Y21" s="34">
        <f t="shared" si="27"/>
        <v>0</v>
      </c>
      <c r="Z21" s="34">
        <f t="shared" si="27"/>
        <v>3745.6400000000003</v>
      </c>
      <c r="AA21" s="34">
        <f t="shared" si="27"/>
        <v>1863.1128000000001</v>
      </c>
      <c r="AB21" s="34">
        <f t="shared" si="27"/>
        <v>1882.4999999999998</v>
      </c>
      <c r="AC21" s="34">
        <f t="shared" si="27"/>
        <v>1877</v>
      </c>
      <c r="AD21" s="34">
        <f t="shared" si="27"/>
        <v>22000</v>
      </c>
      <c r="AE21" s="35"/>
    </row>
    <row r="22" spans="1:32" ht="21.75" customHeight="1" thickTop="1" x14ac:dyDescent="0.2">
      <c r="A22" s="109" t="s">
        <v>34</v>
      </c>
      <c r="B22" s="109"/>
      <c r="C22" s="109"/>
      <c r="D22" s="37"/>
      <c r="E22" s="37"/>
      <c r="F22" s="37"/>
      <c r="G22" s="37"/>
      <c r="H22" s="110"/>
      <c r="I22" s="110"/>
      <c r="J22" s="110"/>
      <c r="K22" s="38"/>
      <c r="L22" s="110" t="s">
        <v>35</v>
      </c>
      <c r="M22" s="110"/>
      <c r="N22" s="110"/>
      <c r="O22" s="85"/>
      <c r="P22" s="85"/>
      <c r="Q22" s="38"/>
      <c r="R22" s="38"/>
      <c r="U22" s="39"/>
      <c r="V22" s="39"/>
      <c r="Z22" s="39"/>
      <c r="AA22" s="39"/>
      <c r="AB22" s="111" t="s">
        <v>36</v>
      </c>
      <c r="AC22" s="111"/>
      <c r="AD22" s="111"/>
      <c r="AE22" s="40"/>
    </row>
    <row r="23" spans="1:32" ht="21" customHeight="1" x14ac:dyDescent="0.2">
      <c r="A23" s="41"/>
      <c r="B23" s="41"/>
      <c r="C23" s="41"/>
      <c r="D23" s="41"/>
      <c r="E23" s="41"/>
      <c r="G23" s="41"/>
      <c r="H23" s="41"/>
    </row>
    <row r="24" spans="1:32" ht="13.5" customHeight="1" x14ac:dyDescent="0.2">
      <c r="A24" s="41"/>
      <c r="B24" s="41"/>
      <c r="C24" s="41"/>
      <c r="D24" s="41"/>
      <c r="E24" s="41"/>
      <c r="G24" s="41"/>
      <c r="H24" s="41"/>
    </row>
    <row r="25" spans="1:32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2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2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2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2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2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2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2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1:31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1:31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1:31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1:31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1:31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1:31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1:31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1:31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1:31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1:31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1:31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1:31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1:31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1:31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1:31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1:31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1:31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1:31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1:31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1:31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1:31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1:31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1:31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1:31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1:31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1:31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1:31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1:31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1:31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1:31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1:31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1:31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1:31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1:31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1:31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1:31" s="41" customFormat="1" x14ac:dyDescent="0.2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1:31" s="41" customFormat="1" x14ac:dyDescent="0.2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1:31" s="41" customFormat="1" x14ac:dyDescent="0.2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1:31" s="41" customFormat="1" x14ac:dyDescent="0.2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1:31" s="41" customFormat="1" x14ac:dyDescent="0.2"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1:31" s="41" customFormat="1" x14ac:dyDescent="0.2"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1:31" s="41" customFormat="1" x14ac:dyDescent="0.2"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1:31" s="41" customFormat="1" x14ac:dyDescent="0.2"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1:31" s="41" customFormat="1" x14ac:dyDescent="0.2"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</sheetData>
  <mergeCells count="12">
    <mergeCell ref="A1:AE1"/>
    <mergeCell ref="A2:AE2"/>
    <mergeCell ref="A3:AE3"/>
    <mergeCell ref="A4:B4"/>
    <mergeCell ref="B5:B6"/>
    <mergeCell ref="Q5:R5"/>
    <mergeCell ref="AE5:AE6"/>
    <mergeCell ref="A21:B21"/>
    <mergeCell ref="A22:C22"/>
    <mergeCell ref="H22:J22"/>
    <mergeCell ref="L22:N22"/>
    <mergeCell ref="AB22:AD22"/>
  </mergeCells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F6E8-6EBE-4718-8FD1-1921AEEFEDA1}">
  <sheetPr>
    <tabColor theme="7" tint="0.39997558519241921"/>
  </sheetPr>
  <dimension ref="A1:AE66"/>
  <sheetViews>
    <sheetView zoomScale="106" zoomScaleNormal="106" workbookViewId="0">
      <pane ySplit="7" topLeftCell="A8" activePane="bottomLeft" state="frozen"/>
      <selection activeCell="X8" sqref="X8"/>
      <selection pane="bottomLeft" activeCell="P8" sqref="P8"/>
    </sheetView>
  </sheetViews>
  <sheetFormatPr defaultColWidth="9.140625" defaultRowHeight="12.75" x14ac:dyDescent="0.2"/>
  <cols>
    <col min="1" max="1" width="7.5703125" style="1" customWidth="1"/>
    <col min="2" max="2" width="7.8554687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7.140625" style="1" customWidth="1"/>
    <col min="12" max="18" width="5.42578125" style="1" customWidth="1"/>
    <col min="19" max="24" width="6" style="1" customWidth="1"/>
    <col min="25" max="29" width="6.7109375" style="1" customWidth="1"/>
    <col min="30" max="30" width="13.5703125" style="1" customWidth="1"/>
    <col min="31" max="16384" width="9.140625" style="1"/>
  </cols>
  <sheetData>
    <row r="1" spans="1:31" ht="26.25" customHeight="1" x14ac:dyDescent="0.85">
      <c r="A1" s="112" t="s">
        <v>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93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4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543</v>
      </c>
      <c r="B4" s="118"/>
      <c r="C4" s="2">
        <f>COUNTA(B8:B10)</f>
        <v>3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40.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21" t="s">
        <v>11</v>
      </c>
      <c r="Q5" s="122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40.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103.5" customHeight="1" x14ac:dyDescent="0.25">
      <c r="A8" s="43" t="s">
        <v>50</v>
      </c>
      <c r="B8" s="64" t="s">
        <v>51</v>
      </c>
      <c r="C8" s="56" t="s">
        <v>308</v>
      </c>
      <c r="D8" s="48">
        <v>236</v>
      </c>
      <c r="E8" s="20">
        <v>21</v>
      </c>
      <c r="F8" s="57">
        <v>1</v>
      </c>
      <c r="G8" s="22"/>
      <c r="H8" s="23"/>
      <c r="I8" s="22"/>
      <c r="J8" s="22">
        <v>4</v>
      </c>
      <c r="K8" s="52">
        <f>D8/26*E8</f>
        <v>190.61538461538461</v>
      </c>
      <c r="L8" s="58">
        <f>D8/208*H8*1.5</f>
        <v>0</v>
      </c>
      <c r="M8" s="53">
        <f t="shared" ref="M8" si="0">D8/26*I8*2</f>
        <v>0</v>
      </c>
      <c r="N8" s="53">
        <f>D8/26*J8</f>
        <v>36.307692307692307</v>
      </c>
      <c r="O8" s="53">
        <v>0</v>
      </c>
      <c r="P8" s="25">
        <v>0</v>
      </c>
      <c r="Q8" s="24">
        <f t="shared" ref="Q8:Q10" si="1">D8/26*P8/2</f>
        <v>0</v>
      </c>
      <c r="R8" s="24">
        <f>((H8)*1500/4000)</f>
        <v>0</v>
      </c>
      <c r="S8" s="27"/>
      <c r="T8" s="24">
        <v>7</v>
      </c>
      <c r="U8" s="24">
        <v>10</v>
      </c>
      <c r="V8" s="26">
        <f>D8/2</f>
        <v>118</v>
      </c>
      <c r="W8" s="24">
        <f>AE8</f>
        <v>4.8784000000000001</v>
      </c>
      <c r="X8" s="26"/>
      <c r="Y8" s="54">
        <f>INT((K8+L8+M8+N8+Q8+R8+T8+U8+S8+O8)*100)/100</f>
        <v>243.92</v>
      </c>
      <c r="Z8" s="28">
        <f>V8+W8+X8</f>
        <v>122.8784</v>
      </c>
      <c r="AA8" s="54">
        <f>INT((Y8-Z8)*100)/100</f>
        <v>121.04</v>
      </c>
      <c r="AB8" s="29">
        <f>INT(AA8)</f>
        <v>121</v>
      </c>
      <c r="AC8" s="24">
        <f>INT((AA8-AB8)*40+0.5)*100</f>
        <v>200</v>
      </c>
      <c r="AD8" s="30"/>
      <c r="AE8" s="73">
        <f>(Y8*0.04)/2</f>
        <v>4.8784000000000001</v>
      </c>
    </row>
    <row r="9" spans="1:31" s="31" customFormat="1" ht="103.5" customHeight="1" x14ac:dyDescent="0.25">
      <c r="A9" s="43" t="s">
        <v>52</v>
      </c>
      <c r="B9" s="64" t="s">
        <v>164</v>
      </c>
      <c r="C9" s="56" t="s">
        <v>308</v>
      </c>
      <c r="D9" s="48">
        <v>236</v>
      </c>
      <c r="E9" s="20">
        <v>21</v>
      </c>
      <c r="F9" s="57">
        <v>1</v>
      </c>
      <c r="G9" s="22"/>
      <c r="H9" s="23"/>
      <c r="I9" s="22"/>
      <c r="J9" s="22">
        <v>4</v>
      </c>
      <c r="K9" s="52">
        <f t="shared" ref="K9:K10" si="2">D9/26*E9</f>
        <v>190.61538461538461</v>
      </c>
      <c r="L9" s="58">
        <f>D9/208*H9*1.5</f>
        <v>0</v>
      </c>
      <c r="M9" s="53">
        <f t="shared" ref="M9:M10" si="3">D9/26*I9*2</f>
        <v>0</v>
      </c>
      <c r="N9" s="53">
        <f t="shared" ref="N9:N10" si="4">D9/26*J9</f>
        <v>36.307692307692307</v>
      </c>
      <c r="O9" s="53">
        <v>0</v>
      </c>
      <c r="P9" s="25">
        <v>0</v>
      </c>
      <c r="Q9" s="24">
        <f t="shared" si="1"/>
        <v>0</v>
      </c>
      <c r="R9" s="24">
        <f>((H9)*1500/4000)</f>
        <v>0</v>
      </c>
      <c r="S9" s="27"/>
      <c r="T9" s="24">
        <v>7</v>
      </c>
      <c r="U9" s="24">
        <v>10</v>
      </c>
      <c r="V9" s="26">
        <f t="shared" ref="V9:V10" si="5">D9/2</f>
        <v>118</v>
      </c>
      <c r="W9" s="24">
        <f>AE9</f>
        <v>4.8784000000000001</v>
      </c>
      <c r="X9" s="26"/>
      <c r="Y9" s="54">
        <f>INT((K9+L9+M9+N9+Q9+R9+T9+U9+S9+O9)*100)/100</f>
        <v>243.92</v>
      </c>
      <c r="Z9" s="28">
        <f>V9+W9+X9</f>
        <v>122.8784</v>
      </c>
      <c r="AA9" s="54">
        <f>INT((Y9-Z9)*100)/100</f>
        <v>121.04</v>
      </c>
      <c r="AB9" s="29">
        <f>INT(AA9)</f>
        <v>121</v>
      </c>
      <c r="AC9" s="24">
        <f>INT((AA9-AB9)*40+0.5)*100</f>
        <v>200</v>
      </c>
      <c r="AD9" s="30"/>
      <c r="AE9" s="73">
        <f>(Y9*0.04)/2</f>
        <v>4.8784000000000001</v>
      </c>
    </row>
    <row r="10" spans="1:31" s="31" customFormat="1" ht="103.5" customHeight="1" x14ac:dyDescent="0.25">
      <c r="A10" s="43" t="s">
        <v>53</v>
      </c>
      <c r="B10" s="64" t="s">
        <v>540</v>
      </c>
      <c r="C10" s="56" t="s">
        <v>308</v>
      </c>
      <c r="D10" s="48">
        <v>236</v>
      </c>
      <c r="E10" s="20">
        <v>20</v>
      </c>
      <c r="F10" s="57">
        <v>2</v>
      </c>
      <c r="G10" s="22"/>
      <c r="H10" s="23"/>
      <c r="I10" s="22"/>
      <c r="J10" s="22">
        <v>4</v>
      </c>
      <c r="K10" s="52">
        <f t="shared" si="2"/>
        <v>181.53846153846155</v>
      </c>
      <c r="L10" s="58">
        <f>D10/208*H10*1.5</f>
        <v>0</v>
      </c>
      <c r="M10" s="53">
        <f t="shared" si="3"/>
        <v>0</v>
      </c>
      <c r="N10" s="53">
        <f t="shared" si="4"/>
        <v>36.307692307692307</v>
      </c>
      <c r="O10" s="53">
        <v>0</v>
      </c>
      <c r="P10" s="25">
        <v>0</v>
      </c>
      <c r="Q10" s="24">
        <f t="shared" si="1"/>
        <v>0</v>
      </c>
      <c r="R10" s="24">
        <f>((H10)*1500/4000)</f>
        <v>0</v>
      </c>
      <c r="S10" s="27"/>
      <c r="T10" s="24">
        <v>4</v>
      </c>
      <c r="U10" s="24">
        <v>10</v>
      </c>
      <c r="V10" s="26">
        <f t="shared" si="5"/>
        <v>118</v>
      </c>
      <c r="W10" s="24">
        <f>AE10</f>
        <v>4.6368</v>
      </c>
      <c r="X10" s="26"/>
      <c r="Y10" s="54">
        <f>INT((K10+L10+M10+N10+Q10+R10+T10+U10+S10+O10)*100)/100</f>
        <v>231.84</v>
      </c>
      <c r="Z10" s="28">
        <f>V10+W10+X10</f>
        <v>122.63679999999999</v>
      </c>
      <c r="AA10" s="54">
        <f>INT((Y10-Z10)*100)/100</f>
        <v>109.2</v>
      </c>
      <c r="AB10" s="29">
        <f>INT(AA10)</f>
        <v>109</v>
      </c>
      <c r="AC10" s="24">
        <f>INT((AA10-AB10)*40+0.5)*100</f>
        <v>800</v>
      </c>
      <c r="AD10" s="30"/>
      <c r="AE10" s="73">
        <f>(Y10*0.04)/2</f>
        <v>4.6368</v>
      </c>
    </row>
    <row r="11" spans="1:31" s="36" customFormat="1" ht="27.75" customHeight="1" thickBot="1" x14ac:dyDescent="0.3">
      <c r="A11" s="107" t="s">
        <v>33</v>
      </c>
      <c r="B11" s="108"/>
      <c r="C11" s="32"/>
      <c r="D11" s="33"/>
      <c r="E11" s="34">
        <f t="shared" ref="E11:AC11" si="6">SUM(E8:E10)</f>
        <v>62</v>
      </c>
      <c r="F11" s="34">
        <f t="shared" si="6"/>
        <v>4</v>
      </c>
      <c r="G11" s="34">
        <f t="shared" si="6"/>
        <v>0</v>
      </c>
      <c r="H11" s="34">
        <f t="shared" si="6"/>
        <v>0</v>
      </c>
      <c r="I11" s="34">
        <f t="shared" si="6"/>
        <v>0</v>
      </c>
      <c r="J11" s="34">
        <f t="shared" si="6"/>
        <v>12</v>
      </c>
      <c r="K11" s="34">
        <f t="shared" si="6"/>
        <v>562.76923076923072</v>
      </c>
      <c r="L11" s="34">
        <f t="shared" si="6"/>
        <v>0</v>
      </c>
      <c r="M11" s="34">
        <f t="shared" si="6"/>
        <v>0</v>
      </c>
      <c r="N11" s="34">
        <f t="shared" si="6"/>
        <v>108.92307692307692</v>
      </c>
      <c r="O11" s="34">
        <f t="shared" si="6"/>
        <v>0</v>
      </c>
      <c r="P11" s="34">
        <f t="shared" si="6"/>
        <v>0</v>
      </c>
      <c r="Q11" s="34">
        <f t="shared" si="6"/>
        <v>0</v>
      </c>
      <c r="R11" s="34">
        <f t="shared" si="6"/>
        <v>0</v>
      </c>
      <c r="S11" s="34">
        <f t="shared" si="6"/>
        <v>0</v>
      </c>
      <c r="T11" s="34">
        <f t="shared" si="6"/>
        <v>18</v>
      </c>
      <c r="U11" s="34">
        <f t="shared" si="6"/>
        <v>30</v>
      </c>
      <c r="V11" s="34">
        <f t="shared" si="6"/>
        <v>354</v>
      </c>
      <c r="W11" s="34">
        <f t="shared" si="6"/>
        <v>14.393599999999999</v>
      </c>
      <c r="X11" s="34">
        <f t="shared" si="6"/>
        <v>0</v>
      </c>
      <c r="Y11" s="34">
        <f t="shared" si="6"/>
        <v>719.68</v>
      </c>
      <c r="Z11" s="34">
        <f t="shared" si="6"/>
        <v>368.39359999999999</v>
      </c>
      <c r="AA11" s="34">
        <f t="shared" si="6"/>
        <v>351.28000000000003</v>
      </c>
      <c r="AB11" s="34">
        <f t="shared" si="6"/>
        <v>351</v>
      </c>
      <c r="AC11" s="34">
        <f t="shared" si="6"/>
        <v>1200</v>
      </c>
      <c r="AD11" s="35"/>
    </row>
    <row r="12" spans="1:31" ht="21.75" customHeight="1" thickTop="1" x14ac:dyDescent="0.2">
      <c r="A12" s="109" t="s">
        <v>34</v>
      </c>
      <c r="B12" s="109"/>
      <c r="C12" s="109"/>
      <c r="D12" s="37"/>
      <c r="E12" s="37"/>
      <c r="F12" s="37"/>
      <c r="G12" s="37"/>
      <c r="H12" s="110"/>
      <c r="I12" s="110"/>
      <c r="J12" s="110"/>
      <c r="K12" s="38"/>
      <c r="L12" s="110" t="s">
        <v>35</v>
      </c>
      <c r="M12" s="110"/>
      <c r="N12" s="110"/>
      <c r="O12" s="85"/>
      <c r="P12" s="38"/>
      <c r="Q12" s="38"/>
      <c r="T12" s="39"/>
      <c r="U12" s="39"/>
      <c r="Y12" s="39"/>
      <c r="Z12" s="39"/>
      <c r="AA12" s="111" t="s">
        <v>36</v>
      </c>
      <c r="AB12" s="111"/>
      <c r="AC12" s="111"/>
      <c r="AD12" s="40"/>
    </row>
    <row r="13" spans="1:31" ht="21" customHeight="1" x14ac:dyDescent="0.2">
      <c r="A13" s="41"/>
      <c r="B13" s="41"/>
      <c r="C13" s="41"/>
      <c r="D13" s="41"/>
      <c r="E13" s="41"/>
      <c r="G13" s="41"/>
      <c r="H13" s="41"/>
    </row>
    <row r="14" spans="1:31" ht="13.5" customHeight="1" x14ac:dyDescent="0.2">
      <c r="A14" s="41"/>
      <c r="B14" s="41"/>
      <c r="C14" s="41"/>
      <c r="D14" s="41"/>
      <c r="E14" s="41"/>
      <c r="G14" s="41"/>
      <c r="H14" s="41"/>
    </row>
    <row r="15" spans="1:31" s="41" customFormat="1" x14ac:dyDescent="0.2"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1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</sheetData>
  <autoFilter ref="A7:AC13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1:B11"/>
    <mergeCell ref="A12:C12"/>
    <mergeCell ref="H12:J12"/>
    <mergeCell ref="L12:N12"/>
    <mergeCell ref="AA12:AC12"/>
  </mergeCells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3FE8F-91D9-40C9-8D09-0E25C9B831DE}">
  <sheetPr>
    <tabColor theme="7" tint="0.39997558519241921"/>
  </sheetPr>
  <dimension ref="A1:AE67"/>
  <sheetViews>
    <sheetView zoomScaleNormal="100" workbookViewId="0">
      <pane ySplit="7" topLeftCell="A8" activePane="bottomLeft" state="frozen"/>
      <selection activeCell="X8" sqref="X8"/>
      <selection pane="bottomLeft" activeCell="T9" sqref="T9"/>
    </sheetView>
  </sheetViews>
  <sheetFormatPr defaultColWidth="9.140625" defaultRowHeight="12.75" x14ac:dyDescent="0.2"/>
  <cols>
    <col min="1" max="1" width="7.5703125" style="1" customWidth="1"/>
    <col min="2" max="2" width="10.285156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9" width="4.5703125" style="41" customWidth="1"/>
    <col min="10" max="10" width="5.5703125" style="41" customWidth="1"/>
    <col min="11" max="11" width="6.28515625" style="1" customWidth="1"/>
    <col min="12" max="18" width="5.42578125" style="1" customWidth="1"/>
    <col min="19" max="19" width="4.7109375" style="1" customWidth="1"/>
    <col min="20" max="21" width="6" style="1" customWidth="1"/>
    <col min="22" max="22" width="5.42578125" style="1" customWidth="1"/>
    <col min="23" max="23" width="5.140625" style="1" customWidth="1"/>
    <col min="24" max="24" width="6" style="1" customWidth="1"/>
    <col min="25" max="26" width="6.7109375" style="1" customWidth="1"/>
    <col min="27" max="27" width="5.5703125" style="1" customWidth="1"/>
    <col min="28" max="29" width="6.7109375" style="1" customWidth="1"/>
    <col min="30" max="30" width="14.85546875" style="1" customWidth="1"/>
    <col min="31" max="16384" width="9.140625" style="1"/>
  </cols>
  <sheetData>
    <row r="1" spans="1:31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399</v>
      </c>
      <c r="B4" s="118"/>
      <c r="C4" s="2">
        <f>COUNTA(B8:B11)</f>
        <v>4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33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33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22.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105" customHeight="1" x14ac:dyDescent="0.25">
      <c r="A8" s="43" t="s">
        <v>46</v>
      </c>
      <c r="B8" s="64" t="s">
        <v>165</v>
      </c>
      <c r="C8" s="56" t="s">
        <v>308</v>
      </c>
      <c r="D8" s="48">
        <v>280</v>
      </c>
      <c r="E8" s="20">
        <v>21</v>
      </c>
      <c r="F8" s="57">
        <v>1</v>
      </c>
      <c r="G8" s="22"/>
      <c r="H8" s="23"/>
      <c r="I8" s="22"/>
      <c r="J8" s="22">
        <v>4</v>
      </c>
      <c r="K8" s="52">
        <f>D8/26*E8</f>
        <v>226.15384615384616</v>
      </c>
      <c r="L8" s="58">
        <f>D8/208*H8*1.5</f>
        <v>0</v>
      </c>
      <c r="M8" s="53">
        <f>D8/26*I8*2</f>
        <v>0</v>
      </c>
      <c r="N8" s="53">
        <f>D8/26*J8</f>
        <v>43.07692307692308</v>
      </c>
      <c r="O8" s="53">
        <v>0</v>
      </c>
      <c r="P8" s="25">
        <v>0</v>
      </c>
      <c r="Q8" s="24">
        <f t="shared" ref="Q8:Q10" si="0">D8/26*P8/2</f>
        <v>0</v>
      </c>
      <c r="R8" s="24">
        <f t="shared" ref="R8:R10" si="1">((H8)*1500/4000)</f>
        <v>0</v>
      </c>
      <c r="S8" s="27"/>
      <c r="T8" s="24">
        <v>7</v>
      </c>
      <c r="U8" s="24">
        <v>10</v>
      </c>
      <c r="V8" s="26">
        <f>D8/2</f>
        <v>140</v>
      </c>
      <c r="W8" s="24">
        <v>6</v>
      </c>
      <c r="X8" s="26"/>
      <c r="Y8" s="54">
        <f>INT((K8+L8+M8+N8+Q8+R8+T8+U8+S8+O8)*100)/100</f>
        <v>286.23</v>
      </c>
      <c r="Z8" s="28">
        <f t="shared" ref="Z8:Z10" si="2">V8+W8+X8</f>
        <v>146</v>
      </c>
      <c r="AA8" s="54">
        <f t="shared" ref="AA8:AA10" si="3">INT((Y8-Z8)*100)/100</f>
        <v>140.22999999999999</v>
      </c>
      <c r="AB8" s="29">
        <f t="shared" ref="AB8:AB10" si="4">INT(AA8)</f>
        <v>140</v>
      </c>
      <c r="AC8" s="24">
        <f t="shared" ref="AC8:AC10" si="5">INT((AA8-AB8)*40+0.5)*100</f>
        <v>900</v>
      </c>
      <c r="AD8" s="30"/>
      <c r="AE8" s="73">
        <f t="shared" ref="AE8:AE11" si="6">(Y8*0.04)/2</f>
        <v>5.7246000000000006</v>
      </c>
    </row>
    <row r="9" spans="1:31" s="31" customFormat="1" ht="105" customHeight="1" x14ac:dyDescent="0.25">
      <c r="A9" s="43" t="s">
        <v>47</v>
      </c>
      <c r="B9" s="64" t="s">
        <v>167</v>
      </c>
      <c r="C9" s="56" t="s">
        <v>308</v>
      </c>
      <c r="D9" s="48">
        <v>280</v>
      </c>
      <c r="E9" s="20">
        <v>22</v>
      </c>
      <c r="F9" s="57"/>
      <c r="G9" s="22"/>
      <c r="H9" s="23"/>
      <c r="I9" s="22"/>
      <c r="J9" s="22">
        <v>4</v>
      </c>
      <c r="K9" s="52">
        <f t="shared" ref="K9:K11" si="7">D9/26*E9</f>
        <v>236.92307692307693</v>
      </c>
      <c r="L9" s="58">
        <f t="shared" ref="L9:L11" si="8">D9/208*H9*1.5</f>
        <v>0</v>
      </c>
      <c r="M9" s="53">
        <f t="shared" ref="M9:M11" si="9">D9/26*I9*2</f>
        <v>0</v>
      </c>
      <c r="N9" s="53">
        <f t="shared" ref="N9:N11" si="10">D9/26*J9</f>
        <v>43.07692307692308</v>
      </c>
      <c r="O9" s="53">
        <v>0</v>
      </c>
      <c r="P9" s="25">
        <v>0</v>
      </c>
      <c r="Q9" s="24">
        <f t="shared" si="0"/>
        <v>0</v>
      </c>
      <c r="R9" s="24">
        <f t="shared" si="1"/>
        <v>0</v>
      </c>
      <c r="S9" s="27"/>
      <c r="T9" s="24">
        <v>10</v>
      </c>
      <c r="U9" s="24">
        <v>10</v>
      </c>
      <c r="V9" s="26">
        <f t="shared" ref="V9:V11" si="11">D9/2</f>
        <v>140</v>
      </c>
      <c r="W9" s="24">
        <v>6</v>
      </c>
      <c r="X9" s="26"/>
      <c r="Y9" s="54">
        <f>INT((K9+L9+M9+N9+Q9+R9+T9+U9+S9+O9)*100)/100</f>
        <v>300</v>
      </c>
      <c r="Z9" s="28">
        <f t="shared" si="2"/>
        <v>146</v>
      </c>
      <c r="AA9" s="54">
        <f t="shared" si="3"/>
        <v>154</v>
      </c>
      <c r="AB9" s="29">
        <f t="shared" si="4"/>
        <v>154</v>
      </c>
      <c r="AC9" s="24">
        <f t="shared" si="5"/>
        <v>0</v>
      </c>
      <c r="AD9" s="30"/>
      <c r="AE9" s="73">
        <f t="shared" si="6"/>
        <v>6</v>
      </c>
    </row>
    <row r="10" spans="1:31" s="31" customFormat="1" ht="105" customHeight="1" x14ac:dyDescent="0.25">
      <c r="A10" s="43" t="s">
        <v>48</v>
      </c>
      <c r="B10" s="64" t="s">
        <v>168</v>
      </c>
      <c r="C10" s="56" t="s">
        <v>308</v>
      </c>
      <c r="D10" s="48">
        <v>250</v>
      </c>
      <c r="E10" s="20">
        <v>22</v>
      </c>
      <c r="F10" s="57"/>
      <c r="G10" s="22"/>
      <c r="H10" s="23"/>
      <c r="I10" s="22"/>
      <c r="J10" s="22">
        <v>4</v>
      </c>
      <c r="K10" s="52">
        <f t="shared" si="7"/>
        <v>211.53846153846152</v>
      </c>
      <c r="L10" s="58">
        <f t="shared" si="8"/>
        <v>0</v>
      </c>
      <c r="M10" s="53">
        <f t="shared" si="9"/>
        <v>0</v>
      </c>
      <c r="N10" s="53">
        <f t="shared" si="10"/>
        <v>38.46153846153846</v>
      </c>
      <c r="O10" s="53">
        <v>0</v>
      </c>
      <c r="P10" s="25">
        <v>0</v>
      </c>
      <c r="Q10" s="24">
        <f t="shared" si="0"/>
        <v>0</v>
      </c>
      <c r="R10" s="24">
        <f t="shared" si="1"/>
        <v>0</v>
      </c>
      <c r="S10" s="27"/>
      <c r="T10" s="24">
        <v>10</v>
      </c>
      <c r="U10" s="24">
        <v>10</v>
      </c>
      <c r="V10" s="26">
        <f t="shared" si="11"/>
        <v>125</v>
      </c>
      <c r="W10" s="24">
        <v>6</v>
      </c>
      <c r="X10" s="26"/>
      <c r="Y10" s="54">
        <f>INT((K10+L10+M10+N10+Q10+R10+T10+U10+S10+O10)*100)/100</f>
        <v>270</v>
      </c>
      <c r="Z10" s="28">
        <f t="shared" si="2"/>
        <v>131</v>
      </c>
      <c r="AA10" s="54">
        <f t="shared" si="3"/>
        <v>139</v>
      </c>
      <c r="AB10" s="29">
        <f t="shared" si="4"/>
        <v>139</v>
      </c>
      <c r="AC10" s="24">
        <f t="shared" si="5"/>
        <v>0</v>
      </c>
      <c r="AD10" s="30"/>
      <c r="AE10" s="73">
        <f t="shared" si="6"/>
        <v>5.4</v>
      </c>
    </row>
    <row r="11" spans="1:31" s="31" customFormat="1" ht="105" customHeight="1" x14ac:dyDescent="0.25">
      <c r="A11" s="43" t="s">
        <v>54</v>
      </c>
      <c r="B11" s="42" t="s">
        <v>166</v>
      </c>
      <c r="C11" s="56" t="s">
        <v>308</v>
      </c>
      <c r="D11" s="48">
        <v>204</v>
      </c>
      <c r="E11" s="20">
        <v>22</v>
      </c>
      <c r="F11" s="57"/>
      <c r="G11" s="22"/>
      <c r="H11" s="23"/>
      <c r="I11" s="22"/>
      <c r="J11" s="22">
        <v>4</v>
      </c>
      <c r="K11" s="52">
        <f t="shared" si="7"/>
        <v>172.61538461538461</v>
      </c>
      <c r="L11" s="58">
        <f t="shared" si="8"/>
        <v>0</v>
      </c>
      <c r="M11" s="53">
        <f t="shared" si="9"/>
        <v>0</v>
      </c>
      <c r="N11" s="53">
        <f t="shared" si="10"/>
        <v>31.384615384615383</v>
      </c>
      <c r="O11" s="53">
        <v>0</v>
      </c>
      <c r="P11" s="25">
        <v>0</v>
      </c>
      <c r="Q11" s="24">
        <f t="shared" ref="Q11" si="12">D11/26*P11/2</f>
        <v>0</v>
      </c>
      <c r="R11" s="24">
        <f t="shared" ref="R11" si="13">((H11)*1500/4000)</f>
        <v>0</v>
      </c>
      <c r="S11" s="27"/>
      <c r="T11" s="24">
        <v>10</v>
      </c>
      <c r="U11" s="24">
        <v>10</v>
      </c>
      <c r="V11" s="26">
        <f t="shared" si="11"/>
        <v>102</v>
      </c>
      <c r="W11" s="24">
        <f t="shared" ref="W11" si="14">AE11</f>
        <v>4.4800000000000004</v>
      </c>
      <c r="X11" s="26"/>
      <c r="Y11" s="54">
        <f>INT((K11+L11+M11+N11+Q11+R11+T11+U11+S11+O11)*100)/100</f>
        <v>224</v>
      </c>
      <c r="Z11" s="28">
        <f t="shared" ref="Z11" si="15">V11+W11+X11</f>
        <v>106.48</v>
      </c>
      <c r="AA11" s="54">
        <f t="shared" ref="AA11" si="16">INT((Y11-Z11)*100)/100</f>
        <v>117.52</v>
      </c>
      <c r="AB11" s="29">
        <f t="shared" ref="AB11" si="17">INT(AA11)</f>
        <v>117</v>
      </c>
      <c r="AC11" s="24">
        <f t="shared" ref="AC11" si="18">INT((AA11-AB11)*40+0.5)*100</f>
        <v>2100</v>
      </c>
      <c r="AD11" s="30"/>
      <c r="AE11" s="73">
        <f t="shared" si="6"/>
        <v>4.4800000000000004</v>
      </c>
    </row>
    <row r="12" spans="1:31" s="36" customFormat="1" ht="27.75" customHeight="1" thickBot="1" x14ac:dyDescent="0.3">
      <c r="A12" s="107" t="s">
        <v>33</v>
      </c>
      <c r="B12" s="108"/>
      <c r="C12" s="32"/>
      <c r="D12" s="33"/>
      <c r="E12" s="34">
        <f t="shared" ref="E12:AC12" si="19">SUM(E8:E11)</f>
        <v>87</v>
      </c>
      <c r="F12" s="34">
        <f t="shared" si="19"/>
        <v>1</v>
      </c>
      <c r="G12" s="34">
        <f t="shared" si="19"/>
        <v>0</v>
      </c>
      <c r="H12" s="34">
        <f t="shared" si="19"/>
        <v>0</v>
      </c>
      <c r="I12" s="34">
        <f t="shared" si="19"/>
        <v>0</v>
      </c>
      <c r="J12" s="34">
        <f t="shared" si="19"/>
        <v>16</v>
      </c>
      <c r="K12" s="34">
        <f t="shared" si="19"/>
        <v>847.23076923076928</v>
      </c>
      <c r="L12" s="34">
        <f t="shared" si="19"/>
        <v>0</v>
      </c>
      <c r="M12" s="34">
        <f t="shared" si="19"/>
        <v>0</v>
      </c>
      <c r="N12" s="34">
        <f t="shared" si="19"/>
        <v>156</v>
      </c>
      <c r="O12" s="34">
        <f t="shared" si="19"/>
        <v>0</v>
      </c>
      <c r="P12" s="34">
        <f t="shared" si="19"/>
        <v>0</v>
      </c>
      <c r="Q12" s="34">
        <f t="shared" si="19"/>
        <v>0</v>
      </c>
      <c r="R12" s="34">
        <f t="shared" si="19"/>
        <v>0</v>
      </c>
      <c r="S12" s="34">
        <f t="shared" si="19"/>
        <v>0</v>
      </c>
      <c r="T12" s="34">
        <f t="shared" si="19"/>
        <v>37</v>
      </c>
      <c r="U12" s="34">
        <f t="shared" si="19"/>
        <v>40</v>
      </c>
      <c r="V12" s="34">
        <f t="shared" si="19"/>
        <v>507</v>
      </c>
      <c r="W12" s="34">
        <f t="shared" si="19"/>
        <v>22.48</v>
      </c>
      <c r="X12" s="34">
        <f t="shared" si="19"/>
        <v>0</v>
      </c>
      <c r="Y12" s="34">
        <f>SUM(Y8:Y11)</f>
        <v>1080.23</v>
      </c>
      <c r="Z12" s="34">
        <f t="shared" si="19"/>
        <v>529.48</v>
      </c>
      <c r="AA12" s="34">
        <f t="shared" si="19"/>
        <v>550.75</v>
      </c>
      <c r="AB12" s="34">
        <f t="shared" si="19"/>
        <v>550</v>
      </c>
      <c r="AC12" s="34">
        <f t="shared" si="19"/>
        <v>3000</v>
      </c>
      <c r="AD12" s="35"/>
    </row>
    <row r="13" spans="1:31" ht="21.75" customHeight="1" thickTop="1" x14ac:dyDescent="0.2">
      <c r="A13" s="109" t="s">
        <v>34</v>
      </c>
      <c r="B13" s="109"/>
      <c r="C13" s="109"/>
      <c r="D13" s="37"/>
      <c r="E13" s="37"/>
      <c r="F13" s="37"/>
      <c r="G13" s="37"/>
      <c r="H13" s="110"/>
      <c r="I13" s="110"/>
      <c r="J13" s="110"/>
      <c r="K13" s="38"/>
      <c r="L13" s="110" t="s">
        <v>35</v>
      </c>
      <c r="M13" s="110"/>
      <c r="N13" s="110"/>
      <c r="O13" s="85"/>
      <c r="P13" s="38"/>
      <c r="Q13" s="38"/>
      <c r="T13" s="39"/>
      <c r="U13" s="39"/>
      <c r="Y13" s="39"/>
      <c r="Z13" s="39"/>
      <c r="AA13" s="111" t="s">
        <v>36</v>
      </c>
      <c r="AB13" s="111"/>
      <c r="AC13" s="111"/>
      <c r="AD13" s="40"/>
    </row>
    <row r="14" spans="1:31" ht="21" customHeight="1" x14ac:dyDescent="0.2">
      <c r="A14" s="41"/>
      <c r="B14" s="41"/>
      <c r="C14" s="41"/>
      <c r="D14" s="41"/>
      <c r="E14" s="41"/>
      <c r="G14" s="41"/>
      <c r="H14" s="41"/>
    </row>
    <row r="15" spans="1:31" ht="13.5" customHeight="1" x14ac:dyDescent="0.2">
      <c r="A15" s="41"/>
      <c r="B15" s="41"/>
      <c r="C15" s="41"/>
      <c r="D15" s="41"/>
      <c r="E15" s="41"/>
      <c r="G15" s="41"/>
      <c r="H15" s="41"/>
    </row>
    <row r="16" spans="1:31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1:30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</sheetData>
  <autoFilter ref="A7:AC14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2:B12"/>
    <mergeCell ref="A13:C13"/>
    <mergeCell ref="H13:J13"/>
    <mergeCell ref="L13:N13"/>
    <mergeCell ref="AA13:AC13"/>
  </mergeCells>
  <pageMargins left="0.11811023622047245" right="0" top="0.31496062992125984" bottom="0.11811023622047245" header="0" footer="0.11811023622047245"/>
  <pageSetup paperSize="9" scale="80" orientation="landscape" horizontalDpi="360" verticalDpi="360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6653-A43C-49FD-859E-5324D6C46286}">
  <sheetPr>
    <tabColor theme="7" tint="0.39997558519241921"/>
  </sheetPr>
  <dimension ref="A1:AE68"/>
  <sheetViews>
    <sheetView zoomScale="115" zoomScaleNormal="115" workbookViewId="0">
      <pane ySplit="7" topLeftCell="A8" activePane="bottomLeft" state="frozen"/>
      <selection activeCell="X8" sqref="X8"/>
      <selection pane="bottomLeft" activeCell="T9" sqref="T9"/>
    </sheetView>
  </sheetViews>
  <sheetFormatPr defaultColWidth="9.140625" defaultRowHeight="12.75" x14ac:dyDescent="0.2"/>
  <cols>
    <col min="1" max="1" width="7.5703125" style="1" customWidth="1"/>
    <col min="2" max="2" width="8.8554687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7.140625" style="1" customWidth="1"/>
    <col min="12" max="18" width="5.42578125" style="1" customWidth="1"/>
    <col min="19" max="22" width="6" style="1" customWidth="1"/>
    <col min="23" max="23" width="5.28515625" style="1" customWidth="1"/>
    <col min="24" max="24" width="5.140625" style="1" customWidth="1"/>
    <col min="25" max="29" width="6.7109375" style="1" customWidth="1"/>
    <col min="30" max="30" width="13.7109375" style="1" customWidth="1"/>
    <col min="31" max="16384" width="9.140625" style="1"/>
  </cols>
  <sheetData>
    <row r="1" spans="1:31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395</v>
      </c>
      <c r="B4" s="118"/>
      <c r="C4" s="2">
        <f>COUNTA(B8:B12)</f>
        <v>5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43.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38.2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93" customHeight="1" x14ac:dyDescent="0.25">
      <c r="A8" s="43" t="s">
        <v>70</v>
      </c>
      <c r="B8" s="64" t="s">
        <v>169</v>
      </c>
      <c r="C8" s="56" t="s">
        <v>310</v>
      </c>
      <c r="D8" s="48">
        <v>280</v>
      </c>
      <c r="E8" s="20">
        <v>21</v>
      </c>
      <c r="F8" s="57">
        <v>1</v>
      </c>
      <c r="G8" s="22"/>
      <c r="H8" s="23"/>
      <c r="I8" s="22"/>
      <c r="J8" s="22">
        <v>4</v>
      </c>
      <c r="K8" s="52">
        <f>D8/26*E8</f>
        <v>226.15384615384616</v>
      </c>
      <c r="L8" s="58">
        <f>D8/208*H8*1.5</f>
        <v>0</v>
      </c>
      <c r="M8" s="53">
        <f>D8/26*I8*2</f>
        <v>0</v>
      </c>
      <c r="N8" s="53">
        <f>D8/26*J8</f>
        <v>43.07692307692308</v>
      </c>
      <c r="O8" s="53">
        <v>0</v>
      </c>
      <c r="P8" s="25">
        <v>0</v>
      </c>
      <c r="Q8" s="24">
        <f t="shared" ref="Q8:Q12" si="0">D8/26*P8/2</f>
        <v>0</v>
      </c>
      <c r="R8" s="24">
        <f t="shared" ref="R8:R12" si="1">((H8)*1500/4000)</f>
        <v>0</v>
      </c>
      <c r="S8" s="27"/>
      <c r="T8" s="24">
        <v>7</v>
      </c>
      <c r="U8" s="24">
        <v>10</v>
      </c>
      <c r="V8" s="26">
        <f>D8/2</f>
        <v>140</v>
      </c>
      <c r="W8" s="24">
        <v>6</v>
      </c>
      <c r="X8" s="26"/>
      <c r="Y8" s="54">
        <f>INT((K8+L8+M8+N8+Q8+R8+T8+U8+S8+O8)*100)/100</f>
        <v>286.23</v>
      </c>
      <c r="Z8" s="28">
        <f t="shared" ref="Z8:Z12" si="2">V8+W8+X8</f>
        <v>146</v>
      </c>
      <c r="AA8" s="54">
        <f t="shared" ref="AA8:AA12" si="3">INT((Y8-Z8)*100)/100</f>
        <v>140.22999999999999</v>
      </c>
      <c r="AB8" s="29">
        <f t="shared" ref="AB8:AB12" si="4">INT(AA8)</f>
        <v>140</v>
      </c>
      <c r="AC8" s="24">
        <f t="shared" ref="AC8:AC12" si="5">INT((AA8-AB8)*40+0.5)*100</f>
        <v>900</v>
      </c>
      <c r="AD8" s="30"/>
      <c r="AE8" s="73">
        <f>(Y8*0.04)/2</f>
        <v>5.7246000000000006</v>
      </c>
    </row>
    <row r="9" spans="1:31" s="31" customFormat="1" ht="93" customHeight="1" x14ac:dyDescent="0.25">
      <c r="A9" s="43" t="s">
        <v>71</v>
      </c>
      <c r="B9" s="42" t="s">
        <v>179</v>
      </c>
      <c r="C9" s="56" t="s">
        <v>308</v>
      </c>
      <c r="D9" s="48">
        <v>204</v>
      </c>
      <c r="E9" s="20">
        <v>22</v>
      </c>
      <c r="F9" s="57"/>
      <c r="G9" s="22"/>
      <c r="H9" s="23"/>
      <c r="I9" s="22"/>
      <c r="J9" s="22">
        <v>4</v>
      </c>
      <c r="K9" s="52">
        <f t="shared" ref="K9:K12" si="6">D9/26*E9</f>
        <v>172.61538461538461</v>
      </c>
      <c r="L9" s="58">
        <f t="shared" ref="L9:L12" si="7">D9/208*H9*1.5</f>
        <v>0</v>
      </c>
      <c r="M9" s="53">
        <f t="shared" ref="M9:M12" si="8">D9/26*I9*2</f>
        <v>0</v>
      </c>
      <c r="N9" s="53">
        <f t="shared" ref="N9:N12" si="9">D9/26*J9</f>
        <v>31.384615384615383</v>
      </c>
      <c r="O9" s="53">
        <v>0</v>
      </c>
      <c r="P9" s="25">
        <v>0</v>
      </c>
      <c r="Q9" s="24">
        <f t="shared" si="0"/>
        <v>0</v>
      </c>
      <c r="R9" s="24">
        <f t="shared" si="1"/>
        <v>0</v>
      </c>
      <c r="S9" s="27"/>
      <c r="T9" s="24">
        <v>10</v>
      </c>
      <c r="U9" s="24">
        <v>10</v>
      </c>
      <c r="V9" s="26">
        <f t="shared" ref="V9:V12" si="10">D9/2</f>
        <v>102</v>
      </c>
      <c r="W9" s="24">
        <f t="shared" ref="W9:W12" si="11">AE9</f>
        <v>4.4800000000000004</v>
      </c>
      <c r="X9" s="26"/>
      <c r="Y9" s="54">
        <f t="shared" ref="Y9:Y12" si="12">INT((K9+L9+M9+N9+Q9+R9+T9+U9+S9+O9)*100)/100</f>
        <v>224</v>
      </c>
      <c r="Z9" s="28">
        <f t="shared" si="2"/>
        <v>106.48</v>
      </c>
      <c r="AA9" s="54">
        <f t="shared" si="3"/>
        <v>117.52</v>
      </c>
      <c r="AB9" s="29">
        <f t="shared" si="4"/>
        <v>117</v>
      </c>
      <c r="AC9" s="24">
        <f t="shared" si="5"/>
        <v>2100</v>
      </c>
      <c r="AD9" s="30"/>
      <c r="AE9" s="73">
        <f t="shared" ref="AE9:AE12" si="13">(Y9*0.04)/2</f>
        <v>4.4800000000000004</v>
      </c>
    </row>
    <row r="10" spans="1:31" s="31" customFormat="1" ht="93" customHeight="1" x14ac:dyDescent="0.25">
      <c r="A10" s="43" t="s">
        <v>72</v>
      </c>
      <c r="B10" s="64" t="s">
        <v>73</v>
      </c>
      <c r="C10" s="56" t="s">
        <v>308</v>
      </c>
      <c r="D10" s="48">
        <v>204</v>
      </c>
      <c r="E10" s="20">
        <v>22</v>
      </c>
      <c r="F10" s="57"/>
      <c r="G10" s="22"/>
      <c r="H10" s="23"/>
      <c r="I10" s="22"/>
      <c r="J10" s="22">
        <v>4</v>
      </c>
      <c r="K10" s="52">
        <f t="shared" si="6"/>
        <v>172.61538461538461</v>
      </c>
      <c r="L10" s="58">
        <f t="shared" si="7"/>
        <v>0</v>
      </c>
      <c r="M10" s="53">
        <f t="shared" si="8"/>
        <v>0</v>
      </c>
      <c r="N10" s="53">
        <f t="shared" si="9"/>
        <v>31.384615384615383</v>
      </c>
      <c r="O10" s="53">
        <v>0</v>
      </c>
      <c r="P10" s="25">
        <v>0</v>
      </c>
      <c r="Q10" s="24">
        <f t="shared" si="0"/>
        <v>0</v>
      </c>
      <c r="R10" s="24">
        <f t="shared" si="1"/>
        <v>0</v>
      </c>
      <c r="S10" s="27"/>
      <c r="T10" s="24">
        <v>10</v>
      </c>
      <c r="U10" s="24">
        <v>10</v>
      </c>
      <c r="V10" s="26">
        <f t="shared" si="10"/>
        <v>102</v>
      </c>
      <c r="W10" s="24">
        <f t="shared" si="11"/>
        <v>4.4800000000000004</v>
      </c>
      <c r="X10" s="26"/>
      <c r="Y10" s="54">
        <f t="shared" si="12"/>
        <v>224</v>
      </c>
      <c r="Z10" s="28">
        <f t="shared" si="2"/>
        <v>106.48</v>
      </c>
      <c r="AA10" s="54">
        <f t="shared" si="3"/>
        <v>117.52</v>
      </c>
      <c r="AB10" s="29">
        <f t="shared" si="4"/>
        <v>117</v>
      </c>
      <c r="AC10" s="24">
        <f t="shared" si="5"/>
        <v>2100</v>
      </c>
      <c r="AD10" s="30"/>
      <c r="AE10" s="73">
        <f t="shared" si="13"/>
        <v>4.4800000000000004</v>
      </c>
    </row>
    <row r="11" spans="1:31" s="31" customFormat="1" ht="93" customHeight="1" x14ac:dyDescent="0.25">
      <c r="A11" s="43" t="s">
        <v>74</v>
      </c>
      <c r="B11" s="64" t="s">
        <v>75</v>
      </c>
      <c r="C11" s="56" t="s">
        <v>308</v>
      </c>
      <c r="D11" s="48">
        <v>204</v>
      </c>
      <c r="E11" s="20">
        <v>22</v>
      </c>
      <c r="F11" s="57"/>
      <c r="G11" s="22"/>
      <c r="H11" s="23"/>
      <c r="I11" s="22"/>
      <c r="J11" s="22">
        <v>4</v>
      </c>
      <c r="K11" s="52">
        <f t="shared" si="6"/>
        <v>172.61538461538461</v>
      </c>
      <c r="L11" s="58">
        <f t="shared" si="7"/>
        <v>0</v>
      </c>
      <c r="M11" s="53">
        <f t="shared" si="8"/>
        <v>0</v>
      </c>
      <c r="N11" s="53">
        <f t="shared" si="9"/>
        <v>31.384615384615383</v>
      </c>
      <c r="O11" s="53">
        <v>0</v>
      </c>
      <c r="P11" s="25">
        <v>0</v>
      </c>
      <c r="Q11" s="24">
        <f t="shared" si="0"/>
        <v>0</v>
      </c>
      <c r="R11" s="24">
        <f t="shared" si="1"/>
        <v>0</v>
      </c>
      <c r="S11" s="27"/>
      <c r="T11" s="24">
        <v>10</v>
      </c>
      <c r="U11" s="24">
        <v>10</v>
      </c>
      <c r="V11" s="26">
        <f t="shared" si="10"/>
        <v>102</v>
      </c>
      <c r="W11" s="24">
        <f t="shared" si="11"/>
        <v>4.4800000000000004</v>
      </c>
      <c r="X11" s="26"/>
      <c r="Y11" s="54">
        <f t="shared" si="12"/>
        <v>224</v>
      </c>
      <c r="Z11" s="28">
        <f t="shared" si="2"/>
        <v>106.48</v>
      </c>
      <c r="AA11" s="54">
        <f t="shared" si="3"/>
        <v>117.52</v>
      </c>
      <c r="AB11" s="29">
        <f t="shared" si="4"/>
        <v>117</v>
      </c>
      <c r="AC11" s="24">
        <f t="shared" si="5"/>
        <v>2100</v>
      </c>
      <c r="AD11" s="30"/>
      <c r="AE11" s="73">
        <f t="shared" si="13"/>
        <v>4.4800000000000004</v>
      </c>
    </row>
    <row r="12" spans="1:31" s="31" customFormat="1" ht="93" customHeight="1" x14ac:dyDescent="0.25">
      <c r="A12" s="43" t="s">
        <v>181</v>
      </c>
      <c r="B12" s="42" t="s">
        <v>182</v>
      </c>
      <c r="C12" s="56" t="s">
        <v>322</v>
      </c>
      <c r="D12" s="48">
        <v>204</v>
      </c>
      <c r="E12" s="20">
        <v>22</v>
      </c>
      <c r="F12" s="57"/>
      <c r="G12" s="22"/>
      <c r="H12" s="23"/>
      <c r="I12" s="22"/>
      <c r="J12" s="22">
        <v>4</v>
      </c>
      <c r="K12" s="52">
        <f t="shared" si="6"/>
        <v>172.61538461538461</v>
      </c>
      <c r="L12" s="58">
        <f t="shared" si="7"/>
        <v>0</v>
      </c>
      <c r="M12" s="53">
        <f t="shared" si="8"/>
        <v>0</v>
      </c>
      <c r="N12" s="53">
        <f t="shared" si="9"/>
        <v>31.384615384615383</v>
      </c>
      <c r="O12" s="53">
        <v>0</v>
      </c>
      <c r="P12" s="25">
        <v>0</v>
      </c>
      <c r="Q12" s="24">
        <f t="shared" si="0"/>
        <v>0</v>
      </c>
      <c r="R12" s="24">
        <f t="shared" si="1"/>
        <v>0</v>
      </c>
      <c r="S12" s="27"/>
      <c r="T12" s="24">
        <v>10</v>
      </c>
      <c r="U12" s="24">
        <v>10</v>
      </c>
      <c r="V12" s="26">
        <f t="shared" si="10"/>
        <v>102</v>
      </c>
      <c r="W12" s="24">
        <f t="shared" si="11"/>
        <v>4.4800000000000004</v>
      </c>
      <c r="X12" s="26"/>
      <c r="Y12" s="54">
        <f t="shared" si="12"/>
        <v>224</v>
      </c>
      <c r="Z12" s="28">
        <f t="shared" si="2"/>
        <v>106.48</v>
      </c>
      <c r="AA12" s="54">
        <f t="shared" si="3"/>
        <v>117.52</v>
      </c>
      <c r="AB12" s="29">
        <f t="shared" si="4"/>
        <v>117</v>
      </c>
      <c r="AC12" s="24">
        <f t="shared" si="5"/>
        <v>2100</v>
      </c>
      <c r="AD12" s="30"/>
      <c r="AE12" s="73">
        <f t="shared" si="13"/>
        <v>4.4800000000000004</v>
      </c>
    </row>
    <row r="13" spans="1:31" s="36" customFormat="1" ht="33" customHeight="1" thickBot="1" x14ac:dyDescent="0.3">
      <c r="A13" s="107" t="s">
        <v>33</v>
      </c>
      <c r="B13" s="108"/>
      <c r="C13" s="32"/>
      <c r="D13" s="33"/>
      <c r="E13" s="34">
        <f t="shared" ref="E13:AC13" si="14">SUM(E8:E12)</f>
        <v>109</v>
      </c>
      <c r="F13" s="34">
        <f t="shared" si="14"/>
        <v>1</v>
      </c>
      <c r="G13" s="34">
        <f t="shared" si="14"/>
        <v>0</v>
      </c>
      <c r="H13" s="34">
        <f t="shared" si="14"/>
        <v>0</v>
      </c>
      <c r="I13" s="34">
        <f t="shared" si="14"/>
        <v>0</v>
      </c>
      <c r="J13" s="34">
        <f t="shared" si="14"/>
        <v>20</v>
      </c>
      <c r="K13" s="34">
        <f t="shared" si="14"/>
        <v>916.61538461538464</v>
      </c>
      <c r="L13" s="34">
        <f t="shared" si="14"/>
        <v>0</v>
      </c>
      <c r="M13" s="34">
        <f t="shared" si="14"/>
        <v>0</v>
      </c>
      <c r="N13" s="34">
        <f t="shared" si="14"/>
        <v>168.61538461538461</v>
      </c>
      <c r="O13" s="34">
        <f t="shared" si="14"/>
        <v>0</v>
      </c>
      <c r="P13" s="34">
        <f t="shared" si="14"/>
        <v>0</v>
      </c>
      <c r="Q13" s="34">
        <f t="shared" si="14"/>
        <v>0</v>
      </c>
      <c r="R13" s="34">
        <f t="shared" si="14"/>
        <v>0</v>
      </c>
      <c r="S13" s="34">
        <f t="shared" si="14"/>
        <v>0</v>
      </c>
      <c r="T13" s="34">
        <f t="shared" si="14"/>
        <v>47</v>
      </c>
      <c r="U13" s="34">
        <f t="shared" si="14"/>
        <v>50</v>
      </c>
      <c r="V13" s="34">
        <f t="shared" si="14"/>
        <v>548</v>
      </c>
      <c r="W13" s="34">
        <f t="shared" si="14"/>
        <v>23.92</v>
      </c>
      <c r="X13" s="34">
        <f t="shared" si="14"/>
        <v>0</v>
      </c>
      <c r="Y13" s="34">
        <f t="shared" si="14"/>
        <v>1182.23</v>
      </c>
      <c r="Z13" s="34">
        <f t="shared" si="14"/>
        <v>571.92000000000007</v>
      </c>
      <c r="AA13" s="34">
        <f t="shared" si="14"/>
        <v>610.30999999999995</v>
      </c>
      <c r="AB13" s="34">
        <f t="shared" si="14"/>
        <v>608</v>
      </c>
      <c r="AC13" s="34">
        <f t="shared" si="14"/>
        <v>9300</v>
      </c>
      <c r="AD13" s="35"/>
    </row>
    <row r="14" spans="1:31" ht="21.75" customHeight="1" thickTop="1" x14ac:dyDescent="0.2">
      <c r="A14" s="109" t="s">
        <v>34</v>
      </c>
      <c r="B14" s="109"/>
      <c r="C14" s="109"/>
      <c r="D14" s="37"/>
      <c r="E14" s="37"/>
      <c r="F14" s="37"/>
      <c r="G14" s="37"/>
      <c r="H14" s="110"/>
      <c r="I14" s="110"/>
      <c r="J14" s="110"/>
      <c r="K14" s="38"/>
      <c r="L14" s="110" t="s">
        <v>35</v>
      </c>
      <c r="M14" s="110"/>
      <c r="N14" s="110"/>
      <c r="O14" s="85"/>
      <c r="P14" s="38"/>
      <c r="Q14" s="38"/>
      <c r="T14" s="39"/>
      <c r="U14" s="39"/>
      <c r="Y14" s="39"/>
      <c r="Z14" s="39"/>
      <c r="AA14" s="111" t="s">
        <v>36</v>
      </c>
      <c r="AB14" s="111"/>
      <c r="AC14" s="111"/>
      <c r="AD14" s="40"/>
    </row>
    <row r="15" spans="1:31" ht="21" customHeight="1" x14ac:dyDescent="0.2">
      <c r="A15" s="41"/>
      <c r="B15" s="41"/>
      <c r="C15" s="41"/>
      <c r="D15" s="41"/>
      <c r="E15" s="41"/>
      <c r="G15" s="41"/>
      <c r="H15" s="41"/>
    </row>
    <row r="16" spans="1:31" ht="13.5" customHeight="1" x14ac:dyDescent="0.2">
      <c r="A16" s="41"/>
      <c r="B16" s="41"/>
      <c r="C16" s="41"/>
      <c r="D16" s="41"/>
      <c r="E16" s="41"/>
      <c r="G16" s="41"/>
      <c r="H16" s="4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1:30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1:30" s="41" customFormat="1" x14ac:dyDescent="0.2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</sheetData>
  <autoFilter ref="A7:AC15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3:B13"/>
    <mergeCell ref="A14:C14"/>
    <mergeCell ref="H14:J14"/>
    <mergeCell ref="L14:N14"/>
    <mergeCell ref="AA14:AC14"/>
  </mergeCells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DF36-8962-4A01-A43A-D371BB166023}">
  <sheetPr>
    <tabColor theme="7" tint="0.39997558519241921"/>
  </sheetPr>
  <dimension ref="A1:AE69"/>
  <sheetViews>
    <sheetView zoomScale="115" zoomScaleNormal="115" workbookViewId="0">
      <pane ySplit="7" topLeftCell="A8" activePane="bottomLeft" state="frozen"/>
      <selection activeCell="X8" sqref="X8"/>
      <selection pane="bottomLeft" activeCell="Y10" sqref="Y10"/>
    </sheetView>
  </sheetViews>
  <sheetFormatPr defaultColWidth="9.140625" defaultRowHeight="12.75" x14ac:dyDescent="0.2"/>
  <cols>
    <col min="1" max="1" width="7.5703125" style="1" customWidth="1"/>
    <col min="2" max="2" width="10.285156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6.7109375" style="1" customWidth="1"/>
    <col min="12" max="18" width="5.42578125" style="1" customWidth="1"/>
    <col min="19" max="19" width="4.7109375" style="1" customWidth="1"/>
    <col min="20" max="20" width="5.42578125" style="1" customWidth="1"/>
    <col min="21" max="21" width="5.140625" style="1" customWidth="1"/>
    <col min="22" max="22" width="6" style="1" customWidth="1"/>
    <col min="23" max="23" width="5.140625" style="1" customWidth="1"/>
    <col min="24" max="24" width="6" style="1" customWidth="1"/>
    <col min="25" max="29" width="6.7109375" style="1" customWidth="1"/>
    <col min="30" max="30" width="14.85546875" style="1" customWidth="1"/>
    <col min="31" max="16384" width="9.140625" style="1"/>
  </cols>
  <sheetData>
    <row r="1" spans="1:31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393</v>
      </c>
      <c r="B4" s="118"/>
      <c r="C4" s="2">
        <f>COUNTA(B8:B13)</f>
        <v>6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33.7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33.7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21.7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82.5" customHeight="1" x14ac:dyDescent="0.25">
      <c r="A8" s="43" t="s">
        <v>57</v>
      </c>
      <c r="B8" s="42" t="s">
        <v>170</v>
      </c>
      <c r="C8" s="56" t="s">
        <v>308</v>
      </c>
      <c r="D8" s="48">
        <v>230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194.61538461538464</v>
      </c>
      <c r="L8" s="58">
        <f>D8/208*H8*1.5</f>
        <v>0</v>
      </c>
      <c r="M8" s="53">
        <f t="shared" ref="M8" si="0">D8/26*I8*2</f>
        <v>0</v>
      </c>
      <c r="N8" s="53">
        <f>D8/26*J8</f>
        <v>35.384615384615387</v>
      </c>
      <c r="O8" s="53">
        <v>0</v>
      </c>
      <c r="P8" s="25">
        <v>0</v>
      </c>
      <c r="Q8" s="24">
        <f t="shared" ref="Q8:Q13" si="1">D8/26*P8/2</f>
        <v>0</v>
      </c>
      <c r="R8" s="24">
        <f t="shared" ref="R8:R13" si="2">((H8)*1500/4000)</f>
        <v>0</v>
      </c>
      <c r="S8" s="27"/>
      <c r="T8" s="24">
        <v>10</v>
      </c>
      <c r="U8" s="24">
        <v>10</v>
      </c>
      <c r="V8" s="26">
        <f>D8/2</f>
        <v>115</v>
      </c>
      <c r="W8" s="24">
        <f>AE8</f>
        <v>5</v>
      </c>
      <c r="X8" s="26"/>
      <c r="Y8" s="54">
        <f>INT((K8+L8+M8+N8+Q8+R8+T8+U8+S8+O8)*100)/100</f>
        <v>250</v>
      </c>
      <c r="Z8" s="28">
        <f t="shared" ref="Z8:Z13" si="3">V8+W8+X8</f>
        <v>120</v>
      </c>
      <c r="AA8" s="54">
        <f t="shared" ref="AA8:AA13" si="4">INT((Y8-Z8)*100)/100</f>
        <v>130</v>
      </c>
      <c r="AB8" s="29">
        <f t="shared" ref="AB8:AB13" si="5">INT(AA8)</f>
        <v>130</v>
      </c>
      <c r="AC8" s="24">
        <f t="shared" ref="AC8:AC13" si="6">INT((AA8-AB8)*40+0.5)*100</f>
        <v>0</v>
      </c>
      <c r="AD8" s="30"/>
      <c r="AE8" s="73">
        <f t="shared" ref="AE8:AE13" si="7">(Y8*0.04)/2</f>
        <v>5</v>
      </c>
    </row>
    <row r="9" spans="1:31" s="31" customFormat="1" ht="82.5" customHeight="1" x14ac:dyDescent="0.25">
      <c r="A9" s="43" t="s">
        <v>58</v>
      </c>
      <c r="B9" s="42" t="s">
        <v>59</v>
      </c>
      <c r="C9" s="56" t="s">
        <v>308</v>
      </c>
      <c r="D9" s="48">
        <v>220</v>
      </c>
      <c r="E9" s="20">
        <v>22</v>
      </c>
      <c r="F9" s="57"/>
      <c r="G9" s="22"/>
      <c r="H9" s="23"/>
      <c r="I9" s="22"/>
      <c r="J9" s="22">
        <v>4</v>
      </c>
      <c r="K9" s="52">
        <f t="shared" ref="K9:K13" si="8">D9/26*E9</f>
        <v>186.15384615384616</v>
      </c>
      <c r="L9" s="58">
        <f t="shared" ref="L9:L13" si="9">D9/208*H9*1.5</f>
        <v>0</v>
      </c>
      <c r="M9" s="53">
        <f t="shared" ref="M9:M13" si="10">D9/26*I9*2</f>
        <v>0</v>
      </c>
      <c r="N9" s="53">
        <f t="shared" ref="N9:N13" si="11">D9/26*J9</f>
        <v>33.846153846153847</v>
      </c>
      <c r="O9" s="53">
        <v>0</v>
      </c>
      <c r="P9" s="25">
        <v>0</v>
      </c>
      <c r="Q9" s="24">
        <f t="shared" si="1"/>
        <v>0</v>
      </c>
      <c r="R9" s="24">
        <f t="shared" si="2"/>
        <v>0</v>
      </c>
      <c r="S9" s="27"/>
      <c r="T9" s="24">
        <v>10</v>
      </c>
      <c r="U9" s="24">
        <v>10</v>
      </c>
      <c r="V9" s="26">
        <f t="shared" ref="V9:V13" si="12">D9/2</f>
        <v>110</v>
      </c>
      <c r="W9" s="24">
        <f t="shared" ref="W9:W13" si="13">AE9</f>
        <v>4.8</v>
      </c>
      <c r="X9" s="26"/>
      <c r="Y9" s="54">
        <f t="shared" ref="Y9:Y13" si="14">INT((K9+L9+M9+N9+Q9+R9+T9+U9+S9+O9)*100)/100</f>
        <v>240</v>
      </c>
      <c r="Z9" s="28">
        <f t="shared" si="3"/>
        <v>114.8</v>
      </c>
      <c r="AA9" s="54">
        <f t="shared" si="4"/>
        <v>125.2</v>
      </c>
      <c r="AB9" s="29">
        <f t="shared" si="5"/>
        <v>125</v>
      </c>
      <c r="AC9" s="24">
        <f t="shared" si="6"/>
        <v>800</v>
      </c>
      <c r="AD9" s="30"/>
      <c r="AE9" s="73">
        <f t="shared" si="7"/>
        <v>4.8</v>
      </c>
    </row>
    <row r="10" spans="1:31" s="31" customFormat="1" ht="82.5" customHeight="1" x14ac:dyDescent="0.25">
      <c r="A10" s="43" t="s">
        <v>60</v>
      </c>
      <c r="B10" s="42" t="s">
        <v>171</v>
      </c>
      <c r="C10" s="56" t="s">
        <v>308</v>
      </c>
      <c r="D10" s="48">
        <v>220</v>
      </c>
      <c r="E10" s="20">
        <v>21</v>
      </c>
      <c r="F10" s="57">
        <v>1</v>
      </c>
      <c r="G10" s="22"/>
      <c r="H10" s="23"/>
      <c r="I10" s="22"/>
      <c r="J10" s="22">
        <v>4</v>
      </c>
      <c r="K10" s="52">
        <f t="shared" si="8"/>
        <v>177.69230769230771</v>
      </c>
      <c r="L10" s="58">
        <f t="shared" si="9"/>
        <v>0</v>
      </c>
      <c r="M10" s="53">
        <f t="shared" si="10"/>
        <v>0</v>
      </c>
      <c r="N10" s="53">
        <f t="shared" si="11"/>
        <v>33.846153846153847</v>
      </c>
      <c r="O10" s="53">
        <v>0</v>
      </c>
      <c r="P10" s="25">
        <v>0</v>
      </c>
      <c r="Q10" s="24">
        <f t="shared" si="1"/>
        <v>0</v>
      </c>
      <c r="R10" s="24">
        <f t="shared" si="2"/>
        <v>0</v>
      </c>
      <c r="S10" s="27"/>
      <c r="T10" s="24">
        <v>7</v>
      </c>
      <c r="U10" s="24">
        <v>10</v>
      </c>
      <c r="V10" s="26">
        <f t="shared" si="12"/>
        <v>110</v>
      </c>
      <c r="W10" s="24">
        <f t="shared" si="13"/>
        <v>4.5705999999999998</v>
      </c>
      <c r="X10" s="26"/>
      <c r="Y10" s="54">
        <f t="shared" si="14"/>
        <v>228.53</v>
      </c>
      <c r="Z10" s="28">
        <f t="shared" si="3"/>
        <v>114.5706</v>
      </c>
      <c r="AA10" s="54">
        <f t="shared" si="4"/>
        <v>113.95</v>
      </c>
      <c r="AB10" s="29">
        <f t="shared" si="5"/>
        <v>113</v>
      </c>
      <c r="AC10" s="24">
        <f t="shared" si="6"/>
        <v>3800</v>
      </c>
      <c r="AD10" s="30"/>
      <c r="AE10" s="73">
        <f t="shared" si="7"/>
        <v>4.5705999999999998</v>
      </c>
    </row>
    <row r="11" spans="1:31" s="31" customFormat="1" ht="82.5" customHeight="1" x14ac:dyDescent="0.25">
      <c r="A11" s="43" t="s">
        <v>61</v>
      </c>
      <c r="B11" s="42" t="s">
        <v>172</v>
      </c>
      <c r="C11" s="56" t="s">
        <v>308</v>
      </c>
      <c r="D11" s="48">
        <v>220</v>
      </c>
      <c r="E11" s="20">
        <v>22</v>
      </c>
      <c r="F11" s="57"/>
      <c r="G11" s="22"/>
      <c r="H11" s="23"/>
      <c r="I11" s="22"/>
      <c r="J11" s="22">
        <v>4</v>
      </c>
      <c r="K11" s="52">
        <f t="shared" si="8"/>
        <v>186.15384615384616</v>
      </c>
      <c r="L11" s="58">
        <f t="shared" si="9"/>
        <v>0</v>
      </c>
      <c r="M11" s="53">
        <f t="shared" si="10"/>
        <v>0</v>
      </c>
      <c r="N11" s="53">
        <f t="shared" si="11"/>
        <v>33.846153846153847</v>
      </c>
      <c r="O11" s="53">
        <v>0</v>
      </c>
      <c r="P11" s="25">
        <v>0</v>
      </c>
      <c r="Q11" s="24">
        <f t="shared" si="1"/>
        <v>0</v>
      </c>
      <c r="R11" s="24">
        <f t="shared" si="2"/>
        <v>0</v>
      </c>
      <c r="S11" s="27"/>
      <c r="T11" s="24">
        <v>10</v>
      </c>
      <c r="U11" s="24">
        <v>10</v>
      </c>
      <c r="V11" s="26">
        <f t="shared" si="12"/>
        <v>110</v>
      </c>
      <c r="W11" s="24">
        <f t="shared" si="13"/>
        <v>4.8</v>
      </c>
      <c r="X11" s="26"/>
      <c r="Y11" s="54">
        <f t="shared" si="14"/>
        <v>240</v>
      </c>
      <c r="Z11" s="28">
        <f t="shared" si="3"/>
        <v>114.8</v>
      </c>
      <c r="AA11" s="54">
        <f t="shared" si="4"/>
        <v>125.2</v>
      </c>
      <c r="AB11" s="29">
        <f t="shared" si="5"/>
        <v>125</v>
      </c>
      <c r="AC11" s="24">
        <f t="shared" si="6"/>
        <v>800</v>
      </c>
      <c r="AD11" s="30"/>
      <c r="AE11" s="73">
        <f t="shared" si="7"/>
        <v>4.8</v>
      </c>
    </row>
    <row r="12" spans="1:31" s="31" customFormat="1" ht="82.5" customHeight="1" x14ac:dyDescent="0.25">
      <c r="A12" s="43" t="s">
        <v>62</v>
      </c>
      <c r="B12" s="42" t="s">
        <v>173</v>
      </c>
      <c r="C12" s="56" t="s">
        <v>308</v>
      </c>
      <c r="D12" s="48">
        <v>220</v>
      </c>
      <c r="E12" s="20">
        <v>21</v>
      </c>
      <c r="F12" s="57">
        <v>1</v>
      </c>
      <c r="G12" s="22"/>
      <c r="H12" s="23"/>
      <c r="I12" s="22"/>
      <c r="J12" s="22">
        <v>4</v>
      </c>
      <c r="K12" s="52">
        <f t="shared" si="8"/>
        <v>177.69230769230771</v>
      </c>
      <c r="L12" s="58">
        <f t="shared" si="9"/>
        <v>0</v>
      </c>
      <c r="M12" s="53">
        <f t="shared" si="10"/>
        <v>0</v>
      </c>
      <c r="N12" s="53">
        <f t="shared" si="11"/>
        <v>33.846153846153847</v>
      </c>
      <c r="O12" s="53">
        <v>0</v>
      </c>
      <c r="P12" s="25">
        <v>0</v>
      </c>
      <c r="Q12" s="24">
        <f t="shared" si="1"/>
        <v>0</v>
      </c>
      <c r="R12" s="24">
        <f t="shared" si="2"/>
        <v>0</v>
      </c>
      <c r="S12" s="27"/>
      <c r="T12" s="24">
        <v>7</v>
      </c>
      <c r="U12" s="24">
        <v>10</v>
      </c>
      <c r="V12" s="26">
        <f t="shared" si="12"/>
        <v>110</v>
      </c>
      <c r="W12" s="24">
        <f t="shared" si="13"/>
        <v>4.5705999999999998</v>
      </c>
      <c r="X12" s="26"/>
      <c r="Y12" s="54">
        <f t="shared" si="14"/>
        <v>228.53</v>
      </c>
      <c r="Z12" s="28">
        <f t="shared" si="3"/>
        <v>114.5706</v>
      </c>
      <c r="AA12" s="54">
        <f t="shared" si="4"/>
        <v>113.95</v>
      </c>
      <c r="AB12" s="29">
        <f t="shared" si="5"/>
        <v>113</v>
      </c>
      <c r="AC12" s="24">
        <f t="shared" si="6"/>
        <v>3800</v>
      </c>
      <c r="AD12" s="30"/>
      <c r="AE12" s="73">
        <f t="shared" si="7"/>
        <v>4.5705999999999998</v>
      </c>
    </row>
    <row r="13" spans="1:31" s="31" customFormat="1" ht="82.5" customHeight="1" x14ac:dyDescent="0.25">
      <c r="A13" s="43" t="s">
        <v>63</v>
      </c>
      <c r="B13" s="42" t="s">
        <v>174</v>
      </c>
      <c r="C13" s="56" t="s">
        <v>310</v>
      </c>
      <c r="D13" s="48">
        <v>204</v>
      </c>
      <c r="E13" s="20">
        <v>22</v>
      </c>
      <c r="F13" s="57"/>
      <c r="G13" s="22"/>
      <c r="H13" s="23"/>
      <c r="I13" s="22"/>
      <c r="J13" s="22">
        <v>4</v>
      </c>
      <c r="K13" s="52">
        <f t="shared" si="8"/>
        <v>172.61538461538461</v>
      </c>
      <c r="L13" s="58">
        <f t="shared" si="9"/>
        <v>0</v>
      </c>
      <c r="M13" s="53">
        <f t="shared" si="10"/>
        <v>0</v>
      </c>
      <c r="N13" s="53">
        <f t="shared" si="11"/>
        <v>31.384615384615383</v>
      </c>
      <c r="O13" s="53">
        <v>0</v>
      </c>
      <c r="P13" s="25">
        <v>0</v>
      </c>
      <c r="Q13" s="24">
        <f t="shared" si="1"/>
        <v>0</v>
      </c>
      <c r="R13" s="24">
        <f t="shared" si="2"/>
        <v>0</v>
      </c>
      <c r="S13" s="27"/>
      <c r="T13" s="24">
        <v>10</v>
      </c>
      <c r="U13" s="24">
        <v>10</v>
      </c>
      <c r="V13" s="26">
        <f t="shared" si="12"/>
        <v>102</v>
      </c>
      <c r="W13" s="24">
        <f t="shared" si="13"/>
        <v>4.4800000000000004</v>
      </c>
      <c r="X13" s="26"/>
      <c r="Y13" s="54">
        <f t="shared" si="14"/>
        <v>224</v>
      </c>
      <c r="Z13" s="28">
        <f t="shared" si="3"/>
        <v>106.48</v>
      </c>
      <c r="AA13" s="54">
        <f t="shared" si="4"/>
        <v>117.52</v>
      </c>
      <c r="AB13" s="29">
        <f t="shared" si="5"/>
        <v>117</v>
      </c>
      <c r="AC13" s="24">
        <f t="shared" si="6"/>
        <v>2100</v>
      </c>
      <c r="AD13" s="30"/>
      <c r="AE13" s="73">
        <f t="shared" si="7"/>
        <v>4.4800000000000004</v>
      </c>
    </row>
    <row r="14" spans="1:31" s="36" customFormat="1" ht="27.75" customHeight="1" thickBot="1" x14ac:dyDescent="0.3">
      <c r="A14" s="107" t="s">
        <v>33</v>
      </c>
      <c r="B14" s="108"/>
      <c r="C14" s="32"/>
      <c r="D14" s="33"/>
      <c r="E14" s="34">
        <f t="shared" ref="E14:AC14" si="15">SUM(E8:E13)</f>
        <v>130</v>
      </c>
      <c r="F14" s="34">
        <f t="shared" si="15"/>
        <v>2</v>
      </c>
      <c r="G14" s="34">
        <f t="shared" si="15"/>
        <v>0</v>
      </c>
      <c r="H14" s="34">
        <f t="shared" si="15"/>
        <v>0</v>
      </c>
      <c r="I14" s="34">
        <f t="shared" si="15"/>
        <v>0</v>
      </c>
      <c r="J14" s="34">
        <f t="shared" si="15"/>
        <v>24</v>
      </c>
      <c r="K14" s="34">
        <f t="shared" si="15"/>
        <v>1094.9230769230771</v>
      </c>
      <c r="L14" s="34">
        <f t="shared" si="15"/>
        <v>0</v>
      </c>
      <c r="M14" s="34">
        <f t="shared" si="15"/>
        <v>0</v>
      </c>
      <c r="N14" s="34">
        <f t="shared" si="15"/>
        <v>202.15384615384613</v>
      </c>
      <c r="O14" s="34">
        <f t="shared" si="15"/>
        <v>0</v>
      </c>
      <c r="P14" s="34">
        <f t="shared" si="15"/>
        <v>0</v>
      </c>
      <c r="Q14" s="34">
        <f t="shared" si="15"/>
        <v>0</v>
      </c>
      <c r="R14" s="34">
        <f>SUM(R8:R13)</f>
        <v>0</v>
      </c>
      <c r="S14" s="34">
        <f t="shared" si="15"/>
        <v>0</v>
      </c>
      <c r="T14" s="34">
        <f t="shared" si="15"/>
        <v>54</v>
      </c>
      <c r="U14" s="34">
        <f t="shared" si="15"/>
        <v>60</v>
      </c>
      <c r="V14" s="34">
        <f t="shared" si="15"/>
        <v>657</v>
      </c>
      <c r="W14" s="34">
        <f t="shared" si="15"/>
        <v>28.2212</v>
      </c>
      <c r="X14" s="34">
        <f t="shared" si="15"/>
        <v>0</v>
      </c>
      <c r="Y14" s="34">
        <f t="shared" si="15"/>
        <v>1411.06</v>
      </c>
      <c r="Z14" s="34">
        <f t="shared" si="15"/>
        <v>685.22120000000007</v>
      </c>
      <c r="AA14" s="34">
        <f t="shared" si="15"/>
        <v>725.81999999999994</v>
      </c>
      <c r="AB14" s="34">
        <f t="shared" si="15"/>
        <v>723</v>
      </c>
      <c r="AC14" s="34">
        <f t="shared" si="15"/>
        <v>11300</v>
      </c>
      <c r="AD14" s="35"/>
    </row>
    <row r="15" spans="1:31" ht="21.75" customHeight="1" thickTop="1" x14ac:dyDescent="0.2">
      <c r="A15" s="109" t="s">
        <v>34</v>
      </c>
      <c r="B15" s="109"/>
      <c r="C15" s="109"/>
      <c r="D15" s="37"/>
      <c r="E15" s="37"/>
      <c r="F15" s="37"/>
      <c r="G15" s="37"/>
      <c r="H15" s="110"/>
      <c r="I15" s="110"/>
      <c r="J15" s="110"/>
      <c r="K15" s="38"/>
      <c r="L15" s="110" t="s">
        <v>35</v>
      </c>
      <c r="M15" s="110"/>
      <c r="N15" s="110"/>
      <c r="O15" s="85"/>
      <c r="P15" s="38"/>
      <c r="Q15" s="38"/>
      <c r="T15" s="39"/>
      <c r="U15" s="39"/>
      <c r="Y15" s="39"/>
      <c r="Z15" s="39"/>
      <c r="AA15" s="111" t="s">
        <v>36</v>
      </c>
      <c r="AB15" s="111"/>
      <c r="AC15" s="111"/>
      <c r="AD15" s="40"/>
    </row>
    <row r="16" spans="1:31" ht="21" customHeight="1" x14ac:dyDescent="0.2">
      <c r="A16" s="41"/>
      <c r="B16" s="41"/>
      <c r="C16" s="41"/>
      <c r="D16" s="41"/>
      <c r="E16" s="41"/>
      <c r="G16" s="41"/>
      <c r="H16" s="41"/>
    </row>
    <row r="17" spans="1:30" ht="13.5" customHeight="1" x14ac:dyDescent="0.2">
      <c r="A17" s="41"/>
      <c r="B17" s="41"/>
      <c r="C17" s="41"/>
      <c r="D17" s="41"/>
      <c r="E17" s="41"/>
      <c r="G17" s="41"/>
      <c r="H17" s="41"/>
    </row>
    <row r="18" spans="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1:30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1:30" s="41" customFormat="1" x14ac:dyDescent="0.2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1:30" s="41" customFormat="1" x14ac:dyDescent="0.2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</sheetData>
  <autoFilter ref="A7:AC16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4:B14"/>
    <mergeCell ref="A15:C15"/>
    <mergeCell ref="H15:J15"/>
    <mergeCell ref="L15:N15"/>
    <mergeCell ref="AA15:AC15"/>
  </mergeCells>
  <pageMargins left="0.118110236220472" right="0" top="0.31496063000000002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6327-690E-42C4-99C1-2F60C3549960}">
  <sheetPr>
    <tabColor theme="7" tint="0.39997558519241921"/>
  </sheetPr>
  <dimension ref="A1:AH100"/>
  <sheetViews>
    <sheetView zoomScale="106" zoomScaleNormal="106" workbookViewId="0">
      <pane ySplit="7" topLeftCell="A17" activePane="bottomLeft" state="frozen"/>
      <selection activeCell="X8" sqref="X8"/>
      <selection pane="bottomLeft" activeCell="AB19" sqref="AB19"/>
    </sheetView>
  </sheetViews>
  <sheetFormatPr defaultColWidth="9.140625" defaultRowHeight="12.75" x14ac:dyDescent="0.2"/>
  <cols>
    <col min="1" max="1" width="7.5703125" style="1" customWidth="1"/>
    <col min="2" max="2" width="10.285156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9" width="4.5703125" style="41" customWidth="1"/>
    <col min="10" max="10" width="3.7109375" style="41" customWidth="1"/>
    <col min="11" max="11" width="6.28515625" style="1" customWidth="1"/>
    <col min="12" max="12" width="6" style="1" hidden="1" customWidth="1"/>
    <col min="13" max="13" width="5.42578125" style="1" customWidth="1"/>
    <col min="14" max="14" width="4.42578125" style="1" customWidth="1"/>
    <col min="15" max="16" width="5" style="1" customWidth="1"/>
    <col min="17" max="18" width="5.42578125" style="1" customWidth="1"/>
    <col min="19" max="19" width="4.42578125" style="1" customWidth="1"/>
    <col min="20" max="20" width="4.85546875" style="1" customWidth="1"/>
    <col min="21" max="22" width="6" style="1" customWidth="1"/>
    <col min="23" max="23" width="5.42578125" style="1" customWidth="1"/>
    <col min="24" max="24" width="5.140625" style="1" customWidth="1"/>
    <col min="25" max="25" width="4.85546875" style="1" customWidth="1"/>
    <col min="26" max="30" width="6.7109375" style="1" customWidth="1"/>
    <col min="31" max="31" width="13.140625" style="1" customWidth="1"/>
    <col min="32" max="16384" width="9.140625" style="1"/>
  </cols>
  <sheetData>
    <row r="1" spans="1:32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2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2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2" ht="15.75" customHeight="1" thickBot="1" x14ac:dyDescent="0.4">
      <c r="A4" s="117" t="s">
        <v>394</v>
      </c>
      <c r="B4" s="118"/>
      <c r="C4" s="2">
        <f>COUNTA(B8:B44)</f>
        <v>37</v>
      </c>
      <c r="D4" s="3"/>
      <c r="E4" s="3"/>
      <c r="F4" s="1"/>
      <c r="I4" s="1"/>
      <c r="J4" s="1"/>
      <c r="V4" s="4"/>
      <c r="Z4" s="5"/>
      <c r="AA4" s="5"/>
      <c r="AB4" s="5"/>
      <c r="AD4" s="5"/>
    </row>
    <row r="5" spans="1:32" s="9" customFormat="1" ht="43.5" customHeight="1" thickTop="1" x14ac:dyDescent="0.25">
      <c r="A5" s="6" t="s">
        <v>0</v>
      </c>
      <c r="B5" s="12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49" t="s">
        <v>9</v>
      </c>
      <c r="M5" s="7" t="s">
        <v>4</v>
      </c>
      <c r="N5" s="8" t="s">
        <v>10</v>
      </c>
      <c r="O5" s="8" t="s">
        <v>10</v>
      </c>
      <c r="P5" s="8" t="s">
        <v>4</v>
      </c>
      <c r="Q5" s="121" t="s">
        <v>11</v>
      </c>
      <c r="R5" s="122"/>
      <c r="S5" s="7" t="s">
        <v>4</v>
      </c>
      <c r="T5" s="8" t="s">
        <v>4</v>
      </c>
      <c r="U5" s="7" t="s">
        <v>4</v>
      </c>
      <c r="V5" s="7" t="s">
        <v>4</v>
      </c>
      <c r="W5" s="7" t="s">
        <v>4</v>
      </c>
      <c r="X5" s="7" t="s">
        <v>4</v>
      </c>
      <c r="Y5" s="8" t="s">
        <v>4</v>
      </c>
      <c r="Z5" s="8" t="s">
        <v>12</v>
      </c>
      <c r="AA5" s="8" t="s">
        <v>4</v>
      </c>
      <c r="AB5" s="8" t="s">
        <v>303</v>
      </c>
      <c r="AC5" s="8" t="s">
        <v>13</v>
      </c>
      <c r="AD5" s="7" t="s">
        <v>4</v>
      </c>
      <c r="AE5" s="105" t="s">
        <v>584</v>
      </c>
    </row>
    <row r="6" spans="1:32" s="9" customFormat="1" ht="43.5" customHeight="1" thickBot="1" x14ac:dyDescent="0.3">
      <c r="A6" s="10" t="s">
        <v>14</v>
      </c>
      <c r="B6" s="12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50" t="s">
        <v>400</v>
      </c>
      <c r="M6" s="12" t="s">
        <v>23</v>
      </c>
      <c r="N6" s="12" t="s">
        <v>21</v>
      </c>
      <c r="O6" s="11" t="s">
        <v>22</v>
      </c>
      <c r="P6" s="13" t="s">
        <v>580</v>
      </c>
      <c r="Q6" s="14" t="s">
        <v>24</v>
      </c>
      <c r="R6" s="15" t="s">
        <v>4</v>
      </c>
      <c r="S6" s="11" t="s">
        <v>25</v>
      </c>
      <c r="T6" s="12" t="s">
        <v>26</v>
      </c>
      <c r="U6" s="13" t="s">
        <v>306</v>
      </c>
      <c r="V6" s="12" t="s">
        <v>27</v>
      </c>
      <c r="W6" s="12" t="s">
        <v>296</v>
      </c>
      <c r="X6" s="12" t="s">
        <v>297</v>
      </c>
      <c r="Y6" s="16" t="s">
        <v>28</v>
      </c>
      <c r="Z6" s="12" t="s">
        <v>301</v>
      </c>
      <c r="AA6" s="12" t="s">
        <v>302</v>
      </c>
      <c r="AB6" s="12" t="s">
        <v>304</v>
      </c>
      <c r="AC6" s="12" t="s">
        <v>29</v>
      </c>
      <c r="AD6" s="11" t="s">
        <v>30</v>
      </c>
      <c r="AE6" s="106"/>
    </row>
    <row r="7" spans="1:32" s="2" customFormat="1" ht="22.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</row>
    <row r="8" spans="1:32" s="31" customFormat="1" ht="93" customHeight="1" x14ac:dyDescent="0.25">
      <c r="A8" s="44" t="s">
        <v>187</v>
      </c>
      <c r="B8" s="64" t="s">
        <v>188</v>
      </c>
      <c r="C8" s="56" t="s">
        <v>308</v>
      </c>
      <c r="D8" s="48">
        <v>350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296.15384615384613</v>
      </c>
      <c r="L8" s="52"/>
      <c r="M8" s="53">
        <f t="shared" ref="M8:M44" si="0">D8/208*H8*1.5</f>
        <v>0</v>
      </c>
      <c r="N8" s="53">
        <f t="shared" ref="N8:N44" si="1">D8/26*I8*2</f>
        <v>0</v>
      </c>
      <c r="O8" s="53">
        <f t="shared" ref="O8:O44" si="2">D8/26*J8</f>
        <v>53.846153846153847</v>
      </c>
      <c r="P8" s="53">
        <v>0</v>
      </c>
      <c r="Q8" s="25">
        <v>0</v>
      </c>
      <c r="R8" s="24">
        <f t="shared" ref="R8:R44" si="3">D8/26*Q8/2</f>
        <v>0</v>
      </c>
      <c r="S8" s="24">
        <f t="shared" ref="S8:S44" si="4">((H8)*1500/4000)</f>
        <v>0</v>
      </c>
      <c r="T8" s="27"/>
      <c r="U8" s="24">
        <v>10</v>
      </c>
      <c r="V8" s="24">
        <v>10</v>
      </c>
      <c r="W8" s="26">
        <f>D8/2</f>
        <v>175</v>
      </c>
      <c r="X8" s="24">
        <v>6</v>
      </c>
      <c r="Y8" s="26"/>
      <c r="Z8" s="54">
        <f t="shared" ref="Z8:Z44" si="5">INT((K8+M8+N8+O8+R8+S8+U8+V8+T8+L8)*100)/100</f>
        <v>370</v>
      </c>
      <c r="AA8" s="28">
        <f t="shared" ref="AA8:AA44" si="6">W8+X8+Y8</f>
        <v>181</v>
      </c>
      <c r="AB8" s="54">
        <f t="shared" ref="AB8:AB44" si="7">INT((Z8-AA8)*100)/100</f>
        <v>189</v>
      </c>
      <c r="AC8" s="29">
        <f t="shared" ref="AC8:AC44" si="8">INT(AB8)</f>
        <v>189</v>
      </c>
      <c r="AD8" s="24">
        <f t="shared" ref="AD8:AD44" si="9">INT((AB8-AC8)*40+0.5)*100</f>
        <v>0</v>
      </c>
      <c r="AE8" s="30"/>
      <c r="AF8" s="73">
        <f>Z8*0.02</f>
        <v>7.4</v>
      </c>
    </row>
    <row r="9" spans="1:32" s="31" customFormat="1" ht="93" customHeight="1" x14ac:dyDescent="0.25">
      <c r="A9" s="44" t="s">
        <v>189</v>
      </c>
      <c r="B9" s="64" t="s">
        <v>190</v>
      </c>
      <c r="C9" s="56" t="s">
        <v>308</v>
      </c>
      <c r="D9" s="48">
        <v>280</v>
      </c>
      <c r="E9" s="20">
        <v>20</v>
      </c>
      <c r="F9" s="57">
        <v>2</v>
      </c>
      <c r="G9" s="22"/>
      <c r="H9" s="23"/>
      <c r="I9" s="22"/>
      <c r="J9" s="22">
        <v>4</v>
      </c>
      <c r="K9" s="52">
        <f t="shared" ref="K9:K44" si="10">D9/26*E9</f>
        <v>215.38461538461542</v>
      </c>
      <c r="L9" s="52"/>
      <c r="M9" s="53">
        <f t="shared" si="0"/>
        <v>0</v>
      </c>
      <c r="N9" s="53">
        <f t="shared" si="1"/>
        <v>0</v>
      </c>
      <c r="O9" s="53">
        <f t="shared" si="2"/>
        <v>43.07692307692308</v>
      </c>
      <c r="P9" s="53">
        <v>0</v>
      </c>
      <c r="Q9" s="25">
        <v>0</v>
      </c>
      <c r="R9" s="24">
        <f t="shared" si="3"/>
        <v>0</v>
      </c>
      <c r="S9" s="24">
        <f t="shared" si="4"/>
        <v>0</v>
      </c>
      <c r="T9" s="27"/>
      <c r="U9" s="24">
        <v>4</v>
      </c>
      <c r="V9" s="24">
        <v>10</v>
      </c>
      <c r="W9" s="26">
        <f t="shared" ref="W9:W44" si="11">D9/2</f>
        <v>140</v>
      </c>
      <c r="X9" s="24">
        <f>AF9</f>
        <v>5.4491999999999994</v>
      </c>
      <c r="Y9" s="26"/>
      <c r="Z9" s="54">
        <f t="shared" si="5"/>
        <v>272.45999999999998</v>
      </c>
      <c r="AA9" s="28">
        <f>W9+X9+Y9</f>
        <v>145.44919999999999</v>
      </c>
      <c r="AB9" s="54">
        <f>INT((Z9-AA9)*100)/100</f>
        <v>127.01</v>
      </c>
      <c r="AC9" s="29">
        <f t="shared" si="8"/>
        <v>127</v>
      </c>
      <c r="AD9" s="24">
        <f t="shared" si="9"/>
        <v>0</v>
      </c>
      <c r="AE9" s="30"/>
      <c r="AF9" s="73">
        <f t="shared" ref="AF9:AF44" si="12">Z9*0.02</f>
        <v>5.4491999999999994</v>
      </c>
    </row>
    <row r="10" spans="1:32" s="31" customFormat="1" ht="93" customHeight="1" x14ac:dyDescent="0.25">
      <c r="A10" s="44" t="s">
        <v>191</v>
      </c>
      <c r="B10" s="64" t="s">
        <v>192</v>
      </c>
      <c r="C10" s="56" t="s">
        <v>308</v>
      </c>
      <c r="D10" s="48">
        <v>280</v>
      </c>
      <c r="E10" s="20">
        <v>20</v>
      </c>
      <c r="F10" s="57">
        <v>2</v>
      </c>
      <c r="G10" s="22"/>
      <c r="H10" s="23"/>
      <c r="I10" s="22"/>
      <c r="J10" s="22">
        <v>4</v>
      </c>
      <c r="K10" s="52">
        <f t="shared" si="10"/>
        <v>215.38461538461542</v>
      </c>
      <c r="L10" s="52"/>
      <c r="M10" s="53">
        <f t="shared" si="0"/>
        <v>0</v>
      </c>
      <c r="N10" s="53">
        <f t="shared" si="1"/>
        <v>0</v>
      </c>
      <c r="O10" s="53">
        <f t="shared" si="2"/>
        <v>43.07692307692308</v>
      </c>
      <c r="P10" s="53">
        <v>0</v>
      </c>
      <c r="Q10" s="25">
        <v>0</v>
      </c>
      <c r="R10" s="24">
        <f t="shared" si="3"/>
        <v>0</v>
      </c>
      <c r="S10" s="24">
        <f t="shared" si="4"/>
        <v>0</v>
      </c>
      <c r="T10" s="27"/>
      <c r="U10" s="24">
        <v>4</v>
      </c>
      <c r="V10" s="24">
        <v>10</v>
      </c>
      <c r="W10" s="26">
        <f t="shared" si="11"/>
        <v>140</v>
      </c>
      <c r="X10" s="24">
        <f t="shared" ref="X10:X44" si="13">AF10</f>
        <v>5.4491999999999994</v>
      </c>
      <c r="Y10" s="26"/>
      <c r="Z10" s="54">
        <f t="shared" si="5"/>
        <v>272.45999999999998</v>
      </c>
      <c r="AA10" s="28">
        <f t="shared" si="6"/>
        <v>145.44919999999999</v>
      </c>
      <c r="AB10" s="54">
        <f t="shared" si="7"/>
        <v>127.01</v>
      </c>
      <c r="AC10" s="29">
        <f t="shared" si="8"/>
        <v>127</v>
      </c>
      <c r="AD10" s="24">
        <f t="shared" si="9"/>
        <v>0</v>
      </c>
      <c r="AE10" s="30"/>
      <c r="AF10" s="73">
        <f t="shared" si="12"/>
        <v>5.4491999999999994</v>
      </c>
    </row>
    <row r="11" spans="1:32" s="31" customFormat="1" ht="93" customHeight="1" x14ac:dyDescent="0.25">
      <c r="A11" s="44" t="s">
        <v>193</v>
      </c>
      <c r="B11" s="64" t="s">
        <v>94</v>
      </c>
      <c r="C11" s="56" t="s">
        <v>308</v>
      </c>
      <c r="D11" s="48">
        <v>280</v>
      </c>
      <c r="E11" s="20">
        <v>21</v>
      </c>
      <c r="F11" s="57">
        <v>1</v>
      </c>
      <c r="G11" s="22"/>
      <c r="H11" s="23"/>
      <c r="I11" s="22"/>
      <c r="J11" s="22">
        <v>4</v>
      </c>
      <c r="K11" s="52">
        <f t="shared" si="10"/>
        <v>226.15384615384616</v>
      </c>
      <c r="L11" s="52"/>
      <c r="M11" s="53">
        <f t="shared" si="0"/>
        <v>0</v>
      </c>
      <c r="N11" s="53">
        <f t="shared" si="1"/>
        <v>0</v>
      </c>
      <c r="O11" s="53">
        <f t="shared" si="2"/>
        <v>43.07692307692308</v>
      </c>
      <c r="P11" s="53">
        <v>0</v>
      </c>
      <c r="Q11" s="25">
        <v>0</v>
      </c>
      <c r="R11" s="24">
        <f t="shared" si="3"/>
        <v>0</v>
      </c>
      <c r="S11" s="24">
        <f t="shared" si="4"/>
        <v>0</v>
      </c>
      <c r="T11" s="27"/>
      <c r="U11" s="24">
        <v>7</v>
      </c>
      <c r="V11" s="24">
        <v>10</v>
      </c>
      <c r="W11" s="26">
        <f t="shared" si="11"/>
        <v>140</v>
      </c>
      <c r="X11" s="24">
        <f t="shared" si="13"/>
        <v>5.7246000000000006</v>
      </c>
      <c r="Y11" s="26"/>
      <c r="Z11" s="54">
        <f t="shared" si="5"/>
        <v>286.23</v>
      </c>
      <c r="AA11" s="28">
        <f t="shared" si="6"/>
        <v>145.72460000000001</v>
      </c>
      <c r="AB11" s="54">
        <f t="shared" si="7"/>
        <v>140.5</v>
      </c>
      <c r="AC11" s="29">
        <f t="shared" si="8"/>
        <v>140</v>
      </c>
      <c r="AD11" s="24">
        <f t="shared" si="9"/>
        <v>2000</v>
      </c>
      <c r="AE11" s="30"/>
      <c r="AF11" s="73">
        <f t="shared" si="12"/>
        <v>5.7246000000000006</v>
      </c>
    </row>
    <row r="12" spans="1:32" s="31" customFormat="1" ht="93" customHeight="1" x14ac:dyDescent="0.25">
      <c r="A12" s="44" t="s">
        <v>194</v>
      </c>
      <c r="B12" s="64" t="s">
        <v>195</v>
      </c>
      <c r="C12" s="56" t="s">
        <v>308</v>
      </c>
      <c r="D12" s="48">
        <v>280</v>
      </c>
      <c r="E12" s="20">
        <v>20</v>
      </c>
      <c r="F12" s="57">
        <v>2</v>
      </c>
      <c r="G12" s="22"/>
      <c r="H12" s="23"/>
      <c r="I12" s="22"/>
      <c r="J12" s="22">
        <v>4</v>
      </c>
      <c r="K12" s="52">
        <f t="shared" si="10"/>
        <v>215.38461538461542</v>
      </c>
      <c r="L12" s="52"/>
      <c r="M12" s="53">
        <f t="shared" si="0"/>
        <v>0</v>
      </c>
      <c r="N12" s="53">
        <f t="shared" si="1"/>
        <v>0</v>
      </c>
      <c r="O12" s="53">
        <f t="shared" si="2"/>
        <v>43.07692307692308</v>
      </c>
      <c r="P12" s="53">
        <v>0</v>
      </c>
      <c r="Q12" s="25">
        <v>0</v>
      </c>
      <c r="R12" s="24">
        <f t="shared" si="3"/>
        <v>0</v>
      </c>
      <c r="S12" s="24">
        <f t="shared" si="4"/>
        <v>0</v>
      </c>
      <c r="T12" s="27"/>
      <c r="U12" s="24">
        <v>4</v>
      </c>
      <c r="V12" s="24">
        <v>10</v>
      </c>
      <c r="W12" s="26">
        <f t="shared" si="11"/>
        <v>140</v>
      </c>
      <c r="X12" s="24">
        <f t="shared" si="13"/>
        <v>5.4491999999999994</v>
      </c>
      <c r="Y12" s="26"/>
      <c r="Z12" s="54">
        <f t="shared" si="5"/>
        <v>272.45999999999998</v>
      </c>
      <c r="AA12" s="28">
        <f t="shared" si="6"/>
        <v>145.44919999999999</v>
      </c>
      <c r="AB12" s="54">
        <f t="shared" si="7"/>
        <v>127.01</v>
      </c>
      <c r="AC12" s="29">
        <f t="shared" si="8"/>
        <v>127</v>
      </c>
      <c r="AD12" s="24">
        <f t="shared" si="9"/>
        <v>0</v>
      </c>
      <c r="AE12" s="30"/>
      <c r="AF12" s="73">
        <f t="shared" si="12"/>
        <v>5.4491999999999994</v>
      </c>
    </row>
    <row r="13" spans="1:32" s="31" customFormat="1" ht="93" customHeight="1" x14ac:dyDescent="0.25">
      <c r="A13" s="44" t="s">
        <v>610</v>
      </c>
      <c r="B13" s="64" t="s">
        <v>611</v>
      </c>
      <c r="C13" s="56" t="s">
        <v>612</v>
      </c>
      <c r="D13" s="48">
        <v>280</v>
      </c>
      <c r="E13" s="20">
        <v>20.5</v>
      </c>
      <c r="F13" s="57">
        <v>1.5</v>
      </c>
      <c r="G13" s="22"/>
      <c r="H13" s="23"/>
      <c r="I13" s="22"/>
      <c r="J13" s="22">
        <v>4</v>
      </c>
      <c r="K13" s="52">
        <f t="shared" si="10"/>
        <v>220.76923076923077</v>
      </c>
      <c r="L13" s="52"/>
      <c r="M13" s="53">
        <f t="shared" si="0"/>
        <v>0</v>
      </c>
      <c r="N13" s="53">
        <f t="shared" si="1"/>
        <v>0</v>
      </c>
      <c r="O13" s="53">
        <f t="shared" si="2"/>
        <v>43.07692307692308</v>
      </c>
      <c r="P13" s="53">
        <v>0</v>
      </c>
      <c r="Q13" s="25">
        <v>0</v>
      </c>
      <c r="R13" s="24">
        <f t="shared" si="3"/>
        <v>0</v>
      </c>
      <c r="S13" s="24">
        <f t="shared" si="4"/>
        <v>0</v>
      </c>
      <c r="T13" s="27"/>
      <c r="U13" s="24">
        <v>4</v>
      </c>
      <c r="V13" s="24">
        <v>10</v>
      </c>
      <c r="W13" s="26">
        <f t="shared" si="11"/>
        <v>140</v>
      </c>
      <c r="X13" s="24">
        <f t="shared" si="13"/>
        <v>5.5568</v>
      </c>
      <c r="Y13" s="26"/>
      <c r="Z13" s="54">
        <f t="shared" si="5"/>
        <v>277.83999999999997</v>
      </c>
      <c r="AA13" s="28">
        <f t="shared" ref="AA13" si="14">W13+X13+Y13</f>
        <v>145.55680000000001</v>
      </c>
      <c r="AB13" s="54">
        <f t="shared" ref="AB13" si="15">INT((Z13-AA13)*100)/100</f>
        <v>132.28</v>
      </c>
      <c r="AC13" s="29">
        <f t="shared" ref="AC13" si="16">INT(AB13)</f>
        <v>132</v>
      </c>
      <c r="AD13" s="24">
        <f t="shared" ref="AD13" si="17">INT((AB13-AC13)*40+0.5)*100</f>
        <v>1100</v>
      </c>
      <c r="AE13" s="30"/>
      <c r="AF13" s="73">
        <f t="shared" si="12"/>
        <v>5.5568</v>
      </c>
    </row>
    <row r="14" spans="1:32" s="31" customFormat="1" ht="93" customHeight="1" x14ac:dyDescent="0.25">
      <c r="A14" s="43" t="s">
        <v>77</v>
      </c>
      <c r="B14" s="42" t="s">
        <v>96</v>
      </c>
      <c r="C14" s="56" t="s">
        <v>308</v>
      </c>
      <c r="D14" s="48">
        <v>236</v>
      </c>
      <c r="E14" s="20">
        <v>22</v>
      </c>
      <c r="F14" s="57"/>
      <c r="G14" s="22"/>
      <c r="H14" s="23"/>
      <c r="I14" s="22"/>
      <c r="J14" s="22">
        <v>4</v>
      </c>
      <c r="K14" s="52">
        <f t="shared" si="10"/>
        <v>199.69230769230768</v>
      </c>
      <c r="L14" s="52"/>
      <c r="M14" s="53">
        <f t="shared" si="0"/>
        <v>0</v>
      </c>
      <c r="N14" s="53">
        <f t="shared" si="1"/>
        <v>0</v>
      </c>
      <c r="O14" s="53">
        <f t="shared" si="2"/>
        <v>36.307692307692307</v>
      </c>
      <c r="P14" s="53">
        <v>0</v>
      </c>
      <c r="Q14" s="25">
        <v>0</v>
      </c>
      <c r="R14" s="24">
        <f t="shared" si="3"/>
        <v>0</v>
      </c>
      <c r="S14" s="24">
        <f t="shared" si="4"/>
        <v>0</v>
      </c>
      <c r="T14" s="27"/>
      <c r="U14" s="24">
        <v>10</v>
      </c>
      <c r="V14" s="24">
        <v>10</v>
      </c>
      <c r="W14" s="26">
        <f t="shared" si="11"/>
        <v>118</v>
      </c>
      <c r="X14" s="24">
        <f t="shared" si="13"/>
        <v>5.12</v>
      </c>
      <c r="Y14" s="26"/>
      <c r="Z14" s="54">
        <f t="shared" si="5"/>
        <v>256</v>
      </c>
      <c r="AA14" s="28">
        <f t="shared" si="6"/>
        <v>123.12</v>
      </c>
      <c r="AB14" s="54">
        <f t="shared" si="7"/>
        <v>132.88</v>
      </c>
      <c r="AC14" s="29">
        <f t="shared" si="8"/>
        <v>132</v>
      </c>
      <c r="AD14" s="24">
        <f t="shared" si="9"/>
        <v>3500</v>
      </c>
      <c r="AE14" s="30"/>
      <c r="AF14" s="73">
        <f t="shared" si="12"/>
        <v>5.12</v>
      </c>
    </row>
    <row r="15" spans="1:32" s="31" customFormat="1" ht="93" customHeight="1" x14ac:dyDescent="0.25">
      <c r="A15" s="43" t="s">
        <v>78</v>
      </c>
      <c r="B15" s="42" t="s">
        <v>196</v>
      </c>
      <c r="C15" s="56" t="s">
        <v>308</v>
      </c>
      <c r="D15" s="48">
        <v>236</v>
      </c>
      <c r="E15" s="20">
        <v>22</v>
      </c>
      <c r="F15" s="57"/>
      <c r="G15" s="22"/>
      <c r="H15" s="23"/>
      <c r="I15" s="22"/>
      <c r="J15" s="22">
        <v>4</v>
      </c>
      <c r="K15" s="52">
        <f t="shared" si="10"/>
        <v>199.69230769230768</v>
      </c>
      <c r="L15" s="52"/>
      <c r="M15" s="53">
        <f t="shared" si="0"/>
        <v>0</v>
      </c>
      <c r="N15" s="53">
        <f t="shared" si="1"/>
        <v>0</v>
      </c>
      <c r="O15" s="53">
        <f t="shared" si="2"/>
        <v>36.307692307692307</v>
      </c>
      <c r="P15" s="53">
        <v>0</v>
      </c>
      <c r="Q15" s="25">
        <v>0</v>
      </c>
      <c r="R15" s="24">
        <f t="shared" si="3"/>
        <v>0</v>
      </c>
      <c r="S15" s="24">
        <f t="shared" si="4"/>
        <v>0</v>
      </c>
      <c r="T15" s="27"/>
      <c r="U15" s="24">
        <v>10</v>
      </c>
      <c r="V15" s="24">
        <v>10</v>
      </c>
      <c r="W15" s="26">
        <f t="shared" si="11"/>
        <v>118</v>
      </c>
      <c r="X15" s="24">
        <f t="shared" si="13"/>
        <v>5.12</v>
      </c>
      <c r="Y15" s="26"/>
      <c r="Z15" s="54">
        <f t="shared" si="5"/>
        <v>256</v>
      </c>
      <c r="AA15" s="28">
        <f t="shared" si="6"/>
        <v>123.12</v>
      </c>
      <c r="AB15" s="54">
        <f t="shared" si="7"/>
        <v>132.88</v>
      </c>
      <c r="AC15" s="29">
        <f t="shared" si="8"/>
        <v>132</v>
      </c>
      <c r="AD15" s="24">
        <f t="shared" si="9"/>
        <v>3500</v>
      </c>
      <c r="AE15" s="30"/>
      <c r="AF15" s="73">
        <f t="shared" si="12"/>
        <v>5.12</v>
      </c>
    </row>
    <row r="16" spans="1:32" s="31" customFormat="1" ht="93" customHeight="1" x14ac:dyDescent="0.25">
      <c r="A16" s="43" t="s">
        <v>79</v>
      </c>
      <c r="B16" s="42" t="s">
        <v>197</v>
      </c>
      <c r="C16" s="56" t="s">
        <v>308</v>
      </c>
      <c r="D16" s="48">
        <v>204</v>
      </c>
      <c r="E16" s="20">
        <v>22</v>
      </c>
      <c r="F16" s="57"/>
      <c r="G16" s="22"/>
      <c r="H16" s="23"/>
      <c r="I16" s="22"/>
      <c r="J16" s="22">
        <v>4</v>
      </c>
      <c r="K16" s="52">
        <f t="shared" si="10"/>
        <v>172.61538461538461</v>
      </c>
      <c r="L16" s="52"/>
      <c r="M16" s="53">
        <f t="shared" si="0"/>
        <v>0</v>
      </c>
      <c r="N16" s="53">
        <f t="shared" si="1"/>
        <v>0</v>
      </c>
      <c r="O16" s="53">
        <f t="shared" si="2"/>
        <v>31.384615384615383</v>
      </c>
      <c r="P16" s="53">
        <v>0</v>
      </c>
      <c r="Q16" s="25">
        <v>0</v>
      </c>
      <c r="R16" s="24">
        <f t="shared" si="3"/>
        <v>0</v>
      </c>
      <c r="S16" s="24">
        <f t="shared" si="4"/>
        <v>0</v>
      </c>
      <c r="T16" s="27"/>
      <c r="U16" s="24">
        <v>10</v>
      </c>
      <c r="V16" s="24">
        <v>10</v>
      </c>
      <c r="W16" s="26">
        <f t="shared" si="11"/>
        <v>102</v>
      </c>
      <c r="X16" s="24">
        <f t="shared" si="13"/>
        <v>4.4800000000000004</v>
      </c>
      <c r="Y16" s="26"/>
      <c r="Z16" s="54">
        <f t="shared" si="5"/>
        <v>224</v>
      </c>
      <c r="AA16" s="28">
        <f t="shared" si="6"/>
        <v>106.48</v>
      </c>
      <c r="AB16" s="54">
        <f t="shared" si="7"/>
        <v>117.52</v>
      </c>
      <c r="AC16" s="29">
        <f t="shared" si="8"/>
        <v>117</v>
      </c>
      <c r="AD16" s="24">
        <f t="shared" si="9"/>
        <v>2100</v>
      </c>
      <c r="AE16" s="30"/>
      <c r="AF16" s="73">
        <f t="shared" si="12"/>
        <v>4.4800000000000004</v>
      </c>
    </row>
    <row r="17" spans="1:32" s="31" customFormat="1" ht="93" customHeight="1" x14ac:dyDescent="0.25">
      <c r="A17" s="43" t="s">
        <v>80</v>
      </c>
      <c r="B17" s="64" t="s">
        <v>198</v>
      </c>
      <c r="C17" s="56" t="s">
        <v>308</v>
      </c>
      <c r="D17" s="48">
        <v>204</v>
      </c>
      <c r="E17" s="20">
        <v>22</v>
      </c>
      <c r="F17" s="57"/>
      <c r="G17" s="22"/>
      <c r="H17" s="23"/>
      <c r="I17" s="22"/>
      <c r="J17" s="22">
        <v>4</v>
      </c>
      <c r="K17" s="52">
        <f t="shared" si="10"/>
        <v>172.61538461538461</v>
      </c>
      <c r="L17" s="52"/>
      <c r="M17" s="53">
        <f t="shared" si="0"/>
        <v>0</v>
      </c>
      <c r="N17" s="53">
        <f t="shared" si="1"/>
        <v>0</v>
      </c>
      <c r="O17" s="53">
        <f t="shared" si="2"/>
        <v>31.384615384615383</v>
      </c>
      <c r="P17" s="53">
        <v>0</v>
      </c>
      <c r="Q17" s="25">
        <v>0</v>
      </c>
      <c r="R17" s="24">
        <f t="shared" si="3"/>
        <v>0</v>
      </c>
      <c r="S17" s="24">
        <f t="shared" si="4"/>
        <v>0</v>
      </c>
      <c r="T17" s="27"/>
      <c r="U17" s="24">
        <v>10</v>
      </c>
      <c r="V17" s="24">
        <v>10</v>
      </c>
      <c r="W17" s="26">
        <f t="shared" si="11"/>
        <v>102</v>
      </c>
      <c r="X17" s="24">
        <f t="shared" si="13"/>
        <v>4.4800000000000004</v>
      </c>
      <c r="Y17" s="26"/>
      <c r="Z17" s="54">
        <f t="shared" si="5"/>
        <v>224</v>
      </c>
      <c r="AA17" s="28">
        <f t="shared" si="6"/>
        <v>106.48</v>
      </c>
      <c r="AB17" s="54">
        <f t="shared" si="7"/>
        <v>117.52</v>
      </c>
      <c r="AC17" s="29">
        <f t="shared" si="8"/>
        <v>117</v>
      </c>
      <c r="AD17" s="24">
        <f t="shared" si="9"/>
        <v>2100</v>
      </c>
      <c r="AE17" s="30"/>
      <c r="AF17" s="73">
        <f t="shared" si="12"/>
        <v>4.4800000000000004</v>
      </c>
    </row>
    <row r="18" spans="1:32" s="31" customFormat="1" ht="93" customHeight="1" x14ac:dyDescent="0.25">
      <c r="A18" s="43" t="s">
        <v>81</v>
      </c>
      <c r="B18" s="64" t="s">
        <v>97</v>
      </c>
      <c r="C18" s="56" t="s">
        <v>308</v>
      </c>
      <c r="D18" s="48">
        <v>204</v>
      </c>
      <c r="E18" s="20">
        <v>21</v>
      </c>
      <c r="F18" s="57">
        <v>1</v>
      </c>
      <c r="G18" s="22"/>
      <c r="H18" s="23"/>
      <c r="I18" s="22"/>
      <c r="J18" s="22">
        <v>4</v>
      </c>
      <c r="K18" s="52">
        <f t="shared" si="10"/>
        <v>164.76923076923077</v>
      </c>
      <c r="L18" s="52"/>
      <c r="M18" s="53">
        <f t="shared" si="0"/>
        <v>0</v>
      </c>
      <c r="N18" s="53">
        <f t="shared" si="1"/>
        <v>0</v>
      </c>
      <c r="O18" s="53">
        <f t="shared" si="2"/>
        <v>31.384615384615383</v>
      </c>
      <c r="P18" s="53">
        <v>0</v>
      </c>
      <c r="Q18" s="25">
        <v>0</v>
      </c>
      <c r="R18" s="24">
        <f t="shared" si="3"/>
        <v>0</v>
      </c>
      <c r="S18" s="24">
        <f t="shared" si="4"/>
        <v>0</v>
      </c>
      <c r="T18" s="27"/>
      <c r="U18" s="24">
        <v>7</v>
      </c>
      <c r="V18" s="24">
        <v>10</v>
      </c>
      <c r="W18" s="26">
        <f t="shared" si="11"/>
        <v>102</v>
      </c>
      <c r="X18" s="24">
        <f t="shared" si="13"/>
        <v>4.2629999999999999</v>
      </c>
      <c r="Y18" s="26"/>
      <c r="Z18" s="54">
        <f t="shared" si="5"/>
        <v>213.15</v>
      </c>
      <c r="AA18" s="28">
        <f t="shared" si="6"/>
        <v>106.26300000000001</v>
      </c>
      <c r="AB18" s="54">
        <f t="shared" si="7"/>
        <v>106.88</v>
      </c>
      <c r="AC18" s="29">
        <f t="shared" si="8"/>
        <v>106</v>
      </c>
      <c r="AD18" s="24">
        <f t="shared" si="9"/>
        <v>3500</v>
      </c>
      <c r="AE18" s="30"/>
      <c r="AF18" s="73">
        <f t="shared" si="12"/>
        <v>4.2629999999999999</v>
      </c>
    </row>
    <row r="19" spans="1:32" s="31" customFormat="1" ht="93" customHeight="1" x14ac:dyDescent="0.25">
      <c r="A19" s="43" t="s">
        <v>82</v>
      </c>
      <c r="B19" s="64" t="s">
        <v>98</v>
      </c>
      <c r="C19" s="56" t="s">
        <v>308</v>
      </c>
      <c r="D19" s="48">
        <v>204</v>
      </c>
      <c r="E19" s="20">
        <v>22</v>
      </c>
      <c r="F19" s="57"/>
      <c r="G19" s="22"/>
      <c r="H19" s="23"/>
      <c r="I19" s="22"/>
      <c r="J19" s="22">
        <v>4</v>
      </c>
      <c r="K19" s="52">
        <f t="shared" si="10"/>
        <v>172.61538461538461</v>
      </c>
      <c r="L19" s="52"/>
      <c r="M19" s="53">
        <f t="shared" si="0"/>
        <v>0</v>
      </c>
      <c r="N19" s="53">
        <f t="shared" si="1"/>
        <v>0</v>
      </c>
      <c r="O19" s="53">
        <f t="shared" si="2"/>
        <v>31.384615384615383</v>
      </c>
      <c r="P19" s="53">
        <v>0</v>
      </c>
      <c r="Q19" s="25">
        <v>0</v>
      </c>
      <c r="R19" s="24">
        <f t="shared" si="3"/>
        <v>0</v>
      </c>
      <c r="S19" s="24">
        <f t="shared" si="4"/>
        <v>0</v>
      </c>
      <c r="T19" s="27"/>
      <c r="U19" s="24">
        <v>10</v>
      </c>
      <c r="V19" s="24">
        <v>10</v>
      </c>
      <c r="W19" s="26">
        <f t="shared" si="11"/>
        <v>102</v>
      </c>
      <c r="X19" s="24">
        <f t="shared" si="13"/>
        <v>4.4800000000000004</v>
      </c>
      <c r="Y19" s="26"/>
      <c r="Z19" s="54">
        <f t="shared" si="5"/>
        <v>224</v>
      </c>
      <c r="AA19" s="28">
        <f t="shared" si="6"/>
        <v>106.48</v>
      </c>
      <c r="AB19" s="54">
        <f t="shared" si="7"/>
        <v>117.52</v>
      </c>
      <c r="AC19" s="29">
        <f t="shared" si="8"/>
        <v>117</v>
      </c>
      <c r="AD19" s="24">
        <f t="shared" si="9"/>
        <v>2100</v>
      </c>
      <c r="AE19" s="30"/>
      <c r="AF19" s="73">
        <f t="shared" si="12"/>
        <v>4.4800000000000004</v>
      </c>
    </row>
    <row r="20" spans="1:32" s="31" customFormat="1" ht="93" customHeight="1" x14ac:dyDescent="0.25">
      <c r="A20" s="43" t="s">
        <v>401</v>
      </c>
      <c r="B20" s="64" t="s">
        <v>402</v>
      </c>
      <c r="C20" s="56" t="s">
        <v>308</v>
      </c>
      <c r="D20" s="48">
        <v>204</v>
      </c>
      <c r="E20" s="20">
        <v>19</v>
      </c>
      <c r="F20" s="57">
        <v>3</v>
      </c>
      <c r="G20" s="22"/>
      <c r="H20" s="23"/>
      <c r="I20" s="22"/>
      <c r="J20" s="22">
        <v>4</v>
      </c>
      <c r="K20" s="52">
        <f t="shared" si="10"/>
        <v>149.07692307692307</v>
      </c>
      <c r="L20" s="52"/>
      <c r="M20" s="53">
        <f t="shared" si="0"/>
        <v>0</v>
      </c>
      <c r="N20" s="53">
        <f t="shared" si="1"/>
        <v>0</v>
      </c>
      <c r="O20" s="53">
        <f t="shared" si="2"/>
        <v>31.384615384615383</v>
      </c>
      <c r="P20" s="53">
        <v>0</v>
      </c>
      <c r="Q20" s="25">
        <v>0</v>
      </c>
      <c r="R20" s="24">
        <f t="shared" si="3"/>
        <v>0</v>
      </c>
      <c r="S20" s="24">
        <f t="shared" si="4"/>
        <v>0</v>
      </c>
      <c r="T20" s="27"/>
      <c r="U20" s="24"/>
      <c r="V20" s="24">
        <v>10</v>
      </c>
      <c r="W20" s="26">
        <f t="shared" si="11"/>
        <v>102</v>
      </c>
      <c r="X20" s="24">
        <f t="shared" si="13"/>
        <v>3.8092000000000001</v>
      </c>
      <c r="Y20" s="26"/>
      <c r="Z20" s="54">
        <f t="shared" si="5"/>
        <v>190.46</v>
      </c>
      <c r="AA20" s="28">
        <f t="shared" si="6"/>
        <v>105.8092</v>
      </c>
      <c r="AB20" s="54">
        <f t="shared" si="7"/>
        <v>84.65</v>
      </c>
      <c r="AC20" s="29">
        <f t="shared" si="8"/>
        <v>84</v>
      </c>
      <c r="AD20" s="24">
        <f t="shared" si="9"/>
        <v>2600</v>
      </c>
      <c r="AE20" s="30"/>
      <c r="AF20" s="73">
        <f t="shared" si="12"/>
        <v>3.8092000000000001</v>
      </c>
    </row>
    <row r="21" spans="1:32" s="31" customFormat="1" ht="93" customHeight="1" x14ac:dyDescent="0.25">
      <c r="A21" s="43" t="s">
        <v>83</v>
      </c>
      <c r="B21" s="64" t="s">
        <v>99</v>
      </c>
      <c r="C21" s="56" t="s">
        <v>308</v>
      </c>
      <c r="D21" s="48">
        <v>204</v>
      </c>
      <c r="E21" s="20">
        <v>20</v>
      </c>
      <c r="F21" s="57">
        <v>2</v>
      </c>
      <c r="G21" s="22"/>
      <c r="H21" s="23"/>
      <c r="I21" s="22"/>
      <c r="J21" s="22">
        <v>4</v>
      </c>
      <c r="K21" s="52">
        <f t="shared" si="10"/>
        <v>156.92307692307691</v>
      </c>
      <c r="L21" s="52"/>
      <c r="M21" s="53">
        <f t="shared" si="0"/>
        <v>0</v>
      </c>
      <c r="N21" s="53">
        <f t="shared" si="1"/>
        <v>0</v>
      </c>
      <c r="O21" s="53">
        <f t="shared" si="2"/>
        <v>31.384615384615383</v>
      </c>
      <c r="P21" s="53">
        <v>0</v>
      </c>
      <c r="Q21" s="25">
        <v>0</v>
      </c>
      <c r="R21" s="24">
        <f t="shared" si="3"/>
        <v>0</v>
      </c>
      <c r="S21" s="24">
        <f t="shared" si="4"/>
        <v>0</v>
      </c>
      <c r="T21" s="27"/>
      <c r="U21" s="24"/>
      <c r="V21" s="24">
        <v>10</v>
      </c>
      <c r="W21" s="26">
        <f t="shared" si="11"/>
        <v>102</v>
      </c>
      <c r="X21" s="24">
        <f t="shared" si="13"/>
        <v>3.9660000000000002</v>
      </c>
      <c r="Y21" s="26"/>
      <c r="Z21" s="54">
        <f t="shared" si="5"/>
        <v>198.3</v>
      </c>
      <c r="AA21" s="28">
        <f t="shared" si="6"/>
        <v>105.96599999999999</v>
      </c>
      <c r="AB21" s="54">
        <f t="shared" si="7"/>
        <v>92.33</v>
      </c>
      <c r="AC21" s="29">
        <f t="shared" si="8"/>
        <v>92</v>
      </c>
      <c r="AD21" s="24">
        <f t="shared" si="9"/>
        <v>1300</v>
      </c>
      <c r="AE21" s="30"/>
      <c r="AF21" s="73">
        <f t="shared" si="12"/>
        <v>3.9660000000000002</v>
      </c>
    </row>
    <row r="22" spans="1:32" s="31" customFormat="1" ht="93" customHeight="1" x14ac:dyDescent="0.25">
      <c r="A22" s="43" t="s">
        <v>84</v>
      </c>
      <c r="B22" s="64" t="s">
        <v>100</v>
      </c>
      <c r="C22" s="56" t="s">
        <v>308</v>
      </c>
      <c r="D22" s="48">
        <v>204</v>
      </c>
      <c r="E22" s="20">
        <v>22</v>
      </c>
      <c r="F22" s="57"/>
      <c r="G22" s="22"/>
      <c r="H22" s="23"/>
      <c r="I22" s="22"/>
      <c r="J22" s="22">
        <v>4</v>
      </c>
      <c r="K22" s="52">
        <f t="shared" si="10"/>
        <v>172.61538461538461</v>
      </c>
      <c r="L22" s="52"/>
      <c r="M22" s="53">
        <f t="shared" si="0"/>
        <v>0</v>
      </c>
      <c r="N22" s="53">
        <f t="shared" si="1"/>
        <v>0</v>
      </c>
      <c r="O22" s="53">
        <f t="shared" si="2"/>
        <v>31.384615384615383</v>
      </c>
      <c r="P22" s="53">
        <v>0</v>
      </c>
      <c r="Q22" s="25">
        <v>0</v>
      </c>
      <c r="R22" s="24">
        <f t="shared" si="3"/>
        <v>0</v>
      </c>
      <c r="S22" s="24">
        <f t="shared" si="4"/>
        <v>0</v>
      </c>
      <c r="T22" s="27"/>
      <c r="U22" s="24">
        <v>10</v>
      </c>
      <c r="V22" s="24">
        <v>10</v>
      </c>
      <c r="W22" s="26">
        <f t="shared" si="11"/>
        <v>102</v>
      </c>
      <c r="X22" s="24">
        <f t="shared" si="13"/>
        <v>4.4800000000000004</v>
      </c>
      <c r="Y22" s="26"/>
      <c r="Z22" s="54">
        <f t="shared" si="5"/>
        <v>224</v>
      </c>
      <c r="AA22" s="28">
        <f t="shared" si="6"/>
        <v>106.48</v>
      </c>
      <c r="AB22" s="54">
        <f t="shared" si="7"/>
        <v>117.52</v>
      </c>
      <c r="AC22" s="29">
        <f t="shared" si="8"/>
        <v>117</v>
      </c>
      <c r="AD22" s="24">
        <f t="shared" si="9"/>
        <v>2100</v>
      </c>
      <c r="AE22" s="30"/>
      <c r="AF22" s="73">
        <f t="shared" si="12"/>
        <v>4.4800000000000004</v>
      </c>
    </row>
    <row r="23" spans="1:32" s="31" customFormat="1" ht="93" customHeight="1" x14ac:dyDescent="0.25">
      <c r="A23" s="43" t="s">
        <v>85</v>
      </c>
      <c r="B23" s="64" t="s">
        <v>101</v>
      </c>
      <c r="C23" s="56" t="s">
        <v>308</v>
      </c>
      <c r="D23" s="48">
        <v>204</v>
      </c>
      <c r="E23" s="20">
        <v>21</v>
      </c>
      <c r="F23" s="57">
        <v>1</v>
      </c>
      <c r="G23" s="22"/>
      <c r="H23" s="23"/>
      <c r="I23" s="22"/>
      <c r="J23" s="22">
        <v>4</v>
      </c>
      <c r="K23" s="52">
        <f t="shared" si="10"/>
        <v>164.76923076923077</v>
      </c>
      <c r="L23" s="52"/>
      <c r="M23" s="53">
        <f t="shared" si="0"/>
        <v>0</v>
      </c>
      <c r="N23" s="53">
        <f t="shared" si="1"/>
        <v>0</v>
      </c>
      <c r="O23" s="53">
        <f t="shared" si="2"/>
        <v>31.384615384615383</v>
      </c>
      <c r="P23" s="53">
        <v>0</v>
      </c>
      <c r="Q23" s="25">
        <v>0</v>
      </c>
      <c r="R23" s="24">
        <f t="shared" si="3"/>
        <v>0</v>
      </c>
      <c r="S23" s="24">
        <f t="shared" si="4"/>
        <v>0</v>
      </c>
      <c r="T23" s="27"/>
      <c r="U23" s="24">
        <v>7</v>
      </c>
      <c r="V23" s="24">
        <v>10</v>
      </c>
      <c r="W23" s="26">
        <f t="shared" si="11"/>
        <v>102</v>
      </c>
      <c r="X23" s="24">
        <f t="shared" si="13"/>
        <v>4.2629999999999999</v>
      </c>
      <c r="Y23" s="26"/>
      <c r="Z23" s="54">
        <f t="shared" si="5"/>
        <v>213.15</v>
      </c>
      <c r="AA23" s="28">
        <f t="shared" si="6"/>
        <v>106.26300000000001</v>
      </c>
      <c r="AB23" s="54">
        <f t="shared" si="7"/>
        <v>106.88</v>
      </c>
      <c r="AC23" s="29">
        <f t="shared" si="8"/>
        <v>106</v>
      </c>
      <c r="AD23" s="24">
        <f t="shared" si="9"/>
        <v>3500</v>
      </c>
      <c r="AE23" s="30"/>
      <c r="AF23" s="73">
        <f t="shared" si="12"/>
        <v>4.2629999999999999</v>
      </c>
    </row>
    <row r="24" spans="1:32" s="31" customFormat="1" ht="93" customHeight="1" x14ac:dyDescent="0.25">
      <c r="A24" s="43" t="s">
        <v>86</v>
      </c>
      <c r="B24" s="64" t="s">
        <v>102</v>
      </c>
      <c r="C24" s="56" t="s">
        <v>308</v>
      </c>
      <c r="D24" s="48">
        <v>204</v>
      </c>
      <c r="E24" s="20">
        <v>19</v>
      </c>
      <c r="F24" s="57">
        <v>3</v>
      </c>
      <c r="G24" s="22"/>
      <c r="H24" s="23"/>
      <c r="I24" s="22"/>
      <c r="J24" s="22">
        <v>4</v>
      </c>
      <c r="K24" s="52">
        <f t="shared" si="10"/>
        <v>149.07692307692307</v>
      </c>
      <c r="L24" s="52"/>
      <c r="M24" s="53">
        <f t="shared" si="0"/>
        <v>0</v>
      </c>
      <c r="N24" s="53">
        <f t="shared" si="1"/>
        <v>0</v>
      </c>
      <c r="O24" s="53">
        <f t="shared" si="2"/>
        <v>31.384615384615383</v>
      </c>
      <c r="P24" s="53">
        <v>0</v>
      </c>
      <c r="Q24" s="25">
        <v>0</v>
      </c>
      <c r="R24" s="24">
        <f t="shared" si="3"/>
        <v>0</v>
      </c>
      <c r="S24" s="24">
        <f t="shared" si="4"/>
        <v>0</v>
      </c>
      <c r="T24" s="27"/>
      <c r="U24" s="24"/>
      <c r="V24" s="24">
        <v>10</v>
      </c>
      <c r="W24" s="26">
        <f t="shared" si="11"/>
        <v>102</v>
      </c>
      <c r="X24" s="24">
        <f t="shared" si="13"/>
        <v>3.8092000000000001</v>
      </c>
      <c r="Y24" s="26"/>
      <c r="Z24" s="54">
        <f t="shared" si="5"/>
        <v>190.46</v>
      </c>
      <c r="AA24" s="28">
        <f t="shared" si="6"/>
        <v>105.8092</v>
      </c>
      <c r="AB24" s="54">
        <f t="shared" si="7"/>
        <v>84.65</v>
      </c>
      <c r="AC24" s="29">
        <f t="shared" si="8"/>
        <v>84</v>
      </c>
      <c r="AD24" s="24">
        <f t="shared" si="9"/>
        <v>2600</v>
      </c>
      <c r="AE24" s="30"/>
      <c r="AF24" s="73">
        <f t="shared" si="12"/>
        <v>3.8092000000000001</v>
      </c>
    </row>
    <row r="25" spans="1:32" s="31" customFormat="1" ht="93" customHeight="1" x14ac:dyDescent="0.25">
      <c r="A25" s="43" t="s">
        <v>87</v>
      </c>
      <c r="B25" s="64" t="s">
        <v>199</v>
      </c>
      <c r="C25" s="56" t="s">
        <v>308</v>
      </c>
      <c r="D25" s="48">
        <v>204</v>
      </c>
      <c r="E25" s="20">
        <v>21</v>
      </c>
      <c r="F25" s="57">
        <v>1</v>
      </c>
      <c r="G25" s="22"/>
      <c r="H25" s="23"/>
      <c r="I25" s="22"/>
      <c r="J25" s="22">
        <v>4</v>
      </c>
      <c r="K25" s="52">
        <f t="shared" si="10"/>
        <v>164.76923076923077</v>
      </c>
      <c r="L25" s="52"/>
      <c r="M25" s="53">
        <f t="shared" si="0"/>
        <v>0</v>
      </c>
      <c r="N25" s="53">
        <f t="shared" si="1"/>
        <v>0</v>
      </c>
      <c r="O25" s="53">
        <f t="shared" si="2"/>
        <v>31.384615384615383</v>
      </c>
      <c r="P25" s="53">
        <v>0</v>
      </c>
      <c r="Q25" s="25">
        <v>0</v>
      </c>
      <c r="R25" s="24">
        <f t="shared" si="3"/>
        <v>0</v>
      </c>
      <c r="S25" s="24">
        <f t="shared" si="4"/>
        <v>0</v>
      </c>
      <c r="T25" s="27"/>
      <c r="U25" s="24">
        <v>7</v>
      </c>
      <c r="V25" s="24">
        <v>10</v>
      </c>
      <c r="W25" s="26">
        <f t="shared" si="11"/>
        <v>102</v>
      </c>
      <c r="X25" s="24">
        <f t="shared" si="13"/>
        <v>4.2629999999999999</v>
      </c>
      <c r="Y25" s="26"/>
      <c r="Z25" s="54">
        <f t="shared" si="5"/>
        <v>213.15</v>
      </c>
      <c r="AA25" s="28">
        <f t="shared" si="6"/>
        <v>106.26300000000001</v>
      </c>
      <c r="AB25" s="54">
        <f t="shared" si="7"/>
        <v>106.88</v>
      </c>
      <c r="AC25" s="29">
        <f t="shared" si="8"/>
        <v>106</v>
      </c>
      <c r="AD25" s="24">
        <f t="shared" si="9"/>
        <v>3500</v>
      </c>
      <c r="AE25" s="30"/>
      <c r="AF25" s="73">
        <f t="shared" si="12"/>
        <v>4.2629999999999999</v>
      </c>
    </row>
    <row r="26" spans="1:32" s="31" customFormat="1" ht="93" customHeight="1" x14ac:dyDescent="0.25">
      <c r="A26" s="43" t="s">
        <v>88</v>
      </c>
      <c r="B26" s="64" t="s">
        <v>103</v>
      </c>
      <c r="C26" s="56" t="s">
        <v>308</v>
      </c>
      <c r="D26" s="48">
        <v>204</v>
      </c>
      <c r="E26" s="20">
        <v>21</v>
      </c>
      <c r="F26" s="57">
        <v>1</v>
      </c>
      <c r="G26" s="22"/>
      <c r="H26" s="23"/>
      <c r="I26" s="22"/>
      <c r="J26" s="22">
        <v>4</v>
      </c>
      <c r="K26" s="52">
        <f t="shared" si="10"/>
        <v>164.76923076923077</v>
      </c>
      <c r="L26" s="52"/>
      <c r="M26" s="53">
        <f t="shared" si="0"/>
        <v>0</v>
      </c>
      <c r="N26" s="53">
        <f t="shared" si="1"/>
        <v>0</v>
      </c>
      <c r="O26" s="53">
        <f t="shared" si="2"/>
        <v>31.384615384615383</v>
      </c>
      <c r="P26" s="53">
        <v>0</v>
      </c>
      <c r="Q26" s="25">
        <v>0</v>
      </c>
      <c r="R26" s="24">
        <f t="shared" si="3"/>
        <v>0</v>
      </c>
      <c r="S26" s="24">
        <f t="shared" si="4"/>
        <v>0</v>
      </c>
      <c r="T26" s="27"/>
      <c r="U26" s="24">
        <v>7</v>
      </c>
      <c r="V26" s="24">
        <v>10</v>
      </c>
      <c r="W26" s="26">
        <f t="shared" si="11"/>
        <v>102</v>
      </c>
      <c r="X26" s="24">
        <f t="shared" si="13"/>
        <v>4.2629999999999999</v>
      </c>
      <c r="Y26" s="26"/>
      <c r="Z26" s="54">
        <f t="shared" si="5"/>
        <v>213.15</v>
      </c>
      <c r="AA26" s="28">
        <f t="shared" si="6"/>
        <v>106.26300000000001</v>
      </c>
      <c r="AB26" s="54">
        <f t="shared" si="7"/>
        <v>106.88</v>
      </c>
      <c r="AC26" s="29">
        <f t="shared" si="8"/>
        <v>106</v>
      </c>
      <c r="AD26" s="24">
        <f t="shared" si="9"/>
        <v>3500</v>
      </c>
      <c r="AE26" s="30"/>
      <c r="AF26" s="73">
        <f t="shared" si="12"/>
        <v>4.2629999999999999</v>
      </c>
    </row>
    <row r="27" spans="1:32" s="31" customFormat="1" ht="93" customHeight="1" x14ac:dyDescent="0.25">
      <c r="A27" s="43" t="s">
        <v>89</v>
      </c>
      <c r="B27" s="64" t="s">
        <v>104</v>
      </c>
      <c r="C27" s="56" t="s">
        <v>308</v>
      </c>
      <c r="D27" s="48">
        <v>204</v>
      </c>
      <c r="E27" s="20">
        <v>22</v>
      </c>
      <c r="F27" s="57"/>
      <c r="G27" s="22"/>
      <c r="H27" s="23"/>
      <c r="I27" s="22"/>
      <c r="J27" s="22">
        <v>4</v>
      </c>
      <c r="K27" s="52">
        <f t="shared" si="10"/>
        <v>172.61538461538461</v>
      </c>
      <c r="L27" s="52"/>
      <c r="M27" s="53">
        <f t="shared" si="0"/>
        <v>0</v>
      </c>
      <c r="N27" s="53">
        <f t="shared" si="1"/>
        <v>0</v>
      </c>
      <c r="O27" s="53">
        <f t="shared" si="2"/>
        <v>31.384615384615383</v>
      </c>
      <c r="P27" s="53">
        <v>0</v>
      </c>
      <c r="Q27" s="25">
        <v>0</v>
      </c>
      <c r="R27" s="24">
        <f t="shared" si="3"/>
        <v>0</v>
      </c>
      <c r="S27" s="24">
        <f t="shared" si="4"/>
        <v>0</v>
      </c>
      <c r="T27" s="27"/>
      <c r="U27" s="24">
        <v>10</v>
      </c>
      <c r="V27" s="24">
        <v>10</v>
      </c>
      <c r="W27" s="26">
        <f t="shared" si="11"/>
        <v>102</v>
      </c>
      <c r="X27" s="24">
        <f t="shared" si="13"/>
        <v>4.4800000000000004</v>
      </c>
      <c r="Y27" s="26"/>
      <c r="Z27" s="54">
        <f t="shared" si="5"/>
        <v>224</v>
      </c>
      <c r="AA27" s="28">
        <f t="shared" si="6"/>
        <v>106.48</v>
      </c>
      <c r="AB27" s="54">
        <f t="shared" si="7"/>
        <v>117.52</v>
      </c>
      <c r="AC27" s="29">
        <f t="shared" si="8"/>
        <v>117</v>
      </c>
      <c r="AD27" s="24">
        <f t="shared" si="9"/>
        <v>2100</v>
      </c>
      <c r="AE27" s="30"/>
      <c r="AF27" s="73">
        <f t="shared" si="12"/>
        <v>4.4800000000000004</v>
      </c>
    </row>
    <row r="28" spans="1:32" s="31" customFormat="1" ht="93" customHeight="1" x14ac:dyDescent="0.25">
      <c r="A28" s="43" t="s">
        <v>90</v>
      </c>
      <c r="B28" s="64" t="s">
        <v>105</v>
      </c>
      <c r="C28" s="56" t="s">
        <v>308</v>
      </c>
      <c r="D28" s="48">
        <v>204</v>
      </c>
      <c r="E28" s="20">
        <v>21</v>
      </c>
      <c r="F28" s="57">
        <v>1</v>
      </c>
      <c r="G28" s="22"/>
      <c r="H28" s="23"/>
      <c r="I28" s="22"/>
      <c r="J28" s="22">
        <v>4</v>
      </c>
      <c r="K28" s="52">
        <f t="shared" si="10"/>
        <v>164.76923076923077</v>
      </c>
      <c r="L28" s="52"/>
      <c r="M28" s="53">
        <f t="shared" si="0"/>
        <v>0</v>
      </c>
      <c r="N28" s="53">
        <f t="shared" si="1"/>
        <v>0</v>
      </c>
      <c r="O28" s="53">
        <f t="shared" si="2"/>
        <v>31.384615384615383</v>
      </c>
      <c r="P28" s="53">
        <v>0</v>
      </c>
      <c r="Q28" s="25">
        <v>0</v>
      </c>
      <c r="R28" s="24">
        <f t="shared" si="3"/>
        <v>0</v>
      </c>
      <c r="S28" s="24">
        <f t="shared" si="4"/>
        <v>0</v>
      </c>
      <c r="T28" s="27"/>
      <c r="U28" s="24">
        <v>4</v>
      </c>
      <c r="V28" s="24">
        <v>10</v>
      </c>
      <c r="W28" s="26">
        <f t="shared" si="11"/>
        <v>102</v>
      </c>
      <c r="X28" s="24">
        <f t="shared" si="13"/>
        <v>4.2030000000000003</v>
      </c>
      <c r="Y28" s="26"/>
      <c r="Z28" s="54">
        <f t="shared" si="5"/>
        <v>210.15</v>
      </c>
      <c r="AA28" s="28">
        <f t="shared" si="6"/>
        <v>106.203</v>
      </c>
      <c r="AB28" s="54">
        <f t="shared" si="7"/>
        <v>103.94</v>
      </c>
      <c r="AC28" s="29">
        <f t="shared" si="8"/>
        <v>103</v>
      </c>
      <c r="AD28" s="24">
        <f t="shared" si="9"/>
        <v>3800</v>
      </c>
      <c r="AE28" s="30"/>
      <c r="AF28" s="73">
        <f t="shared" si="12"/>
        <v>4.2030000000000003</v>
      </c>
    </row>
    <row r="29" spans="1:32" s="31" customFormat="1" ht="93" customHeight="1" x14ac:dyDescent="0.25">
      <c r="A29" s="43" t="s">
        <v>91</v>
      </c>
      <c r="B29" s="64" t="s">
        <v>200</v>
      </c>
      <c r="C29" s="56" t="s">
        <v>308</v>
      </c>
      <c r="D29" s="48">
        <v>204</v>
      </c>
      <c r="E29" s="20">
        <v>22</v>
      </c>
      <c r="F29" s="57"/>
      <c r="G29" s="22"/>
      <c r="H29" s="23"/>
      <c r="I29" s="22"/>
      <c r="J29" s="22">
        <v>4</v>
      </c>
      <c r="K29" s="52">
        <f t="shared" si="10"/>
        <v>172.61538461538461</v>
      </c>
      <c r="L29" s="52"/>
      <c r="M29" s="53">
        <f t="shared" si="0"/>
        <v>0</v>
      </c>
      <c r="N29" s="53">
        <f t="shared" si="1"/>
        <v>0</v>
      </c>
      <c r="O29" s="53">
        <f t="shared" si="2"/>
        <v>31.384615384615383</v>
      </c>
      <c r="P29" s="53">
        <v>0</v>
      </c>
      <c r="Q29" s="25">
        <v>0</v>
      </c>
      <c r="R29" s="24">
        <f t="shared" si="3"/>
        <v>0</v>
      </c>
      <c r="S29" s="24">
        <f t="shared" si="4"/>
        <v>0</v>
      </c>
      <c r="T29" s="27"/>
      <c r="U29" s="24">
        <v>10</v>
      </c>
      <c r="V29" s="24">
        <v>10</v>
      </c>
      <c r="W29" s="26">
        <f t="shared" si="11"/>
        <v>102</v>
      </c>
      <c r="X29" s="24">
        <f t="shared" si="13"/>
        <v>4.4800000000000004</v>
      </c>
      <c r="Y29" s="26"/>
      <c r="Z29" s="54">
        <f t="shared" si="5"/>
        <v>224</v>
      </c>
      <c r="AA29" s="28">
        <f t="shared" si="6"/>
        <v>106.48</v>
      </c>
      <c r="AB29" s="54">
        <f t="shared" si="7"/>
        <v>117.52</v>
      </c>
      <c r="AC29" s="29">
        <f t="shared" si="8"/>
        <v>117</v>
      </c>
      <c r="AD29" s="24">
        <f t="shared" si="9"/>
        <v>2100</v>
      </c>
      <c r="AE29" s="30"/>
      <c r="AF29" s="73">
        <f t="shared" si="12"/>
        <v>4.4800000000000004</v>
      </c>
    </row>
    <row r="30" spans="1:32" s="31" customFormat="1" ht="93" customHeight="1" x14ac:dyDescent="0.25">
      <c r="A30" s="43" t="s">
        <v>569</v>
      </c>
      <c r="B30" s="64" t="s">
        <v>573</v>
      </c>
      <c r="C30" s="56" t="s">
        <v>577</v>
      </c>
      <c r="D30" s="48">
        <v>202</v>
      </c>
      <c r="E30" s="20">
        <v>22</v>
      </c>
      <c r="F30" s="57"/>
      <c r="G30" s="22"/>
      <c r="H30" s="23"/>
      <c r="I30" s="22"/>
      <c r="J30" s="22">
        <v>4</v>
      </c>
      <c r="K30" s="52">
        <f t="shared" si="10"/>
        <v>170.92307692307693</v>
      </c>
      <c r="L30" s="52"/>
      <c r="M30" s="53">
        <f t="shared" si="0"/>
        <v>0</v>
      </c>
      <c r="N30" s="53">
        <f t="shared" si="1"/>
        <v>0</v>
      </c>
      <c r="O30" s="53">
        <f t="shared" si="2"/>
        <v>31.076923076923077</v>
      </c>
      <c r="P30" s="53">
        <v>0</v>
      </c>
      <c r="Q30" s="25">
        <v>0</v>
      </c>
      <c r="R30" s="24">
        <f t="shared" si="3"/>
        <v>0</v>
      </c>
      <c r="S30" s="24">
        <f t="shared" si="4"/>
        <v>0</v>
      </c>
      <c r="T30" s="27"/>
      <c r="U30" s="24">
        <v>10</v>
      </c>
      <c r="V30" s="24">
        <v>10</v>
      </c>
      <c r="W30" s="26">
        <f t="shared" si="11"/>
        <v>101</v>
      </c>
      <c r="X30" s="24">
        <f t="shared" si="13"/>
        <v>4.4400000000000004</v>
      </c>
      <c r="Y30" s="26"/>
      <c r="Z30" s="54">
        <f t="shared" si="5"/>
        <v>222</v>
      </c>
      <c r="AA30" s="28">
        <f t="shared" si="6"/>
        <v>105.44</v>
      </c>
      <c r="AB30" s="54">
        <f t="shared" si="7"/>
        <v>116.56</v>
      </c>
      <c r="AC30" s="29">
        <f t="shared" si="8"/>
        <v>116</v>
      </c>
      <c r="AD30" s="24">
        <f t="shared" si="9"/>
        <v>2200</v>
      </c>
      <c r="AE30" s="30"/>
      <c r="AF30" s="73">
        <f t="shared" si="12"/>
        <v>4.4400000000000004</v>
      </c>
    </row>
    <row r="31" spans="1:32" s="31" customFormat="1" ht="93" customHeight="1" x14ac:dyDescent="0.25">
      <c r="A31" s="43" t="s">
        <v>570</v>
      </c>
      <c r="B31" s="64" t="s">
        <v>574</v>
      </c>
      <c r="C31" s="56" t="s">
        <v>578</v>
      </c>
      <c r="D31" s="48">
        <v>202</v>
      </c>
      <c r="E31" s="20">
        <v>22</v>
      </c>
      <c r="F31" s="57"/>
      <c r="G31" s="22"/>
      <c r="H31" s="23"/>
      <c r="I31" s="22"/>
      <c r="J31" s="22">
        <v>4</v>
      </c>
      <c r="K31" s="52">
        <f t="shared" si="10"/>
        <v>170.92307692307693</v>
      </c>
      <c r="L31" s="52"/>
      <c r="M31" s="53">
        <f t="shared" si="0"/>
        <v>0</v>
      </c>
      <c r="N31" s="53">
        <f t="shared" si="1"/>
        <v>0</v>
      </c>
      <c r="O31" s="53">
        <f t="shared" si="2"/>
        <v>31.076923076923077</v>
      </c>
      <c r="P31" s="53">
        <v>0</v>
      </c>
      <c r="Q31" s="25">
        <v>0</v>
      </c>
      <c r="R31" s="24">
        <f t="shared" si="3"/>
        <v>0</v>
      </c>
      <c r="S31" s="24">
        <f t="shared" si="4"/>
        <v>0</v>
      </c>
      <c r="T31" s="27"/>
      <c r="U31" s="24">
        <v>10</v>
      </c>
      <c r="V31" s="24">
        <v>10</v>
      </c>
      <c r="W31" s="26">
        <f t="shared" si="11"/>
        <v>101</v>
      </c>
      <c r="X31" s="24">
        <f t="shared" si="13"/>
        <v>4.4400000000000004</v>
      </c>
      <c r="Y31" s="26"/>
      <c r="Z31" s="54">
        <f t="shared" si="5"/>
        <v>222</v>
      </c>
      <c r="AA31" s="28">
        <f t="shared" si="6"/>
        <v>105.44</v>
      </c>
      <c r="AB31" s="54">
        <f t="shared" si="7"/>
        <v>116.56</v>
      </c>
      <c r="AC31" s="29">
        <f t="shared" si="8"/>
        <v>116</v>
      </c>
      <c r="AD31" s="24">
        <f t="shared" si="9"/>
        <v>2200</v>
      </c>
      <c r="AE31" s="30"/>
      <c r="AF31" s="73">
        <f t="shared" si="12"/>
        <v>4.4400000000000004</v>
      </c>
    </row>
    <row r="32" spans="1:32" s="31" customFormat="1" ht="93" customHeight="1" x14ac:dyDescent="0.25">
      <c r="A32" s="43" t="s">
        <v>571</v>
      </c>
      <c r="B32" s="64" t="s">
        <v>575</v>
      </c>
      <c r="C32" s="56" t="s">
        <v>578</v>
      </c>
      <c r="D32" s="48">
        <v>202</v>
      </c>
      <c r="E32" s="20">
        <v>21</v>
      </c>
      <c r="F32" s="57">
        <v>1</v>
      </c>
      <c r="G32" s="22"/>
      <c r="H32" s="23"/>
      <c r="I32" s="22"/>
      <c r="J32" s="22">
        <v>4</v>
      </c>
      <c r="K32" s="52">
        <f t="shared" si="10"/>
        <v>163.15384615384616</v>
      </c>
      <c r="L32" s="52"/>
      <c r="M32" s="53">
        <f t="shared" si="0"/>
        <v>0</v>
      </c>
      <c r="N32" s="53">
        <f t="shared" si="1"/>
        <v>0</v>
      </c>
      <c r="O32" s="53">
        <f t="shared" si="2"/>
        <v>31.076923076923077</v>
      </c>
      <c r="P32" s="53">
        <v>0</v>
      </c>
      <c r="Q32" s="25">
        <v>0</v>
      </c>
      <c r="R32" s="24">
        <f t="shared" si="3"/>
        <v>0</v>
      </c>
      <c r="S32" s="24">
        <f t="shared" si="4"/>
        <v>0</v>
      </c>
      <c r="T32" s="27"/>
      <c r="U32" s="24">
        <v>7</v>
      </c>
      <c r="V32" s="24">
        <v>10</v>
      </c>
      <c r="W32" s="26">
        <f t="shared" si="11"/>
        <v>101</v>
      </c>
      <c r="X32" s="24">
        <f t="shared" si="13"/>
        <v>4.2245999999999997</v>
      </c>
      <c r="Y32" s="26"/>
      <c r="Z32" s="54">
        <f t="shared" si="5"/>
        <v>211.23</v>
      </c>
      <c r="AA32" s="28">
        <f t="shared" si="6"/>
        <v>105.2246</v>
      </c>
      <c r="AB32" s="54">
        <f t="shared" si="7"/>
        <v>106</v>
      </c>
      <c r="AC32" s="29">
        <f t="shared" si="8"/>
        <v>106</v>
      </c>
      <c r="AD32" s="24">
        <f t="shared" si="9"/>
        <v>0</v>
      </c>
      <c r="AE32" s="30"/>
      <c r="AF32" s="73">
        <f t="shared" si="12"/>
        <v>4.2245999999999997</v>
      </c>
    </row>
    <row r="33" spans="1:34" s="31" customFormat="1" ht="93" customHeight="1" x14ac:dyDescent="0.25">
      <c r="A33" s="43" t="s">
        <v>572</v>
      </c>
      <c r="B33" s="64" t="s">
        <v>576</v>
      </c>
      <c r="C33" s="56" t="s">
        <v>579</v>
      </c>
      <c r="D33" s="48">
        <v>202</v>
      </c>
      <c r="E33" s="20">
        <v>22</v>
      </c>
      <c r="F33" s="57"/>
      <c r="G33" s="22"/>
      <c r="H33" s="23"/>
      <c r="I33" s="22"/>
      <c r="J33" s="22">
        <v>4</v>
      </c>
      <c r="K33" s="52">
        <f t="shared" si="10"/>
        <v>170.92307692307693</v>
      </c>
      <c r="L33" s="52"/>
      <c r="M33" s="53">
        <f t="shared" si="0"/>
        <v>0</v>
      </c>
      <c r="N33" s="53">
        <f t="shared" si="1"/>
        <v>0</v>
      </c>
      <c r="O33" s="53">
        <f t="shared" si="2"/>
        <v>31.076923076923077</v>
      </c>
      <c r="P33" s="53">
        <v>0</v>
      </c>
      <c r="Q33" s="25">
        <v>0</v>
      </c>
      <c r="R33" s="24">
        <f t="shared" si="3"/>
        <v>0</v>
      </c>
      <c r="S33" s="24">
        <f t="shared" si="4"/>
        <v>0</v>
      </c>
      <c r="T33" s="27"/>
      <c r="U33" s="24">
        <v>10</v>
      </c>
      <c r="V33" s="24">
        <v>10</v>
      </c>
      <c r="W33" s="26">
        <f t="shared" si="11"/>
        <v>101</v>
      </c>
      <c r="X33" s="24">
        <f t="shared" si="13"/>
        <v>4.4400000000000004</v>
      </c>
      <c r="Y33" s="26"/>
      <c r="Z33" s="54">
        <f t="shared" si="5"/>
        <v>222</v>
      </c>
      <c r="AA33" s="28">
        <f t="shared" si="6"/>
        <v>105.44</v>
      </c>
      <c r="AB33" s="54">
        <f t="shared" si="7"/>
        <v>116.56</v>
      </c>
      <c r="AC33" s="29">
        <f t="shared" si="8"/>
        <v>116</v>
      </c>
      <c r="AD33" s="24">
        <f t="shared" si="9"/>
        <v>2200</v>
      </c>
      <c r="AE33" s="30"/>
      <c r="AF33" s="73">
        <f t="shared" si="12"/>
        <v>4.4400000000000004</v>
      </c>
    </row>
    <row r="34" spans="1:34" s="31" customFormat="1" ht="93" customHeight="1" x14ac:dyDescent="0.25">
      <c r="A34" s="43" t="s">
        <v>613</v>
      </c>
      <c r="B34" s="64" t="s">
        <v>620</v>
      </c>
      <c r="C34" s="56" t="s">
        <v>596</v>
      </c>
      <c r="D34" s="48">
        <v>202</v>
      </c>
      <c r="E34" s="20">
        <v>20</v>
      </c>
      <c r="F34" s="57">
        <v>2</v>
      </c>
      <c r="G34" s="22"/>
      <c r="H34" s="23"/>
      <c r="I34" s="22"/>
      <c r="J34" s="22">
        <v>4</v>
      </c>
      <c r="K34" s="52">
        <f t="shared" si="10"/>
        <v>155.38461538461539</v>
      </c>
      <c r="L34" s="52"/>
      <c r="M34" s="53">
        <f t="shared" si="0"/>
        <v>0</v>
      </c>
      <c r="N34" s="53">
        <f t="shared" si="1"/>
        <v>0</v>
      </c>
      <c r="O34" s="53">
        <f t="shared" si="2"/>
        <v>31.076923076923077</v>
      </c>
      <c r="P34" s="53">
        <v>0</v>
      </c>
      <c r="Q34" s="25">
        <v>0</v>
      </c>
      <c r="R34" s="24">
        <f t="shared" si="3"/>
        <v>0</v>
      </c>
      <c r="S34" s="24">
        <f t="shared" si="4"/>
        <v>0</v>
      </c>
      <c r="T34" s="27"/>
      <c r="U34" s="24">
        <v>4</v>
      </c>
      <c r="V34" s="24">
        <v>10</v>
      </c>
      <c r="W34" s="26">
        <f t="shared" si="11"/>
        <v>101</v>
      </c>
      <c r="X34" s="24">
        <f t="shared" si="13"/>
        <v>4.0091999999999999</v>
      </c>
      <c r="Y34" s="26"/>
      <c r="Z34" s="54">
        <f t="shared" si="5"/>
        <v>200.46</v>
      </c>
      <c r="AA34" s="28">
        <f t="shared" si="6"/>
        <v>105.00919999999999</v>
      </c>
      <c r="AB34" s="54">
        <f t="shared" si="7"/>
        <v>95.45</v>
      </c>
      <c r="AC34" s="29">
        <f t="shared" si="8"/>
        <v>95</v>
      </c>
      <c r="AD34" s="24">
        <f t="shared" si="9"/>
        <v>1800</v>
      </c>
      <c r="AE34" s="30"/>
      <c r="AF34" s="73">
        <f t="shared" si="12"/>
        <v>4.0091999999999999</v>
      </c>
    </row>
    <row r="35" spans="1:34" s="31" customFormat="1" ht="93" customHeight="1" x14ac:dyDescent="0.25">
      <c r="A35" s="43" t="s">
        <v>614</v>
      </c>
      <c r="B35" s="64" t="s">
        <v>621</v>
      </c>
      <c r="C35" s="56" t="s">
        <v>596</v>
      </c>
      <c r="D35" s="48">
        <v>202</v>
      </c>
      <c r="E35" s="20">
        <v>20</v>
      </c>
      <c r="F35" s="57">
        <v>2</v>
      </c>
      <c r="G35" s="22"/>
      <c r="H35" s="23"/>
      <c r="I35" s="22"/>
      <c r="J35" s="22">
        <v>4</v>
      </c>
      <c r="K35" s="52">
        <f t="shared" si="10"/>
        <v>155.38461538461539</v>
      </c>
      <c r="L35" s="52"/>
      <c r="M35" s="53">
        <f t="shared" si="0"/>
        <v>0</v>
      </c>
      <c r="N35" s="53">
        <f t="shared" si="1"/>
        <v>0</v>
      </c>
      <c r="O35" s="53">
        <f t="shared" si="2"/>
        <v>31.076923076923077</v>
      </c>
      <c r="P35" s="53">
        <v>0</v>
      </c>
      <c r="Q35" s="25">
        <v>0</v>
      </c>
      <c r="R35" s="24">
        <f t="shared" si="3"/>
        <v>0</v>
      </c>
      <c r="S35" s="24">
        <f t="shared" si="4"/>
        <v>0</v>
      </c>
      <c r="T35" s="27"/>
      <c r="U35" s="24">
        <v>4</v>
      </c>
      <c r="V35" s="24">
        <v>10</v>
      </c>
      <c r="W35" s="26">
        <f t="shared" si="11"/>
        <v>101</v>
      </c>
      <c r="X35" s="24">
        <f t="shared" si="13"/>
        <v>4.0091999999999999</v>
      </c>
      <c r="Y35" s="26"/>
      <c r="Z35" s="54">
        <f t="shared" si="5"/>
        <v>200.46</v>
      </c>
      <c r="AA35" s="28">
        <f t="shared" ref="AA35:AA41" si="18">W35+X35+Y35</f>
        <v>105.00919999999999</v>
      </c>
      <c r="AB35" s="54">
        <f t="shared" ref="AB35:AB41" si="19">INT((Z35-AA35)*100)/100</f>
        <v>95.45</v>
      </c>
      <c r="AC35" s="29">
        <f t="shared" ref="AC35:AC41" si="20">INT(AB35)</f>
        <v>95</v>
      </c>
      <c r="AD35" s="24">
        <f t="shared" ref="AD35:AD41" si="21">INT((AB35-AC35)*40+0.5)*100</f>
        <v>1800</v>
      </c>
      <c r="AE35" s="30"/>
      <c r="AF35" s="73">
        <f t="shared" si="12"/>
        <v>4.0091999999999999</v>
      </c>
    </row>
    <row r="36" spans="1:34" s="31" customFormat="1" ht="93" customHeight="1" x14ac:dyDescent="0.25">
      <c r="A36" s="43" t="s">
        <v>615</v>
      </c>
      <c r="B36" s="65" t="s">
        <v>622</v>
      </c>
      <c r="C36" s="56" t="s">
        <v>627</v>
      </c>
      <c r="D36" s="48">
        <v>202</v>
      </c>
      <c r="E36" s="20">
        <v>21</v>
      </c>
      <c r="F36" s="57">
        <v>1</v>
      </c>
      <c r="G36" s="22"/>
      <c r="H36" s="23"/>
      <c r="I36" s="22"/>
      <c r="J36" s="22">
        <v>4</v>
      </c>
      <c r="K36" s="52">
        <f t="shared" si="10"/>
        <v>163.15384615384616</v>
      </c>
      <c r="L36" s="52"/>
      <c r="M36" s="53">
        <f t="shared" si="0"/>
        <v>0</v>
      </c>
      <c r="N36" s="53">
        <f t="shared" si="1"/>
        <v>0</v>
      </c>
      <c r="O36" s="53">
        <f t="shared" si="2"/>
        <v>31.076923076923077</v>
      </c>
      <c r="P36" s="53">
        <v>0</v>
      </c>
      <c r="Q36" s="25">
        <v>0</v>
      </c>
      <c r="R36" s="24">
        <f t="shared" si="3"/>
        <v>0</v>
      </c>
      <c r="S36" s="24">
        <f t="shared" si="4"/>
        <v>0</v>
      </c>
      <c r="T36" s="27"/>
      <c r="U36" s="24">
        <v>7</v>
      </c>
      <c r="V36" s="24">
        <v>10</v>
      </c>
      <c r="W36" s="26">
        <f t="shared" si="11"/>
        <v>101</v>
      </c>
      <c r="X36" s="24">
        <f t="shared" si="13"/>
        <v>4.2245999999999997</v>
      </c>
      <c r="Y36" s="26"/>
      <c r="Z36" s="54">
        <f t="shared" si="5"/>
        <v>211.23</v>
      </c>
      <c r="AA36" s="28">
        <f t="shared" si="18"/>
        <v>105.2246</v>
      </c>
      <c r="AB36" s="54">
        <f t="shared" si="19"/>
        <v>106</v>
      </c>
      <c r="AC36" s="29">
        <f t="shared" si="20"/>
        <v>106</v>
      </c>
      <c r="AD36" s="24">
        <f t="shared" si="21"/>
        <v>0</v>
      </c>
      <c r="AE36" s="30"/>
      <c r="AF36" s="73">
        <f t="shared" si="12"/>
        <v>4.2245999999999997</v>
      </c>
    </row>
    <row r="37" spans="1:34" s="31" customFormat="1" ht="93" customHeight="1" x14ac:dyDescent="0.25">
      <c r="A37" s="43" t="s">
        <v>616</v>
      </c>
      <c r="B37" s="64" t="s">
        <v>623</v>
      </c>
      <c r="C37" s="56" t="s">
        <v>628</v>
      </c>
      <c r="D37" s="48">
        <v>202</v>
      </c>
      <c r="E37" s="20">
        <v>20.5</v>
      </c>
      <c r="F37" s="57">
        <v>1.5</v>
      </c>
      <c r="G37" s="22"/>
      <c r="H37" s="23"/>
      <c r="I37" s="22"/>
      <c r="J37" s="22">
        <v>4</v>
      </c>
      <c r="K37" s="52">
        <f t="shared" si="10"/>
        <v>159.26923076923077</v>
      </c>
      <c r="L37" s="52"/>
      <c r="M37" s="53">
        <f t="shared" si="0"/>
        <v>0</v>
      </c>
      <c r="N37" s="53">
        <f t="shared" si="1"/>
        <v>0</v>
      </c>
      <c r="O37" s="53">
        <f t="shared" si="2"/>
        <v>31.076923076923077</v>
      </c>
      <c r="P37" s="53">
        <v>0</v>
      </c>
      <c r="Q37" s="25">
        <v>0</v>
      </c>
      <c r="R37" s="24">
        <f t="shared" si="3"/>
        <v>0</v>
      </c>
      <c r="S37" s="24">
        <f t="shared" si="4"/>
        <v>0</v>
      </c>
      <c r="T37" s="27"/>
      <c r="U37" s="24">
        <v>4</v>
      </c>
      <c r="V37" s="24">
        <v>10</v>
      </c>
      <c r="W37" s="26">
        <f t="shared" si="11"/>
        <v>101</v>
      </c>
      <c r="X37" s="24">
        <f t="shared" si="13"/>
        <v>4.0868000000000002</v>
      </c>
      <c r="Y37" s="26"/>
      <c r="Z37" s="54">
        <f t="shared" si="5"/>
        <v>204.34</v>
      </c>
      <c r="AA37" s="28">
        <f t="shared" si="18"/>
        <v>105.0868</v>
      </c>
      <c r="AB37" s="54">
        <f t="shared" si="19"/>
        <v>99.25</v>
      </c>
      <c r="AC37" s="29">
        <f t="shared" si="20"/>
        <v>99</v>
      </c>
      <c r="AD37" s="24">
        <f t="shared" si="21"/>
        <v>1000</v>
      </c>
      <c r="AE37" s="30"/>
      <c r="AF37" s="73">
        <f t="shared" si="12"/>
        <v>4.0868000000000002</v>
      </c>
    </row>
    <row r="38" spans="1:34" s="31" customFormat="1" ht="93" customHeight="1" x14ac:dyDescent="0.25">
      <c r="A38" s="43" t="s">
        <v>617</v>
      </c>
      <c r="B38" s="64" t="s">
        <v>624</v>
      </c>
      <c r="C38" s="56" t="s">
        <v>629</v>
      </c>
      <c r="D38" s="48">
        <v>202</v>
      </c>
      <c r="E38" s="20">
        <v>22</v>
      </c>
      <c r="F38" s="57"/>
      <c r="G38" s="22"/>
      <c r="H38" s="23"/>
      <c r="I38" s="22"/>
      <c r="J38" s="22">
        <v>4</v>
      </c>
      <c r="K38" s="52">
        <f t="shared" si="10"/>
        <v>170.92307692307693</v>
      </c>
      <c r="L38" s="52"/>
      <c r="M38" s="53">
        <f t="shared" si="0"/>
        <v>0</v>
      </c>
      <c r="N38" s="53">
        <f t="shared" si="1"/>
        <v>0</v>
      </c>
      <c r="O38" s="53">
        <f t="shared" si="2"/>
        <v>31.076923076923077</v>
      </c>
      <c r="P38" s="53">
        <v>0</v>
      </c>
      <c r="Q38" s="25">
        <v>0</v>
      </c>
      <c r="R38" s="24">
        <f t="shared" si="3"/>
        <v>0</v>
      </c>
      <c r="S38" s="24">
        <f t="shared" si="4"/>
        <v>0</v>
      </c>
      <c r="T38" s="27"/>
      <c r="U38" s="24">
        <v>10</v>
      </c>
      <c r="V38" s="24">
        <v>10</v>
      </c>
      <c r="W38" s="26">
        <f t="shared" si="11"/>
        <v>101</v>
      </c>
      <c r="X38" s="24">
        <f t="shared" si="13"/>
        <v>4.4400000000000004</v>
      </c>
      <c r="Y38" s="26"/>
      <c r="Z38" s="54">
        <f t="shared" si="5"/>
        <v>222</v>
      </c>
      <c r="AA38" s="28">
        <f t="shared" si="18"/>
        <v>105.44</v>
      </c>
      <c r="AB38" s="54">
        <f t="shared" si="19"/>
        <v>116.56</v>
      </c>
      <c r="AC38" s="29">
        <f t="shared" si="20"/>
        <v>116</v>
      </c>
      <c r="AD38" s="24">
        <f t="shared" si="21"/>
        <v>2200</v>
      </c>
      <c r="AE38" s="30"/>
      <c r="AF38" s="73">
        <f t="shared" si="12"/>
        <v>4.4400000000000004</v>
      </c>
    </row>
    <row r="39" spans="1:34" s="31" customFormat="1" ht="93" customHeight="1" x14ac:dyDescent="0.25">
      <c r="A39" s="43" t="s">
        <v>618</v>
      </c>
      <c r="B39" s="64" t="s">
        <v>625</v>
      </c>
      <c r="C39" s="56" t="s">
        <v>629</v>
      </c>
      <c r="D39" s="48">
        <v>202</v>
      </c>
      <c r="E39" s="20">
        <v>20</v>
      </c>
      <c r="F39" s="57">
        <v>2</v>
      </c>
      <c r="G39" s="22"/>
      <c r="H39" s="23"/>
      <c r="I39" s="22"/>
      <c r="J39" s="22">
        <v>4</v>
      </c>
      <c r="K39" s="52">
        <f t="shared" si="10"/>
        <v>155.38461538461539</v>
      </c>
      <c r="L39" s="52"/>
      <c r="M39" s="53">
        <f t="shared" si="0"/>
        <v>0</v>
      </c>
      <c r="N39" s="53">
        <f t="shared" si="1"/>
        <v>0</v>
      </c>
      <c r="O39" s="53">
        <f t="shared" si="2"/>
        <v>31.076923076923077</v>
      </c>
      <c r="P39" s="53">
        <v>0</v>
      </c>
      <c r="Q39" s="25">
        <v>0</v>
      </c>
      <c r="R39" s="24">
        <f t="shared" si="3"/>
        <v>0</v>
      </c>
      <c r="S39" s="24">
        <f t="shared" si="4"/>
        <v>0</v>
      </c>
      <c r="T39" s="27"/>
      <c r="U39" s="24">
        <v>4</v>
      </c>
      <c r="V39" s="24">
        <v>10</v>
      </c>
      <c r="W39" s="26">
        <f t="shared" si="11"/>
        <v>101</v>
      </c>
      <c r="X39" s="24">
        <f t="shared" si="13"/>
        <v>4.0091999999999999</v>
      </c>
      <c r="Y39" s="26"/>
      <c r="Z39" s="54">
        <f t="shared" si="5"/>
        <v>200.46</v>
      </c>
      <c r="AA39" s="28">
        <f t="shared" si="18"/>
        <v>105.00919999999999</v>
      </c>
      <c r="AB39" s="54">
        <f t="shared" si="19"/>
        <v>95.45</v>
      </c>
      <c r="AC39" s="29">
        <f t="shared" si="20"/>
        <v>95</v>
      </c>
      <c r="AD39" s="24">
        <f t="shared" si="21"/>
        <v>1800</v>
      </c>
      <c r="AE39" s="30"/>
      <c r="AF39" s="73">
        <f t="shared" si="12"/>
        <v>4.0091999999999999</v>
      </c>
    </row>
    <row r="40" spans="1:34" s="31" customFormat="1" ht="93" customHeight="1" x14ac:dyDescent="0.25">
      <c r="A40" s="43" t="s">
        <v>619</v>
      </c>
      <c r="B40" s="64" t="s">
        <v>626</v>
      </c>
      <c r="C40" s="56" t="s">
        <v>630</v>
      </c>
      <c r="D40" s="48">
        <v>202</v>
      </c>
      <c r="E40" s="20">
        <v>22</v>
      </c>
      <c r="F40" s="57"/>
      <c r="G40" s="22"/>
      <c r="H40" s="23"/>
      <c r="I40" s="22"/>
      <c r="J40" s="22">
        <v>4</v>
      </c>
      <c r="K40" s="52">
        <f t="shared" si="10"/>
        <v>170.92307692307693</v>
      </c>
      <c r="L40" s="52"/>
      <c r="M40" s="53">
        <f t="shared" si="0"/>
        <v>0</v>
      </c>
      <c r="N40" s="53">
        <f t="shared" si="1"/>
        <v>0</v>
      </c>
      <c r="O40" s="53">
        <f t="shared" si="2"/>
        <v>31.076923076923077</v>
      </c>
      <c r="P40" s="53">
        <v>0</v>
      </c>
      <c r="Q40" s="25">
        <v>0</v>
      </c>
      <c r="R40" s="24">
        <f t="shared" si="3"/>
        <v>0</v>
      </c>
      <c r="S40" s="24">
        <f t="shared" si="4"/>
        <v>0</v>
      </c>
      <c r="T40" s="27"/>
      <c r="U40" s="24">
        <v>10</v>
      </c>
      <c r="V40" s="24">
        <v>10</v>
      </c>
      <c r="W40" s="26">
        <f t="shared" si="11"/>
        <v>101</v>
      </c>
      <c r="X40" s="24">
        <f t="shared" si="13"/>
        <v>4.4400000000000004</v>
      </c>
      <c r="Y40" s="26"/>
      <c r="Z40" s="54">
        <f t="shared" si="5"/>
        <v>222</v>
      </c>
      <c r="AA40" s="28">
        <f t="shared" si="18"/>
        <v>105.44</v>
      </c>
      <c r="AB40" s="54">
        <f t="shared" si="19"/>
        <v>116.56</v>
      </c>
      <c r="AC40" s="29">
        <f t="shared" si="20"/>
        <v>116</v>
      </c>
      <c r="AD40" s="24">
        <f t="shared" si="21"/>
        <v>2200</v>
      </c>
      <c r="AE40" s="30"/>
      <c r="AF40" s="73">
        <f t="shared" si="12"/>
        <v>4.4400000000000004</v>
      </c>
    </row>
    <row r="41" spans="1:34" s="31" customFormat="1" ht="93" customHeight="1" x14ac:dyDescent="0.25">
      <c r="A41" s="43" t="s">
        <v>631</v>
      </c>
      <c r="B41" s="64" t="s">
        <v>632</v>
      </c>
      <c r="C41" s="56" t="s">
        <v>633</v>
      </c>
      <c r="D41" s="48">
        <v>202</v>
      </c>
      <c r="E41" s="20">
        <v>20.5</v>
      </c>
      <c r="F41" s="57">
        <v>1.5</v>
      </c>
      <c r="G41" s="22"/>
      <c r="H41" s="23"/>
      <c r="I41" s="22"/>
      <c r="J41" s="22">
        <v>4</v>
      </c>
      <c r="K41" s="52">
        <f t="shared" si="10"/>
        <v>159.26923076923077</v>
      </c>
      <c r="L41" s="52"/>
      <c r="M41" s="53">
        <f t="shared" si="0"/>
        <v>0</v>
      </c>
      <c r="N41" s="53">
        <f t="shared" si="1"/>
        <v>0</v>
      </c>
      <c r="O41" s="53">
        <f t="shared" si="2"/>
        <v>31.076923076923077</v>
      </c>
      <c r="P41" s="53">
        <v>0</v>
      </c>
      <c r="Q41" s="25">
        <v>0</v>
      </c>
      <c r="R41" s="24">
        <f t="shared" si="3"/>
        <v>0</v>
      </c>
      <c r="S41" s="24">
        <f t="shared" si="4"/>
        <v>0</v>
      </c>
      <c r="T41" s="27"/>
      <c r="U41" s="24">
        <v>4</v>
      </c>
      <c r="V41" s="24">
        <v>10</v>
      </c>
      <c r="W41" s="26">
        <f t="shared" si="11"/>
        <v>101</v>
      </c>
      <c r="X41" s="24">
        <f t="shared" si="13"/>
        <v>4.0868000000000002</v>
      </c>
      <c r="Y41" s="26"/>
      <c r="Z41" s="54">
        <f t="shared" si="5"/>
        <v>204.34</v>
      </c>
      <c r="AA41" s="28">
        <f t="shared" si="18"/>
        <v>105.0868</v>
      </c>
      <c r="AB41" s="54">
        <f t="shared" si="19"/>
        <v>99.25</v>
      </c>
      <c r="AC41" s="29">
        <f t="shared" si="20"/>
        <v>99</v>
      </c>
      <c r="AD41" s="24">
        <f t="shared" si="21"/>
        <v>1000</v>
      </c>
      <c r="AE41" s="30"/>
      <c r="AF41" s="73">
        <f t="shared" si="12"/>
        <v>4.0868000000000002</v>
      </c>
    </row>
    <row r="42" spans="1:34" s="31" customFormat="1" ht="93" customHeight="1" x14ac:dyDescent="0.25">
      <c r="A42" s="43" t="s">
        <v>92</v>
      </c>
      <c r="B42" s="64" t="s">
        <v>106</v>
      </c>
      <c r="C42" s="56" t="s">
        <v>308</v>
      </c>
      <c r="D42" s="48">
        <v>204</v>
      </c>
      <c r="E42" s="20">
        <v>21.5</v>
      </c>
      <c r="F42" s="57">
        <v>0.5</v>
      </c>
      <c r="G42" s="22"/>
      <c r="H42" s="23"/>
      <c r="I42" s="22"/>
      <c r="J42" s="22">
        <v>4</v>
      </c>
      <c r="K42" s="52">
        <f t="shared" si="10"/>
        <v>168.69230769230768</v>
      </c>
      <c r="L42" s="52"/>
      <c r="M42" s="53">
        <f t="shared" si="0"/>
        <v>0</v>
      </c>
      <c r="N42" s="53">
        <f t="shared" si="1"/>
        <v>0</v>
      </c>
      <c r="O42" s="53">
        <f t="shared" si="2"/>
        <v>31.384615384615383</v>
      </c>
      <c r="P42" s="53">
        <v>0</v>
      </c>
      <c r="Q42" s="25">
        <v>0</v>
      </c>
      <c r="R42" s="24">
        <f t="shared" si="3"/>
        <v>0</v>
      </c>
      <c r="S42" s="24">
        <f t="shared" si="4"/>
        <v>0</v>
      </c>
      <c r="T42" s="27"/>
      <c r="U42" s="24">
        <v>7</v>
      </c>
      <c r="V42" s="24">
        <v>10</v>
      </c>
      <c r="W42" s="26">
        <f t="shared" si="11"/>
        <v>102</v>
      </c>
      <c r="X42" s="24">
        <f t="shared" si="13"/>
        <v>4.3414000000000001</v>
      </c>
      <c r="Y42" s="26"/>
      <c r="Z42" s="54">
        <f t="shared" si="5"/>
        <v>217.07</v>
      </c>
      <c r="AA42" s="28">
        <f t="shared" si="6"/>
        <v>106.34139999999999</v>
      </c>
      <c r="AB42" s="54">
        <f t="shared" si="7"/>
        <v>110.72</v>
      </c>
      <c r="AC42" s="29">
        <f t="shared" si="8"/>
        <v>110</v>
      </c>
      <c r="AD42" s="24">
        <f t="shared" si="9"/>
        <v>2900</v>
      </c>
      <c r="AE42" s="30"/>
      <c r="AF42" s="73">
        <f t="shared" si="12"/>
        <v>4.3414000000000001</v>
      </c>
    </row>
    <row r="43" spans="1:34" s="31" customFormat="1" ht="93" customHeight="1" x14ac:dyDescent="0.25">
      <c r="A43" s="43" t="s">
        <v>93</v>
      </c>
      <c r="B43" s="64" t="s">
        <v>107</v>
      </c>
      <c r="C43" s="56" t="s">
        <v>308</v>
      </c>
      <c r="D43" s="48">
        <v>204</v>
      </c>
      <c r="E43" s="20">
        <v>22</v>
      </c>
      <c r="F43" s="57"/>
      <c r="G43" s="22"/>
      <c r="H43" s="23"/>
      <c r="I43" s="22"/>
      <c r="J43" s="22">
        <v>4</v>
      </c>
      <c r="K43" s="52">
        <f t="shared" si="10"/>
        <v>172.61538461538461</v>
      </c>
      <c r="L43" s="52"/>
      <c r="M43" s="53">
        <f t="shared" si="0"/>
        <v>0</v>
      </c>
      <c r="N43" s="53">
        <f t="shared" si="1"/>
        <v>0</v>
      </c>
      <c r="O43" s="53">
        <f t="shared" si="2"/>
        <v>31.384615384615383</v>
      </c>
      <c r="P43" s="53">
        <v>0</v>
      </c>
      <c r="Q43" s="25">
        <v>0</v>
      </c>
      <c r="R43" s="24">
        <f t="shared" si="3"/>
        <v>0</v>
      </c>
      <c r="S43" s="24">
        <f t="shared" si="4"/>
        <v>0</v>
      </c>
      <c r="T43" s="27"/>
      <c r="U43" s="24">
        <v>10</v>
      </c>
      <c r="V43" s="24">
        <v>10</v>
      </c>
      <c r="W43" s="26">
        <f t="shared" si="11"/>
        <v>102</v>
      </c>
      <c r="X43" s="24">
        <f t="shared" si="13"/>
        <v>4.4800000000000004</v>
      </c>
      <c r="Y43" s="26"/>
      <c r="Z43" s="54">
        <f t="shared" si="5"/>
        <v>224</v>
      </c>
      <c r="AA43" s="28">
        <f t="shared" si="6"/>
        <v>106.48</v>
      </c>
      <c r="AB43" s="54">
        <f t="shared" si="7"/>
        <v>117.52</v>
      </c>
      <c r="AC43" s="29">
        <f t="shared" si="8"/>
        <v>117</v>
      </c>
      <c r="AD43" s="24">
        <f t="shared" si="9"/>
        <v>2100</v>
      </c>
      <c r="AE43" s="30"/>
      <c r="AF43" s="73">
        <f t="shared" si="12"/>
        <v>4.4800000000000004</v>
      </c>
    </row>
    <row r="44" spans="1:34" s="31" customFormat="1" ht="93" customHeight="1" x14ac:dyDescent="0.25">
      <c r="A44" s="43" t="s">
        <v>201</v>
      </c>
      <c r="B44" s="64" t="s">
        <v>202</v>
      </c>
      <c r="C44" s="56" t="s">
        <v>318</v>
      </c>
      <c r="D44" s="48">
        <v>204</v>
      </c>
      <c r="E44" s="20">
        <v>22</v>
      </c>
      <c r="F44" s="57"/>
      <c r="G44" s="22"/>
      <c r="H44" s="23"/>
      <c r="I44" s="22"/>
      <c r="J44" s="22">
        <v>4</v>
      </c>
      <c r="K44" s="52">
        <f t="shared" si="10"/>
        <v>172.61538461538461</v>
      </c>
      <c r="L44" s="52"/>
      <c r="M44" s="53">
        <f t="shared" si="0"/>
        <v>0</v>
      </c>
      <c r="N44" s="53">
        <f t="shared" si="1"/>
        <v>0</v>
      </c>
      <c r="O44" s="53">
        <f t="shared" si="2"/>
        <v>31.384615384615383</v>
      </c>
      <c r="P44" s="53">
        <v>0</v>
      </c>
      <c r="Q44" s="25">
        <v>0</v>
      </c>
      <c r="R44" s="24">
        <f t="shared" si="3"/>
        <v>0</v>
      </c>
      <c r="S44" s="24">
        <f t="shared" si="4"/>
        <v>0</v>
      </c>
      <c r="T44" s="27"/>
      <c r="U44" s="24">
        <v>10</v>
      </c>
      <c r="V44" s="24">
        <v>10</v>
      </c>
      <c r="W44" s="26">
        <f t="shared" si="11"/>
        <v>102</v>
      </c>
      <c r="X44" s="24">
        <f t="shared" si="13"/>
        <v>4.4800000000000004</v>
      </c>
      <c r="Y44" s="26"/>
      <c r="Z44" s="54">
        <f t="shared" si="5"/>
        <v>224</v>
      </c>
      <c r="AA44" s="28">
        <f t="shared" si="6"/>
        <v>106.48</v>
      </c>
      <c r="AB44" s="54">
        <f t="shared" si="7"/>
        <v>117.52</v>
      </c>
      <c r="AC44" s="29">
        <f t="shared" si="8"/>
        <v>117</v>
      </c>
      <c r="AD44" s="24">
        <f t="shared" si="9"/>
        <v>2100</v>
      </c>
      <c r="AE44" s="30"/>
      <c r="AF44" s="73">
        <f t="shared" si="12"/>
        <v>4.4800000000000004</v>
      </c>
    </row>
    <row r="45" spans="1:34" s="36" customFormat="1" ht="27.75" customHeight="1" thickBot="1" x14ac:dyDescent="0.3">
      <c r="A45" s="107" t="s">
        <v>33</v>
      </c>
      <c r="B45" s="108"/>
      <c r="C45" s="32"/>
      <c r="D45" s="33"/>
      <c r="E45" s="34">
        <f t="shared" ref="E45:AD45" si="22">SUM(E8:E44)</f>
        <v>781</v>
      </c>
      <c r="F45" s="34">
        <f t="shared" si="22"/>
        <v>33</v>
      </c>
      <c r="G45" s="34">
        <f t="shared" si="22"/>
        <v>0</v>
      </c>
      <c r="H45" s="34">
        <f t="shared" si="22"/>
        <v>0</v>
      </c>
      <c r="I45" s="34">
        <f t="shared" si="22"/>
        <v>0</v>
      </c>
      <c r="J45" s="34">
        <f t="shared" si="22"/>
        <v>148</v>
      </c>
      <c r="K45" s="34">
        <f t="shared" si="22"/>
        <v>6582.7692307692314</v>
      </c>
      <c r="L45" s="34">
        <f t="shared" si="22"/>
        <v>0</v>
      </c>
      <c r="M45" s="34">
        <f t="shared" si="22"/>
        <v>0</v>
      </c>
      <c r="N45" s="34">
        <f t="shared" si="22"/>
        <v>0</v>
      </c>
      <c r="O45" s="34">
        <f t="shared" si="22"/>
        <v>1248.3076923076924</v>
      </c>
      <c r="P45" s="34">
        <f t="shared" si="22"/>
        <v>0</v>
      </c>
      <c r="Q45" s="34">
        <f t="shared" si="22"/>
        <v>0</v>
      </c>
      <c r="R45" s="34">
        <f t="shared" si="22"/>
        <v>0</v>
      </c>
      <c r="S45" s="34">
        <f t="shared" si="22"/>
        <v>0</v>
      </c>
      <c r="T45" s="34">
        <f t="shared" si="22"/>
        <v>0</v>
      </c>
      <c r="U45" s="34">
        <f t="shared" si="22"/>
        <v>256</v>
      </c>
      <c r="V45" s="34">
        <f t="shared" si="22"/>
        <v>370</v>
      </c>
      <c r="W45" s="34">
        <f t="shared" si="22"/>
        <v>4057</v>
      </c>
      <c r="X45" s="34">
        <f>SUM(X8:X44)</f>
        <v>167.74019999999999</v>
      </c>
      <c r="Y45" s="34">
        <f>SUM(Y8:Y44)</f>
        <v>0</v>
      </c>
      <c r="Z45" s="34">
        <f>SUM(Z8:Z44)</f>
        <v>8457.0099999999984</v>
      </c>
      <c r="AA45" s="34">
        <f t="shared" si="22"/>
        <v>4224.7401999999993</v>
      </c>
      <c r="AB45" s="34">
        <f t="shared" si="22"/>
        <v>4232.1899999999996</v>
      </c>
      <c r="AC45" s="34">
        <f t="shared" si="22"/>
        <v>4214</v>
      </c>
      <c r="AD45" s="34">
        <f t="shared" si="22"/>
        <v>72500</v>
      </c>
      <c r="AE45" s="35"/>
    </row>
    <row r="46" spans="1:34" ht="21.75" customHeight="1" thickTop="1" x14ac:dyDescent="0.2">
      <c r="A46" s="109" t="s">
        <v>34</v>
      </c>
      <c r="B46" s="109"/>
      <c r="C46" s="109"/>
      <c r="D46" s="37"/>
      <c r="E46" s="37"/>
      <c r="F46" s="37"/>
      <c r="G46" s="37"/>
      <c r="H46" s="110"/>
      <c r="I46" s="110"/>
      <c r="J46" s="110"/>
      <c r="K46" s="38"/>
      <c r="L46" s="38"/>
      <c r="M46" s="110" t="s">
        <v>35</v>
      </c>
      <c r="N46" s="110"/>
      <c r="O46" s="110"/>
      <c r="P46" s="85"/>
      <c r="Q46" s="38"/>
      <c r="R46" s="38"/>
      <c r="U46" s="39"/>
      <c r="V46" s="39"/>
      <c r="Z46" s="39"/>
      <c r="AA46" s="39"/>
      <c r="AB46" s="111" t="s">
        <v>36</v>
      </c>
      <c r="AC46" s="111"/>
      <c r="AD46" s="111"/>
      <c r="AE46" s="40"/>
    </row>
    <row r="47" spans="1:34" ht="21" customHeight="1" x14ac:dyDescent="0.2">
      <c r="A47" s="41"/>
      <c r="B47" s="41"/>
      <c r="C47" s="41"/>
      <c r="D47" s="41"/>
      <c r="E47" s="41"/>
      <c r="G47" s="41"/>
      <c r="H47" s="41"/>
      <c r="AH47" s="86"/>
    </row>
    <row r="48" spans="1:34" ht="25.5" customHeight="1" x14ac:dyDescent="0.2">
      <c r="A48" s="41"/>
      <c r="B48" s="41"/>
      <c r="C48" s="41"/>
      <c r="D48" s="41"/>
      <c r="E48" s="41"/>
      <c r="G48" s="41"/>
      <c r="H48" s="41"/>
      <c r="AH48" s="91"/>
    </row>
    <row r="49" spans="11:34" s="41" customFormat="1" ht="25.5" customHeigh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H49" s="92"/>
    </row>
    <row r="50" spans="11:34" s="41" customFormat="1" ht="25.5" customHeigh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H50" s="92"/>
    </row>
    <row r="51" spans="11:34" s="41" customFormat="1" ht="25.5" customHeigh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H51" s="92"/>
    </row>
    <row r="52" spans="11:34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1:34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1:34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1:34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G55" s="79"/>
    </row>
    <row r="56" spans="11:34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1:34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1:34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1:34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1:34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1:34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1:34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1:34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1:34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1:31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1:31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1:31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1:31" s="41" customFormat="1" x14ac:dyDescent="0.2"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1:31" s="41" customFormat="1" x14ac:dyDescent="0.2"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1:31" s="41" customFormat="1" x14ac:dyDescent="0.2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1:31" s="41" customFormat="1" x14ac:dyDescent="0.2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1:31" s="41" customFormat="1" x14ac:dyDescent="0.2"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1:31" s="41" customFormat="1" x14ac:dyDescent="0.2"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1:31" s="41" customFormat="1" x14ac:dyDescent="0.2"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1:31" s="41" customFormat="1" x14ac:dyDescent="0.2"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1:31" s="41" customFormat="1" x14ac:dyDescent="0.2"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1:31" s="41" customFormat="1" x14ac:dyDescent="0.2"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1:31" s="41" customFormat="1" x14ac:dyDescent="0.2"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1:31" s="41" customFormat="1" x14ac:dyDescent="0.2"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1:31" s="41" customFormat="1" x14ac:dyDescent="0.2"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1:31" s="41" customFormat="1" x14ac:dyDescent="0.2"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1:31" s="41" customFormat="1" x14ac:dyDescent="0.2"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1:31" s="41" customFormat="1" x14ac:dyDescent="0.2"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1:31" s="41" customFormat="1" x14ac:dyDescent="0.2"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1:31" s="41" customFormat="1" x14ac:dyDescent="0.2"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1:31" s="41" customFormat="1" x14ac:dyDescent="0.2"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1:31" s="41" customFormat="1" x14ac:dyDescent="0.2"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1:31" s="41" customFormat="1" x14ac:dyDescent="0.2"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1:31" s="41" customFormat="1" x14ac:dyDescent="0.2"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1:31" s="41" customFormat="1" x14ac:dyDescent="0.2"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1:31" s="41" customFormat="1" x14ac:dyDescent="0.2"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1:31" s="41" customFormat="1" x14ac:dyDescent="0.2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1:31" s="41" customFormat="1" x14ac:dyDescent="0.2"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1:31" s="41" customFormat="1" x14ac:dyDescent="0.2"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1:31" s="41" customFormat="1" x14ac:dyDescent="0.2"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1:31" s="41" customFormat="1" x14ac:dyDescent="0.2"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1:31" s="41" customFormat="1" x14ac:dyDescent="0.2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1:31" s="41" customFormat="1" x14ac:dyDescent="0.2"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1:31" s="41" customFormat="1" x14ac:dyDescent="0.2"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1:31" s="41" customFormat="1" x14ac:dyDescent="0.2"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</sheetData>
  <autoFilter ref="A7:AD47" xr:uid="{00000000-0009-0000-0000-000000000000}"/>
  <mergeCells count="12">
    <mergeCell ref="A1:AE1"/>
    <mergeCell ref="A2:AE2"/>
    <mergeCell ref="A3:AE3"/>
    <mergeCell ref="A4:B4"/>
    <mergeCell ref="B5:B6"/>
    <mergeCell ref="Q5:R5"/>
    <mergeCell ref="AE5:AE6"/>
    <mergeCell ref="A45:B45"/>
    <mergeCell ref="A46:C46"/>
    <mergeCell ref="H46:J46"/>
    <mergeCell ref="M46:O46"/>
    <mergeCell ref="AB46:AD46"/>
  </mergeCells>
  <phoneticPr fontId="24" type="noConversion"/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68CC-1BC8-494B-8145-AB86BD07827F}">
  <sheetPr>
    <tabColor theme="7" tint="0.39997558519241921"/>
  </sheetPr>
  <dimension ref="A1:AE67"/>
  <sheetViews>
    <sheetView zoomScale="115" zoomScaleNormal="115" workbookViewId="0">
      <pane ySplit="7" topLeftCell="A8" activePane="bottomLeft" state="frozen"/>
      <selection activeCell="R10" sqref="R10"/>
      <selection pane="bottomLeft" activeCell="W9" sqref="W9"/>
    </sheetView>
  </sheetViews>
  <sheetFormatPr defaultColWidth="9.140625" defaultRowHeight="12.75" x14ac:dyDescent="0.2"/>
  <cols>
    <col min="1" max="1" width="7.5703125" style="1" customWidth="1"/>
    <col min="2" max="2" width="8.285156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7.28515625" style="1" customWidth="1"/>
    <col min="12" max="19" width="5.42578125" style="1" customWidth="1"/>
    <col min="20" max="23" width="6" style="1" customWidth="1"/>
    <col min="24" max="24" width="4.5703125" style="1" customWidth="1"/>
    <col min="25" max="29" width="6.7109375" style="1" customWidth="1"/>
    <col min="30" max="30" width="13.7109375" style="1" customWidth="1"/>
    <col min="31" max="16384" width="9.140625" style="1"/>
  </cols>
  <sheetData>
    <row r="1" spans="1:31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396</v>
      </c>
      <c r="B4" s="118"/>
      <c r="C4" s="2">
        <f>COUNTA(B8:B11)</f>
        <v>4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38.2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38.2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21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78.75" customHeight="1" x14ac:dyDescent="0.25">
      <c r="A8" s="43" t="s">
        <v>64</v>
      </c>
      <c r="B8" s="64" t="s">
        <v>177</v>
      </c>
      <c r="C8" s="56" t="s">
        <v>308</v>
      </c>
      <c r="D8" s="48">
        <v>204</v>
      </c>
      <c r="E8" s="20">
        <v>19</v>
      </c>
      <c r="F8" s="57">
        <v>2</v>
      </c>
      <c r="G8" s="22">
        <v>1</v>
      </c>
      <c r="H8" s="23"/>
      <c r="I8" s="22"/>
      <c r="J8" s="22">
        <v>4</v>
      </c>
      <c r="K8" s="52">
        <f>D8/26*E8</f>
        <v>149.07692307692307</v>
      </c>
      <c r="L8" s="58">
        <f>D8/208*H8*1.5</f>
        <v>0</v>
      </c>
      <c r="M8" s="53">
        <f t="shared" ref="M8" si="0">D8/26*I8*2</f>
        <v>0</v>
      </c>
      <c r="N8" s="53">
        <f>D8/26*J8</f>
        <v>31.384615384615383</v>
      </c>
      <c r="O8" s="53">
        <v>0</v>
      </c>
      <c r="P8" s="25">
        <v>0</v>
      </c>
      <c r="Q8" s="24">
        <f t="shared" ref="Q8:Q11" si="1">D8/26*P8/2</f>
        <v>0</v>
      </c>
      <c r="R8" s="24">
        <f t="shared" ref="R8:R11" si="2">((H8)*1500/4000)</f>
        <v>0</v>
      </c>
      <c r="S8" s="27"/>
      <c r="T8" s="24"/>
      <c r="U8" s="24">
        <v>10</v>
      </c>
      <c r="V8" s="26">
        <f>D8/2</f>
        <v>102</v>
      </c>
      <c r="W8" s="24">
        <f>AE8</f>
        <v>3.8092000000000001</v>
      </c>
      <c r="X8" s="26"/>
      <c r="Y8" s="54">
        <f>INT((K8+L8+M8+N8+Q8+R8+T8+U8+S8+O8)*100)/100</f>
        <v>190.46</v>
      </c>
      <c r="Z8" s="28">
        <f t="shared" ref="Z8:Z11" si="3">V8+W8+X8</f>
        <v>105.8092</v>
      </c>
      <c r="AA8" s="54">
        <f t="shared" ref="AA8:AA11" si="4">INT((Y8-Z8)*100)/100</f>
        <v>84.65</v>
      </c>
      <c r="AB8" s="29">
        <f t="shared" ref="AB8:AB11" si="5">INT(AA8)</f>
        <v>84</v>
      </c>
      <c r="AC8" s="24">
        <f t="shared" ref="AC8:AC11" si="6">INT((AA8-AB8)*40+0.5)*100</f>
        <v>2600</v>
      </c>
      <c r="AD8" s="30"/>
      <c r="AE8" s="73">
        <f t="shared" ref="AE8:AE11" si="7">(Y8*0.04)/2</f>
        <v>3.8092000000000001</v>
      </c>
    </row>
    <row r="9" spans="1:31" s="31" customFormat="1" ht="78.75" customHeight="1" x14ac:dyDescent="0.25">
      <c r="A9" s="43" t="s">
        <v>65</v>
      </c>
      <c r="B9" s="64" t="s">
        <v>178</v>
      </c>
      <c r="C9" s="56" t="s">
        <v>308</v>
      </c>
      <c r="D9" s="48">
        <v>204</v>
      </c>
      <c r="E9" s="20">
        <v>20.5</v>
      </c>
      <c r="F9" s="57">
        <v>1.5</v>
      </c>
      <c r="G9" s="22"/>
      <c r="H9" s="23"/>
      <c r="I9" s="22"/>
      <c r="J9" s="22">
        <v>4</v>
      </c>
      <c r="K9" s="52">
        <f t="shared" ref="K9:K11" si="8">D9/26*E9</f>
        <v>160.84615384615384</v>
      </c>
      <c r="L9" s="58">
        <f t="shared" ref="L9:L11" si="9">D9/208*H9*1.5</f>
        <v>0</v>
      </c>
      <c r="M9" s="53">
        <f t="shared" ref="M9:M11" si="10">D9/26*I9*2</f>
        <v>0</v>
      </c>
      <c r="N9" s="53">
        <f t="shared" ref="N9:N11" si="11">D9/26*J9</f>
        <v>31.384615384615383</v>
      </c>
      <c r="O9" s="53">
        <v>0</v>
      </c>
      <c r="P9" s="25">
        <v>0</v>
      </c>
      <c r="Q9" s="24">
        <f t="shared" si="1"/>
        <v>0</v>
      </c>
      <c r="R9" s="24">
        <f t="shared" si="2"/>
        <v>0</v>
      </c>
      <c r="S9" s="27"/>
      <c r="T9" s="24">
        <v>4</v>
      </c>
      <c r="U9" s="24">
        <v>10</v>
      </c>
      <c r="V9" s="26">
        <f t="shared" ref="V9:V11" si="12">D9/2</f>
        <v>102</v>
      </c>
      <c r="W9" s="24">
        <f t="shared" ref="W9:W11" si="13">AE9</f>
        <v>4.1246</v>
      </c>
      <c r="X9" s="26"/>
      <c r="Y9" s="54">
        <f t="shared" ref="Y9:Y11" si="14">INT((K9+L9+M9+N9+Q9+R9+T9+U9+S9+O9)*100)/100</f>
        <v>206.23</v>
      </c>
      <c r="Z9" s="28">
        <f t="shared" si="3"/>
        <v>106.1246</v>
      </c>
      <c r="AA9" s="54">
        <f t="shared" si="4"/>
        <v>100.1</v>
      </c>
      <c r="AB9" s="29">
        <f t="shared" si="5"/>
        <v>100</v>
      </c>
      <c r="AC9" s="24">
        <f t="shared" si="6"/>
        <v>400</v>
      </c>
      <c r="AD9" s="30"/>
      <c r="AE9" s="73">
        <f t="shared" si="7"/>
        <v>4.1246</v>
      </c>
    </row>
    <row r="10" spans="1:31" s="31" customFormat="1" ht="78.75" customHeight="1" x14ac:dyDescent="0.25">
      <c r="A10" s="43" t="s">
        <v>66</v>
      </c>
      <c r="B10" s="64" t="s">
        <v>67</v>
      </c>
      <c r="C10" s="56" t="s">
        <v>308</v>
      </c>
      <c r="D10" s="48">
        <v>204</v>
      </c>
      <c r="E10" s="20">
        <v>22</v>
      </c>
      <c r="F10" s="57"/>
      <c r="G10" s="48"/>
      <c r="H10" s="23"/>
      <c r="I10" s="22"/>
      <c r="J10" s="22">
        <v>4</v>
      </c>
      <c r="K10" s="52">
        <f t="shared" si="8"/>
        <v>172.61538461538461</v>
      </c>
      <c r="L10" s="58">
        <f t="shared" si="9"/>
        <v>0</v>
      </c>
      <c r="M10" s="53">
        <f t="shared" si="10"/>
        <v>0</v>
      </c>
      <c r="N10" s="53">
        <f t="shared" si="11"/>
        <v>31.384615384615383</v>
      </c>
      <c r="O10" s="53">
        <v>0</v>
      </c>
      <c r="P10" s="25">
        <v>0</v>
      </c>
      <c r="Q10" s="24">
        <f t="shared" si="1"/>
        <v>0</v>
      </c>
      <c r="R10" s="24">
        <f t="shared" si="2"/>
        <v>0</v>
      </c>
      <c r="S10" s="27"/>
      <c r="T10" s="24">
        <v>10</v>
      </c>
      <c r="U10" s="24">
        <v>10</v>
      </c>
      <c r="V10" s="26">
        <f t="shared" si="12"/>
        <v>102</v>
      </c>
      <c r="W10" s="24">
        <f t="shared" si="13"/>
        <v>4.4800000000000004</v>
      </c>
      <c r="X10" s="26"/>
      <c r="Y10" s="54">
        <f t="shared" si="14"/>
        <v>224</v>
      </c>
      <c r="Z10" s="28">
        <f t="shared" si="3"/>
        <v>106.48</v>
      </c>
      <c r="AA10" s="54">
        <f t="shared" si="4"/>
        <v>117.52</v>
      </c>
      <c r="AB10" s="29">
        <f t="shared" si="5"/>
        <v>117</v>
      </c>
      <c r="AC10" s="24">
        <f t="shared" si="6"/>
        <v>2100</v>
      </c>
      <c r="AD10" s="30"/>
      <c r="AE10" s="73">
        <f t="shared" si="7"/>
        <v>4.4800000000000004</v>
      </c>
    </row>
    <row r="11" spans="1:31" s="31" customFormat="1" ht="78.75" customHeight="1" x14ac:dyDescent="0.25">
      <c r="A11" s="43" t="s">
        <v>68</v>
      </c>
      <c r="B11" s="42" t="s">
        <v>69</v>
      </c>
      <c r="C11" s="56" t="s">
        <v>308</v>
      </c>
      <c r="D11" s="48">
        <v>204</v>
      </c>
      <c r="E11" s="20">
        <v>22</v>
      </c>
      <c r="F11" s="57"/>
      <c r="G11" s="22"/>
      <c r="H11" s="23"/>
      <c r="I11" s="22"/>
      <c r="J11" s="22">
        <v>4</v>
      </c>
      <c r="K11" s="52">
        <f t="shared" si="8"/>
        <v>172.61538461538461</v>
      </c>
      <c r="L11" s="58">
        <f t="shared" si="9"/>
        <v>0</v>
      </c>
      <c r="M11" s="53">
        <f t="shared" si="10"/>
        <v>0</v>
      </c>
      <c r="N11" s="53">
        <f t="shared" si="11"/>
        <v>31.384615384615383</v>
      </c>
      <c r="O11" s="53">
        <v>0</v>
      </c>
      <c r="P11" s="25">
        <v>0</v>
      </c>
      <c r="Q11" s="24">
        <f t="shared" si="1"/>
        <v>0</v>
      </c>
      <c r="R11" s="24">
        <f t="shared" si="2"/>
        <v>0</v>
      </c>
      <c r="S11" s="27"/>
      <c r="T11" s="24">
        <v>10</v>
      </c>
      <c r="U11" s="24">
        <v>10</v>
      </c>
      <c r="V11" s="26">
        <f t="shared" si="12"/>
        <v>102</v>
      </c>
      <c r="W11" s="24">
        <f t="shared" si="13"/>
        <v>4.4800000000000004</v>
      </c>
      <c r="X11" s="26"/>
      <c r="Y11" s="54">
        <f t="shared" si="14"/>
        <v>224</v>
      </c>
      <c r="Z11" s="28">
        <f t="shared" si="3"/>
        <v>106.48</v>
      </c>
      <c r="AA11" s="54">
        <f t="shared" si="4"/>
        <v>117.52</v>
      </c>
      <c r="AB11" s="29">
        <f t="shared" si="5"/>
        <v>117</v>
      </c>
      <c r="AC11" s="24">
        <f t="shared" si="6"/>
        <v>2100</v>
      </c>
      <c r="AD11" s="30"/>
      <c r="AE11" s="73">
        <f t="shared" si="7"/>
        <v>4.4800000000000004</v>
      </c>
    </row>
    <row r="12" spans="1:31" s="36" customFormat="1" ht="27.75" customHeight="1" thickBot="1" x14ac:dyDescent="0.3">
      <c r="A12" s="107" t="s">
        <v>33</v>
      </c>
      <c r="B12" s="108"/>
      <c r="C12" s="32"/>
      <c r="D12" s="33"/>
      <c r="E12" s="34">
        <f t="shared" ref="E12:AC12" si="15">SUM(E8:E11)</f>
        <v>83.5</v>
      </c>
      <c r="F12" s="34">
        <f t="shared" si="15"/>
        <v>3.5</v>
      </c>
      <c r="G12" s="34">
        <f t="shared" si="15"/>
        <v>1</v>
      </c>
      <c r="H12" s="34">
        <f t="shared" si="15"/>
        <v>0</v>
      </c>
      <c r="I12" s="34">
        <f t="shared" si="15"/>
        <v>0</v>
      </c>
      <c r="J12" s="34">
        <f t="shared" si="15"/>
        <v>16</v>
      </c>
      <c r="K12" s="34">
        <f t="shared" si="15"/>
        <v>655.15384615384619</v>
      </c>
      <c r="L12" s="34">
        <f t="shared" si="15"/>
        <v>0</v>
      </c>
      <c r="M12" s="34">
        <f t="shared" si="15"/>
        <v>0</v>
      </c>
      <c r="N12" s="34">
        <f t="shared" si="15"/>
        <v>125.53846153846153</v>
      </c>
      <c r="O12" s="34">
        <f t="shared" si="15"/>
        <v>0</v>
      </c>
      <c r="P12" s="34">
        <f t="shared" si="15"/>
        <v>0</v>
      </c>
      <c r="Q12" s="34">
        <f t="shared" si="15"/>
        <v>0</v>
      </c>
      <c r="R12" s="34">
        <f t="shared" si="15"/>
        <v>0</v>
      </c>
      <c r="S12" s="34">
        <f t="shared" si="15"/>
        <v>0</v>
      </c>
      <c r="T12" s="34">
        <f t="shared" si="15"/>
        <v>24</v>
      </c>
      <c r="U12" s="34">
        <f t="shared" si="15"/>
        <v>40</v>
      </c>
      <c r="V12" s="34">
        <f t="shared" si="15"/>
        <v>408</v>
      </c>
      <c r="W12" s="34">
        <f t="shared" si="15"/>
        <v>16.893799999999999</v>
      </c>
      <c r="X12" s="34">
        <f t="shared" si="15"/>
        <v>0</v>
      </c>
      <c r="Y12" s="34">
        <f t="shared" si="15"/>
        <v>844.69</v>
      </c>
      <c r="Z12" s="34">
        <f t="shared" si="15"/>
        <v>424.89380000000006</v>
      </c>
      <c r="AA12" s="34">
        <f t="shared" si="15"/>
        <v>419.78999999999996</v>
      </c>
      <c r="AB12" s="34">
        <f t="shared" si="15"/>
        <v>418</v>
      </c>
      <c r="AC12" s="34">
        <f t="shared" si="15"/>
        <v>7200</v>
      </c>
      <c r="AD12" s="35"/>
    </row>
    <row r="13" spans="1:31" ht="21.75" customHeight="1" thickTop="1" x14ac:dyDescent="0.2">
      <c r="A13" s="109" t="s">
        <v>34</v>
      </c>
      <c r="B13" s="109"/>
      <c r="C13" s="109"/>
      <c r="D13" s="37"/>
      <c r="E13" s="37"/>
      <c r="F13" s="37"/>
      <c r="G13" s="37"/>
      <c r="H13" s="110"/>
      <c r="I13" s="110"/>
      <c r="J13" s="110"/>
      <c r="K13" s="38"/>
      <c r="L13" s="110" t="s">
        <v>35</v>
      </c>
      <c r="M13" s="110"/>
      <c r="N13" s="110"/>
      <c r="O13" s="85"/>
      <c r="P13" s="38"/>
      <c r="Q13" s="38"/>
      <c r="T13" s="39"/>
      <c r="U13" s="39"/>
      <c r="Y13" s="39"/>
      <c r="Z13" s="39"/>
      <c r="AA13" s="111" t="s">
        <v>36</v>
      </c>
      <c r="AB13" s="111"/>
      <c r="AC13" s="111"/>
      <c r="AD13" s="40"/>
    </row>
    <row r="14" spans="1:31" ht="21" customHeight="1" x14ac:dyDescent="0.2">
      <c r="A14" s="41"/>
      <c r="B14" s="41"/>
      <c r="C14" s="41"/>
      <c r="D14" s="41"/>
      <c r="E14" s="41"/>
      <c r="G14" s="41"/>
      <c r="H14" s="41"/>
    </row>
    <row r="15" spans="1:31" ht="13.5" customHeight="1" x14ac:dyDescent="0.2">
      <c r="A15" s="41"/>
      <c r="B15" s="41"/>
      <c r="C15" s="41"/>
      <c r="D15" s="41"/>
      <c r="E15" s="41"/>
      <c r="G15" s="41"/>
      <c r="H15" s="41"/>
    </row>
    <row r="16" spans="1:31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1:30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</sheetData>
  <autoFilter ref="A7:AC14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2:B12"/>
    <mergeCell ref="A13:C13"/>
    <mergeCell ref="H13:J13"/>
    <mergeCell ref="L13:N13"/>
    <mergeCell ref="AA13:AC13"/>
  </mergeCells>
  <pageMargins left="0.11811023622047245" right="0" top="0.31496062992125984" bottom="0.11811023622047245" header="0" footer="0.11811023622047245"/>
  <pageSetup paperSize="9" scale="80" orientation="landscape" horizontalDpi="360" verticalDpi="360" r:id="rId1"/>
  <headerFooter alignWithMargins="0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55ED-A337-4CE8-A678-7DD93DB5571E}">
  <sheetPr>
    <tabColor theme="7" tint="0.39997558519241921"/>
  </sheetPr>
  <dimension ref="A1:AF65"/>
  <sheetViews>
    <sheetView zoomScale="115" zoomScaleNormal="115" workbookViewId="0">
      <pane ySplit="7" topLeftCell="A8" activePane="bottomLeft" state="frozen"/>
      <selection activeCell="R10" sqref="R10"/>
      <selection pane="bottomLeft" activeCell="I9" sqref="I9"/>
    </sheetView>
  </sheetViews>
  <sheetFormatPr defaultColWidth="9.140625" defaultRowHeight="12.75" x14ac:dyDescent="0.2"/>
  <cols>
    <col min="1" max="1" width="7.5703125" style="1" customWidth="1"/>
    <col min="2" max="2" width="7.710937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6.85546875" style="1" customWidth="1"/>
    <col min="12" max="13" width="5.42578125" style="1" customWidth="1"/>
    <col min="14" max="14" width="4.7109375" style="1" customWidth="1"/>
    <col min="15" max="15" width="5.42578125" style="1" customWidth="1"/>
    <col min="16" max="16" width="4.42578125" style="1" hidden="1" customWidth="1"/>
    <col min="17" max="19" width="5.42578125" style="1" customWidth="1"/>
    <col min="20" max="20" width="4.5703125" style="1" customWidth="1"/>
    <col min="21" max="21" width="5" style="1" customWidth="1"/>
    <col min="22" max="23" width="6" style="1" customWidth="1"/>
    <col min="24" max="24" width="5" style="1" customWidth="1"/>
    <col min="25" max="25" width="5.140625" style="1" customWidth="1"/>
    <col min="26" max="26" width="6.7109375" style="1" customWidth="1"/>
    <col min="27" max="27" width="5.42578125" style="1" customWidth="1"/>
    <col min="28" max="30" width="6.7109375" style="1" customWidth="1"/>
    <col min="31" max="31" width="13.42578125" style="1" customWidth="1"/>
    <col min="32" max="16384" width="9.140625" style="1"/>
  </cols>
  <sheetData>
    <row r="1" spans="1:32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2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</row>
    <row r="3" spans="1:32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1:32" ht="15.75" customHeight="1" thickBot="1" x14ac:dyDescent="0.4">
      <c r="A4" s="117" t="s">
        <v>397</v>
      </c>
      <c r="B4" s="118"/>
      <c r="C4" s="2">
        <f>COUNTA(B8:B9)</f>
        <v>2</v>
      </c>
      <c r="D4" s="3"/>
      <c r="E4" s="3"/>
      <c r="F4" s="1"/>
      <c r="I4" s="1"/>
      <c r="J4" s="1"/>
      <c r="V4" s="4"/>
      <c r="Z4" s="5"/>
      <c r="AA4" s="5"/>
      <c r="AB4" s="5"/>
      <c r="AD4" s="5"/>
    </row>
    <row r="5" spans="1:32" s="9" customFormat="1" ht="35.2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8" t="s">
        <v>581</v>
      </c>
      <c r="Q5" s="103" t="s">
        <v>11</v>
      </c>
      <c r="R5" s="103"/>
      <c r="S5" s="7" t="s">
        <v>4</v>
      </c>
      <c r="T5" s="8" t="s">
        <v>4</v>
      </c>
      <c r="U5" s="7" t="s">
        <v>4</v>
      </c>
      <c r="V5" s="7" t="s">
        <v>4</v>
      </c>
      <c r="W5" s="7" t="s">
        <v>4</v>
      </c>
      <c r="X5" s="7" t="s">
        <v>4</v>
      </c>
      <c r="Y5" s="8" t="s">
        <v>4</v>
      </c>
      <c r="Z5" s="8" t="s">
        <v>12</v>
      </c>
      <c r="AA5" s="8" t="s">
        <v>4</v>
      </c>
      <c r="AB5" s="8" t="s">
        <v>303</v>
      </c>
      <c r="AC5" s="8" t="s">
        <v>13</v>
      </c>
      <c r="AD5" s="7" t="s">
        <v>4</v>
      </c>
      <c r="AE5" s="105" t="s">
        <v>584</v>
      </c>
    </row>
    <row r="6" spans="1:32" s="9" customFormat="1" ht="35.2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3" t="s">
        <v>582</v>
      </c>
      <c r="Q6" s="14" t="s">
        <v>24</v>
      </c>
      <c r="R6" s="15" t="s">
        <v>4</v>
      </c>
      <c r="S6" s="11" t="s">
        <v>25</v>
      </c>
      <c r="T6" s="12" t="s">
        <v>26</v>
      </c>
      <c r="U6" s="13" t="s">
        <v>306</v>
      </c>
      <c r="V6" s="12" t="s">
        <v>27</v>
      </c>
      <c r="W6" s="12" t="s">
        <v>296</v>
      </c>
      <c r="X6" s="12" t="s">
        <v>297</v>
      </c>
      <c r="Y6" s="16" t="s">
        <v>28</v>
      </c>
      <c r="Z6" s="12" t="s">
        <v>301</v>
      </c>
      <c r="AA6" s="12" t="s">
        <v>302</v>
      </c>
      <c r="AB6" s="12" t="s">
        <v>304</v>
      </c>
      <c r="AC6" s="12" t="s">
        <v>29</v>
      </c>
      <c r="AD6" s="11" t="s">
        <v>30</v>
      </c>
      <c r="AE6" s="106"/>
    </row>
    <row r="7" spans="1:32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16</v>
      </c>
      <c r="R7" s="18">
        <v>17</v>
      </c>
      <c r="S7" s="17">
        <v>18</v>
      </c>
      <c r="T7" s="18">
        <v>19</v>
      </c>
      <c r="U7" s="17">
        <v>20</v>
      </c>
      <c r="V7" s="18">
        <v>21</v>
      </c>
      <c r="W7" s="17">
        <v>22</v>
      </c>
      <c r="X7" s="18">
        <v>23</v>
      </c>
      <c r="Y7" s="17">
        <v>24</v>
      </c>
      <c r="Z7" s="18">
        <v>25</v>
      </c>
      <c r="AA7" s="17">
        <v>26</v>
      </c>
      <c r="AB7" s="18">
        <v>27</v>
      </c>
      <c r="AC7" s="17">
        <v>28</v>
      </c>
      <c r="AD7" s="18">
        <v>29</v>
      </c>
      <c r="AE7" s="17">
        <v>30</v>
      </c>
    </row>
    <row r="8" spans="1:32" s="31" customFormat="1" ht="96.75" customHeight="1" x14ac:dyDescent="0.25">
      <c r="A8" s="43" t="s">
        <v>55</v>
      </c>
      <c r="B8" s="64" t="s">
        <v>175</v>
      </c>
      <c r="C8" s="56" t="s">
        <v>308</v>
      </c>
      <c r="D8" s="48">
        <v>220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186.15384615384616</v>
      </c>
      <c r="L8" s="58">
        <f>D8/208*H8*1.5</f>
        <v>0</v>
      </c>
      <c r="M8" s="53">
        <f t="shared" ref="M8" si="0">D8/26*I8*2</f>
        <v>0</v>
      </c>
      <c r="N8" s="53">
        <f>D8/26*J8</f>
        <v>33.846153846153847</v>
      </c>
      <c r="O8" s="53">
        <v>0</v>
      </c>
      <c r="P8" s="53"/>
      <c r="Q8" s="25">
        <v>0</v>
      </c>
      <c r="R8" s="24">
        <f t="shared" ref="R8:R9" si="1">D8/26*Q8/2</f>
        <v>0</v>
      </c>
      <c r="S8" s="24">
        <f t="shared" ref="S8:S9" si="2">((H8)*1500/4000)</f>
        <v>0</v>
      </c>
      <c r="T8" s="27"/>
      <c r="U8" s="24">
        <v>10</v>
      </c>
      <c r="V8" s="24">
        <v>10</v>
      </c>
      <c r="W8" s="26">
        <f>D8/2</f>
        <v>110</v>
      </c>
      <c r="X8" s="24">
        <v>4.66</v>
      </c>
      <c r="Y8" s="26"/>
      <c r="Z8" s="54">
        <f>INT((K8+L8+M8+N8+R8+S8+U8+V8+T8+O8+P8)*100)/100</f>
        <v>240</v>
      </c>
      <c r="AA8" s="28">
        <f t="shared" ref="AA8:AA9" si="3">W8+X8+Y8</f>
        <v>114.66</v>
      </c>
      <c r="AB8" s="54">
        <f t="shared" ref="AB8:AB9" si="4">INT((Z8-AA8)*100)/100</f>
        <v>125.34</v>
      </c>
      <c r="AC8" s="29">
        <f t="shared" ref="AC8:AC9" si="5">INT(AB8)</f>
        <v>125</v>
      </c>
      <c r="AD8" s="24">
        <f t="shared" ref="AD8:AD9" si="6">INT((AB8-AC8)*40+0.5)*100</f>
        <v>1400</v>
      </c>
      <c r="AE8" s="30"/>
      <c r="AF8" s="73">
        <f>(Z8*0.04)/2</f>
        <v>4.8</v>
      </c>
    </row>
    <row r="9" spans="1:32" s="31" customFormat="1" ht="96.75" customHeight="1" x14ac:dyDescent="0.25">
      <c r="A9" s="43" t="s">
        <v>56</v>
      </c>
      <c r="B9" s="64" t="s">
        <v>176</v>
      </c>
      <c r="C9" s="56" t="s">
        <v>308</v>
      </c>
      <c r="D9" s="48">
        <v>204</v>
      </c>
      <c r="E9" s="20">
        <v>22</v>
      </c>
      <c r="F9" s="57">
        <v>0.5</v>
      </c>
      <c r="G9" s="22"/>
      <c r="H9" s="23"/>
      <c r="I9" s="22"/>
      <c r="J9" s="22">
        <v>4</v>
      </c>
      <c r="K9" s="52">
        <f>D9/26*E9</f>
        <v>172.61538461538461</v>
      </c>
      <c r="L9" s="58">
        <f>D9/208*H9*1.5</f>
        <v>0</v>
      </c>
      <c r="M9" s="53">
        <f t="shared" ref="M9" si="7">D9/26*I9*2</f>
        <v>0</v>
      </c>
      <c r="N9" s="53">
        <f>D9/26*J9</f>
        <v>31.384615384615383</v>
      </c>
      <c r="O9" s="53">
        <v>0</v>
      </c>
      <c r="P9" s="53">
        <v>0</v>
      </c>
      <c r="Q9" s="25">
        <v>0</v>
      </c>
      <c r="R9" s="24">
        <f t="shared" si="1"/>
        <v>0</v>
      </c>
      <c r="S9" s="24">
        <f t="shared" si="2"/>
        <v>0</v>
      </c>
      <c r="T9" s="27"/>
      <c r="U9" s="24">
        <v>7</v>
      </c>
      <c r="V9" s="24">
        <v>10</v>
      </c>
      <c r="W9" s="26">
        <f>D9/2</f>
        <v>102</v>
      </c>
      <c r="X9" s="24">
        <f>AF9</f>
        <v>4.42</v>
      </c>
      <c r="Y9" s="26"/>
      <c r="Z9" s="54">
        <f>INT((K9+L9+M9+N9+R9+S9+U9+V9+T9+O9)*100)/100</f>
        <v>221</v>
      </c>
      <c r="AA9" s="28">
        <f t="shared" si="3"/>
        <v>106.42</v>
      </c>
      <c r="AB9" s="54">
        <f t="shared" si="4"/>
        <v>114.58</v>
      </c>
      <c r="AC9" s="29">
        <f t="shared" si="5"/>
        <v>114</v>
      </c>
      <c r="AD9" s="24">
        <f t="shared" si="6"/>
        <v>2300</v>
      </c>
      <c r="AE9" s="30"/>
      <c r="AF9" s="73">
        <f t="shared" ref="AF9" si="8">(Z9*0.04)/2</f>
        <v>4.42</v>
      </c>
    </row>
    <row r="10" spans="1:32" s="36" customFormat="1" ht="35.25" customHeight="1" thickBot="1" x14ac:dyDescent="0.3">
      <c r="A10" s="107" t="s">
        <v>33</v>
      </c>
      <c r="B10" s="108"/>
      <c r="C10" s="32"/>
      <c r="D10" s="33"/>
      <c r="E10" s="34">
        <f t="shared" ref="E10:AD10" si="9">SUM(E8:E9)</f>
        <v>44</v>
      </c>
      <c r="F10" s="34">
        <f t="shared" si="9"/>
        <v>0.5</v>
      </c>
      <c r="G10" s="34">
        <f t="shared" si="9"/>
        <v>0</v>
      </c>
      <c r="H10" s="34">
        <f t="shared" si="9"/>
        <v>0</v>
      </c>
      <c r="I10" s="34">
        <f t="shared" si="9"/>
        <v>0</v>
      </c>
      <c r="J10" s="34">
        <f t="shared" si="9"/>
        <v>8</v>
      </c>
      <c r="K10" s="34">
        <f t="shared" si="9"/>
        <v>358.76923076923077</v>
      </c>
      <c r="L10" s="34">
        <f t="shared" si="9"/>
        <v>0</v>
      </c>
      <c r="M10" s="34">
        <f t="shared" si="9"/>
        <v>0</v>
      </c>
      <c r="N10" s="34">
        <f t="shared" si="9"/>
        <v>65.230769230769226</v>
      </c>
      <c r="O10" s="34">
        <f t="shared" si="9"/>
        <v>0</v>
      </c>
      <c r="P10" s="34">
        <f t="shared" si="9"/>
        <v>0</v>
      </c>
      <c r="Q10" s="34">
        <f t="shared" si="9"/>
        <v>0</v>
      </c>
      <c r="R10" s="34">
        <f t="shared" si="9"/>
        <v>0</v>
      </c>
      <c r="S10" s="34">
        <f t="shared" si="9"/>
        <v>0</v>
      </c>
      <c r="T10" s="34">
        <f t="shared" si="9"/>
        <v>0</v>
      </c>
      <c r="U10" s="34">
        <f t="shared" si="9"/>
        <v>17</v>
      </c>
      <c r="V10" s="34">
        <f t="shared" si="9"/>
        <v>20</v>
      </c>
      <c r="W10" s="34">
        <f t="shared" si="9"/>
        <v>212</v>
      </c>
      <c r="X10" s="34">
        <f t="shared" si="9"/>
        <v>9.08</v>
      </c>
      <c r="Y10" s="34">
        <f t="shared" si="9"/>
        <v>0</v>
      </c>
      <c r="Z10" s="34">
        <f>SUM(Z8:Z9)</f>
        <v>461</v>
      </c>
      <c r="AA10" s="34">
        <f t="shared" si="9"/>
        <v>221.07999999999998</v>
      </c>
      <c r="AB10" s="34">
        <f t="shared" si="9"/>
        <v>239.92000000000002</v>
      </c>
      <c r="AC10" s="34">
        <f t="shared" si="9"/>
        <v>239</v>
      </c>
      <c r="AD10" s="34">
        <f t="shared" si="9"/>
        <v>3700</v>
      </c>
      <c r="AE10" s="35"/>
    </row>
    <row r="11" spans="1:32" ht="21.75" customHeight="1" thickTop="1" x14ac:dyDescent="0.2">
      <c r="A11" s="109" t="s">
        <v>34</v>
      </c>
      <c r="B11" s="109"/>
      <c r="C11" s="109"/>
      <c r="D11" s="37"/>
      <c r="E11" s="37"/>
      <c r="F11" s="37"/>
      <c r="G11" s="37"/>
      <c r="H11" s="110"/>
      <c r="I11" s="110"/>
      <c r="J11" s="110"/>
      <c r="K11" s="38"/>
      <c r="L11" s="110" t="s">
        <v>35</v>
      </c>
      <c r="M11" s="110"/>
      <c r="N11" s="110"/>
      <c r="O11" s="85"/>
      <c r="P11" s="85"/>
      <c r="Q11" s="38"/>
      <c r="R11" s="38"/>
      <c r="U11" s="39"/>
      <c r="V11" s="39"/>
      <c r="Z11" s="39"/>
      <c r="AA11" s="39"/>
      <c r="AB11" s="111" t="s">
        <v>36</v>
      </c>
      <c r="AC11" s="111"/>
      <c r="AD11" s="111"/>
      <c r="AE11" s="40"/>
    </row>
    <row r="12" spans="1:32" ht="21" customHeight="1" x14ac:dyDescent="0.2">
      <c r="A12" s="41"/>
      <c r="B12" s="41"/>
      <c r="C12" s="41"/>
      <c r="D12" s="41"/>
      <c r="E12" s="41"/>
      <c r="G12" s="41"/>
      <c r="H12" s="41"/>
    </row>
    <row r="13" spans="1:32" ht="13.5" customHeight="1" x14ac:dyDescent="0.2">
      <c r="A13" s="41"/>
      <c r="B13" s="41"/>
      <c r="C13" s="41"/>
      <c r="D13" s="41"/>
      <c r="E13" s="41"/>
      <c r="G13" s="41"/>
      <c r="H13" s="41"/>
    </row>
    <row r="14" spans="1:32" s="41" customFormat="1" x14ac:dyDescent="0.2"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2" s="41" customFormat="1" x14ac:dyDescent="0.2"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2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1:31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1:31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1:31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1:31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1:31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1:31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1:31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1:31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1:31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1:31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1:31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1:31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1:31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1:31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1:31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1:31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1:31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1:31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1:31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1:31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1:31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1:31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1:31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1:31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1:31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1:31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1:31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1:31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1:31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1:31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1:31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1:31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1:31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1:31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1:31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1:31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1:31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1:31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1:31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1:31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1:31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1:31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1:31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1:31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1:31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1:31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1:31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1:31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1:31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</sheetData>
  <autoFilter ref="A7:AD12" xr:uid="{00000000-0009-0000-0000-000000000000}"/>
  <mergeCells count="12">
    <mergeCell ref="A1:AE1"/>
    <mergeCell ref="A2:AE2"/>
    <mergeCell ref="A3:AE3"/>
    <mergeCell ref="A4:B4"/>
    <mergeCell ref="B5:B6"/>
    <mergeCell ref="Q5:R5"/>
    <mergeCell ref="AE5:AE6"/>
    <mergeCell ref="A10:B10"/>
    <mergeCell ref="A11:C11"/>
    <mergeCell ref="H11:J11"/>
    <mergeCell ref="L11:N11"/>
    <mergeCell ref="AB11:AD11"/>
  </mergeCells>
  <pageMargins left="0.11811023622047245" right="0" top="0.31496062992125984" bottom="0.11811023622047245" header="0" footer="0.11811023622047245"/>
  <pageSetup paperSize="9" scale="80" orientation="landscape" horizontalDpi="360" verticalDpi="36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CEFD-20D7-4673-A25E-CFE958FF4D1C}">
  <sheetPr>
    <tabColor theme="7" tint="0.39997558519241921"/>
  </sheetPr>
  <dimension ref="A1:AK77"/>
  <sheetViews>
    <sheetView zoomScale="136" zoomScaleNormal="136" workbookViewId="0">
      <pane ySplit="7" topLeftCell="A8" activePane="bottomLeft" state="frozen"/>
      <selection pane="bottomLeft" activeCell="M21" sqref="M21"/>
    </sheetView>
  </sheetViews>
  <sheetFormatPr defaultColWidth="9.140625" defaultRowHeight="12.75" x14ac:dyDescent="0.2"/>
  <cols>
    <col min="1" max="1" width="6.28515625" style="1" customWidth="1"/>
    <col min="2" max="2" width="7.4257812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5.7109375" style="1" customWidth="1"/>
    <col min="16" max="16" width="5" style="1" customWidth="1"/>
    <col min="17" max="17" width="3.7109375" style="1" customWidth="1"/>
    <col min="18" max="19" width="4.5703125" style="1" customWidth="1"/>
    <col min="20" max="21" width="4.140625" style="1" customWidth="1"/>
    <col min="22" max="22" width="4.42578125" style="1" customWidth="1"/>
    <col min="23" max="23" width="4.140625" style="1" customWidth="1"/>
    <col min="24" max="24" width="5.28515625" style="1" customWidth="1"/>
    <col min="25" max="25" width="4.42578125" style="1" customWidth="1"/>
    <col min="26" max="26" width="4.7109375" style="1" customWidth="1"/>
    <col min="27" max="27" width="4.5703125" style="1" customWidth="1"/>
    <col min="28" max="30" width="4.28515625" style="1" customWidth="1"/>
    <col min="31" max="31" width="5.28515625" style="1" customWidth="1"/>
    <col min="32" max="32" width="5" style="1" customWidth="1"/>
    <col min="33" max="33" width="5.7109375" style="1" customWidth="1"/>
    <col min="34" max="34" width="6" style="1" customWidth="1"/>
    <col min="35" max="35" width="6.140625" style="1" customWidth="1"/>
    <col min="36" max="36" width="13.140625" style="1" customWidth="1"/>
    <col min="37" max="16384" width="9.140625" style="1"/>
  </cols>
  <sheetData>
    <row r="1" spans="1:37" ht="26.25" customHeight="1" x14ac:dyDescent="0.85">
      <c r="A1" s="112" t="s">
        <v>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s="80" customFormat="1" ht="19.5" customHeight="1" x14ac:dyDescent="0.25">
      <c r="A3" s="113" t="str">
        <f>ផុង!A3</f>
        <v>តារាងប្រាក់បៀវវត្តន៍ប្រចាំខែ ១១-២០២៤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</row>
    <row r="4" spans="1:37" ht="24.75" customHeight="1" thickBot="1" x14ac:dyDescent="0.4">
      <c r="A4" s="101" t="s">
        <v>315</v>
      </c>
      <c r="B4" s="102"/>
      <c r="C4" s="2">
        <f>COUNTA(B8:B21)</f>
        <v>14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2.2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2.2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19.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65.25" customHeight="1" x14ac:dyDescent="0.25">
      <c r="A8" s="59" t="s">
        <v>223</v>
      </c>
      <c r="B8" s="42" t="s">
        <v>224</v>
      </c>
      <c r="C8" s="56" t="s">
        <v>312</v>
      </c>
      <c r="D8" s="48">
        <v>204</v>
      </c>
      <c r="E8" s="20">
        <v>20.5</v>
      </c>
      <c r="F8" s="21">
        <f>I8+L8+(M8)*8</f>
        <v>164</v>
      </c>
      <c r="G8" s="57">
        <v>1.5</v>
      </c>
      <c r="H8" s="22"/>
      <c r="I8" s="23">
        <f t="shared" ref="I8:I14" si="0">E8*8</f>
        <v>164</v>
      </c>
      <c r="J8" s="55">
        <v>385.42</v>
      </c>
      <c r="K8" s="55">
        <f>188.385-20</f>
        <v>168.38499999999999</v>
      </c>
      <c r="L8" s="23"/>
      <c r="M8" s="22"/>
      <c r="N8" s="22">
        <v>4</v>
      </c>
      <c r="O8" s="90">
        <f>IF(F8&gt;0,((K8+W8)/F8*I8),0)</f>
        <v>168.38499999999999</v>
      </c>
      <c r="P8" s="58">
        <f>IF(F8&gt;0,((K8+W8)/F8*L8*1.5)*100)/100</f>
        <v>0</v>
      </c>
      <c r="Q8" s="53">
        <f>IF(F8&gt;0,((K8+W8)/F8*M8*8*2)*100)/100</f>
        <v>0</v>
      </c>
      <c r="R8" s="53">
        <f>IF(F8&gt;0,((K8+W8)/F8*N8*8*1)*100)/100</f>
        <v>32.855609756097557</v>
      </c>
      <c r="S8" s="53">
        <v>0</v>
      </c>
      <c r="T8" s="25">
        <v>0</v>
      </c>
      <c r="U8" s="24">
        <f t="shared" ref="U8:U14" si="1">D8/26*T8/2</f>
        <v>0</v>
      </c>
      <c r="V8" s="24">
        <f>((L8)*1500/4000)</f>
        <v>0</v>
      </c>
      <c r="W8" s="24"/>
      <c r="X8" s="53"/>
      <c r="Y8" s="27"/>
      <c r="Z8" s="24">
        <v>4</v>
      </c>
      <c r="AA8" s="24">
        <v>10</v>
      </c>
      <c r="AB8" s="26">
        <f>D8/2</f>
        <v>102</v>
      </c>
      <c r="AC8" s="24">
        <f>AK8</f>
        <v>4.3048000000000002</v>
      </c>
      <c r="AD8" s="26"/>
      <c r="AE8" s="54">
        <f>INT((O8+P8+Q8+R8+U8+V8+Z8+AA8+Y8-X8+S8)*100)/100</f>
        <v>215.24</v>
      </c>
      <c r="AF8" s="28">
        <f>AB8+AC8+AD8</f>
        <v>106.3048</v>
      </c>
      <c r="AG8" s="54">
        <f>INT((AE8-AF8)*100)/100</f>
        <v>108.93</v>
      </c>
      <c r="AH8" s="29">
        <f>INT(AG8)</f>
        <v>108</v>
      </c>
      <c r="AI8" s="24">
        <f>INT((AG8-AH8)*40+0.5)*100</f>
        <v>3700</v>
      </c>
      <c r="AJ8" s="30"/>
      <c r="AK8" s="73">
        <f>(AE8*0.04)/2</f>
        <v>4.3048000000000002</v>
      </c>
    </row>
    <row r="9" spans="1:37" s="31" customFormat="1" ht="65.25" customHeight="1" x14ac:dyDescent="0.25">
      <c r="A9" s="59" t="s">
        <v>225</v>
      </c>
      <c r="B9" s="42" t="s">
        <v>115</v>
      </c>
      <c r="C9" s="56" t="s">
        <v>308</v>
      </c>
      <c r="D9" s="48">
        <v>204</v>
      </c>
      <c r="E9" s="20">
        <v>19</v>
      </c>
      <c r="F9" s="21">
        <f>I9+L9+(M9)*8</f>
        <v>152</v>
      </c>
      <c r="G9" s="57">
        <v>3</v>
      </c>
      <c r="H9" s="22"/>
      <c r="I9" s="23">
        <f t="shared" si="0"/>
        <v>152</v>
      </c>
      <c r="J9" s="55">
        <v>162.51</v>
      </c>
      <c r="K9" s="55">
        <f>144.021+8</f>
        <v>152.02099999999999</v>
      </c>
      <c r="L9" s="23"/>
      <c r="M9" s="22"/>
      <c r="N9" s="22">
        <v>4</v>
      </c>
      <c r="O9" s="90">
        <f>IF(F9&gt;0,((K9+W9)/F9*I9),0)</f>
        <v>152.02099999999999</v>
      </c>
      <c r="P9" s="58">
        <f t="shared" ref="P9:P21" si="2">IF(F9&gt;0,((K9+W9)/F9*L9*1.5)*100)/100</f>
        <v>0</v>
      </c>
      <c r="Q9" s="53">
        <f t="shared" ref="Q9:Q21" si="3">IF(F9&gt;0,((K9+W9)/F9*M9*8*2)*100)/100</f>
        <v>0</v>
      </c>
      <c r="R9" s="53">
        <f t="shared" ref="R9:R21" si="4">IF(F9&gt;0,((K9+W9)/F9*N9*8*1)*100)/100</f>
        <v>32.004421052631578</v>
      </c>
      <c r="S9" s="53">
        <v>0</v>
      </c>
      <c r="T9" s="25">
        <v>0</v>
      </c>
      <c r="U9" s="24">
        <f t="shared" si="1"/>
        <v>0</v>
      </c>
      <c r="V9" s="24">
        <f>((L9)*1500/4000)</f>
        <v>0</v>
      </c>
      <c r="W9" s="24"/>
      <c r="X9" s="53"/>
      <c r="Y9" s="27"/>
      <c r="Z9" s="24"/>
      <c r="AA9" s="24">
        <v>10</v>
      </c>
      <c r="AB9" s="26">
        <f t="shared" ref="AB9:AB21" si="5">D9/2</f>
        <v>102</v>
      </c>
      <c r="AC9" s="24">
        <f t="shared" ref="AC9:AC21" si="6">AK9</f>
        <v>3.8804000000000003</v>
      </c>
      <c r="AD9" s="26"/>
      <c r="AE9" s="54">
        <f t="shared" ref="AE9:AE21" si="7">INT((O9+P9+Q9+R9+U9+V9+Z9+AA9+Y9-X9+S9)*100)/100</f>
        <v>194.02</v>
      </c>
      <c r="AF9" s="28">
        <f t="shared" ref="AF9:AF14" si="8">AB9+AC9+AD9</f>
        <v>105.88039999999999</v>
      </c>
      <c r="AG9" s="54">
        <f>INT((AE9-AF9)*100)/100</f>
        <v>88.13</v>
      </c>
      <c r="AH9" s="29">
        <f t="shared" ref="AH9:AH14" si="9">INT(AG9)</f>
        <v>88</v>
      </c>
      <c r="AI9" s="24">
        <f t="shared" ref="AI9:AI14" si="10">INT((AG9-AH9)*40+0.5)*100</f>
        <v>500</v>
      </c>
      <c r="AJ9" s="30"/>
      <c r="AK9" s="73">
        <f t="shared" ref="AK9:AK21" si="11">(AE9*0.04)/2</f>
        <v>3.8804000000000003</v>
      </c>
    </row>
    <row r="10" spans="1:37" s="31" customFormat="1" ht="65.25" customHeight="1" x14ac:dyDescent="0.25">
      <c r="A10" s="59" t="s">
        <v>226</v>
      </c>
      <c r="B10" s="42" t="s">
        <v>116</v>
      </c>
      <c r="C10" s="56" t="s">
        <v>308</v>
      </c>
      <c r="D10" s="48">
        <v>204</v>
      </c>
      <c r="E10" s="20">
        <v>21.5</v>
      </c>
      <c r="F10" s="21">
        <f>I10+L10+(M10)*8</f>
        <v>172</v>
      </c>
      <c r="G10" s="57">
        <v>0.5</v>
      </c>
      <c r="H10" s="22"/>
      <c r="I10" s="23">
        <f t="shared" si="0"/>
        <v>172</v>
      </c>
      <c r="J10" s="55">
        <v>317.5</v>
      </c>
      <c r="K10" s="55">
        <v>160.01900000000001</v>
      </c>
      <c r="L10" s="23"/>
      <c r="M10" s="22"/>
      <c r="N10" s="22">
        <v>4</v>
      </c>
      <c r="O10" s="90">
        <f>IF(F10&gt;0,((K10+W10)/F10*I10),0)</f>
        <v>160.01900000000001</v>
      </c>
      <c r="P10" s="58">
        <f t="shared" si="2"/>
        <v>0</v>
      </c>
      <c r="Q10" s="53">
        <f t="shared" si="3"/>
        <v>0</v>
      </c>
      <c r="R10" s="53">
        <f>D10/26*N10</f>
        <v>31.384615384615383</v>
      </c>
      <c r="S10" s="53">
        <v>0</v>
      </c>
      <c r="T10" s="25">
        <v>0</v>
      </c>
      <c r="U10" s="24">
        <f t="shared" si="1"/>
        <v>0</v>
      </c>
      <c r="V10" s="24">
        <f t="shared" ref="V10:V14" si="12">((L10)*1500/4000)</f>
        <v>0</v>
      </c>
      <c r="W10" s="24"/>
      <c r="X10" s="53">
        <f>(-D10/208*I10)+(O10)</f>
        <v>-8.6733076923076737</v>
      </c>
      <c r="Y10" s="27"/>
      <c r="Z10" s="24">
        <v>7</v>
      </c>
      <c r="AA10" s="24">
        <v>10</v>
      </c>
      <c r="AB10" s="26">
        <f t="shared" si="5"/>
        <v>102</v>
      </c>
      <c r="AC10" s="24">
        <f t="shared" si="6"/>
        <v>4.3414000000000001</v>
      </c>
      <c r="AD10" s="26"/>
      <c r="AE10" s="54">
        <f t="shared" si="7"/>
        <v>217.07</v>
      </c>
      <c r="AF10" s="28">
        <f t="shared" si="8"/>
        <v>106.34139999999999</v>
      </c>
      <c r="AG10" s="54">
        <f t="shared" ref="AG10:AG14" si="13">INT((AE10-AF10)*100)/100</f>
        <v>110.72</v>
      </c>
      <c r="AH10" s="29">
        <f t="shared" si="9"/>
        <v>110</v>
      </c>
      <c r="AI10" s="24">
        <f t="shared" si="10"/>
        <v>2900</v>
      </c>
      <c r="AJ10" s="30"/>
      <c r="AK10" s="73">
        <f t="shared" si="11"/>
        <v>4.3414000000000001</v>
      </c>
    </row>
    <row r="11" spans="1:37" s="31" customFormat="1" ht="65.25" customHeight="1" x14ac:dyDescent="0.25">
      <c r="A11" s="59" t="s">
        <v>227</v>
      </c>
      <c r="B11" s="42" t="s">
        <v>114</v>
      </c>
      <c r="C11" s="56" t="s">
        <v>308</v>
      </c>
      <c r="D11" s="48">
        <v>204</v>
      </c>
      <c r="E11" s="20">
        <v>21</v>
      </c>
      <c r="F11" s="21">
        <f>I11+L11+(M11)*8</f>
        <v>168</v>
      </c>
      <c r="G11" s="57">
        <v>1</v>
      </c>
      <c r="H11" s="22"/>
      <c r="I11" s="23">
        <f t="shared" si="0"/>
        <v>168</v>
      </c>
      <c r="J11" s="55">
        <v>198.75</v>
      </c>
      <c r="K11" s="55">
        <f>118.3051+50</f>
        <v>168.30509999999998</v>
      </c>
      <c r="L11" s="23"/>
      <c r="M11" s="22"/>
      <c r="N11" s="22">
        <v>4</v>
      </c>
      <c r="O11" s="90">
        <f t="shared" ref="O11:O14" si="14">IF(F11&gt;0,((K11+W11)/F11*I11),0)</f>
        <v>168.30509999999998</v>
      </c>
      <c r="P11" s="58">
        <f t="shared" si="2"/>
        <v>0</v>
      </c>
      <c r="Q11" s="53">
        <f t="shared" si="3"/>
        <v>0</v>
      </c>
      <c r="R11" s="53">
        <f t="shared" si="4"/>
        <v>32.058114285714282</v>
      </c>
      <c r="S11" s="53">
        <v>0</v>
      </c>
      <c r="T11" s="25">
        <v>0</v>
      </c>
      <c r="U11" s="24">
        <f t="shared" si="1"/>
        <v>0</v>
      </c>
      <c r="V11" s="24">
        <f t="shared" si="12"/>
        <v>0</v>
      </c>
      <c r="W11" s="24"/>
      <c r="X11" s="53"/>
      <c r="Y11" s="27"/>
      <c r="Z11" s="24">
        <v>7</v>
      </c>
      <c r="AA11" s="24">
        <v>10</v>
      </c>
      <c r="AB11" s="26">
        <f t="shared" si="5"/>
        <v>102</v>
      </c>
      <c r="AC11" s="24">
        <f t="shared" si="6"/>
        <v>4.3472</v>
      </c>
      <c r="AD11" s="26"/>
      <c r="AE11" s="54">
        <f t="shared" si="7"/>
        <v>217.36</v>
      </c>
      <c r="AF11" s="28">
        <f t="shared" si="8"/>
        <v>106.3472</v>
      </c>
      <c r="AG11" s="54">
        <f t="shared" si="13"/>
        <v>111.01</v>
      </c>
      <c r="AH11" s="29">
        <f t="shared" si="9"/>
        <v>111</v>
      </c>
      <c r="AI11" s="24">
        <f t="shared" si="10"/>
        <v>0</v>
      </c>
      <c r="AJ11" s="30"/>
      <c r="AK11" s="73">
        <f t="shared" si="11"/>
        <v>4.3472</v>
      </c>
    </row>
    <row r="12" spans="1:37" s="31" customFormat="1" ht="65.25" customHeight="1" x14ac:dyDescent="0.25">
      <c r="A12" s="59" t="s">
        <v>228</v>
      </c>
      <c r="B12" s="42" t="s">
        <v>229</v>
      </c>
      <c r="C12" s="56" t="s">
        <v>316</v>
      </c>
      <c r="D12" s="48">
        <v>204</v>
      </c>
      <c r="E12" s="20">
        <v>18</v>
      </c>
      <c r="F12" s="21">
        <f t="shared" ref="F12:F14" si="15">I12+L12+(M12)*8</f>
        <v>144</v>
      </c>
      <c r="G12" s="57">
        <v>4</v>
      </c>
      <c r="H12" s="22"/>
      <c r="I12" s="23">
        <f t="shared" si="0"/>
        <v>144</v>
      </c>
      <c r="J12" s="55">
        <v>123.67</v>
      </c>
      <c r="K12" s="55">
        <v>62.723999999999997</v>
      </c>
      <c r="L12" s="23"/>
      <c r="M12" s="22"/>
      <c r="N12" s="22">
        <v>4</v>
      </c>
      <c r="O12" s="90">
        <f t="shared" si="14"/>
        <v>146.0893846153846</v>
      </c>
      <c r="P12" s="58">
        <f t="shared" si="2"/>
        <v>0</v>
      </c>
      <c r="Q12" s="53">
        <f t="shared" si="3"/>
        <v>0</v>
      </c>
      <c r="R12" s="53">
        <f t="shared" si="4"/>
        <v>32.464307692307692</v>
      </c>
      <c r="S12" s="53">
        <v>0</v>
      </c>
      <c r="T12" s="25">
        <v>0</v>
      </c>
      <c r="U12" s="24">
        <f t="shared" si="1"/>
        <v>0</v>
      </c>
      <c r="V12" s="24">
        <f t="shared" si="12"/>
        <v>0</v>
      </c>
      <c r="W12" s="24">
        <f>D12/208*85</f>
        <v>83.365384615384613</v>
      </c>
      <c r="X12" s="53"/>
      <c r="Y12" s="27"/>
      <c r="Z12" s="24"/>
      <c r="AA12" s="24">
        <v>10</v>
      </c>
      <c r="AB12" s="26">
        <f t="shared" si="5"/>
        <v>102</v>
      </c>
      <c r="AC12" s="24">
        <f t="shared" si="6"/>
        <v>3.7710000000000004</v>
      </c>
      <c r="AD12" s="26"/>
      <c r="AE12" s="54">
        <f t="shared" si="7"/>
        <v>188.55</v>
      </c>
      <c r="AF12" s="28">
        <f t="shared" si="8"/>
        <v>105.771</v>
      </c>
      <c r="AG12" s="54">
        <f t="shared" si="13"/>
        <v>82.77</v>
      </c>
      <c r="AH12" s="29">
        <f t="shared" si="9"/>
        <v>82</v>
      </c>
      <c r="AI12" s="24">
        <f t="shared" si="10"/>
        <v>3100</v>
      </c>
      <c r="AJ12" s="30"/>
      <c r="AK12" s="73">
        <f t="shared" si="11"/>
        <v>3.7710000000000004</v>
      </c>
    </row>
    <row r="13" spans="1:37" s="31" customFormat="1" ht="65.25" customHeight="1" x14ac:dyDescent="0.25">
      <c r="A13" s="59" t="s">
        <v>230</v>
      </c>
      <c r="B13" s="42" t="s">
        <v>231</v>
      </c>
      <c r="C13" s="56" t="s">
        <v>309</v>
      </c>
      <c r="D13" s="48">
        <v>204</v>
      </c>
      <c r="E13" s="20">
        <v>21</v>
      </c>
      <c r="F13" s="21">
        <f t="shared" si="15"/>
        <v>168</v>
      </c>
      <c r="G13" s="21">
        <v>1</v>
      </c>
      <c r="H13" s="22"/>
      <c r="I13" s="23">
        <f t="shared" si="0"/>
        <v>168</v>
      </c>
      <c r="J13" s="55">
        <v>207.17999999999998</v>
      </c>
      <c r="K13" s="55">
        <v>157.38649999999998</v>
      </c>
      <c r="L13" s="23"/>
      <c r="M13" s="22"/>
      <c r="N13" s="22">
        <v>4</v>
      </c>
      <c r="O13" s="90">
        <f t="shared" si="14"/>
        <v>157.38649999999998</v>
      </c>
      <c r="P13" s="58">
        <f t="shared" si="2"/>
        <v>0</v>
      </c>
      <c r="Q13" s="53">
        <f t="shared" si="3"/>
        <v>0</v>
      </c>
      <c r="R13" s="53">
        <f>D13/26*N13</f>
        <v>31.384615384615383</v>
      </c>
      <c r="S13" s="53">
        <v>0</v>
      </c>
      <c r="T13" s="25">
        <v>0</v>
      </c>
      <c r="U13" s="24">
        <f t="shared" si="1"/>
        <v>0</v>
      </c>
      <c r="V13" s="24">
        <f>((L13)*1500/4000)</f>
        <v>0</v>
      </c>
      <c r="W13" s="24"/>
      <c r="X13" s="53">
        <f>(-D13/208*I13)+(O13)</f>
        <v>-7.3827307692307897</v>
      </c>
      <c r="Y13" s="27"/>
      <c r="Z13" s="24">
        <v>7</v>
      </c>
      <c r="AA13" s="24">
        <v>10</v>
      </c>
      <c r="AB13" s="26">
        <f t="shared" si="5"/>
        <v>102</v>
      </c>
      <c r="AC13" s="24">
        <f t="shared" si="6"/>
        <v>4.2629999999999999</v>
      </c>
      <c r="AD13" s="26"/>
      <c r="AE13" s="54">
        <f t="shared" si="7"/>
        <v>213.15</v>
      </c>
      <c r="AF13" s="28">
        <f t="shared" si="8"/>
        <v>106.26300000000001</v>
      </c>
      <c r="AG13" s="54">
        <f t="shared" si="13"/>
        <v>106.88</v>
      </c>
      <c r="AH13" s="29">
        <f t="shared" si="9"/>
        <v>106</v>
      </c>
      <c r="AI13" s="24">
        <f t="shared" si="10"/>
        <v>3500</v>
      </c>
      <c r="AJ13" s="30"/>
      <c r="AK13" s="73">
        <f t="shared" si="11"/>
        <v>4.2629999999999999</v>
      </c>
    </row>
    <row r="14" spans="1:37" s="31" customFormat="1" ht="65.25" customHeight="1" x14ac:dyDescent="0.25">
      <c r="A14" s="59" t="s">
        <v>232</v>
      </c>
      <c r="B14" s="42" t="s">
        <v>233</v>
      </c>
      <c r="C14" s="56" t="s">
        <v>317</v>
      </c>
      <c r="D14" s="48">
        <v>204</v>
      </c>
      <c r="E14" s="20">
        <v>21</v>
      </c>
      <c r="F14" s="21">
        <f t="shared" si="15"/>
        <v>168</v>
      </c>
      <c r="G14" s="21">
        <v>1</v>
      </c>
      <c r="H14" s="22"/>
      <c r="I14" s="23">
        <f t="shared" si="0"/>
        <v>168</v>
      </c>
      <c r="J14" s="55">
        <v>291.33</v>
      </c>
      <c r="K14" s="55">
        <f>139.6815+30</f>
        <v>169.6815</v>
      </c>
      <c r="L14" s="23"/>
      <c r="M14" s="22"/>
      <c r="N14" s="22">
        <v>4</v>
      </c>
      <c r="O14" s="90">
        <f t="shared" si="14"/>
        <v>169.68150000000003</v>
      </c>
      <c r="P14" s="58">
        <f t="shared" si="2"/>
        <v>0</v>
      </c>
      <c r="Q14" s="53">
        <f t="shared" si="3"/>
        <v>0</v>
      </c>
      <c r="R14" s="53">
        <f t="shared" si="4"/>
        <v>32.320285714285717</v>
      </c>
      <c r="S14" s="53">
        <v>0</v>
      </c>
      <c r="T14" s="25">
        <v>0</v>
      </c>
      <c r="U14" s="24">
        <f t="shared" si="1"/>
        <v>0</v>
      </c>
      <c r="V14" s="24">
        <f t="shared" si="12"/>
        <v>0</v>
      </c>
      <c r="W14" s="24"/>
      <c r="X14" s="53"/>
      <c r="Y14" s="27"/>
      <c r="Z14" s="24">
        <v>7</v>
      </c>
      <c r="AA14" s="24">
        <v>10</v>
      </c>
      <c r="AB14" s="26">
        <f t="shared" si="5"/>
        <v>102</v>
      </c>
      <c r="AC14" s="24">
        <f t="shared" si="6"/>
        <v>4.38</v>
      </c>
      <c r="AD14" s="26"/>
      <c r="AE14" s="54">
        <f t="shared" si="7"/>
        <v>219</v>
      </c>
      <c r="AF14" s="28">
        <f t="shared" si="8"/>
        <v>106.38</v>
      </c>
      <c r="AG14" s="54">
        <f t="shared" si="13"/>
        <v>112.62</v>
      </c>
      <c r="AH14" s="29">
        <f t="shared" si="9"/>
        <v>112</v>
      </c>
      <c r="AI14" s="24">
        <f t="shared" si="10"/>
        <v>2500</v>
      </c>
      <c r="AJ14" s="30"/>
      <c r="AK14" s="73">
        <f t="shared" si="11"/>
        <v>4.38</v>
      </c>
    </row>
    <row r="15" spans="1:37" s="31" customFormat="1" ht="65.25" customHeight="1" x14ac:dyDescent="0.25">
      <c r="A15" s="59" t="s">
        <v>492</v>
      </c>
      <c r="B15" s="42" t="s">
        <v>498</v>
      </c>
      <c r="C15" s="56" t="s">
        <v>479</v>
      </c>
      <c r="D15" s="48">
        <v>204</v>
      </c>
      <c r="E15" s="20">
        <v>19</v>
      </c>
      <c r="F15" s="21">
        <f t="shared" ref="F15:F21" si="16">I15+L15+(M15)*8</f>
        <v>152</v>
      </c>
      <c r="G15" s="57">
        <v>3</v>
      </c>
      <c r="H15" s="22"/>
      <c r="I15" s="23">
        <f t="shared" ref="I15:I21" si="17">E15*8</f>
        <v>152</v>
      </c>
      <c r="J15" s="55">
        <v>168.32999999999998</v>
      </c>
      <c r="K15" s="55">
        <f>138.009+13</f>
        <v>151.00899999999999</v>
      </c>
      <c r="L15" s="23"/>
      <c r="M15" s="22"/>
      <c r="N15" s="22">
        <v>4</v>
      </c>
      <c r="O15" s="90">
        <f t="shared" ref="O15:O21" si="18">IF(F15&gt;0,((K15+W15)/F15*I15),0)</f>
        <v>151.00899999999999</v>
      </c>
      <c r="P15" s="58">
        <f t="shared" si="2"/>
        <v>0</v>
      </c>
      <c r="Q15" s="53">
        <f t="shared" si="3"/>
        <v>0</v>
      </c>
      <c r="R15" s="53">
        <f t="shared" si="4"/>
        <v>31.791368421052631</v>
      </c>
      <c r="S15" s="53">
        <v>0</v>
      </c>
      <c r="T15" s="25">
        <v>0</v>
      </c>
      <c r="U15" s="24">
        <f t="shared" ref="U15:U21" si="19">D15/26*T15/2</f>
        <v>0</v>
      </c>
      <c r="V15" s="24">
        <f t="shared" ref="V15:V21" si="20">((L15)*1500/4000)</f>
        <v>0</v>
      </c>
      <c r="W15" s="24"/>
      <c r="X15" s="53"/>
      <c r="Y15" s="27"/>
      <c r="Z15" s="24"/>
      <c r="AA15" s="24">
        <v>10</v>
      </c>
      <c r="AB15" s="26">
        <f t="shared" si="5"/>
        <v>102</v>
      </c>
      <c r="AC15" s="24">
        <f t="shared" si="6"/>
        <v>3.8560000000000003</v>
      </c>
      <c r="AD15" s="26"/>
      <c r="AE15" s="54">
        <f t="shared" si="7"/>
        <v>192.8</v>
      </c>
      <c r="AF15" s="28">
        <f t="shared" ref="AF15:AF21" si="21">AB15+AC15+AD15</f>
        <v>105.85599999999999</v>
      </c>
      <c r="AG15" s="54">
        <f t="shared" ref="AG15:AG21" si="22">INT((AE15-AF15)*100)/100</f>
        <v>86.94</v>
      </c>
      <c r="AH15" s="29">
        <f t="shared" ref="AH15:AH21" si="23">INT(AG15)</f>
        <v>86</v>
      </c>
      <c r="AI15" s="24">
        <f t="shared" ref="AI15:AI21" si="24">INT((AG15-AH15)*40+0.5)*100</f>
        <v>3800</v>
      </c>
      <c r="AJ15" s="30"/>
      <c r="AK15" s="73">
        <f t="shared" si="11"/>
        <v>3.8560000000000003</v>
      </c>
    </row>
    <row r="16" spans="1:37" s="31" customFormat="1" ht="65.25" customHeight="1" x14ac:dyDescent="0.25">
      <c r="A16" s="59" t="s">
        <v>493</v>
      </c>
      <c r="B16" s="42" t="s">
        <v>598</v>
      </c>
      <c r="C16" s="56" t="s">
        <v>479</v>
      </c>
      <c r="D16" s="48">
        <v>204</v>
      </c>
      <c r="E16" s="20">
        <v>18.5</v>
      </c>
      <c r="F16" s="21">
        <f t="shared" si="16"/>
        <v>148</v>
      </c>
      <c r="G16" s="57">
        <v>3.5</v>
      </c>
      <c r="H16" s="22"/>
      <c r="I16" s="23">
        <f t="shared" si="17"/>
        <v>148</v>
      </c>
      <c r="J16" s="55">
        <v>201.59000000000003</v>
      </c>
      <c r="K16" s="55">
        <f>121.2794+25</f>
        <v>146.27940000000001</v>
      </c>
      <c r="L16" s="23"/>
      <c r="M16" s="22"/>
      <c r="N16" s="22">
        <v>4</v>
      </c>
      <c r="O16" s="90">
        <f t="shared" si="18"/>
        <v>146.27940000000001</v>
      </c>
      <c r="P16" s="58">
        <f t="shared" si="2"/>
        <v>0</v>
      </c>
      <c r="Q16" s="53">
        <f t="shared" si="3"/>
        <v>0</v>
      </c>
      <c r="R16" s="53">
        <f t="shared" si="4"/>
        <v>31.62797837837838</v>
      </c>
      <c r="S16" s="53">
        <v>0</v>
      </c>
      <c r="T16" s="25">
        <v>0</v>
      </c>
      <c r="U16" s="24">
        <f t="shared" si="19"/>
        <v>0</v>
      </c>
      <c r="V16" s="24">
        <f t="shared" si="20"/>
        <v>0</v>
      </c>
      <c r="W16" s="24"/>
      <c r="X16" s="53"/>
      <c r="Y16" s="27"/>
      <c r="Z16" s="24"/>
      <c r="AA16" s="24">
        <v>10</v>
      </c>
      <c r="AB16" s="26">
        <f t="shared" si="5"/>
        <v>102</v>
      </c>
      <c r="AC16" s="24">
        <f t="shared" si="6"/>
        <v>3.758</v>
      </c>
      <c r="AD16" s="26"/>
      <c r="AE16" s="54">
        <f t="shared" si="7"/>
        <v>187.9</v>
      </c>
      <c r="AF16" s="28">
        <f t="shared" si="21"/>
        <v>105.758</v>
      </c>
      <c r="AG16" s="54">
        <f t="shared" si="22"/>
        <v>82.14</v>
      </c>
      <c r="AH16" s="29">
        <f t="shared" si="23"/>
        <v>82</v>
      </c>
      <c r="AI16" s="24">
        <f t="shared" si="24"/>
        <v>600</v>
      </c>
      <c r="AJ16" s="30"/>
      <c r="AK16" s="73">
        <f t="shared" si="11"/>
        <v>3.758</v>
      </c>
    </row>
    <row r="17" spans="1:37" s="31" customFormat="1" ht="65.25" customHeight="1" x14ac:dyDescent="0.25">
      <c r="A17" s="59" t="s">
        <v>494</v>
      </c>
      <c r="B17" s="42" t="s">
        <v>599</v>
      </c>
      <c r="C17" s="56" t="s">
        <v>500</v>
      </c>
      <c r="D17" s="48">
        <v>204</v>
      </c>
      <c r="E17" s="20">
        <v>18</v>
      </c>
      <c r="F17" s="21">
        <f t="shared" si="16"/>
        <v>144</v>
      </c>
      <c r="G17" s="57">
        <v>4</v>
      </c>
      <c r="H17" s="22"/>
      <c r="I17" s="23">
        <f t="shared" si="17"/>
        <v>144</v>
      </c>
      <c r="J17" s="55">
        <v>384.17</v>
      </c>
      <c r="K17" s="55">
        <v>116.36000000000001</v>
      </c>
      <c r="L17" s="23"/>
      <c r="M17" s="22"/>
      <c r="N17" s="22">
        <v>4</v>
      </c>
      <c r="O17" s="90">
        <f t="shared" si="18"/>
        <v>145.78307692307695</v>
      </c>
      <c r="P17" s="58">
        <f t="shared" si="2"/>
        <v>0</v>
      </c>
      <c r="Q17" s="53">
        <f t="shared" si="3"/>
        <v>0</v>
      </c>
      <c r="R17" s="53">
        <f t="shared" si="4"/>
        <v>32.396239316239324</v>
      </c>
      <c r="S17" s="53">
        <v>0</v>
      </c>
      <c r="T17" s="25">
        <v>0</v>
      </c>
      <c r="U17" s="24">
        <f t="shared" si="19"/>
        <v>0</v>
      </c>
      <c r="V17" s="24">
        <f t="shared" si="20"/>
        <v>0</v>
      </c>
      <c r="W17" s="24">
        <f>D17/208*30</f>
        <v>29.423076923076923</v>
      </c>
      <c r="X17" s="53"/>
      <c r="Y17" s="27"/>
      <c r="Z17" s="24"/>
      <c r="AA17" s="24">
        <v>10</v>
      </c>
      <c r="AB17" s="26">
        <f t="shared" si="5"/>
        <v>102</v>
      </c>
      <c r="AC17" s="24">
        <f t="shared" si="6"/>
        <v>3.7633999999999999</v>
      </c>
      <c r="AD17" s="26"/>
      <c r="AE17" s="54">
        <f t="shared" si="7"/>
        <v>188.17</v>
      </c>
      <c r="AF17" s="28">
        <f t="shared" si="21"/>
        <v>105.7634</v>
      </c>
      <c r="AG17" s="54">
        <f t="shared" si="22"/>
        <v>82.4</v>
      </c>
      <c r="AH17" s="29">
        <f t="shared" si="23"/>
        <v>82</v>
      </c>
      <c r="AI17" s="24">
        <f t="shared" si="24"/>
        <v>1600</v>
      </c>
      <c r="AJ17" s="30"/>
      <c r="AK17" s="73">
        <f t="shared" si="11"/>
        <v>3.7633999999999999</v>
      </c>
    </row>
    <row r="18" spans="1:37" s="31" customFormat="1" ht="65.25" customHeight="1" x14ac:dyDescent="0.25">
      <c r="A18" s="59" t="s">
        <v>495</v>
      </c>
      <c r="B18" s="42" t="s">
        <v>600</v>
      </c>
      <c r="C18" s="56" t="s">
        <v>522</v>
      </c>
      <c r="D18" s="48">
        <v>204</v>
      </c>
      <c r="E18" s="20">
        <v>21</v>
      </c>
      <c r="F18" s="21">
        <f t="shared" si="16"/>
        <v>168</v>
      </c>
      <c r="G18" s="57">
        <v>1</v>
      </c>
      <c r="H18" s="22"/>
      <c r="I18" s="23">
        <f t="shared" si="17"/>
        <v>168</v>
      </c>
      <c r="J18" s="55">
        <v>245.83000000000004</v>
      </c>
      <c r="K18" s="55">
        <v>142.62609999999998</v>
      </c>
      <c r="L18" s="23"/>
      <c r="M18" s="22"/>
      <c r="N18" s="22">
        <v>4</v>
      </c>
      <c r="O18" s="90">
        <f t="shared" si="18"/>
        <v>172.04917692307691</v>
      </c>
      <c r="P18" s="58">
        <f t="shared" si="2"/>
        <v>0</v>
      </c>
      <c r="Q18" s="53">
        <f t="shared" si="3"/>
        <v>0</v>
      </c>
      <c r="R18" s="53">
        <f t="shared" si="4"/>
        <v>32.771271794871794</v>
      </c>
      <c r="S18" s="53">
        <v>0</v>
      </c>
      <c r="T18" s="25">
        <v>0</v>
      </c>
      <c r="U18" s="24">
        <f t="shared" si="19"/>
        <v>0</v>
      </c>
      <c r="V18" s="24">
        <f t="shared" si="20"/>
        <v>0</v>
      </c>
      <c r="W18" s="24">
        <f>D18/208*30</f>
        <v>29.423076923076923</v>
      </c>
      <c r="X18" s="53"/>
      <c r="Y18" s="27"/>
      <c r="Z18" s="24">
        <v>7</v>
      </c>
      <c r="AA18" s="24">
        <v>10</v>
      </c>
      <c r="AB18" s="26">
        <f t="shared" si="5"/>
        <v>102</v>
      </c>
      <c r="AC18" s="24">
        <f t="shared" si="6"/>
        <v>4.4363999999999999</v>
      </c>
      <c r="AD18" s="26"/>
      <c r="AE18" s="54">
        <f t="shared" si="7"/>
        <v>221.82</v>
      </c>
      <c r="AF18" s="28">
        <f t="shared" si="21"/>
        <v>106.43640000000001</v>
      </c>
      <c r="AG18" s="54">
        <f t="shared" si="22"/>
        <v>115.38</v>
      </c>
      <c r="AH18" s="29">
        <f t="shared" si="23"/>
        <v>115</v>
      </c>
      <c r="AI18" s="24">
        <f t="shared" si="24"/>
        <v>1500</v>
      </c>
      <c r="AJ18" s="30"/>
      <c r="AK18" s="73">
        <f t="shared" si="11"/>
        <v>4.4363999999999999</v>
      </c>
    </row>
    <row r="19" spans="1:37" s="31" customFormat="1" ht="65.25" customHeight="1" x14ac:dyDescent="0.25">
      <c r="A19" s="59" t="s">
        <v>496</v>
      </c>
      <c r="B19" s="42" t="s">
        <v>601</v>
      </c>
      <c r="C19" s="56" t="s">
        <v>522</v>
      </c>
      <c r="D19" s="48">
        <v>204</v>
      </c>
      <c r="E19" s="20">
        <v>17.5</v>
      </c>
      <c r="F19" s="21">
        <f t="shared" si="16"/>
        <v>140</v>
      </c>
      <c r="G19" s="57">
        <v>4.5</v>
      </c>
      <c r="H19" s="22"/>
      <c r="I19" s="23">
        <f t="shared" si="17"/>
        <v>140</v>
      </c>
      <c r="J19" s="55">
        <v>143.16</v>
      </c>
      <c r="K19" s="55">
        <f>90.5344+20</f>
        <v>110.53440000000001</v>
      </c>
      <c r="L19" s="23"/>
      <c r="M19" s="22"/>
      <c r="N19" s="22">
        <v>4</v>
      </c>
      <c r="O19" s="90">
        <f t="shared" si="18"/>
        <v>110.53440000000002</v>
      </c>
      <c r="P19" s="58">
        <f t="shared" si="2"/>
        <v>0</v>
      </c>
      <c r="Q19" s="53">
        <f t="shared" si="3"/>
        <v>0</v>
      </c>
      <c r="R19" s="53">
        <f>D19/26*N19</f>
        <v>31.384615384615383</v>
      </c>
      <c r="S19" s="53">
        <v>0</v>
      </c>
      <c r="T19" s="25">
        <v>0</v>
      </c>
      <c r="U19" s="24">
        <f t="shared" si="19"/>
        <v>0</v>
      </c>
      <c r="V19" s="24">
        <f t="shared" si="20"/>
        <v>0</v>
      </c>
      <c r="W19" s="24"/>
      <c r="X19" s="53">
        <f t="shared" ref="X19:X20" si="25">(-D19/208*I19)+(O19)</f>
        <v>-26.773292307692273</v>
      </c>
      <c r="Y19" s="27"/>
      <c r="Z19" s="24"/>
      <c r="AA19" s="24">
        <v>10</v>
      </c>
      <c r="AB19" s="26">
        <f t="shared" si="5"/>
        <v>102</v>
      </c>
      <c r="AC19" s="24">
        <f t="shared" si="6"/>
        <v>3.5737999999999999</v>
      </c>
      <c r="AD19" s="26"/>
      <c r="AE19" s="54">
        <f t="shared" si="7"/>
        <v>178.69</v>
      </c>
      <c r="AF19" s="28">
        <f t="shared" si="21"/>
        <v>105.57380000000001</v>
      </c>
      <c r="AG19" s="54">
        <f t="shared" si="22"/>
        <v>73.11</v>
      </c>
      <c r="AH19" s="29">
        <f t="shared" si="23"/>
        <v>73</v>
      </c>
      <c r="AI19" s="24">
        <f t="shared" si="24"/>
        <v>400</v>
      </c>
      <c r="AJ19" s="30"/>
      <c r="AK19" s="73">
        <f t="shared" si="11"/>
        <v>3.5737999999999999</v>
      </c>
    </row>
    <row r="20" spans="1:37" s="31" customFormat="1" ht="65.25" customHeight="1" x14ac:dyDescent="0.25">
      <c r="A20" s="59" t="s">
        <v>497</v>
      </c>
      <c r="B20" s="42" t="s">
        <v>499</v>
      </c>
      <c r="C20" s="56" t="s">
        <v>533</v>
      </c>
      <c r="D20" s="48">
        <v>204</v>
      </c>
      <c r="E20" s="20">
        <v>22</v>
      </c>
      <c r="F20" s="21">
        <f t="shared" ref="F20" si="26">I20+L20+(M20)*8</f>
        <v>176</v>
      </c>
      <c r="G20" s="57"/>
      <c r="H20" s="22"/>
      <c r="I20" s="23">
        <f t="shared" ref="I20" si="27">E20*8</f>
        <v>176</v>
      </c>
      <c r="J20" s="55">
        <v>262.17999999999995</v>
      </c>
      <c r="K20" s="55">
        <f>145.2218+15</f>
        <v>160.2218</v>
      </c>
      <c r="L20" s="23"/>
      <c r="M20" s="22"/>
      <c r="N20" s="22">
        <v>4</v>
      </c>
      <c r="O20" s="90">
        <f t="shared" ref="O20" si="28">IF(F20&gt;0,((K20+W20)/F20*I20),0)</f>
        <v>160.2218</v>
      </c>
      <c r="P20" s="58">
        <f t="shared" si="2"/>
        <v>0</v>
      </c>
      <c r="Q20" s="53">
        <f t="shared" si="3"/>
        <v>0</v>
      </c>
      <c r="R20" s="53">
        <f>D20/26*N20</f>
        <v>31.384615384615383</v>
      </c>
      <c r="S20" s="53">
        <v>0</v>
      </c>
      <c r="T20" s="25">
        <v>0</v>
      </c>
      <c r="U20" s="24">
        <f t="shared" ref="U20" si="29">D20/26*T20/2</f>
        <v>0</v>
      </c>
      <c r="V20" s="24">
        <f t="shared" ref="V20" si="30">((L20)*1500/4000)</f>
        <v>0</v>
      </c>
      <c r="W20" s="24"/>
      <c r="X20" s="53">
        <f t="shared" si="25"/>
        <v>-12.393584615384611</v>
      </c>
      <c r="Y20" s="27"/>
      <c r="Z20" s="24">
        <v>10</v>
      </c>
      <c r="AA20" s="24">
        <v>10</v>
      </c>
      <c r="AB20" s="26">
        <f t="shared" si="5"/>
        <v>102</v>
      </c>
      <c r="AC20" s="24">
        <f t="shared" si="6"/>
        <v>4.4800000000000004</v>
      </c>
      <c r="AD20" s="26"/>
      <c r="AE20" s="54">
        <f t="shared" si="7"/>
        <v>224</v>
      </c>
      <c r="AF20" s="28">
        <f t="shared" ref="AF20" si="31">AB20+AC20+AD20</f>
        <v>106.48</v>
      </c>
      <c r="AG20" s="54">
        <f t="shared" ref="AG20" si="32">INT((AE20-AF20)*100)/100</f>
        <v>117.52</v>
      </c>
      <c r="AH20" s="29">
        <f t="shared" ref="AH20" si="33">INT(AG20)</f>
        <v>117</v>
      </c>
      <c r="AI20" s="24">
        <f t="shared" ref="AI20" si="34">INT((AG20-AH20)*40+0.5)*100</f>
        <v>2100</v>
      </c>
      <c r="AJ20" s="30"/>
      <c r="AK20" s="73">
        <f t="shared" si="11"/>
        <v>4.4800000000000004</v>
      </c>
    </row>
    <row r="21" spans="1:37" s="31" customFormat="1" ht="65.25" customHeight="1" x14ac:dyDescent="0.25">
      <c r="A21" s="59" t="s">
        <v>566</v>
      </c>
      <c r="B21" s="83" t="s">
        <v>567</v>
      </c>
      <c r="C21" s="84" t="s">
        <v>564</v>
      </c>
      <c r="D21" s="48">
        <v>204</v>
      </c>
      <c r="E21" s="20">
        <v>21</v>
      </c>
      <c r="F21" s="21">
        <f t="shared" si="16"/>
        <v>168</v>
      </c>
      <c r="G21" s="57">
        <v>1</v>
      </c>
      <c r="H21" s="22"/>
      <c r="I21" s="23">
        <f t="shared" si="17"/>
        <v>168</v>
      </c>
      <c r="J21" s="55">
        <v>196.66999999999996</v>
      </c>
      <c r="K21" s="55">
        <v>109.46210000000001</v>
      </c>
      <c r="L21" s="23"/>
      <c r="M21" s="22"/>
      <c r="N21" s="22">
        <v>4</v>
      </c>
      <c r="O21" s="90">
        <f t="shared" si="18"/>
        <v>168.30825384615386</v>
      </c>
      <c r="P21" s="58">
        <f t="shared" si="2"/>
        <v>0</v>
      </c>
      <c r="Q21" s="53">
        <f t="shared" si="3"/>
        <v>0</v>
      </c>
      <c r="R21" s="53">
        <f t="shared" si="4"/>
        <v>32.05871501831502</v>
      </c>
      <c r="S21" s="53">
        <v>0</v>
      </c>
      <c r="T21" s="25">
        <v>0</v>
      </c>
      <c r="U21" s="24">
        <f t="shared" si="19"/>
        <v>0</v>
      </c>
      <c r="V21" s="24">
        <f t="shared" si="20"/>
        <v>0</v>
      </c>
      <c r="W21" s="24">
        <f>D21/208*60</f>
        <v>58.846153846153847</v>
      </c>
      <c r="X21" s="53"/>
      <c r="Y21" s="27"/>
      <c r="Z21" s="24">
        <v>7</v>
      </c>
      <c r="AA21" s="24">
        <v>10</v>
      </c>
      <c r="AB21" s="26">
        <f t="shared" si="5"/>
        <v>102</v>
      </c>
      <c r="AC21" s="24">
        <f t="shared" si="6"/>
        <v>4.3472</v>
      </c>
      <c r="AD21" s="26"/>
      <c r="AE21" s="54">
        <f t="shared" si="7"/>
        <v>217.36</v>
      </c>
      <c r="AF21" s="28">
        <f t="shared" si="21"/>
        <v>106.3472</v>
      </c>
      <c r="AG21" s="54">
        <f t="shared" si="22"/>
        <v>111.01</v>
      </c>
      <c r="AH21" s="29">
        <f t="shared" si="23"/>
        <v>111</v>
      </c>
      <c r="AI21" s="24">
        <f t="shared" si="24"/>
        <v>0</v>
      </c>
      <c r="AJ21" s="30"/>
      <c r="AK21" s="73">
        <f t="shared" si="11"/>
        <v>4.3472</v>
      </c>
    </row>
    <row r="22" spans="1:37" s="36" customFormat="1" ht="27.75" customHeight="1" thickBot="1" x14ac:dyDescent="0.3">
      <c r="A22" s="107" t="s">
        <v>33</v>
      </c>
      <c r="B22" s="108"/>
      <c r="C22" s="32"/>
      <c r="D22" s="33"/>
      <c r="E22" s="34">
        <f t="shared" ref="E22:AI22" si="35">SUM(E8:E21)</f>
        <v>279</v>
      </c>
      <c r="F22" s="34">
        <f t="shared" si="35"/>
        <v>2232</v>
      </c>
      <c r="G22" s="34">
        <f t="shared" si="35"/>
        <v>29</v>
      </c>
      <c r="H22" s="34">
        <f t="shared" si="35"/>
        <v>0</v>
      </c>
      <c r="I22" s="34">
        <f t="shared" si="35"/>
        <v>2232</v>
      </c>
      <c r="J22" s="34">
        <f t="shared" si="35"/>
        <v>3288.29</v>
      </c>
      <c r="K22" s="34">
        <f t="shared" si="35"/>
        <v>1975.0149000000001</v>
      </c>
      <c r="L22" s="34">
        <f t="shared" si="35"/>
        <v>0</v>
      </c>
      <c r="M22" s="34">
        <f t="shared" si="35"/>
        <v>0</v>
      </c>
      <c r="N22" s="34">
        <f t="shared" si="35"/>
        <v>56</v>
      </c>
      <c r="O22" s="34">
        <f t="shared" si="35"/>
        <v>2176.072592307692</v>
      </c>
      <c r="P22" s="34">
        <f t="shared" si="35"/>
        <v>0</v>
      </c>
      <c r="Q22" s="34">
        <f t="shared" si="35"/>
        <v>0</v>
      </c>
      <c r="R22" s="34">
        <f t="shared" si="35"/>
        <v>447.88677296835544</v>
      </c>
      <c r="S22" s="34">
        <f t="shared" si="35"/>
        <v>0</v>
      </c>
      <c r="T22" s="34">
        <f t="shared" si="35"/>
        <v>0</v>
      </c>
      <c r="U22" s="34">
        <f t="shared" si="35"/>
        <v>0</v>
      </c>
      <c r="V22" s="34">
        <f t="shared" si="35"/>
        <v>0</v>
      </c>
      <c r="W22" s="34">
        <f t="shared" si="35"/>
        <v>201.05769230769229</v>
      </c>
      <c r="X22" s="34">
        <f t="shared" si="35"/>
        <v>-55.222915384615348</v>
      </c>
      <c r="Y22" s="34">
        <f t="shared" si="35"/>
        <v>0</v>
      </c>
      <c r="Z22" s="34">
        <f t="shared" si="35"/>
        <v>56</v>
      </c>
      <c r="AA22" s="34">
        <f t="shared" si="35"/>
        <v>140</v>
      </c>
      <c r="AB22" s="34">
        <f t="shared" si="35"/>
        <v>1428</v>
      </c>
      <c r="AC22" s="34">
        <f t="shared" si="35"/>
        <v>57.502600000000001</v>
      </c>
      <c r="AD22" s="34">
        <f t="shared" si="35"/>
        <v>0</v>
      </c>
      <c r="AE22" s="34">
        <f t="shared" si="35"/>
        <v>2875.1300000000006</v>
      </c>
      <c r="AF22" s="34">
        <f t="shared" si="35"/>
        <v>1485.5026</v>
      </c>
      <c r="AG22" s="34">
        <f t="shared" si="35"/>
        <v>1389.56</v>
      </c>
      <c r="AH22" s="34">
        <f t="shared" si="35"/>
        <v>1383</v>
      </c>
      <c r="AI22" s="34">
        <f t="shared" si="35"/>
        <v>26200</v>
      </c>
      <c r="AJ22" s="35"/>
    </row>
    <row r="23" spans="1:37" ht="21.75" customHeight="1" thickTop="1" x14ac:dyDescent="0.2">
      <c r="A23" s="109" t="s">
        <v>34</v>
      </c>
      <c r="B23" s="109"/>
      <c r="C23" s="109"/>
      <c r="D23" s="37"/>
      <c r="E23" s="37"/>
      <c r="F23" s="37"/>
      <c r="G23" s="37"/>
      <c r="H23" s="37"/>
      <c r="I23" s="37"/>
      <c r="J23" s="37"/>
      <c r="K23" s="37"/>
      <c r="L23" s="110"/>
      <c r="M23" s="110"/>
      <c r="N23" s="110"/>
      <c r="O23" s="38"/>
      <c r="P23" s="110" t="s">
        <v>35</v>
      </c>
      <c r="Q23" s="110"/>
      <c r="R23" s="110"/>
      <c r="S23" s="85"/>
      <c r="T23" s="38"/>
      <c r="U23" s="38"/>
      <c r="Z23" s="39"/>
      <c r="AA23" s="39"/>
      <c r="AE23" s="39"/>
      <c r="AF23" s="39"/>
      <c r="AG23" s="111" t="s">
        <v>36</v>
      </c>
      <c r="AH23" s="111"/>
      <c r="AI23" s="111"/>
      <c r="AJ23" s="40"/>
    </row>
    <row r="24" spans="1:37" ht="21" customHeight="1" x14ac:dyDescent="0.2">
      <c r="A24" s="41"/>
      <c r="B24" s="41"/>
      <c r="C24" s="41"/>
      <c r="D24" s="41"/>
      <c r="E24" s="41"/>
      <c r="H24" s="41"/>
      <c r="I24" s="41"/>
      <c r="J24" s="41"/>
      <c r="K24" s="41"/>
      <c r="L24" s="41"/>
    </row>
    <row r="25" spans="1:37" ht="13.5" customHeight="1" x14ac:dyDescent="0.2">
      <c r="A25" s="41"/>
      <c r="B25" s="41"/>
      <c r="C25" s="41"/>
      <c r="D25" s="41"/>
      <c r="E25" s="41"/>
      <c r="H25" s="41"/>
      <c r="I25" s="41"/>
      <c r="J25" s="41"/>
      <c r="K25" s="41"/>
      <c r="L25" s="41"/>
    </row>
    <row r="26" spans="1:37" s="41" customFormat="1" x14ac:dyDescent="0.2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7" s="41" customFormat="1" x14ac:dyDescent="0.2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7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7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7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7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7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</sheetData>
  <autoFilter ref="A7:AI24" xr:uid="{00000000-0009-0000-0000-000000000000}"/>
  <mergeCells count="12">
    <mergeCell ref="AG23:AI23"/>
    <mergeCell ref="A22:B22"/>
    <mergeCell ref="A23:C23"/>
    <mergeCell ref="L23:N23"/>
    <mergeCell ref="P23:R23"/>
    <mergeCell ref="A1:AJ1"/>
    <mergeCell ref="A2:AJ2"/>
    <mergeCell ref="A3:AJ3"/>
    <mergeCell ref="A4:B4"/>
    <mergeCell ref="B5:B6"/>
    <mergeCell ref="T5:U5"/>
    <mergeCell ref="AJ5:AJ6"/>
  </mergeCells>
  <phoneticPr fontId="24" type="noConversion"/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564F-C8BE-44C3-B5A5-7159FA7BFCB7}">
  <sheetPr>
    <tabColor theme="7" tint="0.39997558519241921"/>
  </sheetPr>
  <dimension ref="A1:AE67"/>
  <sheetViews>
    <sheetView zoomScale="115" zoomScaleNormal="115" workbookViewId="0">
      <pane ySplit="7" topLeftCell="A8" activePane="bottomLeft" state="frozen"/>
      <selection activeCell="R10" sqref="R10"/>
      <selection pane="bottomLeft" activeCell="Y10" sqref="Y10"/>
    </sheetView>
  </sheetViews>
  <sheetFormatPr defaultColWidth="9.140625" defaultRowHeight="12.75" x14ac:dyDescent="0.2"/>
  <cols>
    <col min="1" max="1" width="7.5703125" style="1" customWidth="1"/>
    <col min="2" max="2" width="9.57031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6.28515625" style="1" customWidth="1"/>
    <col min="12" max="16" width="5.42578125" style="1" customWidth="1"/>
    <col min="17" max="17" width="4.5703125" style="1" customWidth="1"/>
    <col min="18" max="18" width="4.7109375" style="1" customWidth="1"/>
    <col min="19" max="24" width="6" style="1" customWidth="1"/>
    <col min="25" max="29" width="6.7109375" style="1" customWidth="1"/>
    <col min="30" max="30" width="13.85546875" style="1" customWidth="1"/>
    <col min="31" max="16384" width="9.140625" style="1"/>
  </cols>
  <sheetData>
    <row r="1" spans="1:31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1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1" ht="15.75" customHeight="1" thickBot="1" x14ac:dyDescent="0.4">
      <c r="A4" s="117" t="s">
        <v>541</v>
      </c>
      <c r="B4" s="118"/>
      <c r="C4" s="2">
        <f>COUNTA(B8:B11)</f>
        <v>4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1" s="9" customFormat="1" ht="33.7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1" s="9" customFormat="1" ht="33.7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1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1" s="31" customFormat="1" ht="71.25" customHeight="1" x14ac:dyDescent="0.25">
      <c r="A8" s="43" t="s">
        <v>49</v>
      </c>
      <c r="B8" s="42" t="s">
        <v>44</v>
      </c>
      <c r="C8" s="56" t="s">
        <v>308</v>
      </c>
      <c r="D8" s="48">
        <v>320</v>
      </c>
      <c r="E8" s="20">
        <v>22</v>
      </c>
      <c r="F8" s="57"/>
      <c r="G8" s="22"/>
      <c r="H8" s="23"/>
      <c r="I8" s="22"/>
      <c r="J8" s="22">
        <v>4</v>
      </c>
      <c r="K8" s="52">
        <f>D8/26*E8</f>
        <v>270.76923076923077</v>
      </c>
      <c r="L8" s="58">
        <f>D8/208*H8*1.5</f>
        <v>0</v>
      </c>
      <c r="M8" s="53">
        <f>D8/26*I8*2</f>
        <v>0</v>
      </c>
      <c r="N8" s="53">
        <f>D8/26*J8</f>
        <v>49.230769230769234</v>
      </c>
      <c r="O8" s="53">
        <v>0</v>
      </c>
      <c r="P8" s="25">
        <v>0</v>
      </c>
      <c r="Q8" s="24">
        <f t="shared" ref="Q8" si="0">D8/26*P8/2</f>
        <v>0</v>
      </c>
      <c r="R8" s="24">
        <f t="shared" ref="R8" si="1">((H8)*1500/4000)</f>
        <v>0</v>
      </c>
      <c r="S8" s="27"/>
      <c r="T8" s="24">
        <v>10</v>
      </c>
      <c r="U8" s="24">
        <v>10</v>
      </c>
      <c r="V8" s="26">
        <f>D8/2</f>
        <v>160</v>
      </c>
      <c r="W8" s="24">
        <f>AE8</f>
        <v>6</v>
      </c>
      <c r="X8" s="26"/>
      <c r="Y8" s="54">
        <f>INT((K8+L8+M8+N8+Q8+R8+T8+U8+S8+O8)*100)/100</f>
        <v>340</v>
      </c>
      <c r="Z8" s="28">
        <f>V8+W8+X8</f>
        <v>166</v>
      </c>
      <c r="AA8" s="54">
        <f t="shared" ref="AA8" si="2">INT((Y8-Z8)*100)/100</f>
        <v>174</v>
      </c>
      <c r="AB8" s="29">
        <f t="shared" ref="AB8" si="3">INT(AA8)</f>
        <v>174</v>
      </c>
      <c r="AC8" s="24">
        <f t="shared" ref="AC8" si="4">INT((AA8-AB8)*40+0.5)*100</f>
        <v>0</v>
      </c>
      <c r="AD8" s="30"/>
      <c r="AE8" s="73">
        <v>6</v>
      </c>
    </row>
    <row r="9" spans="1:31" s="31" customFormat="1" ht="71.25" customHeight="1" x14ac:dyDescent="0.25">
      <c r="A9" s="43" t="s">
        <v>183</v>
      </c>
      <c r="B9" s="64" t="s">
        <v>184</v>
      </c>
      <c r="C9" s="56" t="s">
        <v>308</v>
      </c>
      <c r="D9" s="48">
        <v>320</v>
      </c>
      <c r="E9" s="20">
        <v>22</v>
      </c>
      <c r="F9" s="57"/>
      <c r="G9" s="22"/>
      <c r="H9" s="23"/>
      <c r="I9" s="22"/>
      <c r="J9" s="22">
        <v>4</v>
      </c>
      <c r="K9" s="52">
        <f>D9/26*E9</f>
        <v>270.76923076923077</v>
      </c>
      <c r="L9" s="58">
        <f t="shared" ref="L9:L11" si="5">D9/208*H9*1.5</f>
        <v>0</v>
      </c>
      <c r="M9" s="53">
        <f t="shared" ref="M9:M11" si="6">D9/26*I9*2</f>
        <v>0</v>
      </c>
      <c r="N9" s="53">
        <f t="shared" ref="N9:N11" si="7">D9/26*J9</f>
        <v>49.230769230769234</v>
      </c>
      <c r="O9" s="53">
        <v>0</v>
      </c>
      <c r="P9" s="25">
        <v>0</v>
      </c>
      <c r="Q9" s="24">
        <f t="shared" ref="Q9:Q11" si="8">D9/26*P9/2</f>
        <v>0</v>
      </c>
      <c r="R9" s="24">
        <f t="shared" ref="R9:R11" si="9">((H9)*1500/4000)</f>
        <v>0</v>
      </c>
      <c r="S9" s="27"/>
      <c r="T9" s="24">
        <v>10</v>
      </c>
      <c r="U9" s="24">
        <v>10</v>
      </c>
      <c r="V9" s="26">
        <f t="shared" ref="V9" si="10">D9/2</f>
        <v>160</v>
      </c>
      <c r="W9" s="24">
        <f>AE9</f>
        <v>6</v>
      </c>
      <c r="X9" s="26"/>
      <c r="Y9" s="54">
        <f>INT((K9+L9+M9+N9+Q9+R9+T9+U9+S9+O9)*100)/100</f>
        <v>340</v>
      </c>
      <c r="Z9" s="28">
        <f>V9+W9+X9</f>
        <v>166</v>
      </c>
      <c r="AA9" s="54">
        <f t="shared" ref="AA9:AA11" si="11">INT((Y9-Z9)*100)/100</f>
        <v>174</v>
      </c>
      <c r="AB9" s="29">
        <f t="shared" ref="AB9:AB11" si="12">INT(AA9)</f>
        <v>174</v>
      </c>
      <c r="AC9" s="24">
        <f t="shared" ref="AC9:AC11" si="13">INT((AA9-AB9)*40+0.5)*100</f>
        <v>0</v>
      </c>
      <c r="AD9" s="30"/>
      <c r="AE9" s="73">
        <v>6</v>
      </c>
    </row>
    <row r="10" spans="1:31" s="31" customFormat="1" ht="54.75" customHeight="1" x14ac:dyDescent="0.25">
      <c r="A10" s="43" t="s">
        <v>404</v>
      </c>
      <c r="B10" s="64" t="s">
        <v>403</v>
      </c>
      <c r="C10" s="56" t="s">
        <v>308</v>
      </c>
      <c r="D10" s="48">
        <v>320</v>
      </c>
      <c r="E10" s="20">
        <v>22</v>
      </c>
      <c r="F10" s="57"/>
      <c r="G10" s="22"/>
      <c r="H10" s="23"/>
      <c r="I10" s="22"/>
      <c r="J10" s="22">
        <v>4</v>
      </c>
      <c r="K10" s="52">
        <f>D10/26*E10</f>
        <v>270.76923076923077</v>
      </c>
      <c r="L10" s="58">
        <f t="shared" si="5"/>
        <v>0</v>
      </c>
      <c r="M10" s="53">
        <f t="shared" si="6"/>
        <v>0</v>
      </c>
      <c r="N10" s="53">
        <f t="shared" si="7"/>
        <v>49.230769230769234</v>
      </c>
      <c r="O10" s="53">
        <v>0</v>
      </c>
      <c r="P10" s="25">
        <v>0</v>
      </c>
      <c r="Q10" s="24">
        <f t="shared" ref="Q10" si="14">D10/26*P10/2</f>
        <v>0</v>
      </c>
      <c r="R10" s="24">
        <f t="shared" ref="R10" si="15">((H10)*1500/4000)</f>
        <v>0</v>
      </c>
      <c r="S10" s="27"/>
      <c r="T10" s="24">
        <v>10</v>
      </c>
      <c r="U10" s="24">
        <v>10</v>
      </c>
      <c r="V10" s="26">
        <f t="shared" ref="V10" si="16">D10/2</f>
        <v>160</v>
      </c>
      <c r="W10" s="24">
        <f>AE10</f>
        <v>6</v>
      </c>
      <c r="X10" s="26"/>
      <c r="Y10" s="54">
        <f>INT((K10+L10+M10+N10+Q10+R10+T10+U10+S10+O10)*100)/100</f>
        <v>340</v>
      </c>
      <c r="Z10" s="28">
        <f>V10+W10+X10</f>
        <v>166</v>
      </c>
      <c r="AA10" s="54">
        <f t="shared" ref="AA10" si="17">INT((Y10-Z10)*100)/100</f>
        <v>174</v>
      </c>
      <c r="AB10" s="29">
        <f t="shared" ref="AB10" si="18">INT(AA10)</f>
        <v>174</v>
      </c>
      <c r="AC10" s="24">
        <f t="shared" ref="AC10" si="19">INT((AA10-AB10)*40+0.5)*100</f>
        <v>0</v>
      </c>
      <c r="AD10" s="30"/>
      <c r="AE10" s="73">
        <v>6</v>
      </c>
    </row>
    <row r="11" spans="1:31" s="31" customFormat="1" ht="54.75" customHeight="1" x14ac:dyDescent="0.25">
      <c r="A11" s="43" t="s">
        <v>608</v>
      </c>
      <c r="B11" s="64" t="s">
        <v>609</v>
      </c>
      <c r="C11" s="56" t="s">
        <v>308</v>
      </c>
      <c r="D11" s="48">
        <v>240</v>
      </c>
      <c r="E11" s="20">
        <v>22</v>
      </c>
      <c r="F11" s="57"/>
      <c r="G11" s="22"/>
      <c r="H11" s="23"/>
      <c r="I11" s="22"/>
      <c r="J11" s="22">
        <v>4</v>
      </c>
      <c r="K11" s="52">
        <f>D11/26*E11</f>
        <v>203.07692307692307</v>
      </c>
      <c r="L11" s="58">
        <f t="shared" si="5"/>
        <v>0</v>
      </c>
      <c r="M11" s="53">
        <f t="shared" si="6"/>
        <v>0</v>
      </c>
      <c r="N11" s="53">
        <f t="shared" si="7"/>
        <v>36.92307692307692</v>
      </c>
      <c r="O11" s="53">
        <v>0</v>
      </c>
      <c r="P11" s="25">
        <v>0</v>
      </c>
      <c r="Q11" s="24">
        <f t="shared" si="8"/>
        <v>0</v>
      </c>
      <c r="R11" s="24">
        <f t="shared" si="9"/>
        <v>0</v>
      </c>
      <c r="S11" s="27"/>
      <c r="T11" s="24">
        <v>10</v>
      </c>
      <c r="U11" s="24">
        <v>10</v>
      </c>
      <c r="V11" s="26">
        <f>D11/2</f>
        <v>120</v>
      </c>
      <c r="W11" s="24">
        <f>Y11*0.02</f>
        <v>5.2</v>
      </c>
      <c r="X11" s="26"/>
      <c r="Y11" s="54">
        <f>INT((K11+L11+M11+N11+Q11+R11+T11+U11+S11+O11)*100)/100</f>
        <v>260</v>
      </c>
      <c r="Z11" s="28">
        <f>V11+W11+X11</f>
        <v>125.2</v>
      </c>
      <c r="AA11" s="54">
        <f t="shared" si="11"/>
        <v>134.80000000000001</v>
      </c>
      <c r="AB11" s="29">
        <f t="shared" si="12"/>
        <v>134</v>
      </c>
      <c r="AC11" s="24">
        <f t="shared" si="13"/>
        <v>3200</v>
      </c>
      <c r="AD11" s="30"/>
      <c r="AE11" s="73">
        <v>6</v>
      </c>
    </row>
    <row r="12" spans="1:31" s="36" customFormat="1" ht="30" customHeight="1" thickBot="1" x14ac:dyDescent="0.3">
      <c r="A12" s="107" t="s">
        <v>33</v>
      </c>
      <c r="B12" s="108"/>
      <c r="C12" s="32"/>
      <c r="D12" s="33"/>
      <c r="E12" s="34">
        <f t="shared" ref="E12:AC12" si="20">SUM(E8:E11)</f>
        <v>88</v>
      </c>
      <c r="F12" s="34">
        <f t="shared" si="20"/>
        <v>0</v>
      </c>
      <c r="G12" s="34">
        <f t="shared" si="20"/>
        <v>0</v>
      </c>
      <c r="H12" s="34">
        <f t="shared" si="20"/>
        <v>0</v>
      </c>
      <c r="I12" s="34">
        <f t="shared" si="20"/>
        <v>0</v>
      </c>
      <c r="J12" s="34">
        <f t="shared" si="20"/>
        <v>16</v>
      </c>
      <c r="K12" s="34">
        <f t="shared" si="20"/>
        <v>1015.3846153846155</v>
      </c>
      <c r="L12" s="34">
        <f t="shared" si="20"/>
        <v>0</v>
      </c>
      <c r="M12" s="34">
        <f t="shared" si="20"/>
        <v>0</v>
      </c>
      <c r="N12" s="34">
        <f t="shared" si="20"/>
        <v>184.61538461538464</v>
      </c>
      <c r="O12" s="34">
        <f t="shared" si="20"/>
        <v>0</v>
      </c>
      <c r="P12" s="34">
        <f t="shared" si="20"/>
        <v>0</v>
      </c>
      <c r="Q12" s="34">
        <f t="shared" si="20"/>
        <v>0</v>
      </c>
      <c r="R12" s="34">
        <f t="shared" si="20"/>
        <v>0</v>
      </c>
      <c r="S12" s="34">
        <f t="shared" si="20"/>
        <v>0</v>
      </c>
      <c r="T12" s="34">
        <f t="shared" si="20"/>
        <v>40</v>
      </c>
      <c r="U12" s="34">
        <f t="shared" si="20"/>
        <v>40</v>
      </c>
      <c r="V12" s="34">
        <f t="shared" si="20"/>
        <v>600</v>
      </c>
      <c r="W12" s="34">
        <f t="shared" si="20"/>
        <v>23.2</v>
      </c>
      <c r="X12" s="34">
        <f t="shared" si="20"/>
        <v>0</v>
      </c>
      <c r="Y12" s="34">
        <f t="shared" si="20"/>
        <v>1280</v>
      </c>
      <c r="Z12" s="34">
        <f t="shared" si="20"/>
        <v>623.20000000000005</v>
      </c>
      <c r="AA12" s="34">
        <f t="shared" si="20"/>
        <v>656.8</v>
      </c>
      <c r="AB12" s="34">
        <f t="shared" si="20"/>
        <v>656</v>
      </c>
      <c r="AC12" s="34">
        <f t="shared" si="20"/>
        <v>3200</v>
      </c>
      <c r="AD12" s="35"/>
    </row>
    <row r="13" spans="1:31" ht="21.75" customHeight="1" thickTop="1" x14ac:dyDescent="0.2">
      <c r="A13" s="109" t="s">
        <v>34</v>
      </c>
      <c r="B13" s="109"/>
      <c r="C13" s="109"/>
      <c r="D13" s="37"/>
      <c r="E13" s="37"/>
      <c r="F13" s="37"/>
      <c r="G13" s="37"/>
      <c r="H13" s="110"/>
      <c r="I13" s="110"/>
      <c r="J13" s="110"/>
      <c r="K13" s="38"/>
      <c r="L13" s="110" t="s">
        <v>35</v>
      </c>
      <c r="M13" s="110"/>
      <c r="N13" s="110"/>
      <c r="O13" s="85"/>
      <c r="P13" s="38"/>
      <c r="Q13" s="38"/>
      <c r="T13" s="39"/>
      <c r="U13" s="39"/>
      <c r="Y13" s="39"/>
      <c r="Z13" s="39"/>
      <c r="AA13" s="111" t="s">
        <v>36</v>
      </c>
      <c r="AB13" s="111"/>
      <c r="AC13" s="111"/>
      <c r="AD13" s="40"/>
    </row>
    <row r="14" spans="1:31" ht="21" customHeight="1" x14ac:dyDescent="0.2">
      <c r="A14" s="41"/>
      <c r="B14" s="41"/>
      <c r="C14" s="41"/>
      <c r="D14" s="41"/>
      <c r="E14" s="41"/>
      <c r="G14" s="41"/>
      <c r="H14" s="41"/>
    </row>
    <row r="15" spans="1:31" ht="13.5" customHeight="1" x14ac:dyDescent="0.2">
      <c r="A15" s="41"/>
      <c r="B15" s="41"/>
      <c r="C15" s="41"/>
      <c r="D15" s="41"/>
      <c r="E15" s="41"/>
      <c r="G15" s="41"/>
      <c r="H15" s="41"/>
    </row>
    <row r="16" spans="1:31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1:30" s="41" customFormat="1" x14ac:dyDescent="0.2"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1:30" s="41" customFormat="1" x14ac:dyDescent="0.2"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1:30" s="41" customFormat="1" x14ac:dyDescent="0.2"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</sheetData>
  <autoFilter ref="A7:AC14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12:B12"/>
    <mergeCell ref="A13:C13"/>
    <mergeCell ref="H13:J13"/>
    <mergeCell ref="L13:N13"/>
    <mergeCell ref="AA13:AC13"/>
  </mergeCells>
  <pageMargins left="0.11811023622047245" right="0" top="0.31496062992125984" bottom="0.11811023622047245" header="0" footer="0.11811023622047245"/>
  <pageSetup paperSize="9" scale="80" orientation="landscape" horizontalDpi="360" verticalDpi="360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1BCF-A701-4883-8C7C-726541C948D7}">
  <sheetPr>
    <tabColor theme="7" tint="0.39997558519241921"/>
  </sheetPr>
  <dimension ref="A1:AI64"/>
  <sheetViews>
    <sheetView zoomScale="115" zoomScaleNormal="115" workbookViewId="0">
      <pane ySplit="7" topLeftCell="A8" activePane="bottomLeft" state="frozen"/>
      <selection activeCell="R10" sqref="R10"/>
      <selection pane="bottomLeft" activeCell="S13" sqref="S13"/>
    </sheetView>
  </sheetViews>
  <sheetFormatPr defaultColWidth="9.140625" defaultRowHeight="12.75" x14ac:dyDescent="0.2"/>
  <cols>
    <col min="1" max="1" width="7.5703125" style="1" customWidth="1"/>
    <col min="2" max="2" width="8.5703125" style="1" customWidth="1"/>
    <col min="3" max="3" width="6.140625" style="1" customWidth="1"/>
    <col min="4" max="5" width="4.5703125" style="1" customWidth="1"/>
    <col min="6" max="6" width="4.5703125" style="41" customWidth="1"/>
    <col min="7" max="8" width="4.5703125" style="1" customWidth="1"/>
    <col min="9" max="10" width="4.5703125" style="41" customWidth="1"/>
    <col min="11" max="11" width="6.85546875" style="1" customWidth="1"/>
    <col min="12" max="18" width="5.42578125" style="1" customWidth="1"/>
    <col min="19" max="19" width="4.5703125" style="1" customWidth="1"/>
    <col min="20" max="24" width="6" style="1" customWidth="1"/>
    <col min="25" max="29" width="6.7109375" style="1" customWidth="1"/>
    <col min="30" max="30" width="14.85546875" style="1" customWidth="1"/>
    <col min="31" max="16384" width="9.140625" style="1"/>
  </cols>
  <sheetData>
    <row r="1" spans="1:35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5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5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5" ht="15.75" customHeight="1" thickBot="1" x14ac:dyDescent="0.4">
      <c r="A4" s="117" t="s">
        <v>398</v>
      </c>
      <c r="B4" s="118"/>
      <c r="C4" s="2">
        <f>COUNTA(B8:B8)</f>
        <v>1</v>
      </c>
      <c r="D4" s="3"/>
      <c r="E4" s="3"/>
      <c r="F4" s="1"/>
      <c r="I4" s="1"/>
      <c r="J4" s="1"/>
      <c r="U4" s="4"/>
      <c r="Y4" s="5"/>
      <c r="Z4" s="5"/>
      <c r="AA4" s="5"/>
      <c r="AC4" s="5"/>
    </row>
    <row r="5" spans="1:35" s="9" customFormat="1" ht="34.5" customHeight="1" thickTop="1" x14ac:dyDescent="0.25">
      <c r="A5" s="6" t="s">
        <v>0</v>
      </c>
      <c r="B5" s="103" t="s">
        <v>1</v>
      </c>
      <c r="C5" s="8" t="s">
        <v>2</v>
      </c>
      <c r="D5" s="7" t="s">
        <v>4</v>
      </c>
      <c r="E5" s="7" t="s">
        <v>3</v>
      </c>
      <c r="F5" s="46" t="s">
        <v>293</v>
      </c>
      <c r="G5" s="45" t="s">
        <v>294</v>
      </c>
      <c r="H5" s="7" t="s">
        <v>7</v>
      </c>
      <c r="I5" s="7" t="s">
        <v>8</v>
      </c>
      <c r="J5" s="7" t="s">
        <v>8</v>
      </c>
      <c r="K5" s="49" t="s">
        <v>9</v>
      </c>
      <c r="L5" s="7" t="s">
        <v>4</v>
      </c>
      <c r="M5" s="8" t="s">
        <v>10</v>
      </c>
      <c r="N5" s="8" t="s">
        <v>10</v>
      </c>
      <c r="O5" s="8" t="s">
        <v>4</v>
      </c>
      <c r="P5" s="103" t="s">
        <v>11</v>
      </c>
      <c r="Q5" s="103"/>
      <c r="R5" s="7" t="s">
        <v>4</v>
      </c>
      <c r="S5" s="8" t="s">
        <v>4</v>
      </c>
      <c r="T5" s="7" t="s">
        <v>4</v>
      </c>
      <c r="U5" s="7" t="s">
        <v>4</v>
      </c>
      <c r="V5" s="7" t="s">
        <v>4</v>
      </c>
      <c r="W5" s="7" t="s">
        <v>4</v>
      </c>
      <c r="X5" s="8" t="s">
        <v>4</v>
      </c>
      <c r="Y5" s="8" t="s">
        <v>12</v>
      </c>
      <c r="Z5" s="8" t="s">
        <v>4</v>
      </c>
      <c r="AA5" s="8" t="s">
        <v>303</v>
      </c>
      <c r="AB5" s="8" t="s">
        <v>13</v>
      </c>
      <c r="AC5" s="7" t="s">
        <v>4</v>
      </c>
      <c r="AD5" s="105" t="s">
        <v>584</v>
      </c>
    </row>
    <row r="6" spans="1:35" s="9" customFormat="1" ht="34.5" customHeight="1" thickBot="1" x14ac:dyDescent="0.3">
      <c r="A6" s="10" t="s">
        <v>14</v>
      </c>
      <c r="B6" s="104"/>
      <c r="C6" s="13" t="s">
        <v>15</v>
      </c>
      <c r="D6" s="13" t="s">
        <v>16</v>
      </c>
      <c r="E6" s="12" t="s">
        <v>17</v>
      </c>
      <c r="F6" s="12" t="s">
        <v>6</v>
      </c>
      <c r="G6" s="12" t="s">
        <v>6</v>
      </c>
      <c r="H6" s="12" t="s">
        <v>20</v>
      </c>
      <c r="I6" s="12" t="s">
        <v>21</v>
      </c>
      <c r="J6" s="12" t="s">
        <v>22</v>
      </c>
      <c r="K6" s="50" t="s">
        <v>19</v>
      </c>
      <c r="L6" s="12" t="s">
        <v>23</v>
      </c>
      <c r="M6" s="12" t="s">
        <v>21</v>
      </c>
      <c r="N6" s="11" t="s">
        <v>22</v>
      </c>
      <c r="O6" s="13" t="s">
        <v>580</v>
      </c>
      <c r="P6" s="14" t="s">
        <v>24</v>
      </c>
      <c r="Q6" s="15" t="s">
        <v>4</v>
      </c>
      <c r="R6" s="11" t="s">
        <v>25</v>
      </c>
      <c r="S6" s="12" t="s">
        <v>26</v>
      </c>
      <c r="T6" s="13" t="s">
        <v>306</v>
      </c>
      <c r="U6" s="12" t="s">
        <v>27</v>
      </c>
      <c r="V6" s="12" t="s">
        <v>296</v>
      </c>
      <c r="W6" s="12" t="s">
        <v>297</v>
      </c>
      <c r="X6" s="16" t="s">
        <v>28</v>
      </c>
      <c r="Y6" s="12" t="s">
        <v>301</v>
      </c>
      <c r="Z6" s="12" t="s">
        <v>302</v>
      </c>
      <c r="AA6" s="12" t="s">
        <v>304</v>
      </c>
      <c r="AB6" s="12" t="s">
        <v>29</v>
      </c>
      <c r="AC6" s="11" t="s">
        <v>30</v>
      </c>
      <c r="AD6" s="106"/>
    </row>
    <row r="7" spans="1:35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</row>
    <row r="8" spans="1:35" s="31" customFormat="1" ht="64.5" customHeight="1" x14ac:dyDescent="0.25">
      <c r="A8" s="43" t="s">
        <v>185</v>
      </c>
      <c r="B8" s="64" t="s">
        <v>186</v>
      </c>
      <c r="C8" s="56" t="s">
        <v>308</v>
      </c>
      <c r="D8" s="48">
        <v>204</v>
      </c>
      <c r="E8" s="20">
        <v>21</v>
      </c>
      <c r="F8" s="57">
        <v>1</v>
      </c>
      <c r="G8" s="22"/>
      <c r="H8" s="23"/>
      <c r="I8" s="22"/>
      <c r="J8" s="22">
        <v>4</v>
      </c>
      <c r="K8" s="52">
        <f>D8/26*E8</f>
        <v>164.76923076923077</v>
      </c>
      <c r="L8" s="58">
        <f>D8/208*H8*1.5</f>
        <v>0</v>
      </c>
      <c r="M8" s="53">
        <f t="shared" ref="M8" si="0">D8/26*I8*2</f>
        <v>0</v>
      </c>
      <c r="N8" s="53">
        <f>D8/26*J8</f>
        <v>31.384615384615383</v>
      </c>
      <c r="O8" s="53">
        <v>0</v>
      </c>
      <c r="P8" s="25">
        <v>0</v>
      </c>
      <c r="Q8" s="24">
        <f t="shared" ref="Q8" si="1">D8/26*P8/2</f>
        <v>0</v>
      </c>
      <c r="R8" s="24">
        <f t="shared" ref="R8" si="2">((H8)*1500/4000)</f>
        <v>0</v>
      </c>
      <c r="S8" s="27"/>
      <c r="T8" s="24">
        <v>7</v>
      </c>
      <c r="U8" s="24">
        <v>10</v>
      </c>
      <c r="V8" s="26">
        <f>D8/2</f>
        <v>102</v>
      </c>
      <c r="W8" s="24">
        <f>AE8</f>
        <v>4.2629999999999999</v>
      </c>
      <c r="X8" s="26"/>
      <c r="Y8" s="54">
        <f>INT((K8+L8+M8+N8+Q8+R8+T8+U8+S8+O8)*100)/100</f>
        <v>213.15</v>
      </c>
      <c r="Z8" s="28">
        <f t="shared" ref="Z8" si="3">V8+W8+X8</f>
        <v>106.26300000000001</v>
      </c>
      <c r="AA8" s="54">
        <f t="shared" ref="AA8" si="4">INT((Y8-Z8)*100)/100</f>
        <v>106.88</v>
      </c>
      <c r="AB8" s="29">
        <f t="shared" ref="AB8" si="5">INT(AA8)</f>
        <v>106</v>
      </c>
      <c r="AC8" s="24">
        <f t="shared" ref="AC8" si="6">INT((AA8-AB8)*40+0.5)*100</f>
        <v>3500</v>
      </c>
      <c r="AD8" s="30"/>
      <c r="AE8" s="73">
        <f t="shared" ref="AE8" si="7">(Y8*0.04)/2</f>
        <v>4.2629999999999999</v>
      </c>
    </row>
    <row r="9" spans="1:35" s="36" customFormat="1" ht="31.5" customHeight="1" thickBot="1" x14ac:dyDescent="0.3">
      <c r="A9" s="107" t="s">
        <v>33</v>
      </c>
      <c r="B9" s="108"/>
      <c r="C9" s="32"/>
      <c r="D9" s="33"/>
      <c r="E9" s="34">
        <f t="shared" ref="E9:AA9" si="8">SUM(E8:E8)</f>
        <v>21</v>
      </c>
      <c r="F9" s="34">
        <f t="shared" si="8"/>
        <v>1</v>
      </c>
      <c r="G9" s="34">
        <f t="shared" si="8"/>
        <v>0</v>
      </c>
      <c r="H9" s="34">
        <f t="shared" si="8"/>
        <v>0</v>
      </c>
      <c r="I9" s="34">
        <f t="shared" si="8"/>
        <v>0</v>
      </c>
      <c r="J9" s="34">
        <f t="shared" si="8"/>
        <v>4</v>
      </c>
      <c r="K9" s="34">
        <f t="shared" si="8"/>
        <v>164.76923076923077</v>
      </c>
      <c r="L9" s="34">
        <f t="shared" si="8"/>
        <v>0</v>
      </c>
      <c r="M9" s="34">
        <f t="shared" si="8"/>
        <v>0</v>
      </c>
      <c r="N9" s="34">
        <f t="shared" si="8"/>
        <v>31.384615384615383</v>
      </c>
      <c r="O9" s="34">
        <f t="shared" si="8"/>
        <v>0</v>
      </c>
      <c r="P9" s="34">
        <f t="shared" si="8"/>
        <v>0</v>
      </c>
      <c r="Q9" s="34">
        <f t="shared" si="8"/>
        <v>0</v>
      </c>
      <c r="R9" s="34">
        <f t="shared" si="8"/>
        <v>0</v>
      </c>
      <c r="S9" s="34">
        <f t="shared" si="8"/>
        <v>0</v>
      </c>
      <c r="T9" s="34">
        <f t="shared" si="8"/>
        <v>7</v>
      </c>
      <c r="U9" s="34">
        <f t="shared" si="8"/>
        <v>10</v>
      </c>
      <c r="V9" s="34">
        <f t="shared" si="8"/>
        <v>102</v>
      </c>
      <c r="W9" s="34">
        <f t="shared" si="8"/>
        <v>4.2629999999999999</v>
      </c>
      <c r="X9" s="34">
        <f t="shared" si="8"/>
        <v>0</v>
      </c>
      <c r="Y9" s="34">
        <f t="shared" si="8"/>
        <v>213.15</v>
      </c>
      <c r="Z9" s="34">
        <f t="shared" si="8"/>
        <v>106.26300000000001</v>
      </c>
      <c r="AA9" s="34">
        <f t="shared" si="8"/>
        <v>106.88</v>
      </c>
      <c r="AB9" s="34">
        <f>SUM(AB8:AB8)</f>
        <v>106</v>
      </c>
      <c r="AC9" s="34">
        <f>SUM(AC8:AC8)</f>
        <v>3500</v>
      </c>
      <c r="AD9" s="35"/>
    </row>
    <row r="10" spans="1:35" ht="21.75" customHeight="1" thickTop="1" x14ac:dyDescent="0.2">
      <c r="A10" s="109" t="s">
        <v>34</v>
      </c>
      <c r="B10" s="109"/>
      <c r="C10" s="109"/>
      <c r="D10" s="37"/>
      <c r="E10" s="37"/>
      <c r="F10" s="37"/>
      <c r="G10" s="37"/>
      <c r="H10" s="110"/>
      <c r="I10" s="110"/>
      <c r="J10" s="110"/>
      <c r="K10" s="38"/>
      <c r="L10" s="110" t="s">
        <v>35</v>
      </c>
      <c r="M10" s="110"/>
      <c r="N10" s="110"/>
      <c r="O10" s="85"/>
      <c r="P10" s="38"/>
      <c r="Q10" s="38"/>
      <c r="T10" s="39"/>
      <c r="U10" s="39"/>
      <c r="Y10" s="39"/>
      <c r="Z10" s="39"/>
      <c r="AA10" s="111" t="s">
        <v>36</v>
      </c>
      <c r="AB10" s="111"/>
      <c r="AC10" s="111"/>
      <c r="AD10" s="40"/>
      <c r="AF10" s="86"/>
    </row>
    <row r="11" spans="1:35" ht="21" customHeight="1" x14ac:dyDescent="0.2">
      <c r="A11" s="41"/>
      <c r="B11" s="41"/>
      <c r="C11" s="41"/>
      <c r="D11" s="41"/>
      <c r="E11" s="41"/>
      <c r="G11" s="41"/>
      <c r="H11" s="41"/>
    </row>
    <row r="12" spans="1:35" ht="13.5" customHeight="1" x14ac:dyDescent="0.2">
      <c r="A12" s="41"/>
      <c r="B12" s="41"/>
      <c r="C12" s="41"/>
      <c r="D12" s="41"/>
      <c r="E12" s="41"/>
      <c r="G12" s="41"/>
      <c r="H12" s="41"/>
    </row>
    <row r="13" spans="1:35" s="41" customFormat="1" x14ac:dyDescent="0.2"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5" s="41" customFormat="1" x14ac:dyDescent="0.2"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H14" s="89"/>
      <c r="AI14" s="89"/>
    </row>
    <row r="15" spans="1:35" s="41" customFormat="1" x14ac:dyDescent="0.2"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5" s="41" customFormat="1" x14ac:dyDescent="0.2"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1:30" s="41" customFormat="1" x14ac:dyDescent="0.2"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1:30" s="41" customFormat="1" x14ac:dyDescent="0.2"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1:30" s="41" customFormat="1" x14ac:dyDescent="0.2"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1:30" s="41" customFormat="1" x14ac:dyDescent="0.2"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1:30" s="41" customFormat="1" x14ac:dyDescent="0.2"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1:30" s="41" customFormat="1" x14ac:dyDescent="0.2"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1:30" s="41" customFormat="1" x14ac:dyDescent="0.2"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1:30" s="41" customFormat="1" x14ac:dyDescent="0.2"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1:30" s="41" customFormat="1" x14ac:dyDescent="0.2"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1:30" s="41" customFormat="1" x14ac:dyDescent="0.2"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1:30" s="41" customFormat="1" x14ac:dyDescent="0.2"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1:30" s="41" customFormat="1" x14ac:dyDescent="0.2"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1:30" s="41" customFormat="1" x14ac:dyDescent="0.2"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1:30" s="41" customFormat="1" x14ac:dyDescent="0.2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1:30" s="41" customFormat="1" x14ac:dyDescent="0.2"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1:30" s="41" customFormat="1" x14ac:dyDescent="0.2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1:30" s="41" customFormat="1" x14ac:dyDescent="0.2"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1:30" s="41" customFormat="1" x14ac:dyDescent="0.2"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1:30" s="41" customFormat="1" x14ac:dyDescent="0.2"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1:30" s="41" customFormat="1" x14ac:dyDescent="0.2"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1:30" s="41" customFormat="1" x14ac:dyDescent="0.2"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1:30" s="41" customFormat="1" x14ac:dyDescent="0.2"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1:30" s="41" customFormat="1" x14ac:dyDescent="0.2"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1:30" s="41" customFormat="1" x14ac:dyDescent="0.2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1:30" s="41" customFormat="1" x14ac:dyDescent="0.2"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1:30" s="41" customFormat="1" x14ac:dyDescent="0.2"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1:30" s="41" customFormat="1" x14ac:dyDescent="0.2"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1:30" s="41" customFormat="1" x14ac:dyDescent="0.2"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1:30" s="41" customFormat="1" x14ac:dyDescent="0.2"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1:30" s="41" customFormat="1" x14ac:dyDescent="0.2"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1:30" s="41" customFormat="1" x14ac:dyDescent="0.2"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1:30" s="41" customFormat="1" x14ac:dyDescent="0.2"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1:30" s="41" customFormat="1" x14ac:dyDescent="0.2"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1:30" s="41" customFormat="1" x14ac:dyDescent="0.2"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1:30" s="41" customFormat="1" x14ac:dyDescent="0.2"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1:30" s="41" customFormat="1" x14ac:dyDescent="0.2"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1:30" s="41" customFormat="1" x14ac:dyDescent="0.2"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1:30" s="41" customFormat="1" x14ac:dyDescent="0.2"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1:30" s="41" customFormat="1" x14ac:dyDescent="0.2"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1:30" s="41" customFormat="1" x14ac:dyDescent="0.2"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1:30" s="41" customFormat="1" x14ac:dyDescent="0.2"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1:30" s="41" customFormat="1" x14ac:dyDescent="0.2"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1:30" s="41" customFormat="1" x14ac:dyDescent="0.2"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1:30" s="41" customFormat="1" x14ac:dyDescent="0.2"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1:30" s="41" customFormat="1" x14ac:dyDescent="0.2"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1:30" s="41" customFormat="1" x14ac:dyDescent="0.2"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1:30" s="41" customFormat="1" x14ac:dyDescent="0.2"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1:30" s="41" customFormat="1" x14ac:dyDescent="0.2"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</sheetData>
  <autoFilter ref="A7:AC11" xr:uid="{00000000-0009-0000-0000-000000000000}"/>
  <mergeCells count="12">
    <mergeCell ref="A1:AD1"/>
    <mergeCell ref="A2:AD2"/>
    <mergeCell ref="A3:AD3"/>
    <mergeCell ref="A4:B4"/>
    <mergeCell ref="B5:B6"/>
    <mergeCell ref="P5:Q5"/>
    <mergeCell ref="AD5:AD6"/>
    <mergeCell ref="A9:B9"/>
    <mergeCell ref="A10:C10"/>
    <mergeCell ref="H10:J10"/>
    <mergeCell ref="L10:N10"/>
    <mergeCell ref="AA10:AC10"/>
  </mergeCells>
  <printOptions horizontalCentered="1"/>
  <pageMargins left="0" right="0" top="0.25" bottom="0" header="0" footer="0"/>
  <pageSetup paperSize="9" scale="80" orientation="landscape" horizontalDpi="360" vertic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0405-B083-4132-AF3C-4D25D178410E}">
  <sheetPr>
    <tabColor theme="7" tint="0.39997558519241921"/>
  </sheetPr>
  <dimension ref="A1:AK78"/>
  <sheetViews>
    <sheetView zoomScale="130" zoomScaleNormal="130" workbookViewId="0">
      <pane ySplit="7" topLeftCell="A11" activePane="bottomLeft" state="frozen"/>
      <selection pane="bottomLeft" activeCell="W9" sqref="W9"/>
    </sheetView>
  </sheetViews>
  <sheetFormatPr defaultColWidth="9.140625" defaultRowHeight="12.75" x14ac:dyDescent="0.2"/>
  <cols>
    <col min="1" max="1" width="6.28515625" style="1" customWidth="1"/>
    <col min="2" max="2" width="13.140625" style="1" customWidth="1"/>
    <col min="3" max="3" width="6.140625" style="1" customWidth="1"/>
    <col min="4" max="4" width="4.140625" style="1" customWidth="1"/>
    <col min="5" max="5" width="4.7109375" style="1" customWidth="1"/>
    <col min="6" max="6" width="3.85546875" style="41" customWidth="1"/>
    <col min="7" max="7" width="3.5703125" style="41" customWidth="1"/>
    <col min="8" max="8" width="3.5703125" style="1" customWidth="1"/>
    <col min="9" max="9" width="3.7109375" style="1" customWidth="1"/>
    <col min="10" max="10" width="6" style="1" customWidth="1"/>
    <col min="11" max="11" width="5.85546875" style="1" customWidth="1"/>
    <col min="12" max="12" width="3.5703125" style="1" customWidth="1"/>
    <col min="13" max="13" width="3.28515625" style="41" customWidth="1"/>
    <col min="14" max="14" width="3.42578125" style="41" customWidth="1"/>
    <col min="15" max="15" width="5.7109375" style="1" customWidth="1"/>
    <col min="16" max="16" width="5" style="1" customWidth="1"/>
    <col min="17" max="19" width="4.5703125" style="1" customWidth="1"/>
    <col min="20" max="21" width="4.140625" style="1" customWidth="1"/>
    <col min="22" max="22" width="3.85546875" style="1" customWidth="1"/>
    <col min="23" max="23" width="3.5703125" style="1" customWidth="1"/>
    <col min="24" max="24" width="4" style="1" customWidth="1"/>
    <col min="25" max="25" width="4.42578125" style="1" customWidth="1"/>
    <col min="26" max="26" width="4.7109375" style="1" customWidth="1"/>
    <col min="27" max="27" width="4.5703125" style="1" customWidth="1"/>
    <col min="28" max="29" width="4.2851562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4" width="4.7109375" style="1" customWidth="1"/>
    <col min="35" max="35" width="6" style="1" customWidth="1"/>
    <col min="36" max="36" width="14" style="1" customWidth="1"/>
    <col min="37" max="16384" width="9.140625" style="1"/>
  </cols>
  <sheetData>
    <row r="1" spans="1:37" ht="32.25" customHeight="1" x14ac:dyDescent="0.85">
      <c r="A1" s="112" t="s">
        <v>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23.25" customHeight="1" x14ac:dyDescent="0.7">
      <c r="A3" s="114" t="str">
        <f>ផុង!A3</f>
        <v>តារាងប្រាក់បៀវវត្តន៍ប្រចាំខែ ១១-២០២៤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</row>
    <row r="4" spans="1:37" ht="21" customHeight="1" thickBot="1" x14ac:dyDescent="0.4">
      <c r="A4" s="115" t="s">
        <v>319</v>
      </c>
      <c r="B4" s="116"/>
      <c r="C4" s="2">
        <f>COUNTA(B8:B22)</f>
        <v>15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3.7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3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28.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63.75" customHeight="1" x14ac:dyDescent="0.25">
      <c r="A8" s="59" t="s">
        <v>117</v>
      </c>
      <c r="B8" s="64" t="s">
        <v>124</v>
      </c>
      <c r="C8" s="56" t="s">
        <v>308</v>
      </c>
      <c r="D8" s="48">
        <v>204</v>
      </c>
      <c r="E8" s="20">
        <v>21</v>
      </c>
      <c r="F8" s="21">
        <f>I8+L8+(M8)*8</f>
        <v>168</v>
      </c>
      <c r="G8" s="21">
        <v>1</v>
      </c>
      <c r="H8" s="22"/>
      <c r="I8" s="23">
        <f>E8*8</f>
        <v>168</v>
      </c>
      <c r="J8" s="55">
        <v>551.16000000000008</v>
      </c>
      <c r="K8" s="55">
        <f>131.221+40</f>
        <v>171.221</v>
      </c>
      <c r="L8" s="23"/>
      <c r="M8" s="22"/>
      <c r="N8" s="22">
        <v>4</v>
      </c>
      <c r="O8" s="52">
        <f>IF(F8&gt;0,((K8+W8)/F8*I8),0)</f>
        <v>171.221</v>
      </c>
      <c r="P8" s="58">
        <f>IF(F8&gt;0,((K8+W8)/F8*L8*1.5)*100)/100</f>
        <v>0</v>
      </c>
      <c r="Q8" s="53">
        <f>IF(F8&gt;0,((K8+W8)/F8*M8*8*2)*100)/100</f>
        <v>0</v>
      </c>
      <c r="R8" s="53">
        <f>IF(F8&gt;0,((K8+W8)/F8*N8*8*1)*100)/100</f>
        <v>32.613523809523812</v>
      </c>
      <c r="S8" s="53">
        <v>0</v>
      </c>
      <c r="T8" s="25">
        <v>0</v>
      </c>
      <c r="U8" s="24">
        <f>D8/26*T8/2</f>
        <v>0</v>
      </c>
      <c r="V8" s="24">
        <f>((L8)*1500/4000)</f>
        <v>0</v>
      </c>
      <c r="W8" s="24"/>
      <c r="X8" s="53"/>
      <c r="Y8" s="27"/>
      <c r="Z8" s="24">
        <v>7</v>
      </c>
      <c r="AA8" s="24">
        <v>10</v>
      </c>
      <c r="AB8" s="26">
        <f>D8/2</f>
        <v>102</v>
      </c>
      <c r="AC8" s="24">
        <f>AK8</f>
        <v>4.4166000000000007</v>
      </c>
      <c r="AD8" s="26"/>
      <c r="AE8" s="54">
        <f>INT((O8+P8+Q8+R8+U8+V8+Z8+AA8+Y8-X8+S8)*100)/100</f>
        <v>220.83</v>
      </c>
      <c r="AF8" s="28">
        <f>AB8+AC8+AD8</f>
        <v>106.4166</v>
      </c>
      <c r="AG8" s="54">
        <f>INT((AE8-AF8)*100)/100</f>
        <v>114.41</v>
      </c>
      <c r="AH8" s="29">
        <f>INT(AG8)</f>
        <v>114</v>
      </c>
      <c r="AI8" s="24">
        <f>INT((AG8-AH8)*40+0.5)*100</f>
        <v>1600</v>
      </c>
      <c r="AJ8" s="30"/>
      <c r="AK8" s="73">
        <f>(AE8*0.04)/2</f>
        <v>4.4166000000000007</v>
      </c>
    </row>
    <row r="9" spans="1:37" s="31" customFormat="1" ht="63.75" customHeight="1" x14ac:dyDescent="0.25">
      <c r="A9" s="59" t="s">
        <v>118</v>
      </c>
      <c r="B9" s="64" t="s">
        <v>234</v>
      </c>
      <c r="C9" s="56" t="s">
        <v>308</v>
      </c>
      <c r="D9" s="48">
        <v>204</v>
      </c>
      <c r="E9" s="20">
        <v>22</v>
      </c>
      <c r="F9" s="21">
        <f>I9+L9+(M9)*8</f>
        <v>176</v>
      </c>
      <c r="G9" s="57"/>
      <c r="H9" s="22"/>
      <c r="I9" s="23">
        <f>E9*8</f>
        <v>176</v>
      </c>
      <c r="J9" s="55">
        <v>77</v>
      </c>
      <c r="K9" s="55">
        <f>48.44+10</f>
        <v>58.44</v>
      </c>
      <c r="L9" s="23"/>
      <c r="M9" s="22"/>
      <c r="N9" s="22">
        <v>4</v>
      </c>
      <c r="O9" s="52">
        <f>IF(F9&gt;0,((K9+W9)/F9*I9),0)</f>
        <v>176.13230769230765</v>
      </c>
      <c r="P9" s="58">
        <f t="shared" ref="P9:P22" si="0">IF(F9&gt;0,((K9+W9)/F9*L9*1.5)*100)/100</f>
        <v>0</v>
      </c>
      <c r="Q9" s="53">
        <f t="shared" ref="Q9:Q22" si="1">IF(F9&gt;0,((K9+W9)/F9*M9*8*2)*100)/100</f>
        <v>0</v>
      </c>
      <c r="R9" s="53">
        <f t="shared" ref="R9:R22" si="2">IF(F9&gt;0,((K9+W9)/F9*N9*8*1)*100)/100</f>
        <v>32.024055944055938</v>
      </c>
      <c r="S9" s="53">
        <v>0</v>
      </c>
      <c r="T9" s="25">
        <v>0</v>
      </c>
      <c r="U9" s="24">
        <f>D9/26*T9/2</f>
        <v>0</v>
      </c>
      <c r="V9" s="24">
        <f>((L9)*1500/4000)</f>
        <v>0</v>
      </c>
      <c r="W9" s="24">
        <f>D9/208*120</f>
        <v>117.69230769230769</v>
      </c>
      <c r="X9" s="53"/>
      <c r="Y9" s="27"/>
      <c r="Z9" s="24">
        <v>10</v>
      </c>
      <c r="AA9" s="24">
        <v>10</v>
      </c>
      <c r="AB9" s="26">
        <f>D9/2</f>
        <v>102</v>
      </c>
      <c r="AC9" s="24">
        <f t="shared" ref="AC9:AC22" si="3">AK9</f>
        <v>4.5630000000000006</v>
      </c>
      <c r="AD9" s="26"/>
      <c r="AE9" s="54">
        <f t="shared" ref="AE9:AE22" si="4">INT((O9+P9+Q9+R9+U9+V9+Z9+AA9+Y9-X9+S9)*100)/100</f>
        <v>228.15</v>
      </c>
      <c r="AF9" s="28">
        <f>AB9+AC9+AD9</f>
        <v>106.563</v>
      </c>
      <c r="AG9" s="54">
        <f t="shared" ref="AG9:AG22" si="5">INT((AE9-AF9)*100)/100</f>
        <v>121.58</v>
      </c>
      <c r="AH9" s="29">
        <f t="shared" ref="AH9:AH22" si="6">INT(AG9)</f>
        <v>121</v>
      </c>
      <c r="AI9" s="24">
        <f t="shared" ref="AI9:AI22" si="7">INT((AG9-AH9)*40+0.5)*100</f>
        <v>2300</v>
      </c>
      <c r="AJ9" s="30"/>
      <c r="AK9" s="73">
        <f t="shared" ref="AK9:AK22" si="8">(AE9*0.04)/2</f>
        <v>4.5630000000000006</v>
      </c>
    </row>
    <row r="10" spans="1:37" s="31" customFormat="1" ht="63.75" customHeight="1" x14ac:dyDescent="0.25">
      <c r="A10" s="59" t="s">
        <v>120</v>
      </c>
      <c r="B10" s="64" t="s">
        <v>119</v>
      </c>
      <c r="C10" s="56" t="s">
        <v>308</v>
      </c>
      <c r="D10" s="48">
        <v>204</v>
      </c>
      <c r="E10" s="20">
        <v>20</v>
      </c>
      <c r="F10" s="21">
        <f t="shared" ref="F10:F22" si="9">I10+L10+(M10)*8</f>
        <v>160</v>
      </c>
      <c r="G10" s="21">
        <v>2</v>
      </c>
      <c r="H10" s="22"/>
      <c r="I10" s="23">
        <f>E10*8</f>
        <v>160</v>
      </c>
      <c r="J10" s="55">
        <v>442.09</v>
      </c>
      <c r="K10" s="55">
        <f>122.634+35</f>
        <v>157.63400000000001</v>
      </c>
      <c r="L10" s="23"/>
      <c r="M10" s="22"/>
      <c r="N10" s="22">
        <v>4</v>
      </c>
      <c r="O10" s="52">
        <f>IF(F10&gt;0,((K10+W10)/F10*I10),0)</f>
        <v>157.63400000000001</v>
      </c>
      <c r="P10" s="58">
        <f t="shared" si="0"/>
        <v>0</v>
      </c>
      <c r="Q10" s="53">
        <f t="shared" si="1"/>
        <v>0</v>
      </c>
      <c r="R10" s="53">
        <f t="shared" si="2"/>
        <v>31.526800000000001</v>
      </c>
      <c r="S10" s="53">
        <v>0</v>
      </c>
      <c r="T10" s="25">
        <v>0</v>
      </c>
      <c r="U10" s="24">
        <f>D10/26*T10/2</f>
        <v>0</v>
      </c>
      <c r="V10" s="24">
        <f t="shared" ref="V10:V22" si="10">((L10)*1500/4000)</f>
        <v>0</v>
      </c>
      <c r="W10" s="24"/>
      <c r="X10" s="53"/>
      <c r="Y10" s="27"/>
      <c r="Z10" s="24">
        <v>4</v>
      </c>
      <c r="AA10" s="24">
        <v>10</v>
      </c>
      <c r="AB10" s="26">
        <f>D10/2</f>
        <v>102</v>
      </c>
      <c r="AC10" s="24">
        <f t="shared" si="3"/>
        <v>4.0632000000000001</v>
      </c>
      <c r="AD10" s="26"/>
      <c r="AE10" s="54">
        <f t="shared" si="4"/>
        <v>203.16</v>
      </c>
      <c r="AF10" s="28">
        <f>AB10+AC10+AD10</f>
        <v>106.06319999999999</v>
      </c>
      <c r="AG10" s="54">
        <f t="shared" si="5"/>
        <v>97.09</v>
      </c>
      <c r="AH10" s="29">
        <f t="shared" si="6"/>
        <v>97</v>
      </c>
      <c r="AI10" s="24">
        <f t="shared" si="7"/>
        <v>400</v>
      </c>
      <c r="AJ10" s="30"/>
      <c r="AK10" s="73">
        <f t="shared" si="8"/>
        <v>4.0632000000000001</v>
      </c>
    </row>
    <row r="11" spans="1:37" s="31" customFormat="1" ht="63.75" customHeight="1" x14ac:dyDescent="0.25">
      <c r="A11" s="59" t="s">
        <v>121</v>
      </c>
      <c r="B11" s="64" t="s">
        <v>122</v>
      </c>
      <c r="C11" s="56" t="s">
        <v>308</v>
      </c>
      <c r="D11" s="48">
        <v>204</v>
      </c>
      <c r="E11" s="20">
        <v>22</v>
      </c>
      <c r="F11" s="21">
        <f t="shared" ref="F11:F15" si="11">I11+L11+(M11)*8</f>
        <v>176</v>
      </c>
      <c r="G11" s="57"/>
      <c r="H11" s="22"/>
      <c r="I11" s="23">
        <f t="shared" ref="I11:I15" si="12">E11*8</f>
        <v>176</v>
      </c>
      <c r="J11" s="55">
        <v>356.58</v>
      </c>
      <c r="K11" s="55">
        <f>109.835+5</f>
        <v>114.83499999999999</v>
      </c>
      <c r="L11" s="23"/>
      <c r="M11" s="22"/>
      <c r="N11" s="22">
        <v>4</v>
      </c>
      <c r="O11" s="52">
        <f t="shared" ref="O11:O15" si="13">IF(F11&gt;0,((K11+W11)/F11*I11),0)</f>
        <v>173.68115384615385</v>
      </c>
      <c r="P11" s="58">
        <f t="shared" si="0"/>
        <v>0</v>
      </c>
      <c r="Q11" s="53">
        <f t="shared" si="1"/>
        <v>0</v>
      </c>
      <c r="R11" s="53">
        <f t="shared" si="2"/>
        <v>31.578391608391609</v>
      </c>
      <c r="S11" s="53">
        <v>0</v>
      </c>
      <c r="T11" s="25">
        <v>0</v>
      </c>
      <c r="U11" s="24">
        <f t="shared" ref="U11:U15" si="14">D11/26*T11/2</f>
        <v>0</v>
      </c>
      <c r="V11" s="24">
        <f t="shared" ref="V11:V15" si="15">((L11)*1500/4000)</f>
        <v>0</v>
      </c>
      <c r="W11" s="24">
        <f>D11/208*60</f>
        <v>58.846153846153847</v>
      </c>
      <c r="X11" s="53"/>
      <c r="Y11" s="27"/>
      <c r="Z11" s="24">
        <v>10</v>
      </c>
      <c r="AA11" s="24">
        <v>10</v>
      </c>
      <c r="AB11" s="26">
        <f>D11/2</f>
        <v>102</v>
      </c>
      <c r="AC11" s="24">
        <f t="shared" si="3"/>
        <v>4.5049999999999999</v>
      </c>
      <c r="AD11" s="26"/>
      <c r="AE11" s="54">
        <f t="shared" si="4"/>
        <v>225.25</v>
      </c>
      <c r="AF11" s="28">
        <f t="shared" ref="AF11:AF15" si="16">AB11+AC11+AD11</f>
        <v>106.505</v>
      </c>
      <c r="AG11" s="54">
        <f t="shared" ref="AG11:AG15" si="17">INT((AE11-AF11)*100)/100</f>
        <v>118.74</v>
      </c>
      <c r="AH11" s="29">
        <f t="shared" si="6"/>
        <v>118</v>
      </c>
      <c r="AI11" s="24">
        <f t="shared" ref="AI11:AI15" si="18">INT((AG11-AH11)*40+0.5)*100</f>
        <v>3000</v>
      </c>
      <c r="AJ11" s="30"/>
      <c r="AK11" s="73">
        <f t="shared" si="8"/>
        <v>4.5049999999999999</v>
      </c>
    </row>
    <row r="12" spans="1:37" s="31" customFormat="1" ht="63.75" customHeight="1" x14ac:dyDescent="0.25">
      <c r="A12" s="59" t="s">
        <v>123</v>
      </c>
      <c r="B12" s="64" t="s">
        <v>235</v>
      </c>
      <c r="C12" s="56" t="s">
        <v>308</v>
      </c>
      <c r="D12" s="48">
        <v>204</v>
      </c>
      <c r="E12" s="20">
        <v>20</v>
      </c>
      <c r="F12" s="21">
        <f t="shared" si="11"/>
        <v>160</v>
      </c>
      <c r="G12" s="57">
        <v>2</v>
      </c>
      <c r="H12" s="22"/>
      <c r="I12" s="23">
        <f t="shared" si="12"/>
        <v>160</v>
      </c>
      <c r="J12" s="55">
        <v>166.67</v>
      </c>
      <c r="K12" s="55">
        <v>49.334999999999994</v>
      </c>
      <c r="L12" s="23"/>
      <c r="M12" s="22"/>
      <c r="N12" s="22">
        <v>4</v>
      </c>
      <c r="O12" s="52">
        <f>IF(F12&gt;0,((K12+W12)/F12*I12),0)</f>
        <v>167.02730769230769</v>
      </c>
      <c r="P12" s="58">
        <f t="shared" si="0"/>
        <v>0</v>
      </c>
      <c r="Q12" s="53">
        <f t="shared" si="1"/>
        <v>0</v>
      </c>
      <c r="R12" s="53">
        <f t="shared" si="2"/>
        <v>33.405461538461537</v>
      </c>
      <c r="S12" s="53">
        <v>0</v>
      </c>
      <c r="T12" s="25">
        <v>0</v>
      </c>
      <c r="U12" s="24">
        <f t="shared" si="14"/>
        <v>0</v>
      </c>
      <c r="V12" s="24">
        <f t="shared" si="15"/>
        <v>0</v>
      </c>
      <c r="W12" s="24">
        <f>D12/208*120</f>
        <v>117.69230769230769</v>
      </c>
      <c r="X12" s="53"/>
      <c r="Y12" s="27"/>
      <c r="Z12" s="24">
        <v>4</v>
      </c>
      <c r="AA12" s="24">
        <v>10</v>
      </c>
      <c r="AB12" s="26">
        <f t="shared" ref="AB12:AB22" si="19">D12/2</f>
        <v>102</v>
      </c>
      <c r="AC12" s="24">
        <f t="shared" si="3"/>
        <v>4.2886000000000006</v>
      </c>
      <c r="AD12" s="26"/>
      <c r="AE12" s="54">
        <f t="shared" si="4"/>
        <v>214.43</v>
      </c>
      <c r="AF12" s="28">
        <f t="shared" si="16"/>
        <v>106.2886</v>
      </c>
      <c r="AG12" s="54">
        <f t="shared" si="17"/>
        <v>108.14</v>
      </c>
      <c r="AH12" s="29">
        <f t="shared" si="6"/>
        <v>108</v>
      </c>
      <c r="AI12" s="24">
        <f t="shared" si="18"/>
        <v>600</v>
      </c>
      <c r="AJ12" s="30"/>
      <c r="AK12" s="73">
        <f t="shared" si="8"/>
        <v>4.2886000000000006</v>
      </c>
    </row>
    <row r="13" spans="1:37" s="31" customFormat="1" ht="63.75" customHeight="1" x14ac:dyDescent="0.25">
      <c r="A13" s="59" t="s">
        <v>125</v>
      </c>
      <c r="B13" s="64" t="s">
        <v>126</v>
      </c>
      <c r="C13" s="56" t="s">
        <v>308</v>
      </c>
      <c r="D13" s="48">
        <v>204</v>
      </c>
      <c r="E13" s="20">
        <v>21</v>
      </c>
      <c r="F13" s="21">
        <f t="shared" si="11"/>
        <v>168</v>
      </c>
      <c r="G13" s="57">
        <v>1</v>
      </c>
      <c r="H13" s="22"/>
      <c r="I13" s="23">
        <f t="shared" si="12"/>
        <v>168</v>
      </c>
      <c r="J13" s="55">
        <v>531.82999999999993</v>
      </c>
      <c r="K13" s="55">
        <f>197.89-20</f>
        <v>177.89</v>
      </c>
      <c r="L13" s="23"/>
      <c r="M13" s="22"/>
      <c r="N13" s="22">
        <v>4</v>
      </c>
      <c r="O13" s="52">
        <f t="shared" si="13"/>
        <v>177.88999999999996</v>
      </c>
      <c r="P13" s="58">
        <f t="shared" si="0"/>
        <v>0</v>
      </c>
      <c r="Q13" s="53">
        <f t="shared" si="1"/>
        <v>0</v>
      </c>
      <c r="R13" s="53">
        <f t="shared" si="2"/>
        <v>33.883809523809518</v>
      </c>
      <c r="S13" s="53">
        <v>0</v>
      </c>
      <c r="T13" s="25">
        <v>0</v>
      </c>
      <c r="U13" s="24">
        <f t="shared" si="14"/>
        <v>0</v>
      </c>
      <c r="V13" s="24">
        <f t="shared" si="15"/>
        <v>0</v>
      </c>
      <c r="W13" s="24"/>
      <c r="X13" s="53"/>
      <c r="Y13" s="27"/>
      <c r="Z13" s="24">
        <v>7</v>
      </c>
      <c r="AA13" s="24">
        <v>10</v>
      </c>
      <c r="AB13" s="26">
        <f t="shared" si="19"/>
        <v>102</v>
      </c>
      <c r="AC13" s="24">
        <f t="shared" si="3"/>
        <v>4.5754000000000001</v>
      </c>
      <c r="AD13" s="26"/>
      <c r="AE13" s="54">
        <f t="shared" si="4"/>
        <v>228.77</v>
      </c>
      <c r="AF13" s="28">
        <f t="shared" si="16"/>
        <v>106.5754</v>
      </c>
      <c r="AG13" s="54">
        <f t="shared" si="17"/>
        <v>122.19</v>
      </c>
      <c r="AH13" s="29">
        <f t="shared" si="6"/>
        <v>122</v>
      </c>
      <c r="AI13" s="24">
        <f t="shared" si="18"/>
        <v>800</v>
      </c>
      <c r="AJ13" s="30"/>
      <c r="AK13" s="73">
        <f t="shared" si="8"/>
        <v>4.5754000000000001</v>
      </c>
    </row>
    <row r="14" spans="1:37" s="31" customFormat="1" ht="63.75" customHeight="1" x14ac:dyDescent="0.25">
      <c r="A14" s="59" t="s">
        <v>127</v>
      </c>
      <c r="B14" s="64" t="s">
        <v>128</v>
      </c>
      <c r="C14" s="56" t="s">
        <v>308</v>
      </c>
      <c r="D14" s="48">
        <v>204</v>
      </c>
      <c r="E14" s="20">
        <v>22</v>
      </c>
      <c r="F14" s="21">
        <f t="shared" si="11"/>
        <v>176</v>
      </c>
      <c r="G14" s="57"/>
      <c r="H14" s="22"/>
      <c r="I14" s="23">
        <f t="shared" si="12"/>
        <v>176</v>
      </c>
      <c r="J14" s="55">
        <v>493.08</v>
      </c>
      <c r="K14" s="55">
        <f>191.895-10</f>
        <v>181.89500000000001</v>
      </c>
      <c r="L14" s="23"/>
      <c r="M14" s="22"/>
      <c r="N14" s="22">
        <v>4</v>
      </c>
      <c r="O14" s="52">
        <f t="shared" si="13"/>
        <v>181.89499999999998</v>
      </c>
      <c r="P14" s="58">
        <f t="shared" si="0"/>
        <v>0</v>
      </c>
      <c r="Q14" s="53">
        <f t="shared" si="1"/>
        <v>0</v>
      </c>
      <c r="R14" s="53">
        <f t="shared" si="2"/>
        <v>33.07181818181818</v>
      </c>
      <c r="S14" s="53">
        <v>0</v>
      </c>
      <c r="T14" s="25">
        <v>0</v>
      </c>
      <c r="U14" s="24">
        <f t="shared" si="14"/>
        <v>0</v>
      </c>
      <c r="V14" s="24">
        <f t="shared" si="15"/>
        <v>0</v>
      </c>
      <c r="W14" s="24"/>
      <c r="X14" s="53"/>
      <c r="Y14" s="27"/>
      <c r="Z14" s="24">
        <v>10</v>
      </c>
      <c r="AA14" s="24">
        <v>10</v>
      </c>
      <c r="AB14" s="26">
        <f t="shared" si="19"/>
        <v>102</v>
      </c>
      <c r="AC14" s="24">
        <f t="shared" si="3"/>
        <v>4.6992000000000003</v>
      </c>
      <c r="AD14" s="26"/>
      <c r="AE14" s="54">
        <f t="shared" si="4"/>
        <v>234.96</v>
      </c>
      <c r="AF14" s="28">
        <f t="shared" si="16"/>
        <v>106.6992</v>
      </c>
      <c r="AG14" s="54">
        <f t="shared" si="17"/>
        <v>128.26</v>
      </c>
      <c r="AH14" s="29">
        <f t="shared" si="6"/>
        <v>128</v>
      </c>
      <c r="AI14" s="24">
        <f t="shared" si="18"/>
        <v>1000</v>
      </c>
      <c r="AJ14" s="30"/>
      <c r="AK14" s="73">
        <f t="shared" si="8"/>
        <v>4.6992000000000003</v>
      </c>
    </row>
    <row r="15" spans="1:37" s="31" customFormat="1" ht="63.75" customHeight="1" x14ac:dyDescent="0.25">
      <c r="A15" s="59" t="s">
        <v>129</v>
      </c>
      <c r="B15" s="64" t="s">
        <v>130</v>
      </c>
      <c r="C15" s="56" t="s">
        <v>308</v>
      </c>
      <c r="D15" s="48">
        <v>204</v>
      </c>
      <c r="E15" s="20">
        <v>20</v>
      </c>
      <c r="F15" s="21">
        <f t="shared" si="11"/>
        <v>160</v>
      </c>
      <c r="G15" s="57">
        <v>2</v>
      </c>
      <c r="H15" s="22"/>
      <c r="I15" s="23">
        <f t="shared" si="12"/>
        <v>160</v>
      </c>
      <c r="J15" s="55">
        <v>568.99</v>
      </c>
      <c r="K15" s="55">
        <v>153.73439999999999</v>
      </c>
      <c r="L15" s="23"/>
      <c r="M15" s="22"/>
      <c r="N15" s="22">
        <v>4</v>
      </c>
      <c r="O15" s="52">
        <f t="shared" si="13"/>
        <v>153.73439999999999</v>
      </c>
      <c r="P15" s="58">
        <f t="shared" si="0"/>
        <v>0</v>
      </c>
      <c r="Q15" s="53">
        <f t="shared" si="1"/>
        <v>0</v>
      </c>
      <c r="R15" s="53">
        <f>D15/26*N15</f>
        <v>31.384615384615383</v>
      </c>
      <c r="S15" s="53">
        <v>0</v>
      </c>
      <c r="T15" s="25">
        <v>0</v>
      </c>
      <c r="U15" s="24">
        <f t="shared" si="14"/>
        <v>0</v>
      </c>
      <c r="V15" s="24">
        <f t="shared" si="15"/>
        <v>0</v>
      </c>
      <c r="W15" s="24"/>
      <c r="X15" s="53">
        <f t="shared" ref="X15" si="20">(-D15/208*I15)+(O15)</f>
        <v>-3.1886769230769119</v>
      </c>
      <c r="Y15" s="27"/>
      <c r="Z15" s="24">
        <v>4</v>
      </c>
      <c r="AA15" s="24">
        <v>10</v>
      </c>
      <c r="AB15" s="26">
        <f t="shared" si="19"/>
        <v>102</v>
      </c>
      <c r="AC15" s="24">
        <f t="shared" si="3"/>
        <v>4.0460000000000003</v>
      </c>
      <c r="AD15" s="26"/>
      <c r="AE15" s="54">
        <f t="shared" si="4"/>
        <v>202.3</v>
      </c>
      <c r="AF15" s="28">
        <f t="shared" si="16"/>
        <v>106.04600000000001</v>
      </c>
      <c r="AG15" s="54">
        <f t="shared" si="17"/>
        <v>96.25</v>
      </c>
      <c r="AH15" s="29">
        <f t="shared" si="6"/>
        <v>96</v>
      </c>
      <c r="AI15" s="24">
        <f t="shared" si="18"/>
        <v>1000</v>
      </c>
      <c r="AJ15" s="30"/>
      <c r="AK15" s="73">
        <f t="shared" si="8"/>
        <v>4.0460000000000003</v>
      </c>
    </row>
    <row r="16" spans="1:37" s="31" customFormat="1" ht="63.75" customHeight="1" x14ac:dyDescent="0.25">
      <c r="A16" s="59" t="s">
        <v>131</v>
      </c>
      <c r="B16" s="69" t="s">
        <v>132</v>
      </c>
      <c r="C16" s="56" t="s">
        <v>308</v>
      </c>
      <c r="D16" s="48">
        <v>204</v>
      </c>
      <c r="E16" s="20">
        <v>20</v>
      </c>
      <c r="F16" s="21">
        <f t="shared" ref="F16:F18" si="21">I16+L16+(M16)*8</f>
        <v>160</v>
      </c>
      <c r="G16" s="57">
        <v>2</v>
      </c>
      <c r="H16" s="22"/>
      <c r="I16" s="23">
        <f t="shared" ref="I16:I18" si="22">E16*8</f>
        <v>160</v>
      </c>
      <c r="J16" s="55">
        <v>570.5200000000001</v>
      </c>
      <c r="K16" s="55">
        <v>178.23570000000001</v>
      </c>
      <c r="L16" s="23"/>
      <c r="M16" s="22"/>
      <c r="N16" s="22">
        <v>4</v>
      </c>
      <c r="O16" s="52">
        <f t="shared" ref="O16:O18" si="23">IF(F16&gt;0,((K16+W16)/F16*I16),0)</f>
        <v>178.23570000000001</v>
      </c>
      <c r="P16" s="58">
        <f t="shared" si="0"/>
        <v>0</v>
      </c>
      <c r="Q16" s="53">
        <f t="shared" si="1"/>
        <v>0</v>
      </c>
      <c r="R16" s="53">
        <f t="shared" si="2"/>
        <v>35.64714</v>
      </c>
      <c r="S16" s="53">
        <v>0</v>
      </c>
      <c r="T16" s="25">
        <v>0</v>
      </c>
      <c r="U16" s="24">
        <f t="shared" ref="U16:U18" si="24">D16/26*T16/2</f>
        <v>0</v>
      </c>
      <c r="V16" s="24">
        <f t="shared" ref="V16:V18" si="25">((L16)*1500/4000)</f>
        <v>0</v>
      </c>
      <c r="W16" s="24"/>
      <c r="X16" s="53"/>
      <c r="Y16" s="27"/>
      <c r="Z16" s="24">
        <v>4</v>
      </c>
      <c r="AA16" s="24">
        <v>10</v>
      </c>
      <c r="AB16" s="26">
        <f t="shared" si="19"/>
        <v>102</v>
      </c>
      <c r="AC16" s="24">
        <f t="shared" si="3"/>
        <v>4.5575999999999999</v>
      </c>
      <c r="AD16" s="26"/>
      <c r="AE16" s="54">
        <f t="shared" si="4"/>
        <v>227.88</v>
      </c>
      <c r="AF16" s="28">
        <f t="shared" ref="AF16:AF18" si="26">AB16+AC16+AD16</f>
        <v>106.55759999999999</v>
      </c>
      <c r="AG16" s="54">
        <f t="shared" ref="AG16:AG18" si="27">INT((AE16-AF16)*100)/100</f>
        <v>121.32</v>
      </c>
      <c r="AH16" s="29">
        <f t="shared" si="6"/>
        <v>121</v>
      </c>
      <c r="AI16" s="24">
        <f t="shared" ref="AI16:AI18" si="28">INT((AG16-AH16)*40+0.5)*100</f>
        <v>1300</v>
      </c>
      <c r="AJ16" s="30"/>
      <c r="AK16" s="73">
        <f t="shared" si="8"/>
        <v>4.5575999999999999</v>
      </c>
    </row>
    <row r="17" spans="1:37" s="31" customFormat="1" ht="63.75" customHeight="1" x14ac:dyDescent="0.25">
      <c r="A17" s="59" t="s">
        <v>133</v>
      </c>
      <c r="B17" s="69" t="s">
        <v>236</v>
      </c>
      <c r="C17" s="56" t="s">
        <v>308</v>
      </c>
      <c r="D17" s="48">
        <v>204</v>
      </c>
      <c r="E17" s="20">
        <v>18</v>
      </c>
      <c r="F17" s="21">
        <f t="shared" si="21"/>
        <v>144</v>
      </c>
      <c r="G17" s="57">
        <v>4</v>
      </c>
      <c r="H17" s="22"/>
      <c r="I17" s="23">
        <f t="shared" si="22"/>
        <v>144</v>
      </c>
      <c r="J17" s="55">
        <v>547.18000000000006</v>
      </c>
      <c r="K17" s="55">
        <f>183.645-20</f>
        <v>163.64500000000001</v>
      </c>
      <c r="L17" s="23"/>
      <c r="M17" s="22"/>
      <c r="N17" s="22">
        <v>4</v>
      </c>
      <c r="O17" s="52">
        <f>IF(F17&gt;0,((K17+W17)/F17*I17),0)</f>
        <v>163.64500000000001</v>
      </c>
      <c r="P17" s="58">
        <f t="shared" si="0"/>
        <v>0</v>
      </c>
      <c r="Q17" s="53">
        <f t="shared" si="1"/>
        <v>0</v>
      </c>
      <c r="R17" s="53">
        <f t="shared" si="2"/>
        <v>36.365555555555559</v>
      </c>
      <c r="S17" s="53">
        <v>0</v>
      </c>
      <c r="T17" s="25">
        <v>0</v>
      </c>
      <c r="U17" s="24">
        <f t="shared" si="24"/>
        <v>0</v>
      </c>
      <c r="V17" s="24">
        <f t="shared" si="25"/>
        <v>0</v>
      </c>
      <c r="W17" s="24"/>
      <c r="X17" s="53"/>
      <c r="Y17" s="27"/>
      <c r="Z17" s="24"/>
      <c r="AA17" s="24">
        <v>10</v>
      </c>
      <c r="AB17" s="26">
        <f t="shared" si="19"/>
        <v>102</v>
      </c>
      <c r="AC17" s="24">
        <f t="shared" si="3"/>
        <v>4.2001999999999997</v>
      </c>
      <c r="AD17" s="26"/>
      <c r="AE17" s="54">
        <f t="shared" si="4"/>
        <v>210.01</v>
      </c>
      <c r="AF17" s="28">
        <f t="shared" si="26"/>
        <v>106.2002</v>
      </c>
      <c r="AG17" s="54">
        <f t="shared" si="27"/>
        <v>103.8</v>
      </c>
      <c r="AH17" s="29">
        <f t="shared" si="6"/>
        <v>103</v>
      </c>
      <c r="AI17" s="24">
        <f t="shared" si="28"/>
        <v>3200</v>
      </c>
      <c r="AJ17" s="30"/>
      <c r="AK17" s="73">
        <f t="shared" si="8"/>
        <v>4.2001999999999997</v>
      </c>
    </row>
    <row r="18" spans="1:37" s="31" customFormat="1" ht="63.75" customHeight="1" x14ac:dyDescent="0.25">
      <c r="A18" s="59" t="s">
        <v>134</v>
      </c>
      <c r="B18" s="69" t="s">
        <v>237</v>
      </c>
      <c r="C18" s="56" t="s">
        <v>308</v>
      </c>
      <c r="D18" s="48">
        <v>204</v>
      </c>
      <c r="E18" s="20">
        <v>21</v>
      </c>
      <c r="F18" s="21">
        <f t="shared" si="21"/>
        <v>168</v>
      </c>
      <c r="G18" s="57">
        <v>1</v>
      </c>
      <c r="H18" s="22"/>
      <c r="I18" s="23">
        <f t="shared" si="22"/>
        <v>168</v>
      </c>
      <c r="J18" s="55">
        <v>578.07000000000005</v>
      </c>
      <c r="K18" s="55">
        <v>169.43029999999999</v>
      </c>
      <c r="L18" s="23"/>
      <c r="M18" s="22"/>
      <c r="N18" s="22">
        <v>4</v>
      </c>
      <c r="O18" s="52">
        <f t="shared" si="23"/>
        <v>169.43029999999999</v>
      </c>
      <c r="P18" s="58">
        <f t="shared" si="0"/>
        <v>0</v>
      </c>
      <c r="Q18" s="53">
        <f t="shared" si="1"/>
        <v>0</v>
      </c>
      <c r="R18" s="53">
        <f t="shared" si="2"/>
        <v>32.272438095238094</v>
      </c>
      <c r="S18" s="53">
        <v>0</v>
      </c>
      <c r="T18" s="25">
        <v>0</v>
      </c>
      <c r="U18" s="24">
        <f t="shared" si="24"/>
        <v>0</v>
      </c>
      <c r="V18" s="24">
        <f t="shared" si="25"/>
        <v>0</v>
      </c>
      <c r="W18" s="24"/>
      <c r="X18" s="53"/>
      <c r="Y18" s="27"/>
      <c r="Z18" s="24">
        <v>7</v>
      </c>
      <c r="AA18" s="24">
        <v>10</v>
      </c>
      <c r="AB18" s="26">
        <f t="shared" si="19"/>
        <v>102</v>
      </c>
      <c r="AC18" s="24">
        <f t="shared" si="3"/>
        <v>4.3739999999999997</v>
      </c>
      <c r="AD18" s="26"/>
      <c r="AE18" s="54">
        <f t="shared" si="4"/>
        <v>218.7</v>
      </c>
      <c r="AF18" s="28">
        <f t="shared" si="26"/>
        <v>106.374</v>
      </c>
      <c r="AG18" s="54">
        <f t="shared" si="27"/>
        <v>112.32</v>
      </c>
      <c r="AH18" s="29">
        <f t="shared" si="6"/>
        <v>112</v>
      </c>
      <c r="AI18" s="24">
        <f t="shared" si="28"/>
        <v>1300</v>
      </c>
      <c r="AJ18" s="30"/>
      <c r="AK18" s="73">
        <f t="shared" si="8"/>
        <v>4.3739999999999997</v>
      </c>
    </row>
    <row r="19" spans="1:37" s="31" customFormat="1" ht="63.75" customHeight="1" x14ac:dyDescent="0.25">
      <c r="A19" s="59" t="s">
        <v>238</v>
      </c>
      <c r="B19" s="42" t="s">
        <v>239</v>
      </c>
      <c r="C19" s="56" t="s">
        <v>308</v>
      </c>
      <c r="D19" s="48">
        <v>204</v>
      </c>
      <c r="E19" s="20">
        <v>21.5</v>
      </c>
      <c r="F19" s="21">
        <f t="shared" si="9"/>
        <v>172</v>
      </c>
      <c r="G19" s="57">
        <v>0.5</v>
      </c>
      <c r="H19" s="22"/>
      <c r="I19" s="23">
        <f>E19*8</f>
        <v>172</v>
      </c>
      <c r="J19" s="55">
        <v>1368.0100000000002</v>
      </c>
      <c r="K19" s="55">
        <f>226.9198-45</f>
        <v>181.91980000000001</v>
      </c>
      <c r="L19" s="23"/>
      <c r="M19" s="22"/>
      <c r="N19" s="22">
        <v>4</v>
      </c>
      <c r="O19" s="52">
        <f>IF(F19&gt;0,((K19+W19)/F19*I19),0)</f>
        <v>181.91979999999998</v>
      </c>
      <c r="P19" s="58">
        <f t="shared" si="0"/>
        <v>0</v>
      </c>
      <c r="Q19" s="53">
        <f t="shared" si="1"/>
        <v>0</v>
      </c>
      <c r="R19" s="53">
        <f t="shared" si="2"/>
        <v>33.84554418604651</v>
      </c>
      <c r="S19" s="53">
        <v>0</v>
      </c>
      <c r="T19" s="25">
        <v>0</v>
      </c>
      <c r="U19" s="24">
        <f>D19/26*T19/2</f>
        <v>0</v>
      </c>
      <c r="V19" s="24">
        <f>((L19)*1500/4000)</f>
        <v>0</v>
      </c>
      <c r="W19" s="24"/>
      <c r="X19" s="53"/>
      <c r="Y19" s="27"/>
      <c r="Z19" s="24">
        <v>7</v>
      </c>
      <c r="AA19" s="24">
        <v>10</v>
      </c>
      <c r="AB19" s="26">
        <f t="shared" si="19"/>
        <v>102</v>
      </c>
      <c r="AC19" s="24">
        <f t="shared" si="3"/>
        <v>4.6551999999999998</v>
      </c>
      <c r="AD19" s="26"/>
      <c r="AE19" s="54">
        <f t="shared" si="4"/>
        <v>232.76</v>
      </c>
      <c r="AF19" s="28">
        <f>AB19+AC19+AD19</f>
        <v>106.65519999999999</v>
      </c>
      <c r="AG19" s="54">
        <f t="shared" si="5"/>
        <v>126.1</v>
      </c>
      <c r="AH19" s="29">
        <f t="shared" si="6"/>
        <v>126</v>
      </c>
      <c r="AI19" s="24">
        <f t="shared" si="7"/>
        <v>400</v>
      </c>
      <c r="AJ19" s="30"/>
      <c r="AK19" s="73">
        <f t="shared" si="8"/>
        <v>4.6551999999999998</v>
      </c>
    </row>
    <row r="20" spans="1:37" s="31" customFormat="1" ht="63.75" customHeight="1" x14ac:dyDescent="0.25">
      <c r="A20" s="59" t="s">
        <v>240</v>
      </c>
      <c r="B20" s="64" t="s">
        <v>241</v>
      </c>
      <c r="C20" s="56" t="s">
        <v>308</v>
      </c>
      <c r="D20" s="48">
        <v>204</v>
      </c>
      <c r="E20" s="20">
        <v>21.5</v>
      </c>
      <c r="F20" s="21">
        <f t="shared" si="9"/>
        <v>172</v>
      </c>
      <c r="G20" s="57">
        <v>0.5</v>
      </c>
      <c r="H20" s="22"/>
      <c r="I20" s="23">
        <f>E20*8</f>
        <v>172</v>
      </c>
      <c r="J20" s="55">
        <v>1297.4300000000003</v>
      </c>
      <c r="K20" s="55">
        <f>223.4997-40</f>
        <v>183.49969999999999</v>
      </c>
      <c r="L20" s="23"/>
      <c r="M20" s="22"/>
      <c r="N20" s="22">
        <v>4</v>
      </c>
      <c r="O20" s="52">
        <f t="shared" ref="O20:O22" si="29">IF(F20&gt;0,((K20+W20)/F20*I20),0)</f>
        <v>183.49969999999999</v>
      </c>
      <c r="P20" s="58">
        <f t="shared" si="0"/>
        <v>0</v>
      </c>
      <c r="Q20" s="53">
        <f t="shared" si="1"/>
        <v>0</v>
      </c>
      <c r="R20" s="53">
        <f t="shared" si="2"/>
        <v>34.13947906976744</v>
      </c>
      <c r="S20" s="53">
        <v>0</v>
      </c>
      <c r="T20" s="25">
        <v>0</v>
      </c>
      <c r="U20" s="24">
        <f>D20/26*T20/2</f>
        <v>0</v>
      </c>
      <c r="V20" s="24">
        <f t="shared" si="10"/>
        <v>0</v>
      </c>
      <c r="W20" s="24"/>
      <c r="X20" s="53"/>
      <c r="Y20" s="27"/>
      <c r="Z20" s="24">
        <v>7</v>
      </c>
      <c r="AA20" s="24">
        <v>10</v>
      </c>
      <c r="AB20" s="26">
        <f t="shared" si="19"/>
        <v>102</v>
      </c>
      <c r="AC20" s="24">
        <f t="shared" si="3"/>
        <v>4.6925999999999997</v>
      </c>
      <c r="AD20" s="26"/>
      <c r="AE20" s="54">
        <f t="shared" si="4"/>
        <v>234.63</v>
      </c>
      <c r="AF20" s="28">
        <f>AB20+AC20+AD20</f>
        <v>106.6926</v>
      </c>
      <c r="AG20" s="54">
        <f t="shared" si="5"/>
        <v>127.93</v>
      </c>
      <c r="AH20" s="29">
        <f t="shared" si="6"/>
        <v>127</v>
      </c>
      <c r="AI20" s="24">
        <f t="shared" si="7"/>
        <v>3700</v>
      </c>
      <c r="AJ20" s="30"/>
      <c r="AK20" s="73">
        <f t="shared" si="8"/>
        <v>4.6925999999999997</v>
      </c>
    </row>
    <row r="21" spans="1:37" s="31" customFormat="1" ht="63.75" customHeight="1" x14ac:dyDescent="0.25">
      <c r="A21" s="59" t="s">
        <v>242</v>
      </c>
      <c r="B21" s="64" t="s">
        <v>243</v>
      </c>
      <c r="C21" s="56" t="s">
        <v>311</v>
      </c>
      <c r="D21" s="48">
        <v>204</v>
      </c>
      <c r="E21" s="20">
        <v>21</v>
      </c>
      <c r="F21" s="21">
        <f>I21+L21+(M21)*8</f>
        <v>168</v>
      </c>
      <c r="G21" s="57">
        <v>1</v>
      </c>
      <c r="H21" s="22"/>
      <c r="I21" s="23">
        <f>E21*8</f>
        <v>168</v>
      </c>
      <c r="J21" s="55"/>
      <c r="K21" s="55"/>
      <c r="L21" s="23"/>
      <c r="M21" s="22"/>
      <c r="N21" s="22">
        <v>4</v>
      </c>
      <c r="O21" s="52">
        <f>IF(F21&gt;0,((K21+W21)/F21*I21),0)</f>
        <v>164.76923076923077</v>
      </c>
      <c r="P21" s="58">
        <f t="shared" si="0"/>
        <v>0</v>
      </c>
      <c r="Q21" s="53">
        <f t="shared" si="1"/>
        <v>0</v>
      </c>
      <c r="R21" s="53">
        <f t="shared" si="2"/>
        <v>31.384615384615387</v>
      </c>
      <c r="S21" s="53">
        <v>0</v>
      </c>
      <c r="T21" s="25">
        <v>0</v>
      </c>
      <c r="U21" s="24">
        <f>D21/26*T21/2</f>
        <v>0</v>
      </c>
      <c r="V21" s="24">
        <f t="shared" ref="V21" si="30">((L21)*1500/4000)</f>
        <v>0</v>
      </c>
      <c r="W21" s="24">
        <f>D21/208*F21</f>
        <v>164.76923076923077</v>
      </c>
      <c r="X21" s="53"/>
      <c r="Y21" s="27"/>
      <c r="Z21" s="24">
        <v>7</v>
      </c>
      <c r="AA21" s="24">
        <v>10</v>
      </c>
      <c r="AB21" s="26">
        <f t="shared" si="19"/>
        <v>102</v>
      </c>
      <c r="AC21" s="24">
        <f t="shared" si="3"/>
        <v>4.2629999999999999</v>
      </c>
      <c r="AD21" s="26"/>
      <c r="AE21" s="54">
        <f t="shared" si="4"/>
        <v>213.15</v>
      </c>
      <c r="AF21" s="28">
        <f>AB21+AC21+AD21</f>
        <v>106.26300000000001</v>
      </c>
      <c r="AG21" s="54">
        <f t="shared" ref="AG21" si="31">INT((AE21-AF21)*100)/100</f>
        <v>106.88</v>
      </c>
      <c r="AH21" s="29">
        <f t="shared" ref="AH21" si="32">INT(AG21)</f>
        <v>106</v>
      </c>
      <c r="AI21" s="24">
        <f t="shared" ref="AI21" si="33">INT((AG21-AH21)*40+0.5)*100</f>
        <v>3500</v>
      </c>
      <c r="AJ21" s="30"/>
      <c r="AK21" s="73">
        <f t="shared" si="8"/>
        <v>4.2629999999999999</v>
      </c>
    </row>
    <row r="22" spans="1:37" s="31" customFormat="1" ht="63.75" customHeight="1" x14ac:dyDescent="0.25">
      <c r="A22" s="43" t="s">
        <v>438</v>
      </c>
      <c r="B22" s="64" t="s">
        <v>439</v>
      </c>
      <c r="C22" s="56" t="s">
        <v>431</v>
      </c>
      <c r="D22" s="48">
        <v>204</v>
      </c>
      <c r="E22" s="20">
        <v>19</v>
      </c>
      <c r="F22" s="21">
        <f t="shared" si="9"/>
        <v>152</v>
      </c>
      <c r="G22" s="57">
        <v>3</v>
      </c>
      <c r="H22" s="22"/>
      <c r="I22" s="23">
        <f>E22*8</f>
        <v>152</v>
      </c>
      <c r="J22" s="55">
        <v>1225.68</v>
      </c>
      <c r="K22" s="55">
        <v>165.3597</v>
      </c>
      <c r="L22" s="23"/>
      <c r="M22" s="22"/>
      <c r="N22" s="22">
        <v>4</v>
      </c>
      <c r="O22" s="52">
        <f t="shared" si="29"/>
        <v>165.3597</v>
      </c>
      <c r="P22" s="58">
        <f t="shared" si="0"/>
        <v>0</v>
      </c>
      <c r="Q22" s="53">
        <f t="shared" si="1"/>
        <v>0</v>
      </c>
      <c r="R22" s="53">
        <f t="shared" si="2"/>
        <v>34.812568421052632</v>
      </c>
      <c r="S22" s="53">
        <v>0</v>
      </c>
      <c r="T22" s="25">
        <v>0</v>
      </c>
      <c r="U22" s="24">
        <f>D22/26*T22/2</f>
        <v>0</v>
      </c>
      <c r="V22" s="24">
        <f t="shared" si="10"/>
        <v>0</v>
      </c>
      <c r="W22" s="24"/>
      <c r="X22" s="53"/>
      <c r="Y22" s="27"/>
      <c r="Z22" s="24"/>
      <c r="AA22" s="24">
        <v>10</v>
      </c>
      <c r="AB22" s="26">
        <f t="shared" si="19"/>
        <v>102</v>
      </c>
      <c r="AC22" s="24">
        <f t="shared" si="3"/>
        <v>4.2034000000000002</v>
      </c>
      <c r="AD22" s="26"/>
      <c r="AE22" s="54">
        <f t="shared" si="4"/>
        <v>210.17</v>
      </c>
      <c r="AF22" s="28">
        <f>AB22+AC22+AD22</f>
        <v>106.2034</v>
      </c>
      <c r="AG22" s="54">
        <f t="shared" si="5"/>
        <v>103.96</v>
      </c>
      <c r="AH22" s="29">
        <f t="shared" si="6"/>
        <v>103</v>
      </c>
      <c r="AI22" s="24">
        <f t="shared" si="7"/>
        <v>3800</v>
      </c>
      <c r="AJ22" s="30"/>
      <c r="AK22" s="73">
        <f t="shared" si="8"/>
        <v>4.2034000000000002</v>
      </c>
    </row>
    <row r="23" spans="1:37" s="36" customFormat="1" ht="27.75" customHeight="1" thickBot="1" x14ac:dyDescent="0.3">
      <c r="A23" s="107" t="s">
        <v>33</v>
      </c>
      <c r="B23" s="108"/>
      <c r="C23" s="32"/>
      <c r="D23" s="33"/>
      <c r="E23" s="34">
        <f t="shared" ref="E23:AI23" si="34">SUM(E8:E22)</f>
        <v>310</v>
      </c>
      <c r="F23" s="34">
        <f t="shared" si="34"/>
        <v>2480</v>
      </c>
      <c r="G23" s="34">
        <f t="shared" si="34"/>
        <v>20</v>
      </c>
      <c r="H23" s="34">
        <f t="shared" si="34"/>
        <v>0</v>
      </c>
      <c r="I23" s="34">
        <f t="shared" si="34"/>
        <v>2480</v>
      </c>
      <c r="J23" s="34">
        <f t="shared" si="34"/>
        <v>8774.2899999999991</v>
      </c>
      <c r="K23" s="34">
        <f t="shared" si="34"/>
        <v>2107.0746000000004</v>
      </c>
      <c r="L23" s="34">
        <f t="shared" si="34"/>
        <v>0</v>
      </c>
      <c r="M23" s="34">
        <f t="shared" si="34"/>
        <v>0</v>
      </c>
      <c r="N23" s="34">
        <f t="shared" si="34"/>
        <v>60</v>
      </c>
      <c r="O23" s="34">
        <f t="shared" si="34"/>
        <v>2566.0745999999999</v>
      </c>
      <c r="P23" s="34">
        <f t="shared" si="34"/>
        <v>0</v>
      </c>
      <c r="Q23" s="34">
        <f t="shared" si="34"/>
        <v>0</v>
      </c>
      <c r="R23" s="34">
        <f>SUM(R8:R22)</f>
        <v>497.95581670295161</v>
      </c>
      <c r="S23" s="34">
        <f>SUM(S8:S22)</f>
        <v>0</v>
      </c>
      <c r="T23" s="34">
        <f t="shared" si="34"/>
        <v>0</v>
      </c>
      <c r="U23" s="34">
        <f t="shared" si="34"/>
        <v>0</v>
      </c>
      <c r="V23" s="34">
        <f t="shared" si="34"/>
        <v>0</v>
      </c>
      <c r="W23" s="34">
        <f t="shared" si="34"/>
        <v>459</v>
      </c>
      <c r="X23" s="34">
        <f t="shared" si="34"/>
        <v>-3.1886769230769119</v>
      </c>
      <c r="Y23" s="34">
        <f t="shared" si="34"/>
        <v>0</v>
      </c>
      <c r="Z23" s="34">
        <f t="shared" si="34"/>
        <v>88</v>
      </c>
      <c r="AA23" s="34">
        <f t="shared" si="34"/>
        <v>150</v>
      </c>
      <c r="AB23" s="34">
        <f t="shared" si="34"/>
        <v>1530</v>
      </c>
      <c r="AC23" s="34">
        <f t="shared" si="34"/>
        <v>66.103000000000009</v>
      </c>
      <c r="AD23" s="34">
        <f t="shared" si="34"/>
        <v>0</v>
      </c>
      <c r="AE23" s="34">
        <f t="shared" si="34"/>
        <v>3305.15</v>
      </c>
      <c r="AF23" s="34">
        <f t="shared" si="34"/>
        <v>1596.1030000000001</v>
      </c>
      <c r="AG23" s="34">
        <f t="shared" si="34"/>
        <v>1708.9699999999998</v>
      </c>
      <c r="AH23" s="34">
        <f t="shared" si="34"/>
        <v>1702</v>
      </c>
      <c r="AI23" s="34">
        <f t="shared" si="34"/>
        <v>27900</v>
      </c>
      <c r="AJ23" s="35"/>
    </row>
    <row r="24" spans="1:37" ht="21.75" customHeight="1" thickTop="1" x14ac:dyDescent="0.2">
      <c r="A24" s="109" t="s">
        <v>34</v>
      </c>
      <c r="B24" s="109"/>
      <c r="C24" s="109"/>
      <c r="D24" s="37"/>
      <c r="E24" s="37"/>
      <c r="F24" s="37"/>
      <c r="G24" s="37"/>
      <c r="H24" s="37"/>
      <c r="I24" s="37"/>
      <c r="J24" s="37"/>
      <c r="K24" s="37"/>
      <c r="L24" s="110"/>
      <c r="M24" s="110"/>
      <c r="N24" s="110"/>
      <c r="O24" s="38"/>
      <c r="P24" s="110" t="s">
        <v>35</v>
      </c>
      <c r="Q24" s="110"/>
      <c r="R24" s="110"/>
      <c r="S24" s="85"/>
      <c r="T24" s="38"/>
      <c r="U24" s="38"/>
      <c r="Z24" s="39"/>
      <c r="AA24" s="39"/>
      <c r="AE24" s="39"/>
      <c r="AF24" s="39"/>
      <c r="AG24" s="111" t="s">
        <v>36</v>
      </c>
      <c r="AH24" s="111"/>
      <c r="AI24" s="111"/>
      <c r="AJ24" s="40"/>
    </row>
    <row r="25" spans="1:37" ht="21" customHeight="1" x14ac:dyDescent="0.2">
      <c r="A25" s="41"/>
      <c r="B25" s="41"/>
      <c r="C25" s="41"/>
      <c r="D25" s="41"/>
      <c r="E25" s="41"/>
      <c r="H25" s="41"/>
      <c r="I25" s="41"/>
      <c r="J25" s="41"/>
      <c r="K25" s="41"/>
      <c r="L25" s="41"/>
    </row>
    <row r="26" spans="1:37" ht="13.5" customHeight="1" x14ac:dyDescent="0.2">
      <c r="A26" s="41"/>
      <c r="B26" s="41"/>
      <c r="C26" s="41"/>
      <c r="D26" s="41"/>
      <c r="E26" s="41"/>
      <c r="H26" s="41"/>
      <c r="I26" s="41"/>
      <c r="J26" s="41"/>
      <c r="K26" s="41"/>
      <c r="L26" s="41"/>
    </row>
    <row r="27" spans="1:37" s="41" customFormat="1" x14ac:dyDescent="0.2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7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7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7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7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7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5:36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</sheetData>
  <autoFilter ref="A7:AI25" xr:uid="{00000000-0009-0000-0000-000000000000}"/>
  <mergeCells count="12">
    <mergeCell ref="A23:B23"/>
    <mergeCell ref="A24:C24"/>
    <mergeCell ref="L24:N24"/>
    <mergeCell ref="P24:R24"/>
    <mergeCell ref="AG24:AI24"/>
    <mergeCell ref="A1:AJ1"/>
    <mergeCell ref="A2:AJ2"/>
    <mergeCell ref="A3:AJ3"/>
    <mergeCell ref="A4:B4"/>
    <mergeCell ref="B5:B6"/>
    <mergeCell ref="T5:U5"/>
    <mergeCell ref="AJ5:AJ6"/>
  </mergeCells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D014-646A-4E8D-93D8-909C42524C3E}">
  <sheetPr>
    <tabColor theme="7" tint="0.39997558519241921"/>
  </sheetPr>
  <dimension ref="A1:AR83"/>
  <sheetViews>
    <sheetView zoomScale="130" zoomScaleNormal="130" workbookViewId="0">
      <pane ySplit="7" topLeftCell="A26" activePane="bottomLeft" state="frozen"/>
      <selection pane="bottomLeft" activeCell="M27" sqref="M27"/>
    </sheetView>
  </sheetViews>
  <sheetFormatPr defaultColWidth="9.140625" defaultRowHeight="12.75" x14ac:dyDescent="0.2"/>
  <cols>
    <col min="1" max="1" width="5.85546875" style="1" customWidth="1"/>
    <col min="2" max="2" width="9.570312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" style="1" customWidth="1"/>
    <col min="10" max="10" width="6" style="1" customWidth="1"/>
    <col min="11" max="11" width="4.85546875" style="1" customWidth="1"/>
    <col min="12" max="12" width="3.5703125" style="1" customWidth="1"/>
    <col min="13" max="14" width="3.42578125" style="41" customWidth="1"/>
    <col min="15" max="15" width="6.28515625" style="1" customWidth="1"/>
    <col min="16" max="16" width="5" style="1" customWidth="1"/>
    <col min="17" max="21" width="4.5703125" style="1" customWidth="1"/>
    <col min="22" max="23" width="4.140625" style="1" customWidth="1"/>
    <col min="24" max="24" width="3.85546875" style="1" customWidth="1"/>
    <col min="25" max="25" width="4.28515625" style="1" customWidth="1"/>
    <col min="26" max="26" width="4.140625" style="1" customWidth="1"/>
    <col min="27" max="27" width="3.85546875" style="1" customWidth="1"/>
    <col min="28" max="28" width="4.140625" style="1" customWidth="1"/>
    <col min="29" max="29" width="4" style="1" customWidth="1"/>
    <col min="30" max="30" width="4.28515625" style="1" customWidth="1"/>
    <col min="31" max="32" width="3.85546875" style="1" customWidth="1"/>
    <col min="33" max="33" width="5.28515625" style="1" customWidth="1"/>
    <col min="34" max="34" width="5" style="1" customWidth="1"/>
    <col min="35" max="36" width="5.140625" style="1" customWidth="1"/>
    <col min="37" max="37" width="6" style="1" customWidth="1"/>
    <col min="38" max="38" width="11.28515625" style="1" customWidth="1"/>
    <col min="39" max="16384" width="9.140625" style="1"/>
  </cols>
  <sheetData>
    <row r="1" spans="1:39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</row>
    <row r="2" spans="1:39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</row>
    <row r="3" spans="1:39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</row>
    <row r="4" spans="1:39" ht="15.75" customHeight="1" thickBot="1" x14ac:dyDescent="0.4">
      <c r="A4" s="117" t="s">
        <v>320</v>
      </c>
      <c r="B4" s="118"/>
      <c r="C4" s="2">
        <f>COUNTA(B8:B27)</f>
        <v>20</v>
      </c>
      <c r="D4" s="3"/>
      <c r="E4" s="3"/>
      <c r="F4" s="1"/>
      <c r="G4" s="1"/>
      <c r="M4" s="1"/>
      <c r="N4" s="1"/>
      <c r="AC4" s="4"/>
      <c r="AG4" s="5"/>
      <c r="AH4" s="5"/>
      <c r="AI4" s="5"/>
      <c r="AK4" s="5"/>
    </row>
    <row r="5" spans="1:39" s="9" customFormat="1" ht="30.7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8" t="s">
        <v>4</v>
      </c>
      <c r="U5" s="8" t="s">
        <v>581</v>
      </c>
      <c r="V5" s="103" t="s">
        <v>11</v>
      </c>
      <c r="W5" s="103"/>
      <c r="X5" s="7" t="s">
        <v>4</v>
      </c>
      <c r="Y5" s="7" t="s">
        <v>4</v>
      </c>
      <c r="Z5" s="51" t="s">
        <v>4</v>
      </c>
      <c r="AA5" s="8" t="s">
        <v>4</v>
      </c>
      <c r="AB5" s="7" t="s">
        <v>4</v>
      </c>
      <c r="AC5" s="7" t="s">
        <v>4</v>
      </c>
      <c r="AD5" s="7" t="s">
        <v>4</v>
      </c>
      <c r="AE5" s="7" t="s">
        <v>4</v>
      </c>
      <c r="AF5" s="8" t="s">
        <v>4</v>
      </c>
      <c r="AG5" s="8" t="s">
        <v>12</v>
      </c>
      <c r="AH5" s="8" t="s">
        <v>4</v>
      </c>
      <c r="AI5" s="8" t="s">
        <v>303</v>
      </c>
      <c r="AJ5" s="8" t="s">
        <v>13</v>
      </c>
      <c r="AK5" s="7" t="s">
        <v>4</v>
      </c>
      <c r="AL5" s="105" t="s">
        <v>584</v>
      </c>
    </row>
    <row r="6" spans="1:39" s="9" customFormat="1" ht="30.7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657</v>
      </c>
      <c r="T6" s="13" t="s">
        <v>658</v>
      </c>
      <c r="U6" s="13" t="s">
        <v>582</v>
      </c>
      <c r="V6" s="14" t="s">
        <v>24</v>
      </c>
      <c r="W6" s="15" t="s">
        <v>4</v>
      </c>
      <c r="X6" s="11" t="s">
        <v>25</v>
      </c>
      <c r="Y6" s="12" t="s">
        <v>314</v>
      </c>
      <c r="Z6" s="50" t="s">
        <v>300</v>
      </c>
      <c r="AA6" s="12" t="s">
        <v>26</v>
      </c>
      <c r="AB6" s="13" t="s">
        <v>306</v>
      </c>
      <c r="AC6" s="12" t="s">
        <v>27</v>
      </c>
      <c r="AD6" s="12" t="s">
        <v>296</v>
      </c>
      <c r="AE6" s="12" t="s">
        <v>297</v>
      </c>
      <c r="AF6" s="16" t="s">
        <v>28</v>
      </c>
      <c r="AG6" s="12" t="s">
        <v>301</v>
      </c>
      <c r="AH6" s="12" t="s">
        <v>302</v>
      </c>
      <c r="AI6" s="12" t="s">
        <v>304</v>
      </c>
      <c r="AJ6" s="12" t="s">
        <v>29</v>
      </c>
      <c r="AK6" s="11" t="s">
        <v>30</v>
      </c>
      <c r="AL6" s="106"/>
    </row>
    <row r="7" spans="1:39" s="2" customFormat="1" ht="24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  <c r="AK7" s="17">
        <v>37</v>
      </c>
      <c r="AL7" s="18">
        <v>38</v>
      </c>
    </row>
    <row r="8" spans="1:39" s="31" customFormat="1" ht="81" customHeight="1" x14ac:dyDescent="0.25">
      <c r="A8" s="44" t="s">
        <v>544</v>
      </c>
      <c r="B8" s="42" t="s">
        <v>135</v>
      </c>
      <c r="C8" s="56" t="s">
        <v>308</v>
      </c>
      <c r="D8" s="48">
        <v>204</v>
      </c>
      <c r="E8" s="20">
        <v>22</v>
      </c>
      <c r="F8" s="21">
        <f>I8+L8+(M8)*8</f>
        <v>176</v>
      </c>
      <c r="G8" s="57"/>
      <c r="H8" s="22"/>
      <c r="I8" s="23">
        <f>E8*8</f>
        <v>176</v>
      </c>
      <c r="J8" s="55">
        <v>1153.43</v>
      </c>
      <c r="K8" s="55">
        <f>379.8288-100-100</f>
        <v>179.8288</v>
      </c>
      <c r="L8" s="23"/>
      <c r="M8" s="22"/>
      <c r="N8" s="22">
        <v>4</v>
      </c>
      <c r="O8" s="52">
        <f t="shared" ref="O8:O27" si="0">IF(F8&gt;0,((K8+Y8)/F8*I8),0)</f>
        <v>179.82879999999997</v>
      </c>
      <c r="P8" s="58">
        <f>IF(F8&gt;0,((K8+Y8)/F8*L8*1.5)*100)/100</f>
        <v>0</v>
      </c>
      <c r="Q8" s="53">
        <f>IF(F8&gt;0,((K8+Y8)/F8*M8*8*2)*100)/100</f>
        <v>0</v>
      </c>
      <c r="R8" s="53">
        <f>IF(F8&gt;0,((K8+Y8)/F8*N8*8*1)*100)/100</f>
        <v>32.696145454545452</v>
      </c>
      <c r="S8" s="53">
        <v>0</v>
      </c>
      <c r="T8" s="53">
        <v>0</v>
      </c>
      <c r="U8" s="53">
        <v>0</v>
      </c>
      <c r="V8" s="25">
        <v>0</v>
      </c>
      <c r="W8" s="24">
        <f>D8/26*V8/2</f>
        <v>0</v>
      </c>
      <c r="X8" s="24">
        <f>((L8)*1500/4000)</f>
        <v>0</v>
      </c>
      <c r="Y8" s="60"/>
      <c r="Z8" s="53"/>
      <c r="AA8" s="27"/>
      <c r="AB8" s="24">
        <v>10</v>
      </c>
      <c r="AC8" s="24">
        <v>10</v>
      </c>
      <c r="AD8" s="26">
        <f>D8/2</f>
        <v>102</v>
      </c>
      <c r="AE8" s="24">
        <f>AM8</f>
        <v>4.6504000000000003</v>
      </c>
      <c r="AF8" s="26"/>
      <c r="AG8" s="54">
        <f t="shared" ref="AG8:AG16" si="1">INT((O8+P8+Q8+R8+W8+X8+AB8+AC8+AA8-Z8+S8+U8)*100)/100</f>
        <v>232.52</v>
      </c>
      <c r="AH8" s="28">
        <f>AD8+AE8+AF8</f>
        <v>106.6504</v>
      </c>
      <c r="AI8" s="54">
        <f t="shared" ref="AI8:AI22" si="2">INT((AG8-AH8)*100)/100</f>
        <v>125.86</v>
      </c>
      <c r="AJ8" s="29">
        <f t="shared" ref="AJ8:AJ22" si="3">INT(AI8)</f>
        <v>125</v>
      </c>
      <c r="AK8" s="24">
        <f>INT((AI8-AJ8)*40+0.5)*100</f>
        <v>3400</v>
      </c>
      <c r="AL8" s="30"/>
      <c r="AM8" s="73">
        <f>(AG8*0.04)/2</f>
        <v>4.6504000000000003</v>
      </c>
    </row>
    <row r="9" spans="1:39" s="31" customFormat="1" ht="81" customHeight="1" x14ac:dyDescent="0.25">
      <c r="A9" s="44" t="s">
        <v>545</v>
      </c>
      <c r="B9" s="42" t="s">
        <v>136</v>
      </c>
      <c r="C9" s="56" t="s">
        <v>308</v>
      </c>
      <c r="D9" s="48">
        <v>204</v>
      </c>
      <c r="E9" s="20">
        <v>21</v>
      </c>
      <c r="F9" s="21">
        <f t="shared" ref="F9:F27" si="4">I9+L9+(M9)*8</f>
        <v>168</v>
      </c>
      <c r="G9" s="57">
        <v>1</v>
      </c>
      <c r="H9" s="22"/>
      <c r="I9" s="23">
        <f>E9*8</f>
        <v>168</v>
      </c>
      <c r="J9" s="55">
        <v>976.44999999999982</v>
      </c>
      <c r="K9" s="55">
        <v>174.31319999999999</v>
      </c>
      <c r="L9" s="23"/>
      <c r="M9" s="22"/>
      <c r="N9" s="22">
        <v>4</v>
      </c>
      <c r="O9" s="52">
        <f t="shared" si="0"/>
        <v>174.31319999999999</v>
      </c>
      <c r="P9" s="58">
        <f t="shared" ref="P9:P27" si="5">IF(F9&gt;0,((K9+Y9)/F9*L9*1.5)*100)/100</f>
        <v>0</v>
      </c>
      <c r="Q9" s="53">
        <f t="shared" ref="Q9:Q27" si="6">IF(F9&gt;0,((K9+Y9)/F9*M9*8*2)*100)/100</f>
        <v>0</v>
      </c>
      <c r="R9" s="53">
        <f t="shared" ref="R9:R27" si="7">IF(F9&gt;0,((K9+Y9)/F9*N9*8*1)*100)/100</f>
        <v>33.202514285714287</v>
      </c>
      <c r="S9" s="53">
        <v>0</v>
      </c>
      <c r="T9" s="53">
        <v>0</v>
      </c>
      <c r="U9" s="53">
        <v>0</v>
      </c>
      <c r="V9" s="25">
        <v>0</v>
      </c>
      <c r="W9" s="24">
        <f t="shared" ref="W9:W27" si="8">D9/26*V9/2</f>
        <v>0</v>
      </c>
      <c r="X9" s="24">
        <f t="shared" ref="X9:X27" si="9">((L9)*1500/4000)</f>
        <v>0</v>
      </c>
      <c r="Y9" s="60"/>
      <c r="Z9" s="53"/>
      <c r="AA9" s="27"/>
      <c r="AB9" s="24">
        <v>7</v>
      </c>
      <c r="AC9" s="24">
        <v>10</v>
      </c>
      <c r="AD9" s="26">
        <f t="shared" ref="AD9:AD27" si="10">D9/2</f>
        <v>102</v>
      </c>
      <c r="AE9" s="24">
        <f t="shared" ref="AE9:AE27" si="11">AM9</f>
        <v>4.4901999999999997</v>
      </c>
      <c r="AF9" s="26"/>
      <c r="AG9" s="54">
        <f t="shared" si="1"/>
        <v>224.51</v>
      </c>
      <c r="AH9" s="28">
        <f>AD9+AE9+AF9</f>
        <v>106.4902</v>
      </c>
      <c r="AI9" s="54">
        <f t="shared" si="2"/>
        <v>118.01</v>
      </c>
      <c r="AJ9" s="29">
        <f t="shared" si="3"/>
        <v>118</v>
      </c>
      <c r="AK9" s="24">
        <f t="shared" ref="AK9:AK22" si="12">INT((AI9-AJ9)*40+0.5)*100</f>
        <v>0</v>
      </c>
      <c r="AL9" s="30"/>
      <c r="AM9" s="73">
        <f t="shared" ref="AM9:AM23" si="13">(AG9*0.04)/2</f>
        <v>4.4901999999999997</v>
      </c>
    </row>
    <row r="10" spans="1:39" s="31" customFormat="1" ht="81" customHeight="1" x14ac:dyDescent="0.25">
      <c r="A10" s="44" t="s">
        <v>546</v>
      </c>
      <c r="B10" s="42" t="s">
        <v>244</v>
      </c>
      <c r="C10" s="56" t="s">
        <v>308</v>
      </c>
      <c r="D10" s="48">
        <v>204</v>
      </c>
      <c r="E10" s="20">
        <v>22</v>
      </c>
      <c r="F10" s="21">
        <f t="shared" si="4"/>
        <v>176</v>
      </c>
      <c r="G10" s="57"/>
      <c r="H10" s="22"/>
      <c r="I10" s="23">
        <f t="shared" ref="I10:I21" si="14">E10*8</f>
        <v>176</v>
      </c>
      <c r="J10" s="55">
        <v>1013.48</v>
      </c>
      <c r="K10" s="55">
        <f>197.40715-20</f>
        <v>177.40715</v>
      </c>
      <c r="L10" s="23"/>
      <c r="M10" s="22"/>
      <c r="N10" s="22">
        <v>4</v>
      </c>
      <c r="O10" s="52">
        <f t="shared" si="0"/>
        <v>177.40715000000003</v>
      </c>
      <c r="P10" s="58">
        <f t="shared" si="5"/>
        <v>0</v>
      </c>
      <c r="Q10" s="53">
        <f t="shared" si="6"/>
        <v>0</v>
      </c>
      <c r="R10" s="53">
        <f t="shared" si="7"/>
        <v>32.255845454545458</v>
      </c>
      <c r="S10" s="53">
        <v>0</v>
      </c>
      <c r="T10" s="53">
        <v>0</v>
      </c>
      <c r="U10" s="53">
        <v>0</v>
      </c>
      <c r="V10" s="25">
        <v>0</v>
      </c>
      <c r="W10" s="24">
        <f t="shared" si="8"/>
        <v>0</v>
      </c>
      <c r="X10" s="24">
        <f t="shared" si="9"/>
        <v>0</v>
      </c>
      <c r="Y10" s="60"/>
      <c r="Z10" s="53"/>
      <c r="AA10" s="27"/>
      <c r="AB10" s="24">
        <v>10</v>
      </c>
      <c r="AC10" s="24">
        <v>10</v>
      </c>
      <c r="AD10" s="26">
        <f t="shared" si="10"/>
        <v>102</v>
      </c>
      <c r="AE10" s="24">
        <f t="shared" si="11"/>
        <v>4.5932000000000004</v>
      </c>
      <c r="AF10" s="26"/>
      <c r="AG10" s="54">
        <f t="shared" si="1"/>
        <v>229.66</v>
      </c>
      <c r="AH10" s="28">
        <f t="shared" ref="AH10:AH21" si="15">AD10+AE10+AF10</f>
        <v>106.5932</v>
      </c>
      <c r="AI10" s="54">
        <f t="shared" si="2"/>
        <v>123.06</v>
      </c>
      <c r="AJ10" s="29">
        <f t="shared" si="3"/>
        <v>123</v>
      </c>
      <c r="AK10" s="24">
        <f t="shared" si="12"/>
        <v>200</v>
      </c>
      <c r="AL10" s="30"/>
      <c r="AM10" s="73">
        <f t="shared" si="13"/>
        <v>4.5932000000000004</v>
      </c>
    </row>
    <row r="11" spans="1:39" s="31" customFormat="1" ht="81" customHeight="1" x14ac:dyDescent="0.25">
      <c r="A11" s="44" t="s">
        <v>547</v>
      </c>
      <c r="B11" s="42" t="s">
        <v>137</v>
      </c>
      <c r="C11" s="56" t="s">
        <v>308</v>
      </c>
      <c r="D11" s="48">
        <v>204</v>
      </c>
      <c r="E11" s="20">
        <v>21</v>
      </c>
      <c r="F11" s="21">
        <f t="shared" si="4"/>
        <v>168</v>
      </c>
      <c r="G11" s="57">
        <v>1</v>
      </c>
      <c r="H11" s="22"/>
      <c r="I11" s="23">
        <f t="shared" si="14"/>
        <v>168</v>
      </c>
      <c r="J11" s="55">
        <v>918.84</v>
      </c>
      <c r="K11" s="55">
        <v>154.56275000000008</v>
      </c>
      <c r="L11" s="23"/>
      <c r="M11" s="22"/>
      <c r="N11" s="22">
        <v>4</v>
      </c>
      <c r="O11" s="52">
        <f t="shared" si="0"/>
        <v>154.56275000000008</v>
      </c>
      <c r="P11" s="58">
        <f t="shared" si="5"/>
        <v>0</v>
      </c>
      <c r="Q11" s="53">
        <f t="shared" si="6"/>
        <v>0</v>
      </c>
      <c r="R11" s="53">
        <f>D11/26*N11</f>
        <v>31.384615384615383</v>
      </c>
      <c r="S11" s="53">
        <v>0</v>
      </c>
      <c r="T11" s="53">
        <v>0</v>
      </c>
      <c r="U11" s="53">
        <v>0</v>
      </c>
      <c r="V11" s="25">
        <v>0</v>
      </c>
      <c r="W11" s="24">
        <f t="shared" si="8"/>
        <v>0</v>
      </c>
      <c r="X11" s="24">
        <f t="shared" si="9"/>
        <v>0</v>
      </c>
      <c r="Y11" s="60"/>
      <c r="Z11" s="53">
        <f t="shared" ref="Z11:Z16" si="16">(-D11/208*I11)+(O11)</f>
        <v>-10.206480769230694</v>
      </c>
      <c r="AA11" s="27"/>
      <c r="AB11" s="24">
        <v>7</v>
      </c>
      <c r="AC11" s="24">
        <v>10</v>
      </c>
      <c r="AD11" s="26">
        <f t="shared" si="10"/>
        <v>102</v>
      </c>
      <c r="AE11" s="24">
        <f t="shared" si="11"/>
        <v>4.2629999999999999</v>
      </c>
      <c r="AF11" s="26"/>
      <c r="AG11" s="54">
        <f t="shared" si="1"/>
        <v>213.15</v>
      </c>
      <c r="AH11" s="28">
        <f t="shared" si="15"/>
        <v>106.26300000000001</v>
      </c>
      <c r="AI11" s="54">
        <f t="shared" si="2"/>
        <v>106.88</v>
      </c>
      <c r="AJ11" s="29">
        <f t="shared" si="3"/>
        <v>106</v>
      </c>
      <c r="AK11" s="24">
        <f t="shared" si="12"/>
        <v>3500</v>
      </c>
      <c r="AL11" s="30"/>
      <c r="AM11" s="73">
        <f t="shared" si="13"/>
        <v>4.2629999999999999</v>
      </c>
    </row>
    <row r="12" spans="1:39" s="31" customFormat="1" ht="81" customHeight="1" x14ac:dyDescent="0.25">
      <c r="A12" s="44" t="s">
        <v>558</v>
      </c>
      <c r="B12" s="42" t="s">
        <v>106</v>
      </c>
      <c r="C12" s="56" t="s">
        <v>308</v>
      </c>
      <c r="D12" s="48">
        <v>204</v>
      </c>
      <c r="E12" s="20">
        <v>21.5</v>
      </c>
      <c r="F12" s="21">
        <f t="shared" si="4"/>
        <v>172</v>
      </c>
      <c r="G12" s="57">
        <v>0.5</v>
      </c>
      <c r="H12" s="22"/>
      <c r="I12" s="23">
        <f t="shared" si="14"/>
        <v>172</v>
      </c>
      <c r="J12" s="55">
        <v>698.7399999999999</v>
      </c>
      <c r="K12" s="55">
        <f>212.78435-30</f>
        <v>182.78434999999999</v>
      </c>
      <c r="L12" s="23"/>
      <c r="M12" s="22"/>
      <c r="N12" s="22">
        <v>4</v>
      </c>
      <c r="O12" s="52">
        <f t="shared" si="0"/>
        <v>182.78435000000002</v>
      </c>
      <c r="P12" s="58">
        <f t="shared" si="5"/>
        <v>0</v>
      </c>
      <c r="Q12" s="53">
        <f t="shared" si="6"/>
        <v>0</v>
      </c>
      <c r="R12" s="53">
        <f t="shared" si="7"/>
        <v>34.006390697674419</v>
      </c>
      <c r="S12" s="53">
        <v>0</v>
      </c>
      <c r="T12" s="53">
        <v>0</v>
      </c>
      <c r="U12" s="53">
        <v>0</v>
      </c>
      <c r="V12" s="25">
        <v>0</v>
      </c>
      <c r="W12" s="24">
        <f t="shared" si="8"/>
        <v>0</v>
      </c>
      <c r="X12" s="24">
        <f t="shared" si="9"/>
        <v>0</v>
      </c>
      <c r="Y12" s="60"/>
      <c r="Z12" s="53"/>
      <c r="AA12" s="27"/>
      <c r="AB12" s="24">
        <v>7</v>
      </c>
      <c r="AC12" s="24">
        <v>10</v>
      </c>
      <c r="AD12" s="26">
        <f t="shared" si="10"/>
        <v>102</v>
      </c>
      <c r="AE12" s="24">
        <f t="shared" si="11"/>
        <v>4.6757999999999997</v>
      </c>
      <c r="AF12" s="26"/>
      <c r="AG12" s="54">
        <f t="shared" si="1"/>
        <v>233.79</v>
      </c>
      <c r="AH12" s="28">
        <f t="shared" si="15"/>
        <v>106.6758</v>
      </c>
      <c r="AI12" s="54">
        <f t="shared" si="2"/>
        <v>127.11</v>
      </c>
      <c r="AJ12" s="29">
        <f t="shared" si="3"/>
        <v>127</v>
      </c>
      <c r="AK12" s="24">
        <f t="shared" si="12"/>
        <v>400</v>
      </c>
      <c r="AL12" s="30"/>
      <c r="AM12" s="73">
        <f t="shared" si="13"/>
        <v>4.6757999999999997</v>
      </c>
    </row>
    <row r="13" spans="1:39" s="31" customFormat="1" ht="81" customHeight="1" x14ac:dyDescent="0.25">
      <c r="A13" s="44" t="s">
        <v>548</v>
      </c>
      <c r="B13" s="42" t="s">
        <v>138</v>
      </c>
      <c r="C13" s="56" t="s">
        <v>308</v>
      </c>
      <c r="D13" s="48">
        <v>204</v>
      </c>
      <c r="E13" s="20">
        <v>22</v>
      </c>
      <c r="F13" s="21">
        <f t="shared" si="4"/>
        <v>176</v>
      </c>
      <c r="G13" s="57"/>
      <c r="H13" s="22"/>
      <c r="I13" s="23">
        <f t="shared" si="14"/>
        <v>176</v>
      </c>
      <c r="J13" s="55">
        <v>795.32</v>
      </c>
      <c r="K13" s="55">
        <v>137.61724999999998</v>
      </c>
      <c r="L13" s="23"/>
      <c r="M13" s="22"/>
      <c r="N13" s="22">
        <v>4</v>
      </c>
      <c r="O13" s="52">
        <f t="shared" si="0"/>
        <v>176.84801923076924</v>
      </c>
      <c r="P13" s="58">
        <f t="shared" si="5"/>
        <v>0</v>
      </c>
      <c r="Q13" s="53">
        <f t="shared" si="6"/>
        <v>0</v>
      </c>
      <c r="R13" s="53">
        <f t="shared" si="7"/>
        <v>32.154185314685314</v>
      </c>
      <c r="S13" s="53">
        <v>0</v>
      </c>
      <c r="T13" s="53">
        <v>0</v>
      </c>
      <c r="U13" s="53">
        <v>0</v>
      </c>
      <c r="V13" s="25">
        <v>0</v>
      </c>
      <c r="W13" s="24">
        <f t="shared" si="8"/>
        <v>0</v>
      </c>
      <c r="X13" s="24">
        <f t="shared" si="9"/>
        <v>0</v>
      </c>
      <c r="Y13" s="60">
        <f>D13/208*40</f>
        <v>39.230769230769226</v>
      </c>
      <c r="Z13" s="53"/>
      <c r="AA13" s="27"/>
      <c r="AB13" s="24">
        <v>10</v>
      </c>
      <c r="AC13" s="24">
        <v>10</v>
      </c>
      <c r="AD13" s="26">
        <f t="shared" si="10"/>
        <v>102</v>
      </c>
      <c r="AE13" s="24">
        <f t="shared" si="11"/>
        <v>4.58</v>
      </c>
      <c r="AF13" s="26"/>
      <c r="AG13" s="54">
        <f t="shared" si="1"/>
        <v>229</v>
      </c>
      <c r="AH13" s="28">
        <f t="shared" si="15"/>
        <v>106.58</v>
      </c>
      <c r="AI13" s="54">
        <f t="shared" si="2"/>
        <v>122.42</v>
      </c>
      <c r="AJ13" s="29">
        <f t="shared" si="3"/>
        <v>122</v>
      </c>
      <c r="AK13" s="24">
        <f t="shared" si="12"/>
        <v>1700</v>
      </c>
      <c r="AL13" s="30"/>
      <c r="AM13" s="73">
        <f t="shared" si="13"/>
        <v>4.58</v>
      </c>
    </row>
    <row r="14" spans="1:39" s="31" customFormat="1" ht="81" customHeight="1" x14ac:dyDescent="0.25">
      <c r="A14" s="44" t="s">
        <v>413</v>
      </c>
      <c r="B14" s="42" t="s">
        <v>139</v>
      </c>
      <c r="C14" s="56" t="s">
        <v>308</v>
      </c>
      <c r="D14" s="48">
        <v>204</v>
      </c>
      <c r="E14" s="20">
        <v>22</v>
      </c>
      <c r="F14" s="21">
        <f t="shared" si="4"/>
        <v>176</v>
      </c>
      <c r="G14" s="57"/>
      <c r="H14" s="22"/>
      <c r="I14" s="23">
        <f t="shared" si="14"/>
        <v>176</v>
      </c>
      <c r="J14" s="55">
        <v>1119.0600000000002</v>
      </c>
      <c r="K14" s="55">
        <f>193.2999-15</f>
        <v>178.29990000000001</v>
      </c>
      <c r="L14" s="23"/>
      <c r="M14" s="22"/>
      <c r="N14" s="22">
        <v>4</v>
      </c>
      <c r="O14" s="52">
        <f t="shared" si="0"/>
        <v>178.29990000000001</v>
      </c>
      <c r="P14" s="58">
        <f t="shared" si="5"/>
        <v>0</v>
      </c>
      <c r="Q14" s="53">
        <f t="shared" si="6"/>
        <v>0</v>
      </c>
      <c r="R14" s="53">
        <f t="shared" si="7"/>
        <v>32.418163636363637</v>
      </c>
      <c r="S14" s="53">
        <v>0</v>
      </c>
      <c r="T14" s="53">
        <v>0</v>
      </c>
      <c r="U14" s="53">
        <v>0</v>
      </c>
      <c r="V14" s="25">
        <v>0</v>
      </c>
      <c r="W14" s="24">
        <f t="shared" si="8"/>
        <v>0</v>
      </c>
      <c r="X14" s="24">
        <f t="shared" si="9"/>
        <v>0</v>
      </c>
      <c r="Y14" s="60"/>
      <c r="Z14" s="53"/>
      <c r="AA14" s="27"/>
      <c r="AB14" s="24">
        <v>10</v>
      </c>
      <c r="AC14" s="24">
        <v>10</v>
      </c>
      <c r="AD14" s="26">
        <f t="shared" si="10"/>
        <v>102</v>
      </c>
      <c r="AE14" s="24">
        <f t="shared" si="11"/>
        <v>4.6142000000000003</v>
      </c>
      <c r="AF14" s="26"/>
      <c r="AG14" s="54">
        <f t="shared" si="1"/>
        <v>230.71</v>
      </c>
      <c r="AH14" s="28">
        <f t="shared" si="15"/>
        <v>106.6142</v>
      </c>
      <c r="AI14" s="54">
        <f t="shared" si="2"/>
        <v>124.09</v>
      </c>
      <c r="AJ14" s="29">
        <f t="shared" si="3"/>
        <v>124</v>
      </c>
      <c r="AK14" s="24">
        <f t="shared" si="12"/>
        <v>400</v>
      </c>
      <c r="AL14" s="30"/>
      <c r="AM14" s="73">
        <f t="shared" si="13"/>
        <v>4.6142000000000003</v>
      </c>
    </row>
    <row r="15" spans="1:39" s="31" customFormat="1" ht="81" customHeight="1" x14ac:dyDescent="0.25">
      <c r="A15" s="44" t="s">
        <v>549</v>
      </c>
      <c r="B15" s="42" t="s">
        <v>245</v>
      </c>
      <c r="C15" s="56" t="s">
        <v>308</v>
      </c>
      <c r="D15" s="48">
        <v>204</v>
      </c>
      <c r="E15" s="20">
        <v>21.5</v>
      </c>
      <c r="F15" s="21">
        <f t="shared" si="4"/>
        <v>172</v>
      </c>
      <c r="G15" s="57">
        <v>0.5</v>
      </c>
      <c r="H15" s="22"/>
      <c r="I15" s="23">
        <f t="shared" si="14"/>
        <v>172</v>
      </c>
      <c r="J15" s="55">
        <v>1013.84</v>
      </c>
      <c r="K15" s="55">
        <f>349.9043-100-70</f>
        <v>179.90429999999998</v>
      </c>
      <c r="L15" s="23"/>
      <c r="M15" s="22"/>
      <c r="N15" s="22">
        <v>4</v>
      </c>
      <c r="O15" s="52">
        <f t="shared" si="0"/>
        <v>179.90429999999998</v>
      </c>
      <c r="P15" s="58">
        <f t="shared" si="5"/>
        <v>0</v>
      </c>
      <c r="Q15" s="53">
        <f t="shared" si="6"/>
        <v>0</v>
      </c>
      <c r="R15" s="53">
        <f t="shared" si="7"/>
        <v>33.47056744186046</v>
      </c>
      <c r="S15" s="53">
        <v>0</v>
      </c>
      <c r="T15" s="53">
        <v>0</v>
      </c>
      <c r="U15" s="53">
        <v>0</v>
      </c>
      <c r="V15" s="25">
        <v>0</v>
      </c>
      <c r="W15" s="24">
        <f t="shared" si="8"/>
        <v>0</v>
      </c>
      <c r="X15" s="24">
        <f t="shared" si="9"/>
        <v>0</v>
      </c>
      <c r="Y15" s="62"/>
      <c r="Z15" s="53"/>
      <c r="AA15" s="27"/>
      <c r="AB15" s="24">
        <v>7</v>
      </c>
      <c r="AC15" s="24">
        <v>10</v>
      </c>
      <c r="AD15" s="26">
        <f t="shared" si="10"/>
        <v>102</v>
      </c>
      <c r="AE15" s="24">
        <f t="shared" si="11"/>
        <v>4.6074000000000002</v>
      </c>
      <c r="AF15" s="26"/>
      <c r="AG15" s="54">
        <f t="shared" si="1"/>
        <v>230.37</v>
      </c>
      <c r="AH15" s="28">
        <f t="shared" si="15"/>
        <v>106.6074</v>
      </c>
      <c r="AI15" s="54">
        <f t="shared" si="2"/>
        <v>123.76</v>
      </c>
      <c r="AJ15" s="29">
        <f t="shared" si="3"/>
        <v>123</v>
      </c>
      <c r="AK15" s="24">
        <f t="shared" si="12"/>
        <v>3000</v>
      </c>
      <c r="AL15" s="30"/>
      <c r="AM15" s="73">
        <f t="shared" si="13"/>
        <v>4.6074000000000002</v>
      </c>
    </row>
    <row r="16" spans="1:39" s="31" customFormat="1" ht="81" customHeight="1" x14ac:dyDescent="0.25">
      <c r="A16" s="44" t="s">
        <v>550</v>
      </c>
      <c r="B16" s="42" t="s">
        <v>602</v>
      </c>
      <c r="C16" s="56" t="s">
        <v>308</v>
      </c>
      <c r="D16" s="48">
        <v>204</v>
      </c>
      <c r="E16" s="20">
        <v>20</v>
      </c>
      <c r="F16" s="21">
        <f t="shared" si="4"/>
        <v>160</v>
      </c>
      <c r="G16" s="57">
        <v>2</v>
      </c>
      <c r="H16" s="22"/>
      <c r="I16" s="23">
        <f t="shared" si="14"/>
        <v>160</v>
      </c>
      <c r="J16" s="55">
        <v>510.63999999999987</v>
      </c>
      <c r="K16" s="55">
        <f>98.00115+40</f>
        <v>138.00115</v>
      </c>
      <c r="L16" s="23"/>
      <c r="M16" s="22"/>
      <c r="N16" s="22">
        <v>4</v>
      </c>
      <c r="O16" s="52">
        <f t="shared" si="0"/>
        <v>138.00115</v>
      </c>
      <c r="P16" s="58">
        <f t="shared" si="5"/>
        <v>0</v>
      </c>
      <c r="Q16" s="53">
        <f t="shared" si="6"/>
        <v>0</v>
      </c>
      <c r="R16" s="53">
        <f>D16/26*N16</f>
        <v>31.384615384615383</v>
      </c>
      <c r="S16" s="53">
        <v>0</v>
      </c>
      <c r="T16" s="53">
        <v>0</v>
      </c>
      <c r="U16" s="53">
        <v>0</v>
      </c>
      <c r="V16" s="25">
        <v>0</v>
      </c>
      <c r="W16" s="24">
        <f t="shared" si="8"/>
        <v>0</v>
      </c>
      <c r="X16" s="24">
        <f t="shared" si="9"/>
        <v>0</v>
      </c>
      <c r="Y16" s="60"/>
      <c r="Z16" s="53">
        <f t="shared" si="16"/>
        <v>-18.92192692307691</v>
      </c>
      <c r="AA16" s="27"/>
      <c r="AB16" s="24">
        <v>4</v>
      </c>
      <c r="AC16" s="24">
        <v>10</v>
      </c>
      <c r="AD16" s="26">
        <f t="shared" si="10"/>
        <v>102</v>
      </c>
      <c r="AE16" s="24">
        <f t="shared" si="11"/>
        <v>4.0460000000000003</v>
      </c>
      <c r="AF16" s="26"/>
      <c r="AG16" s="54">
        <f t="shared" si="1"/>
        <v>202.3</v>
      </c>
      <c r="AH16" s="28">
        <f t="shared" si="15"/>
        <v>106.04600000000001</v>
      </c>
      <c r="AI16" s="54">
        <f t="shared" si="2"/>
        <v>96.25</v>
      </c>
      <c r="AJ16" s="29">
        <f t="shared" si="3"/>
        <v>96</v>
      </c>
      <c r="AK16" s="24">
        <f t="shared" si="12"/>
        <v>1000</v>
      </c>
      <c r="AL16" s="30"/>
      <c r="AM16" s="73">
        <f t="shared" si="13"/>
        <v>4.0460000000000003</v>
      </c>
    </row>
    <row r="17" spans="1:44" s="31" customFormat="1" ht="81" customHeight="1" x14ac:dyDescent="0.25">
      <c r="A17" s="44" t="s">
        <v>551</v>
      </c>
      <c r="B17" s="42" t="s">
        <v>141</v>
      </c>
      <c r="C17" s="56" t="s">
        <v>308</v>
      </c>
      <c r="D17" s="48">
        <v>204</v>
      </c>
      <c r="E17" s="20">
        <v>20</v>
      </c>
      <c r="F17" s="21">
        <f t="shared" si="4"/>
        <v>160</v>
      </c>
      <c r="G17" s="57">
        <v>2</v>
      </c>
      <c r="H17" s="22"/>
      <c r="I17" s="23">
        <f>E17*8</f>
        <v>160</v>
      </c>
      <c r="J17" s="55">
        <v>2167.17</v>
      </c>
      <c r="K17" s="55">
        <v>137.92079999999999</v>
      </c>
      <c r="L17" s="23"/>
      <c r="M17" s="22"/>
      <c r="N17" s="22">
        <v>4</v>
      </c>
      <c r="O17" s="52">
        <f t="shared" si="0"/>
        <v>157.5361846153846</v>
      </c>
      <c r="P17" s="58">
        <f t="shared" si="5"/>
        <v>0</v>
      </c>
      <c r="Q17" s="53">
        <f t="shared" si="6"/>
        <v>0</v>
      </c>
      <c r="R17" s="53">
        <f>IF(F17&gt;0,((K17+Y17)/F17*N17*8*1)*100)/100</f>
        <v>31.50723692307692</v>
      </c>
      <c r="S17" s="53">
        <v>0</v>
      </c>
      <c r="T17" s="53">
        <v>0</v>
      </c>
      <c r="U17" s="53">
        <v>0</v>
      </c>
      <c r="V17" s="25">
        <v>0</v>
      </c>
      <c r="W17" s="24">
        <f t="shared" si="8"/>
        <v>0</v>
      </c>
      <c r="X17" s="24">
        <f t="shared" si="9"/>
        <v>0</v>
      </c>
      <c r="Y17" s="62">
        <f>D17/208*20</f>
        <v>19.615384615384613</v>
      </c>
      <c r="Z17" s="53"/>
      <c r="AA17" s="27"/>
      <c r="AB17" s="24">
        <v>4</v>
      </c>
      <c r="AC17" s="24">
        <v>10</v>
      </c>
      <c r="AD17" s="26">
        <f t="shared" si="10"/>
        <v>102</v>
      </c>
      <c r="AE17" s="24">
        <f t="shared" si="11"/>
        <v>4.0607999999999995</v>
      </c>
      <c r="AF17" s="26"/>
      <c r="AG17" s="54">
        <f t="shared" ref="AG17" si="17">INT((O17+P17+Q17+R17+W17+X17+AB17+AC17+AA17-Z17+S17+U17)*100)/100</f>
        <v>203.04</v>
      </c>
      <c r="AH17" s="28">
        <f>AD17+AE17+AF17</f>
        <v>106.0608</v>
      </c>
      <c r="AI17" s="54">
        <f>INT((AG17-AH17)*100)/100</f>
        <v>96.97</v>
      </c>
      <c r="AJ17" s="29">
        <f>INT(AI17)</f>
        <v>96</v>
      </c>
      <c r="AK17" s="24">
        <f>INT((AI17-AJ17)*40+0.5)*100</f>
        <v>3900</v>
      </c>
      <c r="AL17" s="30"/>
      <c r="AM17" s="73">
        <f t="shared" si="13"/>
        <v>4.0607999999999995</v>
      </c>
    </row>
    <row r="18" spans="1:44" s="31" customFormat="1" ht="81" customHeight="1" x14ac:dyDescent="0.25">
      <c r="A18" s="44" t="s">
        <v>552</v>
      </c>
      <c r="B18" s="42" t="s">
        <v>142</v>
      </c>
      <c r="C18" s="56" t="s">
        <v>308</v>
      </c>
      <c r="D18" s="48">
        <v>204</v>
      </c>
      <c r="E18" s="20">
        <v>20</v>
      </c>
      <c r="F18" s="21">
        <f t="shared" si="4"/>
        <v>160</v>
      </c>
      <c r="G18" s="57">
        <v>2</v>
      </c>
      <c r="H18" s="22"/>
      <c r="I18" s="23">
        <f t="shared" ref="I18:I20" si="18">E18*8</f>
        <v>160</v>
      </c>
      <c r="J18" s="55">
        <v>3127.17</v>
      </c>
      <c r="K18" s="55">
        <v>156.35850000000002</v>
      </c>
      <c r="L18" s="23"/>
      <c r="M18" s="22"/>
      <c r="N18" s="22">
        <v>4</v>
      </c>
      <c r="O18" s="52">
        <f t="shared" si="0"/>
        <v>175.97388461538463</v>
      </c>
      <c r="P18" s="58">
        <f t="shared" si="5"/>
        <v>0</v>
      </c>
      <c r="Q18" s="53">
        <f t="shared" si="6"/>
        <v>0</v>
      </c>
      <c r="R18" s="53">
        <f>IF(F18&gt;0,((K18+Y18)/F18*N18*8*1)*100)/100</f>
        <v>35.19477692307693</v>
      </c>
      <c r="S18" s="53">
        <v>0</v>
      </c>
      <c r="T18" s="53">
        <v>0</v>
      </c>
      <c r="U18" s="53">
        <v>0</v>
      </c>
      <c r="V18" s="25">
        <v>0</v>
      </c>
      <c r="W18" s="24">
        <f t="shared" si="8"/>
        <v>0</v>
      </c>
      <c r="X18" s="24">
        <f t="shared" si="9"/>
        <v>0</v>
      </c>
      <c r="Y18" s="62">
        <f>D18/208*20</f>
        <v>19.615384615384613</v>
      </c>
      <c r="Z18" s="53"/>
      <c r="AA18" s="27"/>
      <c r="AB18" s="24">
        <v>4</v>
      </c>
      <c r="AC18" s="24">
        <v>10</v>
      </c>
      <c r="AD18" s="26">
        <f t="shared" si="10"/>
        <v>102</v>
      </c>
      <c r="AE18" s="24">
        <f t="shared" si="11"/>
        <v>4.5031999999999996</v>
      </c>
      <c r="AF18" s="26"/>
      <c r="AG18" s="54">
        <f>INT((O18+P18+Q18+R18+W18+X18+AB18+AC18+AA18-Z18+S18+U18)*100)/100</f>
        <v>225.16</v>
      </c>
      <c r="AH18" s="28">
        <f t="shared" ref="AH18:AH20" si="19">AD18+AE18+AF18</f>
        <v>106.50319999999999</v>
      </c>
      <c r="AI18" s="54">
        <f t="shared" ref="AI18:AI20" si="20">INT((AG18-AH18)*100)/100</f>
        <v>118.65</v>
      </c>
      <c r="AJ18" s="29">
        <f t="shared" ref="AJ18:AJ20" si="21">INT(AI18)</f>
        <v>118</v>
      </c>
      <c r="AK18" s="24">
        <f t="shared" ref="AK18:AK20" si="22">INT((AI18-AJ18)*40+0.5)*100</f>
        <v>2600</v>
      </c>
      <c r="AL18" s="30"/>
      <c r="AM18" s="73">
        <f t="shared" si="13"/>
        <v>4.5031999999999996</v>
      </c>
    </row>
    <row r="19" spans="1:44" s="31" customFormat="1" ht="81" customHeight="1" x14ac:dyDescent="0.25">
      <c r="A19" s="44" t="s">
        <v>553</v>
      </c>
      <c r="B19" s="42" t="s">
        <v>246</v>
      </c>
      <c r="C19" s="56" t="s">
        <v>308</v>
      </c>
      <c r="D19" s="48">
        <v>204</v>
      </c>
      <c r="E19" s="20">
        <v>22</v>
      </c>
      <c r="F19" s="21">
        <f t="shared" si="4"/>
        <v>176</v>
      </c>
      <c r="G19" s="57"/>
      <c r="H19" s="22"/>
      <c r="I19" s="23">
        <f t="shared" si="18"/>
        <v>176</v>
      </c>
      <c r="J19" s="55">
        <v>955.16000000000008</v>
      </c>
      <c r="K19" s="55">
        <f>266.7566-85</f>
        <v>181.75659999999999</v>
      </c>
      <c r="L19" s="23"/>
      <c r="M19" s="22"/>
      <c r="N19" s="22">
        <v>4</v>
      </c>
      <c r="O19" s="52">
        <f t="shared" si="0"/>
        <v>181.75659999999999</v>
      </c>
      <c r="P19" s="58">
        <f t="shared" si="5"/>
        <v>0</v>
      </c>
      <c r="Q19" s="53">
        <f t="shared" si="6"/>
        <v>0</v>
      </c>
      <c r="R19" s="53">
        <f t="shared" si="7"/>
        <v>33.046654545454544</v>
      </c>
      <c r="S19" s="53">
        <v>0</v>
      </c>
      <c r="T19" s="53">
        <v>0</v>
      </c>
      <c r="U19" s="53">
        <v>0</v>
      </c>
      <c r="V19" s="25">
        <v>0</v>
      </c>
      <c r="W19" s="24">
        <f t="shared" si="8"/>
        <v>0</v>
      </c>
      <c r="X19" s="24">
        <f t="shared" si="9"/>
        <v>0</v>
      </c>
      <c r="Y19" s="61"/>
      <c r="Z19" s="53"/>
      <c r="AA19" s="27"/>
      <c r="AB19" s="24">
        <v>10</v>
      </c>
      <c r="AC19" s="24">
        <v>10</v>
      </c>
      <c r="AD19" s="26">
        <f t="shared" si="10"/>
        <v>102</v>
      </c>
      <c r="AE19" s="24">
        <f t="shared" si="11"/>
        <v>4.6960000000000006</v>
      </c>
      <c r="AF19" s="26"/>
      <c r="AG19" s="54">
        <f>INT((O19+P19+Q19+R19+W19+X19+AB19+AC19+AA19-Z19+S19+U19)*100)/100</f>
        <v>234.8</v>
      </c>
      <c r="AH19" s="28">
        <f t="shared" si="19"/>
        <v>106.696</v>
      </c>
      <c r="AI19" s="54">
        <f t="shared" si="20"/>
        <v>128.1</v>
      </c>
      <c r="AJ19" s="29">
        <f t="shared" si="21"/>
        <v>128</v>
      </c>
      <c r="AK19" s="24">
        <f t="shared" si="22"/>
        <v>400</v>
      </c>
      <c r="AL19" s="30"/>
      <c r="AM19" s="73">
        <f t="shared" si="13"/>
        <v>4.6960000000000006</v>
      </c>
    </row>
    <row r="20" spans="1:44" s="31" customFormat="1" ht="81" customHeight="1" x14ac:dyDescent="0.25">
      <c r="A20" s="44" t="s">
        <v>554</v>
      </c>
      <c r="B20" s="42" t="s">
        <v>140</v>
      </c>
      <c r="C20" s="56" t="s">
        <v>308</v>
      </c>
      <c r="D20" s="48">
        <v>204</v>
      </c>
      <c r="E20" s="20">
        <v>22</v>
      </c>
      <c r="F20" s="21">
        <f t="shared" si="4"/>
        <v>176</v>
      </c>
      <c r="G20" s="57"/>
      <c r="H20" s="22"/>
      <c r="I20" s="23">
        <f t="shared" si="18"/>
        <v>176</v>
      </c>
      <c r="J20" s="55">
        <v>992.85000000000014</v>
      </c>
      <c r="K20" s="55">
        <f>216.86195-35</f>
        <v>181.86195000000001</v>
      </c>
      <c r="L20" s="23"/>
      <c r="M20" s="22"/>
      <c r="N20" s="22">
        <v>4</v>
      </c>
      <c r="O20" s="52">
        <f t="shared" si="0"/>
        <v>181.86195000000001</v>
      </c>
      <c r="P20" s="58">
        <f t="shared" si="5"/>
        <v>0</v>
      </c>
      <c r="Q20" s="53">
        <f t="shared" si="6"/>
        <v>0</v>
      </c>
      <c r="R20" s="53">
        <f t="shared" si="7"/>
        <v>33.065809090909092</v>
      </c>
      <c r="S20" s="53">
        <v>0</v>
      </c>
      <c r="T20" s="53">
        <v>0</v>
      </c>
      <c r="U20" s="53">
        <v>0</v>
      </c>
      <c r="V20" s="25">
        <v>0</v>
      </c>
      <c r="W20" s="24">
        <f t="shared" si="8"/>
        <v>0</v>
      </c>
      <c r="X20" s="24">
        <f t="shared" si="9"/>
        <v>0</v>
      </c>
      <c r="Y20" s="60"/>
      <c r="Z20" s="53"/>
      <c r="AA20" s="27"/>
      <c r="AB20" s="24">
        <v>10</v>
      </c>
      <c r="AC20" s="24">
        <v>10</v>
      </c>
      <c r="AD20" s="26">
        <f t="shared" si="10"/>
        <v>102</v>
      </c>
      <c r="AE20" s="24">
        <f t="shared" si="11"/>
        <v>4.6983999999999995</v>
      </c>
      <c r="AF20" s="26"/>
      <c r="AG20" s="54">
        <f>INT((O20+P20+Q20+R20+W20+X20+AB20+AC20+AA20-Z20+S20+U20)*100)/100</f>
        <v>234.92</v>
      </c>
      <c r="AH20" s="28">
        <f t="shared" si="19"/>
        <v>106.69839999999999</v>
      </c>
      <c r="AI20" s="54">
        <f t="shared" si="20"/>
        <v>128.22</v>
      </c>
      <c r="AJ20" s="29">
        <f t="shared" si="21"/>
        <v>128</v>
      </c>
      <c r="AK20" s="24">
        <f t="shared" si="22"/>
        <v>900</v>
      </c>
      <c r="AL20" s="30"/>
      <c r="AM20" s="73">
        <f t="shared" si="13"/>
        <v>4.6983999999999995</v>
      </c>
    </row>
    <row r="21" spans="1:44" s="31" customFormat="1" ht="81" customHeight="1" x14ac:dyDescent="0.25">
      <c r="A21" s="44" t="s">
        <v>555</v>
      </c>
      <c r="B21" s="42" t="s">
        <v>247</v>
      </c>
      <c r="C21" s="56" t="s">
        <v>308</v>
      </c>
      <c r="D21" s="48">
        <v>204</v>
      </c>
      <c r="E21" s="20">
        <v>11.5</v>
      </c>
      <c r="F21" s="21">
        <f t="shared" si="4"/>
        <v>92</v>
      </c>
      <c r="G21" s="57">
        <v>10.5</v>
      </c>
      <c r="H21" s="22"/>
      <c r="I21" s="23">
        <f t="shared" si="14"/>
        <v>92</v>
      </c>
      <c r="J21" s="55">
        <v>422.90999999999997</v>
      </c>
      <c r="K21" s="55">
        <f>153.97025-50</f>
        <v>103.97024999999999</v>
      </c>
      <c r="L21" s="23"/>
      <c r="M21" s="22"/>
      <c r="N21" s="22">
        <v>4</v>
      </c>
      <c r="O21" s="52">
        <f>IF(F21&gt;0,((K21+Y21)/F21*I21),0)</f>
        <v>103.97024999999999</v>
      </c>
      <c r="P21" s="58">
        <f t="shared" si="5"/>
        <v>0</v>
      </c>
      <c r="Q21" s="53">
        <f t="shared" si="6"/>
        <v>0</v>
      </c>
      <c r="R21" s="53">
        <f t="shared" si="7"/>
        <v>36.163565217391302</v>
      </c>
      <c r="S21" s="53">
        <v>0</v>
      </c>
      <c r="T21" s="53">
        <f>221.94/26*9</f>
        <v>76.825384615384621</v>
      </c>
      <c r="U21" s="53">
        <v>0</v>
      </c>
      <c r="V21" s="25">
        <v>0</v>
      </c>
      <c r="W21" s="24">
        <f t="shared" si="8"/>
        <v>0</v>
      </c>
      <c r="X21" s="24">
        <f t="shared" si="9"/>
        <v>0</v>
      </c>
      <c r="Y21" s="60"/>
      <c r="Z21" s="53"/>
      <c r="AA21" s="27"/>
      <c r="AB21" s="24">
        <f>10/26*E21</f>
        <v>4.4230769230769234</v>
      </c>
      <c r="AC21" s="24">
        <v>10</v>
      </c>
      <c r="AD21" s="26">
        <f t="shared" si="10"/>
        <v>102</v>
      </c>
      <c r="AE21" s="24">
        <f t="shared" si="11"/>
        <v>4.6276000000000002</v>
      </c>
      <c r="AF21" s="26"/>
      <c r="AG21" s="54">
        <f>INT((O21+P21+Q21+R21+W21+X21+AB21+AC21+AA21-Z21+S21+U21+T21)*100)/100</f>
        <v>231.38</v>
      </c>
      <c r="AH21" s="28">
        <f t="shared" si="15"/>
        <v>106.6276</v>
      </c>
      <c r="AI21" s="54">
        <f t="shared" si="2"/>
        <v>124.75</v>
      </c>
      <c r="AJ21" s="29">
        <f t="shared" si="3"/>
        <v>124</v>
      </c>
      <c r="AK21" s="24">
        <f t="shared" si="12"/>
        <v>3000</v>
      </c>
      <c r="AL21" s="30"/>
      <c r="AM21" s="73">
        <f>(AG21*0.04)/2</f>
        <v>4.6276000000000002</v>
      </c>
    </row>
    <row r="22" spans="1:44" s="31" customFormat="1" ht="81" customHeight="1" x14ac:dyDescent="0.25">
      <c r="A22" s="44" t="s">
        <v>556</v>
      </c>
      <c r="B22" s="42" t="s">
        <v>248</v>
      </c>
      <c r="C22" s="56" t="s">
        <v>310</v>
      </c>
      <c r="D22" s="48">
        <v>204</v>
      </c>
      <c r="E22" s="20">
        <v>21</v>
      </c>
      <c r="F22" s="21">
        <f t="shared" si="4"/>
        <v>168</v>
      </c>
      <c r="G22" s="57">
        <v>1</v>
      </c>
      <c r="H22" s="22"/>
      <c r="I22" s="23">
        <f t="shared" ref="I22:I27" si="23">E22*8</f>
        <v>168</v>
      </c>
      <c r="J22" s="55">
        <v>1029.0300000000002</v>
      </c>
      <c r="K22" s="55">
        <v>160.72939999999994</v>
      </c>
      <c r="L22" s="23"/>
      <c r="M22" s="22"/>
      <c r="N22" s="22">
        <v>4</v>
      </c>
      <c r="O22" s="52">
        <f t="shared" si="0"/>
        <v>170.53709230769226</v>
      </c>
      <c r="P22" s="58">
        <f t="shared" si="5"/>
        <v>0</v>
      </c>
      <c r="Q22" s="53">
        <f t="shared" si="6"/>
        <v>0</v>
      </c>
      <c r="R22" s="53">
        <f t="shared" si="7"/>
        <v>32.48325567765567</v>
      </c>
      <c r="S22" s="53">
        <v>0</v>
      </c>
      <c r="T22" s="53">
        <v>0</v>
      </c>
      <c r="U22" s="53">
        <v>0</v>
      </c>
      <c r="V22" s="25">
        <v>0</v>
      </c>
      <c r="W22" s="24">
        <f t="shared" si="8"/>
        <v>0</v>
      </c>
      <c r="X22" s="24">
        <f t="shared" si="9"/>
        <v>0</v>
      </c>
      <c r="Y22" s="60">
        <f>D22/208*10</f>
        <v>9.8076923076923066</v>
      </c>
      <c r="Z22" s="53"/>
      <c r="AA22" s="27"/>
      <c r="AB22" s="24">
        <v>7</v>
      </c>
      <c r="AC22" s="24">
        <v>10</v>
      </c>
      <c r="AD22" s="26">
        <f t="shared" si="10"/>
        <v>102</v>
      </c>
      <c r="AE22" s="24">
        <f t="shared" si="11"/>
        <v>4.4004000000000003</v>
      </c>
      <c r="AF22" s="26"/>
      <c r="AG22" s="54">
        <f t="shared" ref="AG22:AG27" si="24">INT((O22+P22+Q22+R22+W22+X22+AB22+AC22+AA22-Z22+S22+U22)*100)/100</f>
        <v>220.02</v>
      </c>
      <c r="AH22" s="28">
        <f>AD22+AE22+AF22</f>
        <v>106.4004</v>
      </c>
      <c r="AI22" s="54">
        <f t="shared" si="2"/>
        <v>113.61</v>
      </c>
      <c r="AJ22" s="29">
        <f t="shared" si="3"/>
        <v>113</v>
      </c>
      <c r="AK22" s="24">
        <f t="shared" si="12"/>
        <v>2400</v>
      </c>
      <c r="AL22" s="30"/>
      <c r="AM22" s="73">
        <f t="shared" si="13"/>
        <v>4.4004000000000003</v>
      </c>
    </row>
    <row r="23" spans="1:44" s="31" customFormat="1" ht="81" customHeight="1" x14ac:dyDescent="0.25">
      <c r="A23" s="44" t="s">
        <v>557</v>
      </c>
      <c r="B23" s="42" t="s">
        <v>249</v>
      </c>
      <c r="C23" s="56" t="s">
        <v>310</v>
      </c>
      <c r="D23" s="48">
        <v>204</v>
      </c>
      <c r="E23" s="20">
        <v>15.5</v>
      </c>
      <c r="F23" s="21">
        <f t="shared" si="4"/>
        <v>124</v>
      </c>
      <c r="G23" s="57">
        <v>6.5</v>
      </c>
      <c r="H23" s="22"/>
      <c r="I23" s="23">
        <f t="shared" si="23"/>
        <v>124</v>
      </c>
      <c r="J23" s="55">
        <v>1119.25</v>
      </c>
      <c r="K23" s="55">
        <f>191.5299-65</f>
        <v>126.5299</v>
      </c>
      <c r="L23" s="23"/>
      <c r="M23" s="22"/>
      <c r="N23" s="22">
        <v>4</v>
      </c>
      <c r="O23" s="52">
        <f t="shared" si="0"/>
        <v>126.5299</v>
      </c>
      <c r="P23" s="58">
        <f t="shared" si="5"/>
        <v>0</v>
      </c>
      <c r="Q23" s="53">
        <f t="shared" si="6"/>
        <v>0</v>
      </c>
      <c r="R23" s="53">
        <f>IF(F23&gt;0,((K23+Y23)/F23*N23*8*1)*100)/100</f>
        <v>32.652877419354837</v>
      </c>
      <c r="S23" s="53">
        <f>256.91/26*6</f>
        <v>59.286923076923081</v>
      </c>
      <c r="T23" s="53">
        <v>0</v>
      </c>
      <c r="U23" s="53">
        <v>0</v>
      </c>
      <c r="V23" s="25">
        <v>0</v>
      </c>
      <c r="W23" s="24">
        <f t="shared" si="8"/>
        <v>0</v>
      </c>
      <c r="X23" s="24">
        <f t="shared" si="9"/>
        <v>0</v>
      </c>
      <c r="Y23" s="60"/>
      <c r="Z23" s="53"/>
      <c r="AA23" s="27"/>
      <c r="AB23" s="24">
        <f>10/26*E23</f>
        <v>5.9615384615384617</v>
      </c>
      <c r="AC23" s="24">
        <v>10</v>
      </c>
      <c r="AD23" s="26">
        <f t="shared" si="10"/>
        <v>102</v>
      </c>
      <c r="AE23" s="24">
        <f t="shared" si="11"/>
        <v>4.6886000000000001</v>
      </c>
      <c r="AF23" s="26"/>
      <c r="AG23" s="54">
        <f t="shared" si="24"/>
        <v>234.43</v>
      </c>
      <c r="AH23" s="28">
        <f>AD23+AE23+AF23</f>
        <v>106.68859999999999</v>
      </c>
      <c r="AI23" s="54">
        <f t="shared" ref="AI23:AI27" si="25">INT((AG23-AH23)*100)/100</f>
        <v>127.74</v>
      </c>
      <c r="AJ23" s="29">
        <f t="shared" ref="AJ23:AJ27" si="26">INT(AI23)</f>
        <v>127</v>
      </c>
      <c r="AK23" s="24">
        <f t="shared" ref="AK23:AK27" si="27">INT((AI23-AJ23)*40+0.5)*100</f>
        <v>3000</v>
      </c>
      <c r="AL23" s="30"/>
      <c r="AM23" s="73">
        <f t="shared" si="13"/>
        <v>4.6886000000000001</v>
      </c>
    </row>
    <row r="24" spans="1:44" s="31" customFormat="1" ht="81" customHeight="1" x14ac:dyDescent="0.25">
      <c r="A24" s="44" t="s">
        <v>440</v>
      </c>
      <c r="B24" s="42" t="s">
        <v>441</v>
      </c>
      <c r="C24" s="56" t="s">
        <v>437</v>
      </c>
      <c r="D24" s="48">
        <v>204</v>
      </c>
      <c r="E24" s="20">
        <v>20.5</v>
      </c>
      <c r="F24" s="21">
        <f t="shared" si="4"/>
        <v>164</v>
      </c>
      <c r="G24" s="57">
        <v>1.5</v>
      </c>
      <c r="H24" s="22"/>
      <c r="I24" s="23">
        <f t="shared" si="23"/>
        <v>164</v>
      </c>
      <c r="J24" s="55">
        <v>821.21999999999991</v>
      </c>
      <c r="K24" s="55">
        <f>107.80185+15</f>
        <v>122.80185</v>
      </c>
      <c r="L24" s="23"/>
      <c r="M24" s="22"/>
      <c r="N24" s="22">
        <v>4</v>
      </c>
      <c r="O24" s="52">
        <f t="shared" si="0"/>
        <v>162.03261923076923</v>
      </c>
      <c r="P24" s="58">
        <f t="shared" si="5"/>
        <v>0</v>
      </c>
      <c r="Q24" s="53">
        <f t="shared" si="6"/>
        <v>0</v>
      </c>
      <c r="R24" s="53">
        <f t="shared" si="7"/>
        <v>31.616120825515946</v>
      </c>
      <c r="S24" s="53">
        <v>0</v>
      </c>
      <c r="T24" s="53">
        <v>0</v>
      </c>
      <c r="U24" s="53">
        <v>0</v>
      </c>
      <c r="V24" s="25">
        <v>0</v>
      </c>
      <c r="W24" s="24">
        <f t="shared" si="8"/>
        <v>0</v>
      </c>
      <c r="X24" s="24">
        <f t="shared" si="9"/>
        <v>0</v>
      </c>
      <c r="Y24" s="60">
        <f>D24/208*40</f>
        <v>39.230769230769226</v>
      </c>
      <c r="Z24" s="53"/>
      <c r="AA24" s="27"/>
      <c r="AB24" s="24">
        <v>4</v>
      </c>
      <c r="AC24" s="24">
        <v>10</v>
      </c>
      <c r="AD24" s="26">
        <f t="shared" si="10"/>
        <v>102</v>
      </c>
      <c r="AE24" s="24">
        <f t="shared" si="11"/>
        <v>4.1528</v>
      </c>
      <c r="AF24" s="26"/>
      <c r="AG24" s="54">
        <f t="shared" si="24"/>
        <v>207.64</v>
      </c>
      <c r="AH24" s="28">
        <f t="shared" ref="AH24:AH27" si="28">AD24+AE24+AF24</f>
        <v>106.1528</v>
      </c>
      <c r="AI24" s="54">
        <f t="shared" si="25"/>
        <v>101.48</v>
      </c>
      <c r="AJ24" s="29">
        <f t="shared" si="26"/>
        <v>101</v>
      </c>
      <c r="AK24" s="24">
        <f t="shared" si="27"/>
        <v>1900</v>
      </c>
      <c r="AL24" s="30"/>
      <c r="AM24" s="73">
        <f t="shared" ref="AM24:AM27" si="29">(AG24*0.04)/2</f>
        <v>4.1528</v>
      </c>
    </row>
    <row r="25" spans="1:44" s="31" customFormat="1" ht="81" customHeight="1" x14ac:dyDescent="0.25">
      <c r="A25" s="44" t="s">
        <v>501</v>
      </c>
      <c r="B25" s="42" t="s">
        <v>603</v>
      </c>
      <c r="C25" s="56" t="s">
        <v>505</v>
      </c>
      <c r="D25" s="48">
        <v>204</v>
      </c>
      <c r="E25" s="20">
        <v>21</v>
      </c>
      <c r="F25" s="21">
        <f t="shared" si="4"/>
        <v>168</v>
      </c>
      <c r="G25" s="57">
        <v>1</v>
      </c>
      <c r="H25" s="22"/>
      <c r="I25" s="23">
        <f t="shared" si="23"/>
        <v>168</v>
      </c>
      <c r="J25" s="55">
        <v>1696.25</v>
      </c>
      <c r="K25" s="55">
        <f>310.7648-40-90</f>
        <v>180.76479999999998</v>
      </c>
      <c r="L25" s="23"/>
      <c r="M25" s="22"/>
      <c r="N25" s="22">
        <v>4</v>
      </c>
      <c r="O25" s="52">
        <f t="shared" si="0"/>
        <v>180.76479999999998</v>
      </c>
      <c r="P25" s="58">
        <f t="shared" si="5"/>
        <v>0</v>
      </c>
      <c r="Q25" s="53">
        <f t="shared" si="6"/>
        <v>0</v>
      </c>
      <c r="R25" s="53">
        <f t="shared" si="7"/>
        <v>34.431390476190472</v>
      </c>
      <c r="S25" s="53">
        <v>0</v>
      </c>
      <c r="T25" s="53">
        <v>0</v>
      </c>
      <c r="U25" s="53">
        <v>0</v>
      </c>
      <c r="V25" s="25">
        <v>0</v>
      </c>
      <c r="W25" s="24">
        <f t="shared" si="8"/>
        <v>0</v>
      </c>
      <c r="X25" s="24">
        <f t="shared" si="9"/>
        <v>0</v>
      </c>
      <c r="Y25" s="60"/>
      <c r="Z25" s="53"/>
      <c r="AA25" s="27"/>
      <c r="AB25" s="24">
        <v>7</v>
      </c>
      <c r="AC25" s="24">
        <v>10</v>
      </c>
      <c r="AD25" s="26">
        <f t="shared" si="10"/>
        <v>102</v>
      </c>
      <c r="AE25" s="24">
        <f t="shared" si="11"/>
        <v>4.6437999999999997</v>
      </c>
      <c r="AF25" s="26"/>
      <c r="AG25" s="54">
        <f t="shared" si="24"/>
        <v>232.19</v>
      </c>
      <c r="AH25" s="28">
        <f t="shared" si="28"/>
        <v>106.6438</v>
      </c>
      <c r="AI25" s="54">
        <f t="shared" si="25"/>
        <v>125.54</v>
      </c>
      <c r="AJ25" s="29">
        <f t="shared" si="26"/>
        <v>125</v>
      </c>
      <c r="AK25" s="24">
        <f t="shared" si="27"/>
        <v>2200</v>
      </c>
      <c r="AL25" s="30"/>
      <c r="AM25" s="73">
        <f t="shared" si="29"/>
        <v>4.6437999999999997</v>
      </c>
    </row>
    <row r="26" spans="1:44" s="31" customFormat="1" ht="81" customHeight="1" x14ac:dyDescent="0.25">
      <c r="A26" s="44" t="s">
        <v>502</v>
      </c>
      <c r="B26" s="42" t="s">
        <v>504</v>
      </c>
      <c r="C26" s="56" t="s">
        <v>505</v>
      </c>
      <c r="D26" s="48">
        <v>204</v>
      </c>
      <c r="E26" s="20">
        <v>21.5</v>
      </c>
      <c r="F26" s="21">
        <f t="shared" si="4"/>
        <v>172</v>
      </c>
      <c r="G26" s="57">
        <v>0.5</v>
      </c>
      <c r="H26" s="22"/>
      <c r="I26" s="23">
        <f t="shared" si="23"/>
        <v>172</v>
      </c>
      <c r="J26" s="55">
        <v>1170.8400000000001</v>
      </c>
      <c r="K26" s="55">
        <f>436.741-150-110</f>
        <v>176.74099999999999</v>
      </c>
      <c r="L26" s="23"/>
      <c r="M26" s="22"/>
      <c r="N26" s="22">
        <v>4</v>
      </c>
      <c r="O26" s="52">
        <f t="shared" si="0"/>
        <v>176.74099999999999</v>
      </c>
      <c r="P26" s="58">
        <f t="shared" si="5"/>
        <v>0</v>
      </c>
      <c r="Q26" s="53">
        <f t="shared" si="6"/>
        <v>0</v>
      </c>
      <c r="R26" s="53">
        <f t="shared" si="7"/>
        <v>32.882046511627905</v>
      </c>
      <c r="S26" s="53">
        <v>0</v>
      </c>
      <c r="T26" s="53">
        <v>0</v>
      </c>
      <c r="U26" s="53">
        <v>0</v>
      </c>
      <c r="V26" s="25">
        <v>0</v>
      </c>
      <c r="W26" s="24">
        <f t="shared" si="8"/>
        <v>0</v>
      </c>
      <c r="X26" s="24">
        <f t="shared" si="9"/>
        <v>0</v>
      </c>
      <c r="Y26" s="60"/>
      <c r="Z26" s="53"/>
      <c r="AA26" s="27"/>
      <c r="AB26" s="24">
        <v>7</v>
      </c>
      <c r="AC26" s="24">
        <v>10</v>
      </c>
      <c r="AD26" s="26">
        <f t="shared" si="10"/>
        <v>102</v>
      </c>
      <c r="AE26" s="24">
        <f t="shared" si="11"/>
        <v>4.5324</v>
      </c>
      <c r="AF26" s="26"/>
      <c r="AG26" s="54">
        <f t="shared" si="24"/>
        <v>226.62</v>
      </c>
      <c r="AH26" s="28">
        <f t="shared" si="28"/>
        <v>106.5324</v>
      </c>
      <c r="AI26" s="54">
        <f t="shared" si="25"/>
        <v>120.08</v>
      </c>
      <c r="AJ26" s="29">
        <f t="shared" si="26"/>
        <v>120</v>
      </c>
      <c r="AK26" s="24">
        <f t="shared" si="27"/>
        <v>300</v>
      </c>
      <c r="AL26" s="30"/>
      <c r="AM26" s="73">
        <f t="shared" si="29"/>
        <v>4.5324</v>
      </c>
    </row>
    <row r="27" spans="1:44" s="31" customFormat="1" ht="81" customHeight="1" x14ac:dyDescent="0.25">
      <c r="A27" s="44" t="s">
        <v>503</v>
      </c>
      <c r="B27" s="42" t="s">
        <v>604</v>
      </c>
      <c r="C27" s="56" t="s">
        <v>505</v>
      </c>
      <c r="D27" s="48">
        <v>204</v>
      </c>
      <c r="E27" s="20">
        <v>21.5</v>
      </c>
      <c r="F27" s="21">
        <f t="shared" si="4"/>
        <v>172</v>
      </c>
      <c r="G27" s="57">
        <v>0.5</v>
      </c>
      <c r="H27" s="22"/>
      <c r="I27" s="23">
        <f t="shared" si="23"/>
        <v>172</v>
      </c>
      <c r="J27" s="55">
        <v>848.09</v>
      </c>
      <c r="K27" s="55">
        <f>271.4588-95</f>
        <v>176.4588</v>
      </c>
      <c r="L27" s="23"/>
      <c r="M27" s="22"/>
      <c r="N27" s="22">
        <v>4</v>
      </c>
      <c r="O27" s="52">
        <f t="shared" si="0"/>
        <v>176.4588</v>
      </c>
      <c r="P27" s="58">
        <f t="shared" si="5"/>
        <v>0</v>
      </c>
      <c r="Q27" s="53">
        <f t="shared" si="6"/>
        <v>0</v>
      </c>
      <c r="R27" s="53">
        <f t="shared" si="7"/>
        <v>32.829544186046512</v>
      </c>
      <c r="S27" s="53">
        <v>0</v>
      </c>
      <c r="T27" s="53">
        <v>0</v>
      </c>
      <c r="U27" s="53">
        <v>0</v>
      </c>
      <c r="V27" s="25">
        <v>0</v>
      </c>
      <c r="W27" s="24">
        <f t="shared" si="8"/>
        <v>0</v>
      </c>
      <c r="X27" s="24">
        <f t="shared" si="9"/>
        <v>0</v>
      </c>
      <c r="Y27" s="60"/>
      <c r="Z27" s="53"/>
      <c r="AA27" s="27"/>
      <c r="AB27" s="24">
        <v>7</v>
      </c>
      <c r="AC27" s="24">
        <v>10</v>
      </c>
      <c r="AD27" s="26">
        <f t="shared" si="10"/>
        <v>102</v>
      </c>
      <c r="AE27" s="24">
        <f t="shared" si="11"/>
        <v>4.5255999999999998</v>
      </c>
      <c r="AF27" s="26"/>
      <c r="AG27" s="54">
        <f t="shared" si="24"/>
        <v>226.28</v>
      </c>
      <c r="AH27" s="28">
        <f t="shared" si="28"/>
        <v>106.5256</v>
      </c>
      <c r="AI27" s="54">
        <f t="shared" si="25"/>
        <v>119.75</v>
      </c>
      <c r="AJ27" s="29">
        <f t="shared" si="26"/>
        <v>119</v>
      </c>
      <c r="AK27" s="24">
        <f t="shared" si="27"/>
        <v>3000</v>
      </c>
      <c r="AL27" s="30"/>
      <c r="AM27" s="73">
        <f t="shared" si="29"/>
        <v>4.5255999999999998</v>
      </c>
    </row>
    <row r="28" spans="1:44" s="36" customFormat="1" ht="39" customHeight="1" thickBot="1" x14ac:dyDescent="0.3">
      <c r="A28" s="107" t="s">
        <v>33</v>
      </c>
      <c r="B28" s="108"/>
      <c r="C28" s="32"/>
      <c r="D28" s="33"/>
      <c r="E28" s="34">
        <f t="shared" ref="E28:AK28" si="30">SUM(E8:E27)</f>
        <v>409.5</v>
      </c>
      <c r="F28" s="34">
        <f t="shared" si="30"/>
        <v>3276</v>
      </c>
      <c r="G28" s="34">
        <f t="shared" si="30"/>
        <v>30.5</v>
      </c>
      <c r="H28" s="34">
        <f t="shared" si="30"/>
        <v>0</v>
      </c>
      <c r="I28" s="34">
        <f t="shared" si="30"/>
        <v>3276</v>
      </c>
      <c r="J28" s="34">
        <f t="shared" si="30"/>
        <v>22549.74</v>
      </c>
      <c r="K28" s="34">
        <f t="shared" si="30"/>
        <v>3208.6126999999997</v>
      </c>
      <c r="L28" s="34">
        <f t="shared" si="30"/>
        <v>0</v>
      </c>
      <c r="M28" s="34">
        <f t="shared" si="30"/>
        <v>0</v>
      </c>
      <c r="N28" s="34">
        <f t="shared" si="30"/>
        <v>80</v>
      </c>
      <c r="O28" s="34">
        <f t="shared" ref="O28:T28" si="31">SUM(O8:O27)</f>
        <v>3336.1126999999997</v>
      </c>
      <c r="P28" s="34">
        <f t="shared" si="31"/>
        <v>0</v>
      </c>
      <c r="Q28" s="34">
        <f t="shared" si="31"/>
        <v>0</v>
      </c>
      <c r="R28" s="34">
        <f t="shared" si="31"/>
        <v>658.84632085091994</v>
      </c>
      <c r="S28" s="34">
        <f t="shared" si="31"/>
        <v>59.286923076923081</v>
      </c>
      <c r="T28" s="34">
        <f t="shared" si="31"/>
        <v>76.825384615384621</v>
      </c>
      <c r="U28" s="34">
        <f t="shared" si="30"/>
        <v>0</v>
      </c>
      <c r="V28" s="34">
        <f t="shared" si="30"/>
        <v>0</v>
      </c>
      <c r="W28" s="34">
        <f t="shared" si="30"/>
        <v>0</v>
      </c>
      <c r="X28" s="34">
        <f t="shared" si="30"/>
        <v>0</v>
      </c>
      <c r="Y28" s="34">
        <f t="shared" si="30"/>
        <v>127.49999999999999</v>
      </c>
      <c r="Z28" s="34">
        <f t="shared" ref="Z28:AG28" si="32">SUM(Z8:Z27)</f>
        <v>-29.128407692307604</v>
      </c>
      <c r="AA28" s="34">
        <f t="shared" si="32"/>
        <v>0</v>
      </c>
      <c r="AB28" s="34">
        <f t="shared" si="32"/>
        <v>142.38461538461539</v>
      </c>
      <c r="AC28" s="34">
        <f t="shared" si="32"/>
        <v>200</v>
      </c>
      <c r="AD28" s="34">
        <f t="shared" si="32"/>
        <v>2040</v>
      </c>
      <c r="AE28" s="34">
        <f t="shared" si="32"/>
        <v>90.049799999999991</v>
      </c>
      <c r="AF28" s="34">
        <f t="shared" si="32"/>
        <v>0</v>
      </c>
      <c r="AG28" s="34">
        <f t="shared" si="32"/>
        <v>4502.49</v>
      </c>
      <c r="AH28" s="34">
        <f t="shared" si="30"/>
        <v>2130.0498000000002</v>
      </c>
      <c r="AI28" s="34">
        <f t="shared" si="30"/>
        <v>2372.33</v>
      </c>
      <c r="AJ28" s="34">
        <f t="shared" si="30"/>
        <v>2363</v>
      </c>
      <c r="AK28" s="34">
        <f t="shared" si="30"/>
        <v>37200</v>
      </c>
      <c r="AL28" s="35"/>
      <c r="AO28" s="88"/>
    </row>
    <row r="29" spans="1:44" ht="21.75" customHeight="1" thickTop="1" x14ac:dyDescent="0.2">
      <c r="A29" s="109" t="s">
        <v>34</v>
      </c>
      <c r="B29" s="109"/>
      <c r="C29" s="109"/>
      <c r="D29" s="37"/>
      <c r="E29" s="37"/>
      <c r="F29" s="37"/>
      <c r="G29" s="37"/>
      <c r="H29" s="37"/>
      <c r="I29" s="37"/>
      <c r="J29" s="37"/>
      <c r="K29" s="37"/>
      <c r="L29" s="110"/>
      <c r="M29" s="110"/>
      <c r="N29" s="110"/>
      <c r="O29" s="38"/>
      <c r="P29" s="110" t="s">
        <v>35</v>
      </c>
      <c r="Q29" s="110"/>
      <c r="R29" s="110"/>
      <c r="S29" s="85"/>
      <c r="T29" s="85"/>
      <c r="U29" s="85"/>
      <c r="V29" s="38"/>
      <c r="W29" s="38"/>
      <c r="AB29" s="39"/>
      <c r="AC29" s="39"/>
      <c r="AG29" s="39"/>
      <c r="AH29" s="39"/>
      <c r="AI29" s="111" t="s">
        <v>36</v>
      </c>
      <c r="AJ29" s="111"/>
      <c r="AK29" s="111"/>
      <c r="AL29" s="40"/>
      <c r="AO29" s="88"/>
    </row>
    <row r="30" spans="1:44" ht="21" customHeight="1" x14ac:dyDescent="0.2">
      <c r="A30" s="41"/>
      <c r="B30" s="41"/>
      <c r="C30" s="41"/>
      <c r="D30" s="41"/>
      <c r="E30" s="41"/>
      <c r="H30" s="41"/>
      <c r="I30" s="41"/>
      <c r="J30" s="41"/>
      <c r="K30" s="41"/>
      <c r="L30" s="41"/>
      <c r="AP30" s="87"/>
      <c r="AQ30" s="87"/>
      <c r="AR30" s="87"/>
    </row>
    <row r="31" spans="1:44" ht="13.5" customHeight="1" x14ac:dyDescent="0.2">
      <c r="A31" s="41"/>
      <c r="B31" s="41"/>
      <c r="C31" s="41"/>
      <c r="D31" s="41"/>
      <c r="E31" s="41"/>
      <c r="H31" s="41"/>
      <c r="I31" s="41"/>
      <c r="J31" s="41"/>
      <c r="K31" s="41"/>
      <c r="L31" s="41"/>
    </row>
    <row r="32" spans="1:44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5:38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5:38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5:38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5:38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5:38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5:38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5:38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5:38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5:38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5:38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5:38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5:38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5:38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5:38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5:38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5:38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5:38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5:38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5:38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5:38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5:38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5:38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5:38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5:38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5:38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5:38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5:38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5:38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5:38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5:38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5:38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5:38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5:38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5:38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5:38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5:38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5:38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5:38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5:38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5:38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5:38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5:38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5:38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5:38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5:38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5:38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5:38" s="41" customForma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5:38" s="41" customFormat="1" x14ac:dyDescent="0.2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5:38" s="41" customFormat="1" x14ac:dyDescent="0.2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5:38" s="41" customFormat="1" x14ac:dyDescent="0.2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5:38" s="41" customFormat="1" x14ac:dyDescent="0.2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</sheetData>
  <autoFilter ref="A7:AK30" xr:uid="{00000000-0009-0000-0000-000000000000}"/>
  <mergeCells count="12">
    <mergeCell ref="A28:B28"/>
    <mergeCell ref="A29:C29"/>
    <mergeCell ref="L29:N29"/>
    <mergeCell ref="P29:R29"/>
    <mergeCell ref="AI29:AK29"/>
    <mergeCell ref="A1:AL1"/>
    <mergeCell ref="A2:AL2"/>
    <mergeCell ref="A3:AL3"/>
    <mergeCell ref="A4:B4"/>
    <mergeCell ref="B5:B6"/>
    <mergeCell ref="V5:W5"/>
    <mergeCell ref="AL5:AL6"/>
  </mergeCells>
  <phoneticPr fontId="24" type="noConversion"/>
  <pageMargins left="0.118110236220472" right="0" top="0.31496062992126" bottom="0.118110236220472" header="0" footer="0.118110236220472"/>
  <pageSetup paperSize="9" scale="79" orientation="landscape" horizontalDpi="360" verticalDpi="360" r:id="rId1"/>
  <headerFooter alignWithMargins="0"/>
  <colBreaks count="1" manualBreakCount="1">
    <brk id="38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5A78A-B461-4D3C-AD80-FB73FC375294}">
  <sheetPr>
    <tabColor theme="7" tint="0.39997558519241921"/>
  </sheetPr>
  <dimension ref="A1:AQ74"/>
  <sheetViews>
    <sheetView zoomScale="112" zoomScaleNormal="112" workbookViewId="0">
      <pane ySplit="7" topLeftCell="A8" activePane="bottomLeft" state="frozen"/>
      <selection pane="bottomLeft" activeCell="O10" sqref="O10"/>
    </sheetView>
  </sheetViews>
  <sheetFormatPr defaultColWidth="9.140625" defaultRowHeight="12.75" x14ac:dyDescent="0.2"/>
  <cols>
    <col min="1" max="1" width="6.28515625" style="1" customWidth="1"/>
    <col min="2" max="2" width="10.85546875" style="1" customWidth="1"/>
    <col min="3" max="3" width="6.140625" style="1" customWidth="1"/>
    <col min="4" max="4" width="4.140625" style="1" customWidth="1"/>
    <col min="5" max="5" width="4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6.28515625" style="1" customWidth="1"/>
    <col min="16" max="16" width="5" style="1" customWidth="1"/>
    <col min="17" max="19" width="4.5703125" style="1" customWidth="1"/>
    <col min="20" max="21" width="4.140625" style="1" customWidth="1"/>
    <col min="22" max="22" width="3.85546875" style="1" customWidth="1"/>
    <col min="23" max="23" width="4.28515625" style="1" customWidth="1"/>
    <col min="24" max="24" width="4" style="1" customWidth="1"/>
    <col min="25" max="25" width="4.42578125" style="1" customWidth="1"/>
    <col min="26" max="26" width="4.7109375" style="1" customWidth="1"/>
    <col min="27" max="27" width="4.5703125" style="1" customWidth="1"/>
    <col min="28" max="28" width="4.28515625" style="1" customWidth="1"/>
    <col min="29" max="29" width="3.710937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5" width="6" style="1" customWidth="1"/>
    <col min="36" max="36" width="12.42578125" style="1" customWidth="1"/>
    <col min="37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1" customHeight="1" thickBot="1" x14ac:dyDescent="0.4">
      <c r="A4" s="117" t="s">
        <v>321</v>
      </c>
      <c r="B4" s="118"/>
      <c r="C4" s="2">
        <f>COUNTA(B8:B18)</f>
        <v>11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6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25.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/>
      <c r="K7" s="17"/>
      <c r="L7" s="18"/>
      <c r="M7" s="17"/>
      <c r="N7" s="18"/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80.25" customHeight="1" x14ac:dyDescent="0.25">
      <c r="A8" s="43" t="s">
        <v>250</v>
      </c>
      <c r="B8" s="64" t="s">
        <v>143</v>
      </c>
      <c r="C8" s="56" t="s">
        <v>308</v>
      </c>
      <c r="D8" s="48">
        <v>204</v>
      </c>
      <c r="E8" s="20">
        <v>22</v>
      </c>
      <c r="F8" s="21">
        <f t="shared" ref="F8:F18" si="0">I8+L8+(M8)*8</f>
        <v>176</v>
      </c>
      <c r="G8" s="57"/>
      <c r="H8" s="22"/>
      <c r="I8" s="23">
        <f>E8*8</f>
        <v>176</v>
      </c>
      <c r="J8" s="55">
        <v>499.12000000000006</v>
      </c>
      <c r="K8" s="55">
        <v>182.33320000000001</v>
      </c>
      <c r="L8" s="23"/>
      <c r="M8" s="22"/>
      <c r="N8" s="22">
        <v>4</v>
      </c>
      <c r="O8" s="52">
        <f t="shared" ref="O8" si="1">IF(F8&gt;0,((K8+W8)/F8*I8),0)</f>
        <v>182.33320000000001</v>
      </c>
      <c r="P8" s="58">
        <f t="shared" ref="P8" si="2">IF(F8&gt;0,((K8+W8)/F8*L8*1.5)*100)/100</f>
        <v>0</v>
      </c>
      <c r="Q8" s="53">
        <f t="shared" ref="Q8" si="3">IF(F8&gt;0,((K8+W8)/F8*M8*8*2)*100)/100</f>
        <v>0</v>
      </c>
      <c r="R8" s="53">
        <f t="shared" ref="R8" si="4">IF(F8&gt;0,((K8+W8)/F8*N8*8*1)*100)/100</f>
        <v>33.15149090909091</v>
      </c>
      <c r="S8" s="53">
        <v>0</v>
      </c>
      <c r="T8" s="25">
        <v>0</v>
      </c>
      <c r="U8" s="24">
        <f>D8/26*T8/2</f>
        <v>0</v>
      </c>
      <c r="V8" s="24">
        <f t="shared" ref="V8:V11" si="5">((L8)*1500/4000)</f>
        <v>0</v>
      </c>
      <c r="W8" s="60"/>
      <c r="X8" s="53"/>
      <c r="Y8" s="27"/>
      <c r="Z8" s="24">
        <v>10</v>
      </c>
      <c r="AA8" s="24">
        <v>10</v>
      </c>
      <c r="AB8" s="26">
        <f>D8/2</f>
        <v>102</v>
      </c>
      <c r="AC8" s="24">
        <f>AK8</f>
        <v>4.7096</v>
      </c>
      <c r="AD8" s="26"/>
      <c r="AE8" s="54">
        <f>INT((O8+P8+Q8+R8+U8+V8+Z8+AA8+Y8-X8+S8)*100)/100</f>
        <v>235.48</v>
      </c>
      <c r="AF8" s="28">
        <f>AB8+AC8+AD8</f>
        <v>106.70959999999999</v>
      </c>
      <c r="AG8" s="54">
        <f t="shared" ref="AG8:AG18" si="6">INT((AE8-AF8)*100)/100</f>
        <v>128.77000000000001</v>
      </c>
      <c r="AH8" s="29">
        <f t="shared" ref="AH8:AH18" si="7">INT(AG8)</f>
        <v>128</v>
      </c>
      <c r="AI8" s="24">
        <f t="shared" ref="AI8:AI18" si="8">INT((AG8-AH8)*40+0.5)*100</f>
        <v>3100</v>
      </c>
      <c r="AJ8" s="30"/>
      <c r="AK8" s="73">
        <f t="shared" ref="AK8:AK18" si="9">(AE8*0.04)/2</f>
        <v>4.7096</v>
      </c>
    </row>
    <row r="9" spans="1:37" s="31" customFormat="1" ht="80.25" customHeight="1" x14ac:dyDescent="0.25">
      <c r="A9" s="43" t="s">
        <v>251</v>
      </c>
      <c r="B9" s="42" t="s">
        <v>252</v>
      </c>
      <c r="C9" s="56" t="s">
        <v>308</v>
      </c>
      <c r="D9" s="48">
        <v>204</v>
      </c>
      <c r="E9" s="20">
        <v>20</v>
      </c>
      <c r="F9" s="21">
        <f t="shared" si="0"/>
        <v>160</v>
      </c>
      <c r="G9" s="57">
        <v>2</v>
      </c>
      <c r="H9" s="22"/>
      <c r="I9" s="23">
        <f t="shared" ref="I9:I10" si="10">E9*8</f>
        <v>160</v>
      </c>
      <c r="J9" s="55">
        <v>414.94000000000011</v>
      </c>
      <c r="K9" s="55">
        <f>151.6709+10</f>
        <v>161.67089999999999</v>
      </c>
      <c r="L9" s="23"/>
      <c r="M9" s="22"/>
      <c r="N9" s="22">
        <v>4</v>
      </c>
      <c r="O9" s="52">
        <f t="shared" ref="O9:O18" si="11">IF(F9&gt;0,((K9+W9)/F9*I9),0)</f>
        <v>161.67089999999999</v>
      </c>
      <c r="P9" s="58">
        <f t="shared" ref="P9:P18" si="12">IF(F9&gt;0,((K9+W9)/F9*L9*1.5)*100)/100</f>
        <v>0</v>
      </c>
      <c r="Q9" s="53">
        <f t="shared" ref="Q9:Q18" si="13">IF(F9&gt;0,((K9+W9)/F9*M9*8*2)*100)/100</f>
        <v>0</v>
      </c>
      <c r="R9" s="53">
        <f t="shared" ref="R9:R18" si="14">IF(F9&gt;0,((K9+W9)/F9*N9*8*1)*100)/100</f>
        <v>32.334179999999996</v>
      </c>
      <c r="S9" s="53">
        <v>0</v>
      </c>
      <c r="T9" s="25">
        <v>0</v>
      </c>
      <c r="U9" s="24">
        <f t="shared" ref="U9:U10" si="15">D9/26*T9/2</f>
        <v>0</v>
      </c>
      <c r="V9" s="24">
        <f t="shared" si="5"/>
        <v>0</v>
      </c>
      <c r="W9" s="61"/>
      <c r="X9" s="53"/>
      <c r="Y9" s="27"/>
      <c r="Z9" s="24">
        <v>4</v>
      </c>
      <c r="AA9" s="24">
        <v>10</v>
      </c>
      <c r="AB9" s="26">
        <f t="shared" ref="AB9:AB18" si="16">D9/2</f>
        <v>102</v>
      </c>
      <c r="AC9" s="24">
        <f t="shared" ref="AC9:AC18" si="17">AK9</f>
        <v>4.16</v>
      </c>
      <c r="AD9" s="26"/>
      <c r="AE9" s="54">
        <f t="shared" ref="AE9:AE18" si="18">INT((O9+P9+Q9+R9+U9+V9+Z9+AA9+Y9-X9+S9)*100)/100</f>
        <v>208</v>
      </c>
      <c r="AF9" s="28">
        <f t="shared" ref="AF9:AF10" si="19">AB9+AC9+AD9</f>
        <v>106.16</v>
      </c>
      <c r="AG9" s="54">
        <f t="shared" si="6"/>
        <v>101.84</v>
      </c>
      <c r="AH9" s="29">
        <f t="shared" si="7"/>
        <v>101</v>
      </c>
      <c r="AI9" s="24">
        <f t="shared" si="8"/>
        <v>3400</v>
      </c>
      <c r="AJ9" s="30"/>
      <c r="AK9" s="73">
        <f t="shared" si="9"/>
        <v>4.16</v>
      </c>
    </row>
    <row r="10" spans="1:37" s="31" customFormat="1" ht="80.25" customHeight="1" x14ac:dyDescent="0.25">
      <c r="A10" s="43" t="s">
        <v>253</v>
      </c>
      <c r="B10" s="64" t="s">
        <v>254</v>
      </c>
      <c r="C10" s="56" t="s">
        <v>322</v>
      </c>
      <c r="D10" s="48">
        <v>204</v>
      </c>
      <c r="E10" s="20">
        <v>21</v>
      </c>
      <c r="F10" s="21">
        <f t="shared" si="0"/>
        <v>168</v>
      </c>
      <c r="G10" s="57">
        <v>1</v>
      </c>
      <c r="H10" s="22"/>
      <c r="I10" s="23">
        <f t="shared" si="10"/>
        <v>168</v>
      </c>
      <c r="J10" s="55">
        <v>874.3599999999999</v>
      </c>
      <c r="K10" s="55">
        <v>135.32160000000002</v>
      </c>
      <c r="L10" s="23"/>
      <c r="M10" s="22"/>
      <c r="N10" s="22">
        <v>4</v>
      </c>
      <c r="O10" s="52">
        <f t="shared" si="11"/>
        <v>174.55236923076924</v>
      </c>
      <c r="P10" s="58">
        <f t="shared" si="12"/>
        <v>0</v>
      </c>
      <c r="Q10" s="53">
        <f t="shared" si="13"/>
        <v>0</v>
      </c>
      <c r="R10" s="53">
        <f t="shared" si="14"/>
        <v>33.248070329670334</v>
      </c>
      <c r="S10" s="53">
        <v>0</v>
      </c>
      <c r="T10" s="25">
        <v>0</v>
      </c>
      <c r="U10" s="24">
        <f t="shared" si="15"/>
        <v>0</v>
      </c>
      <c r="V10" s="24">
        <f t="shared" si="5"/>
        <v>0</v>
      </c>
      <c r="W10" s="60">
        <f>D10/208*40</f>
        <v>39.230769230769226</v>
      </c>
      <c r="X10" s="53"/>
      <c r="Y10" s="27"/>
      <c r="Z10" s="24">
        <v>7</v>
      </c>
      <c r="AA10" s="24">
        <v>10</v>
      </c>
      <c r="AB10" s="26">
        <f t="shared" si="16"/>
        <v>102</v>
      </c>
      <c r="AC10" s="24">
        <f t="shared" si="17"/>
        <v>4.4960000000000004</v>
      </c>
      <c r="AD10" s="26"/>
      <c r="AE10" s="54">
        <f t="shared" si="18"/>
        <v>224.8</v>
      </c>
      <c r="AF10" s="28">
        <f t="shared" si="19"/>
        <v>106.496</v>
      </c>
      <c r="AG10" s="54">
        <f t="shared" si="6"/>
        <v>118.3</v>
      </c>
      <c r="AH10" s="29">
        <f t="shared" si="7"/>
        <v>118</v>
      </c>
      <c r="AI10" s="24">
        <f t="shared" si="8"/>
        <v>1200</v>
      </c>
      <c r="AJ10" s="30"/>
      <c r="AK10" s="73">
        <f t="shared" si="9"/>
        <v>4.4960000000000004</v>
      </c>
    </row>
    <row r="11" spans="1:37" s="31" customFormat="1" ht="80.25" customHeight="1" x14ac:dyDescent="0.25">
      <c r="A11" s="43" t="s">
        <v>255</v>
      </c>
      <c r="B11" s="64" t="s">
        <v>256</v>
      </c>
      <c r="C11" s="56" t="s">
        <v>310</v>
      </c>
      <c r="D11" s="48">
        <v>204</v>
      </c>
      <c r="E11" s="20">
        <v>20.5</v>
      </c>
      <c r="F11" s="21">
        <f t="shared" si="0"/>
        <v>164</v>
      </c>
      <c r="G11" s="57">
        <v>1.5</v>
      </c>
      <c r="H11" s="22"/>
      <c r="I11" s="23">
        <f>E11*8</f>
        <v>164</v>
      </c>
      <c r="J11" s="55">
        <v>489.91999999999996</v>
      </c>
      <c r="K11" s="55">
        <v>180.47980000000004</v>
      </c>
      <c r="L11" s="23"/>
      <c r="M11" s="22"/>
      <c r="N11" s="22">
        <v>4</v>
      </c>
      <c r="O11" s="52">
        <f t="shared" si="11"/>
        <v>180.47980000000004</v>
      </c>
      <c r="P11" s="58">
        <f t="shared" si="12"/>
        <v>0</v>
      </c>
      <c r="Q11" s="53">
        <f t="shared" si="13"/>
        <v>0</v>
      </c>
      <c r="R11" s="53">
        <f t="shared" si="14"/>
        <v>35.215570731707324</v>
      </c>
      <c r="S11" s="53">
        <v>0</v>
      </c>
      <c r="T11" s="25">
        <v>0</v>
      </c>
      <c r="U11" s="24">
        <f>D11/26*T11/2</f>
        <v>0</v>
      </c>
      <c r="V11" s="24">
        <f t="shared" si="5"/>
        <v>0</v>
      </c>
      <c r="W11" s="60"/>
      <c r="X11" s="53"/>
      <c r="Y11" s="27"/>
      <c r="Z11" s="24">
        <v>4</v>
      </c>
      <c r="AA11" s="24">
        <v>10</v>
      </c>
      <c r="AB11" s="26">
        <f t="shared" si="16"/>
        <v>102</v>
      </c>
      <c r="AC11" s="24">
        <f t="shared" si="17"/>
        <v>4.5937999999999999</v>
      </c>
      <c r="AD11" s="26"/>
      <c r="AE11" s="54">
        <f t="shared" si="18"/>
        <v>229.69</v>
      </c>
      <c r="AF11" s="28">
        <f>AB11+AC11+AD11</f>
        <v>106.5938</v>
      </c>
      <c r="AG11" s="54">
        <f t="shared" si="6"/>
        <v>123.09</v>
      </c>
      <c r="AH11" s="29">
        <f t="shared" si="7"/>
        <v>123</v>
      </c>
      <c r="AI11" s="24">
        <f t="shared" si="8"/>
        <v>400</v>
      </c>
      <c r="AJ11" s="30"/>
      <c r="AK11" s="73">
        <f t="shared" si="9"/>
        <v>4.5937999999999999</v>
      </c>
    </row>
    <row r="12" spans="1:37" s="31" customFormat="1" ht="80.25" customHeight="1" x14ac:dyDescent="0.25">
      <c r="A12" s="43" t="s">
        <v>257</v>
      </c>
      <c r="B12" s="64" t="s">
        <v>258</v>
      </c>
      <c r="C12" s="56" t="s">
        <v>310</v>
      </c>
      <c r="D12" s="48">
        <v>204</v>
      </c>
      <c r="E12" s="20">
        <v>21.5</v>
      </c>
      <c r="F12" s="21">
        <f t="shared" ref="F12:F17" si="20">I12+L12+(M12)*8</f>
        <v>172</v>
      </c>
      <c r="G12" s="57">
        <v>0.5</v>
      </c>
      <c r="H12" s="22"/>
      <c r="I12" s="23">
        <f>E12*8</f>
        <v>172</v>
      </c>
      <c r="J12" s="55">
        <v>488.41000000000008</v>
      </c>
      <c r="K12" s="55">
        <v>183.54170000000008</v>
      </c>
      <c r="L12" s="23"/>
      <c r="M12" s="22"/>
      <c r="N12" s="22">
        <v>4</v>
      </c>
      <c r="O12" s="52">
        <f t="shared" si="11"/>
        <v>183.54170000000008</v>
      </c>
      <c r="P12" s="58">
        <f t="shared" si="12"/>
        <v>0</v>
      </c>
      <c r="Q12" s="53">
        <f t="shared" si="13"/>
        <v>0</v>
      </c>
      <c r="R12" s="53">
        <f t="shared" si="14"/>
        <v>34.147293023255827</v>
      </c>
      <c r="S12" s="53">
        <v>0</v>
      </c>
      <c r="T12" s="25">
        <v>0</v>
      </c>
      <c r="U12" s="24">
        <f>D12/26*T12/2</f>
        <v>0</v>
      </c>
      <c r="V12" s="24">
        <f>((L12)*1500/4000)</f>
        <v>0</v>
      </c>
      <c r="W12" s="60"/>
      <c r="X12" s="53"/>
      <c r="Y12" s="27"/>
      <c r="Z12" s="24">
        <v>7</v>
      </c>
      <c r="AA12" s="24">
        <v>10</v>
      </c>
      <c r="AB12" s="26">
        <f t="shared" si="16"/>
        <v>102</v>
      </c>
      <c r="AC12" s="24">
        <f t="shared" si="17"/>
        <v>4.6936</v>
      </c>
      <c r="AD12" s="26"/>
      <c r="AE12" s="54">
        <f t="shared" si="18"/>
        <v>234.68</v>
      </c>
      <c r="AF12" s="28">
        <f>AB12+AC12+AD12</f>
        <v>106.6936</v>
      </c>
      <c r="AG12" s="54">
        <f t="shared" ref="AG12:AG17" si="21">INT((AE12-AF12)*100)/100</f>
        <v>127.98</v>
      </c>
      <c r="AH12" s="29">
        <f t="shared" ref="AH12:AH17" si="22">INT(AG12)</f>
        <v>127</v>
      </c>
      <c r="AI12" s="24">
        <f t="shared" ref="AI12:AI17" si="23">INT((AG12-AH12)*40+0.5)*100</f>
        <v>3900</v>
      </c>
      <c r="AJ12" s="30"/>
      <c r="AK12" s="73">
        <f t="shared" si="9"/>
        <v>4.6936</v>
      </c>
    </row>
    <row r="13" spans="1:37" s="31" customFormat="1" ht="80.25" customHeight="1" x14ac:dyDescent="0.25">
      <c r="A13" s="43" t="s">
        <v>442</v>
      </c>
      <c r="B13" s="69" t="s">
        <v>446</v>
      </c>
      <c r="C13" s="56" t="s">
        <v>450</v>
      </c>
      <c r="D13" s="48">
        <v>204</v>
      </c>
      <c r="E13" s="20">
        <v>18</v>
      </c>
      <c r="F13" s="21">
        <f t="shared" si="20"/>
        <v>144</v>
      </c>
      <c r="G13" s="21">
        <v>4</v>
      </c>
      <c r="H13" s="22"/>
      <c r="I13" s="23">
        <f t="shared" ref="I13:I15" si="24">E13*8</f>
        <v>144</v>
      </c>
      <c r="J13" s="55">
        <v>466.58</v>
      </c>
      <c r="K13" s="55">
        <v>175.98450000000003</v>
      </c>
      <c r="L13" s="23"/>
      <c r="M13" s="22"/>
      <c r="N13" s="22">
        <v>4</v>
      </c>
      <c r="O13" s="52">
        <f t="shared" si="11"/>
        <v>175.98450000000003</v>
      </c>
      <c r="P13" s="58">
        <f t="shared" si="12"/>
        <v>0</v>
      </c>
      <c r="Q13" s="53">
        <f t="shared" si="13"/>
        <v>0</v>
      </c>
      <c r="R13" s="53">
        <f t="shared" si="14"/>
        <v>39.107666666666674</v>
      </c>
      <c r="S13" s="53">
        <v>0</v>
      </c>
      <c r="T13" s="25">
        <v>0</v>
      </c>
      <c r="U13" s="24">
        <f t="shared" ref="U13:U15" si="25">D13/26*T13/2</f>
        <v>0</v>
      </c>
      <c r="V13" s="24">
        <f t="shared" ref="V13:V15" si="26">((L13)*1500/4000)</f>
        <v>0</v>
      </c>
      <c r="W13" s="60"/>
      <c r="X13" s="53"/>
      <c r="Y13" s="27"/>
      <c r="Z13" s="24"/>
      <c r="AA13" s="24">
        <v>10</v>
      </c>
      <c r="AB13" s="26">
        <f t="shared" si="16"/>
        <v>102</v>
      </c>
      <c r="AC13" s="24">
        <f t="shared" si="17"/>
        <v>4.5018000000000002</v>
      </c>
      <c r="AD13" s="26"/>
      <c r="AE13" s="54">
        <f t="shared" si="18"/>
        <v>225.09</v>
      </c>
      <c r="AF13" s="28">
        <f t="shared" ref="AF13:AF15" si="27">AB13+AC13+AD13</f>
        <v>106.5018</v>
      </c>
      <c r="AG13" s="54">
        <f t="shared" si="21"/>
        <v>118.58</v>
      </c>
      <c r="AH13" s="29">
        <f t="shared" si="22"/>
        <v>118</v>
      </c>
      <c r="AI13" s="24">
        <f t="shared" si="23"/>
        <v>2300</v>
      </c>
      <c r="AJ13" s="30"/>
      <c r="AK13" s="73">
        <f t="shared" si="9"/>
        <v>4.5018000000000002</v>
      </c>
    </row>
    <row r="14" spans="1:37" s="31" customFormat="1" ht="80.25" customHeight="1" x14ac:dyDescent="0.25">
      <c r="A14" s="43" t="s">
        <v>443</v>
      </c>
      <c r="B14" s="75" t="s">
        <v>447</v>
      </c>
      <c r="C14" s="56" t="s">
        <v>451</v>
      </c>
      <c r="D14" s="48">
        <v>204</v>
      </c>
      <c r="E14" s="20">
        <v>20</v>
      </c>
      <c r="F14" s="21">
        <f t="shared" si="20"/>
        <v>160</v>
      </c>
      <c r="G14" s="21">
        <v>2</v>
      </c>
      <c r="H14" s="22"/>
      <c r="I14" s="23">
        <f t="shared" si="24"/>
        <v>160</v>
      </c>
      <c r="J14" s="55">
        <v>521.65</v>
      </c>
      <c r="K14" s="55">
        <v>186.51110000000006</v>
      </c>
      <c r="L14" s="23"/>
      <c r="M14" s="22"/>
      <c r="N14" s="22">
        <v>4</v>
      </c>
      <c r="O14" s="52">
        <f t="shared" si="11"/>
        <v>186.51110000000006</v>
      </c>
      <c r="P14" s="58">
        <f t="shared" si="12"/>
        <v>0</v>
      </c>
      <c r="Q14" s="53">
        <f t="shared" si="13"/>
        <v>0</v>
      </c>
      <c r="R14" s="53">
        <f t="shared" si="14"/>
        <v>37.302220000000013</v>
      </c>
      <c r="S14" s="53">
        <v>0</v>
      </c>
      <c r="T14" s="25">
        <v>0</v>
      </c>
      <c r="U14" s="24">
        <f t="shared" si="25"/>
        <v>0</v>
      </c>
      <c r="V14" s="24">
        <f t="shared" si="26"/>
        <v>0</v>
      </c>
      <c r="W14" s="60"/>
      <c r="X14" s="53"/>
      <c r="Y14" s="27"/>
      <c r="Z14" s="24">
        <v>4</v>
      </c>
      <c r="AA14" s="24">
        <v>10</v>
      </c>
      <c r="AB14" s="26">
        <f t="shared" si="16"/>
        <v>102</v>
      </c>
      <c r="AC14" s="24">
        <f t="shared" si="17"/>
        <v>4.7561999999999998</v>
      </c>
      <c r="AD14" s="26"/>
      <c r="AE14" s="54">
        <f t="shared" si="18"/>
        <v>237.81</v>
      </c>
      <c r="AF14" s="28">
        <f t="shared" si="27"/>
        <v>106.75620000000001</v>
      </c>
      <c r="AG14" s="54">
        <f t="shared" si="21"/>
        <v>131.05000000000001</v>
      </c>
      <c r="AH14" s="29">
        <f t="shared" si="22"/>
        <v>131</v>
      </c>
      <c r="AI14" s="24">
        <f t="shared" si="23"/>
        <v>200</v>
      </c>
      <c r="AJ14" s="30"/>
      <c r="AK14" s="73">
        <f t="shared" si="9"/>
        <v>4.7561999999999998</v>
      </c>
    </row>
    <row r="15" spans="1:37" s="31" customFormat="1" ht="80.25" customHeight="1" x14ac:dyDescent="0.25">
      <c r="A15" s="43" t="s">
        <v>444</v>
      </c>
      <c r="B15" s="69" t="s">
        <v>448</v>
      </c>
      <c r="C15" s="56" t="s">
        <v>436</v>
      </c>
      <c r="D15" s="48">
        <v>204</v>
      </c>
      <c r="E15" s="20">
        <v>18.5</v>
      </c>
      <c r="F15" s="21">
        <f t="shared" si="20"/>
        <v>148</v>
      </c>
      <c r="G15" s="57">
        <v>3.5</v>
      </c>
      <c r="H15" s="22"/>
      <c r="I15" s="23">
        <f t="shared" si="24"/>
        <v>148</v>
      </c>
      <c r="J15" s="55">
        <v>331.91999999999996</v>
      </c>
      <c r="K15" s="55">
        <f>114.7296+20</f>
        <v>134.7296</v>
      </c>
      <c r="L15" s="23"/>
      <c r="M15" s="22"/>
      <c r="N15" s="22">
        <v>4</v>
      </c>
      <c r="O15" s="52">
        <f t="shared" si="11"/>
        <v>134.7296</v>
      </c>
      <c r="P15" s="58">
        <f t="shared" si="12"/>
        <v>0</v>
      </c>
      <c r="Q15" s="53">
        <f t="shared" si="13"/>
        <v>0</v>
      </c>
      <c r="R15" s="53">
        <f>D15/26*N15</f>
        <v>31.384615384615383</v>
      </c>
      <c r="S15" s="53">
        <v>0</v>
      </c>
      <c r="T15" s="25">
        <v>0</v>
      </c>
      <c r="U15" s="24">
        <f t="shared" si="25"/>
        <v>0</v>
      </c>
      <c r="V15" s="24">
        <f t="shared" si="26"/>
        <v>0</v>
      </c>
      <c r="W15" s="60"/>
      <c r="X15" s="53">
        <f t="shared" ref="X15" si="28">(-D15/208*I15)+(O15)</f>
        <v>-10.424246153846155</v>
      </c>
      <c r="Y15" s="27"/>
      <c r="Z15" s="24"/>
      <c r="AA15" s="24">
        <v>10</v>
      </c>
      <c r="AB15" s="26">
        <f t="shared" si="16"/>
        <v>102</v>
      </c>
      <c r="AC15" s="24">
        <f t="shared" si="17"/>
        <v>3.7305999999999999</v>
      </c>
      <c r="AD15" s="26"/>
      <c r="AE15" s="54">
        <f t="shared" si="18"/>
        <v>186.53</v>
      </c>
      <c r="AF15" s="28">
        <f t="shared" si="27"/>
        <v>105.7306</v>
      </c>
      <c r="AG15" s="54">
        <f t="shared" si="21"/>
        <v>80.790000000000006</v>
      </c>
      <c r="AH15" s="29">
        <f t="shared" si="22"/>
        <v>80</v>
      </c>
      <c r="AI15" s="24">
        <f t="shared" si="23"/>
        <v>3200</v>
      </c>
      <c r="AJ15" s="30"/>
      <c r="AK15" s="73">
        <f t="shared" si="9"/>
        <v>3.7305999999999999</v>
      </c>
    </row>
    <row r="16" spans="1:37" s="31" customFormat="1" ht="80.25" customHeight="1" x14ac:dyDescent="0.25">
      <c r="A16" s="43" t="s">
        <v>445</v>
      </c>
      <c r="B16" s="69" t="s">
        <v>449</v>
      </c>
      <c r="C16" s="56" t="s">
        <v>452</v>
      </c>
      <c r="D16" s="48">
        <v>204</v>
      </c>
      <c r="E16" s="20">
        <v>20</v>
      </c>
      <c r="F16" s="21">
        <f t="shared" si="20"/>
        <v>160</v>
      </c>
      <c r="G16" s="21">
        <v>2</v>
      </c>
      <c r="H16" s="22"/>
      <c r="I16" s="23">
        <f>E16*8</f>
        <v>160</v>
      </c>
      <c r="J16" s="55">
        <v>87.26</v>
      </c>
      <c r="K16" s="55">
        <v>31.239900000000002</v>
      </c>
      <c r="L16" s="23"/>
      <c r="M16" s="22"/>
      <c r="N16" s="22">
        <v>4</v>
      </c>
      <c r="O16" s="52">
        <f t="shared" si="11"/>
        <v>158.73990000000001</v>
      </c>
      <c r="P16" s="58">
        <f t="shared" si="12"/>
        <v>0</v>
      </c>
      <c r="Q16" s="53">
        <f t="shared" si="13"/>
        <v>0</v>
      </c>
      <c r="R16" s="53">
        <f>IF(F16&gt;0,((K16+W16)/F16*N16*8*1)*100)/100</f>
        <v>31.747980000000002</v>
      </c>
      <c r="S16" s="53">
        <v>0</v>
      </c>
      <c r="T16" s="25">
        <v>0</v>
      </c>
      <c r="U16" s="24">
        <f>D16/26*T16/2</f>
        <v>0</v>
      </c>
      <c r="V16" s="24">
        <f>((L16)*1500/4000)</f>
        <v>0</v>
      </c>
      <c r="W16" s="60">
        <f>D16/208*130</f>
        <v>127.5</v>
      </c>
      <c r="X16" s="53"/>
      <c r="Y16" s="27"/>
      <c r="Z16" s="24">
        <v>4</v>
      </c>
      <c r="AA16" s="24">
        <v>10</v>
      </c>
      <c r="AB16" s="26">
        <f t="shared" si="16"/>
        <v>102</v>
      </c>
      <c r="AC16" s="24">
        <f t="shared" si="17"/>
        <v>4.0895999999999999</v>
      </c>
      <c r="AD16" s="26"/>
      <c r="AE16" s="54">
        <f t="shared" si="18"/>
        <v>204.48</v>
      </c>
      <c r="AF16" s="28">
        <f>AB16+AC16+AD16</f>
        <v>106.0896</v>
      </c>
      <c r="AG16" s="54">
        <f t="shared" si="21"/>
        <v>98.39</v>
      </c>
      <c r="AH16" s="29">
        <f t="shared" si="22"/>
        <v>98</v>
      </c>
      <c r="AI16" s="24">
        <f t="shared" si="23"/>
        <v>1600</v>
      </c>
      <c r="AJ16" s="30"/>
      <c r="AK16" s="73">
        <f t="shared" ref="AK16:AK17" si="29">(AE16*0.04)/2</f>
        <v>4.0895999999999999</v>
      </c>
    </row>
    <row r="17" spans="1:43" s="31" customFormat="1" ht="80.25" customHeight="1" x14ac:dyDescent="0.25">
      <c r="A17" s="43" t="s">
        <v>506</v>
      </c>
      <c r="B17" s="69" t="s">
        <v>508</v>
      </c>
      <c r="C17" s="56" t="s">
        <v>510</v>
      </c>
      <c r="D17" s="48">
        <v>204</v>
      </c>
      <c r="E17" s="20">
        <v>22</v>
      </c>
      <c r="F17" s="21">
        <f t="shared" si="20"/>
        <v>176</v>
      </c>
      <c r="G17" s="57"/>
      <c r="H17" s="22"/>
      <c r="I17" s="23">
        <f>E17*8</f>
        <v>176</v>
      </c>
      <c r="J17" s="55">
        <v>518.5100000000001</v>
      </c>
      <c r="K17" s="55">
        <v>189.58599999999998</v>
      </c>
      <c r="L17" s="23"/>
      <c r="M17" s="22"/>
      <c r="N17" s="22">
        <v>4</v>
      </c>
      <c r="O17" s="52">
        <f t="shared" si="11"/>
        <v>189.58599999999998</v>
      </c>
      <c r="P17" s="58">
        <f t="shared" si="12"/>
        <v>0</v>
      </c>
      <c r="Q17" s="53">
        <f t="shared" si="13"/>
        <v>0</v>
      </c>
      <c r="R17" s="53">
        <f t="shared" si="14"/>
        <v>34.470181818181814</v>
      </c>
      <c r="S17" s="53">
        <v>0</v>
      </c>
      <c r="T17" s="25">
        <v>0</v>
      </c>
      <c r="U17" s="24">
        <f>D17/26*T17/2</f>
        <v>0</v>
      </c>
      <c r="V17" s="24">
        <f>((L17)*1500/4000)</f>
        <v>0</v>
      </c>
      <c r="W17" s="60"/>
      <c r="X17" s="53"/>
      <c r="Y17" s="27"/>
      <c r="Z17" s="24">
        <v>10</v>
      </c>
      <c r="AA17" s="24">
        <v>10</v>
      </c>
      <c r="AB17" s="26">
        <f t="shared" si="16"/>
        <v>102</v>
      </c>
      <c r="AC17" s="24">
        <f t="shared" si="17"/>
        <v>4.8810000000000002</v>
      </c>
      <c r="AD17" s="26"/>
      <c r="AE17" s="54">
        <f t="shared" si="18"/>
        <v>244.05</v>
      </c>
      <c r="AF17" s="28">
        <f>AB17+AC17+AD17</f>
        <v>106.881</v>
      </c>
      <c r="AG17" s="54">
        <f t="shared" si="21"/>
        <v>137.16</v>
      </c>
      <c r="AH17" s="29">
        <f t="shared" si="22"/>
        <v>137</v>
      </c>
      <c r="AI17" s="24">
        <f t="shared" si="23"/>
        <v>600</v>
      </c>
      <c r="AJ17" s="30"/>
      <c r="AK17" s="73">
        <f t="shared" si="29"/>
        <v>4.8810000000000002</v>
      </c>
    </row>
    <row r="18" spans="1:43" s="31" customFormat="1" ht="80.25" customHeight="1" x14ac:dyDescent="0.25">
      <c r="A18" s="43" t="s">
        <v>507</v>
      </c>
      <c r="B18" s="69" t="s">
        <v>509</v>
      </c>
      <c r="C18" s="56" t="s">
        <v>542</v>
      </c>
      <c r="D18" s="48">
        <v>204</v>
      </c>
      <c r="E18" s="20">
        <v>22</v>
      </c>
      <c r="F18" s="21">
        <f t="shared" si="0"/>
        <v>176</v>
      </c>
      <c r="G18" s="21"/>
      <c r="H18" s="22"/>
      <c r="I18" s="23">
        <f>E18*8</f>
        <v>176</v>
      </c>
      <c r="J18" s="55">
        <v>509.34000000000009</v>
      </c>
      <c r="K18" s="55">
        <v>186.01960000000005</v>
      </c>
      <c r="L18" s="23"/>
      <c r="M18" s="22"/>
      <c r="N18" s="22">
        <v>4</v>
      </c>
      <c r="O18" s="52">
        <f t="shared" si="11"/>
        <v>186.01960000000005</v>
      </c>
      <c r="P18" s="58">
        <f t="shared" si="12"/>
        <v>0</v>
      </c>
      <c r="Q18" s="53">
        <f t="shared" si="13"/>
        <v>0</v>
      </c>
      <c r="R18" s="53">
        <f t="shared" si="14"/>
        <v>33.821745454545464</v>
      </c>
      <c r="S18" s="53">
        <v>0</v>
      </c>
      <c r="T18" s="25">
        <v>0</v>
      </c>
      <c r="U18" s="24">
        <f>D18/26*T18/2</f>
        <v>0</v>
      </c>
      <c r="V18" s="24">
        <f>((L18)*1500/4000)</f>
        <v>0</v>
      </c>
      <c r="W18" s="60"/>
      <c r="X18" s="53"/>
      <c r="Y18" s="27"/>
      <c r="Z18" s="24">
        <v>10</v>
      </c>
      <c r="AA18" s="24">
        <v>10</v>
      </c>
      <c r="AB18" s="26">
        <f t="shared" si="16"/>
        <v>102</v>
      </c>
      <c r="AC18" s="24">
        <f t="shared" si="17"/>
        <v>4.7968000000000002</v>
      </c>
      <c r="AD18" s="26"/>
      <c r="AE18" s="54">
        <f t="shared" si="18"/>
        <v>239.84</v>
      </c>
      <c r="AF18" s="28">
        <f>AB18+AC18+AD18</f>
        <v>106.7968</v>
      </c>
      <c r="AG18" s="54">
        <f t="shared" si="6"/>
        <v>133.04</v>
      </c>
      <c r="AH18" s="29">
        <f t="shared" si="7"/>
        <v>133</v>
      </c>
      <c r="AI18" s="24">
        <f t="shared" si="8"/>
        <v>200</v>
      </c>
      <c r="AJ18" s="30"/>
      <c r="AK18" s="73">
        <f t="shared" si="9"/>
        <v>4.7968000000000002</v>
      </c>
    </row>
    <row r="19" spans="1:43" s="36" customFormat="1" ht="50.25" customHeight="1" thickBot="1" x14ac:dyDescent="0.3">
      <c r="A19" s="107" t="s">
        <v>33</v>
      </c>
      <c r="B19" s="108"/>
      <c r="C19" s="32"/>
      <c r="D19" s="33"/>
      <c r="E19" s="34">
        <f t="shared" ref="E19:AI19" si="30">SUM(E8:E18)</f>
        <v>225.5</v>
      </c>
      <c r="F19" s="34">
        <f t="shared" si="30"/>
        <v>1804</v>
      </c>
      <c r="G19" s="34">
        <f t="shared" si="30"/>
        <v>16.5</v>
      </c>
      <c r="H19" s="34">
        <f t="shared" si="30"/>
        <v>0</v>
      </c>
      <c r="I19" s="34">
        <f t="shared" si="30"/>
        <v>1804</v>
      </c>
      <c r="J19" s="34">
        <f t="shared" si="30"/>
        <v>5202.01</v>
      </c>
      <c r="K19" s="34">
        <f t="shared" si="30"/>
        <v>1747.4179000000006</v>
      </c>
      <c r="L19" s="34">
        <f t="shared" si="30"/>
        <v>0</v>
      </c>
      <c r="M19" s="34">
        <f t="shared" si="30"/>
        <v>0</v>
      </c>
      <c r="N19" s="34">
        <f t="shared" si="30"/>
        <v>44</v>
      </c>
      <c r="O19" s="34">
        <f t="shared" si="30"/>
        <v>1914.1486692307697</v>
      </c>
      <c r="P19" s="34">
        <f t="shared" si="30"/>
        <v>0</v>
      </c>
      <c r="Q19" s="34">
        <f t="shared" si="30"/>
        <v>0</v>
      </c>
      <c r="R19" s="34">
        <f t="shared" si="30"/>
        <v>375.93101431773368</v>
      </c>
      <c r="S19" s="34">
        <f t="shared" si="30"/>
        <v>0</v>
      </c>
      <c r="T19" s="34">
        <f t="shared" si="30"/>
        <v>0</v>
      </c>
      <c r="U19" s="34">
        <f t="shared" si="30"/>
        <v>0</v>
      </c>
      <c r="V19" s="34">
        <f t="shared" si="30"/>
        <v>0</v>
      </c>
      <c r="W19" s="34">
        <f t="shared" si="30"/>
        <v>166.73076923076923</v>
      </c>
      <c r="X19" s="34">
        <f t="shared" si="30"/>
        <v>-10.424246153846155</v>
      </c>
      <c r="Y19" s="34">
        <f t="shared" si="30"/>
        <v>0</v>
      </c>
      <c r="Z19" s="34">
        <f t="shared" si="30"/>
        <v>60</v>
      </c>
      <c r="AA19" s="34">
        <f t="shared" si="30"/>
        <v>110</v>
      </c>
      <c r="AB19" s="34">
        <f t="shared" si="30"/>
        <v>1122</v>
      </c>
      <c r="AC19" s="34">
        <f t="shared" si="30"/>
        <v>49.408999999999999</v>
      </c>
      <c r="AD19" s="34">
        <f t="shared" si="30"/>
        <v>0</v>
      </c>
      <c r="AE19" s="34">
        <f t="shared" si="30"/>
        <v>2470.4500000000003</v>
      </c>
      <c r="AF19" s="34">
        <f t="shared" si="30"/>
        <v>1171.4090000000001</v>
      </c>
      <c r="AG19" s="34">
        <f t="shared" si="30"/>
        <v>1298.9900000000002</v>
      </c>
      <c r="AH19" s="34">
        <f t="shared" si="30"/>
        <v>1294</v>
      </c>
      <c r="AI19" s="34">
        <f t="shared" si="30"/>
        <v>20100</v>
      </c>
      <c r="AJ19" s="35"/>
    </row>
    <row r="20" spans="1:43" ht="21.75" customHeight="1" thickTop="1" x14ac:dyDescent="0.2">
      <c r="A20" s="109" t="s">
        <v>34</v>
      </c>
      <c r="B20" s="109"/>
      <c r="C20" s="109"/>
      <c r="D20" s="37"/>
      <c r="E20" s="37"/>
      <c r="F20" s="37"/>
      <c r="G20" s="37"/>
      <c r="H20" s="37"/>
      <c r="I20" s="37"/>
      <c r="J20" s="37"/>
      <c r="K20" s="37"/>
      <c r="L20" s="110"/>
      <c r="M20" s="110"/>
      <c r="N20" s="110"/>
      <c r="O20" s="38"/>
      <c r="P20" s="110" t="s">
        <v>35</v>
      </c>
      <c r="Q20" s="110"/>
      <c r="R20" s="110"/>
      <c r="S20" s="85"/>
      <c r="T20" s="38"/>
      <c r="U20" s="38"/>
      <c r="Z20" s="39"/>
      <c r="AA20" s="39"/>
      <c r="AE20" s="39"/>
      <c r="AF20" s="39"/>
      <c r="AG20" s="111" t="s">
        <v>36</v>
      </c>
      <c r="AH20" s="111"/>
      <c r="AI20" s="111"/>
      <c r="AJ20" s="40"/>
      <c r="AN20" s="86"/>
    </row>
    <row r="21" spans="1:43" ht="21" customHeight="1" x14ac:dyDescent="0.2">
      <c r="A21" s="41"/>
      <c r="B21" s="41"/>
      <c r="C21" s="41"/>
      <c r="D21" s="41"/>
      <c r="E21" s="41"/>
      <c r="H21" s="41"/>
      <c r="I21" s="41"/>
      <c r="J21" s="41"/>
      <c r="K21" s="41"/>
      <c r="L21" s="41"/>
      <c r="AN21" s="86"/>
    </row>
    <row r="22" spans="1:43" ht="13.5" customHeight="1" x14ac:dyDescent="0.2">
      <c r="A22" s="41"/>
      <c r="B22" s="41"/>
      <c r="C22" s="41"/>
      <c r="D22" s="41"/>
      <c r="E22" s="41"/>
      <c r="H22" s="41"/>
      <c r="I22" s="41"/>
      <c r="J22" s="41"/>
      <c r="K22" s="41"/>
      <c r="L22" s="41"/>
      <c r="AN22" s="86"/>
    </row>
    <row r="23" spans="1:43" s="41" customFormat="1" x14ac:dyDescent="0.2"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N23" s="86"/>
      <c r="AP23" s="89"/>
      <c r="AQ23" s="89"/>
    </row>
    <row r="24" spans="1:43" s="41" customFormat="1" x14ac:dyDescent="0.2"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N24" s="86"/>
    </row>
    <row r="25" spans="1:43" s="41" customFormat="1" x14ac:dyDescent="0.2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P25" s="89"/>
      <c r="AQ25" s="89">
        <f>AP25/26*7.21</f>
        <v>0</v>
      </c>
    </row>
    <row r="26" spans="1:43" s="41" customFormat="1" x14ac:dyDescent="0.2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43" s="41" customFormat="1" x14ac:dyDescent="0.2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43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43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43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43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43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</sheetData>
  <autoFilter ref="A7:AI21" xr:uid="{00000000-0009-0000-0000-000000000000}"/>
  <mergeCells count="12">
    <mergeCell ref="A19:B19"/>
    <mergeCell ref="A20:C20"/>
    <mergeCell ref="L20:N20"/>
    <mergeCell ref="P20:R20"/>
    <mergeCell ref="AG20:AI20"/>
    <mergeCell ref="A1:AJ1"/>
    <mergeCell ref="A2:AJ2"/>
    <mergeCell ref="A3:AJ3"/>
    <mergeCell ref="A4:B4"/>
    <mergeCell ref="B5:B6"/>
    <mergeCell ref="T5:U5"/>
    <mergeCell ref="AJ5:AJ6"/>
  </mergeCells>
  <phoneticPr fontId="24" type="noConversion"/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BB0B7-EA75-4FF6-B559-686E9BBC115A}">
  <sheetPr>
    <tabColor theme="7" tint="0.39997558519241921"/>
  </sheetPr>
  <dimension ref="A1:AK73"/>
  <sheetViews>
    <sheetView zoomScale="115" zoomScaleNormal="115" workbookViewId="0">
      <pane ySplit="7" topLeftCell="A15" activePane="bottomLeft" state="frozen"/>
      <selection pane="bottomLeft" activeCell="Q17" sqref="Q17"/>
    </sheetView>
  </sheetViews>
  <sheetFormatPr defaultColWidth="9.140625" defaultRowHeight="12.75" x14ac:dyDescent="0.2"/>
  <cols>
    <col min="1" max="1" width="6.28515625" style="1" customWidth="1"/>
    <col min="2" max="2" width="8.8554687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5.7109375" style="1" customWidth="1"/>
    <col min="16" max="16" width="5" style="1" customWidth="1"/>
    <col min="17" max="19" width="4.5703125" style="1" customWidth="1"/>
    <col min="20" max="21" width="4.140625" style="1" customWidth="1"/>
    <col min="22" max="22" width="3.85546875" style="1" customWidth="1"/>
    <col min="23" max="23" width="4.28515625" style="1" customWidth="1"/>
    <col min="24" max="25" width="4.42578125" style="1" customWidth="1"/>
    <col min="26" max="26" width="4.7109375" style="1" customWidth="1"/>
    <col min="27" max="27" width="4.5703125" style="1" customWidth="1"/>
    <col min="28" max="29" width="4.2851562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5" width="6" style="1" customWidth="1"/>
    <col min="36" max="36" width="13.42578125" style="1" customWidth="1"/>
    <col min="37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3.25" customHeight="1" thickBot="1" x14ac:dyDescent="0.4">
      <c r="A4" s="101" t="s">
        <v>323</v>
      </c>
      <c r="B4" s="102"/>
      <c r="C4" s="2">
        <f>COUNTA(B8:B17)</f>
        <v>10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0.7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0.7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30.7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69" customHeight="1" x14ac:dyDescent="0.25">
      <c r="A8" s="43" t="s">
        <v>325</v>
      </c>
      <c r="B8" s="42" t="s">
        <v>326</v>
      </c>
      <c r="C8" s="56" t="s">
        <v>308</v>
      </c>
      <c r="D8" s="48">
        <v>204</v>
      </c>
      <c r="E8" s="20">
        <v>22</v>
      </c>
      <c r="F8" s="21">
        <f t="shared" ref="F8:F17" si="0">I8+L8+(M8)*8</f>
        <v>176</v>
      </c>
      <c r="G8" s="57"/>
      <c r="H8" s="22"/>
      <c r="I8" s="23">
        <f>E8*8</f>
        <v>176</v>
      </c>
      <c r="J8" s="55">
        <v>931.51999999999987</v>
      </c>
      <c r="K8" s="55">
        <f>281.6814-100</f>
        <v>181.6814</v>
      </c>
      <c r="L8" s="23"/>
      <c r="M8" s="22"/>
      <c r="N8" s="22">
        <v>4</v>
      </c>
      <c r="O8" s="52">
        <f>IF(F8&gt;0,((K8+W8)/F8*I8),0)</f>
        <v>181.6814</v>
      </c>
      <c r="P8" s="58">
        <f>IF(F8&gt;0,((K8+W8)/F8*L8*1.5)*100)/100</f>
        <v>0</v>
      </c>
      <c r="Q8" s="53">
        <f t="shared" ref="Q8" si="1">IF(F8&gt;0,((K8+W8)/F8*M8*8*2)*100)/100</f>
        <v>0</v>
      </c>
      <c r="R8" s="53">
        <f>IF(F8&gt;0,((K8+W8)/F8*N8*8*1)*100)/100</f>
        <v>33.032981818181817</v>
      </c>
      <c r="S8" s="53">
        <v>0</v>
      </c>
      <c r="T8" s="25">
        <v>0</v>
      </c>
      <c r="U8" s="24">
        <f>D8/26*T8/2</f>
        <v>0</v>
      </c>
      <c r="V8" s="24">
        <f>((L8)*1500/4000)</f>
        <v>0</v>
      </c>
      <c r="W8" s="63"/>
      <c r="X8" s="53"/>
      <c r="Y8" s="27"/>
      <c r="Z8" s="24">
        <v>10</v>
      </c>
      <c r="AA8" s="24">
        <v>10</v>
      </c>
      <c r="AB8" s="26">
        <f>D8/2</f>
        <v>102</v>
      </c>
      <c r="AC8" s="24">
        <f>AK8</f>
        <v>4.6942000000000004</v>
      </c>
      <c r="AD8" s="26"/>
      <c r="AE8" s="54">
        <f t="shared" ref="AE8:AE17" si="2">INT((O8+P8+Q8+R8+U8+V8+Z8+AA8+Y8-X8+S8)*100)/100</f>
        <v>234.71</v>
      </c>
      <c r="AF8" s="28">
        <f>AB8+AC8+AD8</f>
        <v>106.6942</v>
      </c>
      <c r="AG8" s="54">
        <f t="shared" ref="AG8:AG10" si="3">INT((AE8-AF8)*100)/100</f>
        <v>128.01</v>
      </c>
      <c r="AH8" s="29">
        <f t="shared" ref="AH8:AH10" si="4">INT(AG8)</f>
        <v>128</v>
      </c>
      <c r="AI8" s="24">
        <f t="shared" ref="AI8:AI10" si="5">INT((AG8-AH8)*40+0.5)*100</f>
        <v>0</v>
      </c>
      <c r="AJ8" s="30"/>
      <c r="AK8" s="73">
        <f>(AE8*0.04)/2</f>
        <v>4.6942000000000004</v>
      </c>
    </row>
    <row r="9" spans="1:37" s="31" customFormat="1" ht="69" customHeight="1" x14ac:dyDescent="0.25">
      <c r="A9" s="43" t="s">
        <v>327</v>
      </c>
      <c r="B9" s="42" t="s">
        <v>328</v>
      </c>
      <c r="C9" s="56" t="s">
        <v>308</v>
      </c>
      <c r="D9" s="48">
        <v>204</v>
      </c>
      <c r="E9" s="20">
        <v>22</v>
      </c>
      <c r="F9" s="21">
        <f t="shared" si="0"/>
        <v>176</v>
      </c>
      <c r="G9" s="57"/>
      <c r="H9" s="22"/>
      <c r="I9" s="23">
        <f>E9*8</f>
        <v>176</v>
      </c>
      <c r="J9" s="55">
        <v>1057.1299999999999</v>
      </c>
      <c r="K9" s="55">
        <f>311.5844-40-95</f>
        <v>176.58440000000002</v>
      </c>
      <c r="L9" s="23"/>
      <c r="M9" s="22"/>
      <c r="N9" s="22">
        <v>4</v>
      </c>
      <c r="O9" s="52">
        <f>IF(F9&gt;0,((K9+W9)/F9*I9),0)</f>
        <v>176.58440000000002</v>
      </c>
      <c r="P9" s="58">
        <f t="shared" ref="P9:P17" si="6">IF(F9&gt;0,((K9+W9)/F9*L9*1.5)*100)/100</f>
        <v>0</v>
      </c>
      <c r="Q9" s="53">
        <f t="shared" ref="Q9:Q17" si="7">IF(F9&gt;0,((K9+W9)/F9*M9*8*2)*100)/100</f>
        <v>0</v>
      </c>
      <c r="R9" s="53">
        <f t="shared" ref="R9:R17" si="8">IF(F9&gt;0,((K9+W9)/F9*N9*8*1)*100)/100</f>
        <v>32.106254545454547</v>
      </c>
      <c r="S9" s="53">
        <v>0</v>
      </c>
      <c r="T9" s="25">
        <v>0</v>
      </c>
      <c r="U9" s="24">
        <f>D9/26*T9/2</f>
        <v>0</v>
      </c>
      <c r="V9" s="24">
        <f t="shared" ref="V9:V10" si="9">((L9)*1500/4000)</f>
        <v>0</v>
      </c>
      <c r="W9" s="63"/>
      <c r="X9" s="53"/>
      <c r="Y9" s="27"/>
      <c r="Z9" s="24">
        <v>10</v>
      </c>
      <c r="AA9" s="24">
        <v>10</v>
      </c>
      <c r="AB9" s="26">
        <f t="shared" ref="AB9:AB17" si="10">D9/2</f>
        <v>102</v>
      </c>
      <c r="AC9" s="24">
        <f>AK9</f>
        <v>4.5738000000000003</v>
      </c>
      <c r="AD9" s="26"/>
      <c r="AE9" s="54">
        <f t="shared" si="2"/>
        <v>228.69</v>
      </c>
      <c r="AF9" s="28">
        <f>AB9+AC9+AD9</f>
        <v>106.57380000000001</v>
      </c>
      <c r="AG9" s="54">
        <f t="shared" si="3"/>
        <v>122.11</v>
      </c>
      <c r="AH9" s="29">
        <f t="shared" si="4"/>
        <v>122</v>
      </c>
      <c r="AI9" s="24">
        <f t="shared" si="5"/>
        <v>400</v>
      </c>
      <c r="AJ9" s="30"/>
      <c r="AK9" s="73">
        <f t="shared" ref="AK9:AK17" si="11">(AE9*0.04)/2</f>
        <v>4.5738000000000003</v>
      </c>
    </row>
    <row r="10" spans="1:37" s="31" customFormat="1" ht="69" customHeight="1" x14ac:dyDescent="0.25">
      <c r="A10" s="43" t="s">
        <v>329</v>
      </c>
      <c r="B10" s="64" t="s">
        <v>330</v>
      </c>
      <c r="C10" s="56" t="s">
        <v>308</v>
      </c>
      <c r="D10" s="48">
        <v>204</v>
      </c>
      <c r="E10" s="20">
        <v>21</v>
      </c>
      <c r="F10" s="21">
        <f t="shared" si="0"/>
        <v>168</v>
      </c>
      <c r="G10" s="57">
        <v>1</v>
      </c>
      <c r="H10" s="22"/>
      <c r="I10" s="23">
        <f>E10*8</f>
        <v>168</v>
      </c>
      <c r="J10" s="55">
        <v>869.93000000000006</v>
      </c>
      <c r="K10" s="55">
        <f>265.4472-90</f>
        <v>175.44720000000001</v>
      </c>
      <c r="L10" s="23"/>
      <c r="M10" s="22"/>
      <c r="N10" s="22">
        <v>4</v>
      </c>
      <c r="O10" s="52">
        <f t="shared" ref="O10" si="12">IF(F10&gt;0,((K10+W10)/F10*I10),0)</f>
        <v>175.44720000000001</v>
      </c>
      <c r="P10" s="58">
        <f t="shared" si="6"/>
        <v>0</v>
      </c>
      <c r="Q10" s="53">
        <f t="shared" si="7"/>
        <v>0</v>
      </c>
      <c r="R10" s="53">
        <f t="shared" si="8"/>
        <v>33.418514285714288</v>
      </c>
      <c r="S10" s="53">
        <v>0</v>
      </c>
      <c r="T10" s="25">
        <v>0</v>
      </c>
      <c r="U10" s="24">
        <f>D10/26*T10/2</f>
        <v>0</v>
      </c>
      <c r="V10" s="24">
        <f t="shared" si="9"/>
        <v>0</v>
      </c>
      <c r="W10" s="60"/>
      <c r="X10" s="53"/>
      <c r="Y10" s="27"/>
      <c r="Z10" s="24">
        <v>7</v>
      </c>
      <c r="AA10" s="24">
        <v>10</v>
      </c>
      <c r="AB10" s="26">
        <f t="shared" si="10"/>
        <v>102</v>
      </c>
      <c r="AC10" s="24">
        <f t="shared" ref="AC10:AC17" si="13">AK10</f>
        <v>4.5172000000000008</v>
      </c>
      <c r="AD10" s="26"/>
      <c r="AE10" s="54">
        <f t="shared" si="2"/>
        <v>225.86</v>
      </c>
      <c r="AF10" s="28">
        <f>AB10+AC10+AD10</f>
        <v>106.5172</v>
      </c>
      <c r="AG10" s="54">
        <f t="shared" si="3"/>
        <v>119.34</v>
      </c>
      <c r="AH10" s="29">
        <f t="shared" si="4"/>
        <v>119</v>
      </c>
      <c r="AI10" s="24">
        <f t="shared" si="5"/>
        <v>1400</v>
      </c>
      <c r="AJ10" s="30"/>
      <c r="AK10" s="73">
        <f t="shared" si="11"/>
        <v>4.5172000000000008</v>
      </c>
    </row>
    <row r="11" spans="1:37" s="31" customFormat="1" ht="69" customHeight="1" x14ac:dyDescent="0.25">
      <c r="A11" s="43" t="s">
        <v>453</v>
      </c>
      <c r="B11" s="42" t="s">
        <v>455</v>
      </c>
      <c r="C11" s="56" t="s">
        <v>458</v>
      </c>
      <c r="D11" s="48">
        <v>204</v>
      </c>
      <c r="E11" s="20">
        <v>20</v>
      </c>
      <c r="F11" s="21">
        <f t="shared" si="0"/>
        <v>160</v>
      </c>
      <c r="G11" s="57">
        <v>2</v>
      </c>
      <c r="H11" s="22"/>
      <c r="I11" s="23">
        <f>E11*8</f>
        <v>160</v>
      </c>
      <c r="J11" s="55">
        <v>801.41999999999985</v>
      </c>
      <c r="K11" s="55">
        <f>242.5503-70</f>
        <v>172.55029999999999</v>
      </c>
      <c r="L11" s="23"/>
      <c r="M11" s="22"/>
      <c r="N11" s="22">
        <v>4</v>
      </c>
      <c r="O11" s="52">
        <f t="shared" ref="O11:O13" si="14">IF(F11&gt;0,((K11+W11)/F11*I11),0)</f>
        <v>172.55029999999999</v>
      </c>
      <c r="P11" s="58">
        <f t="shared" si="6"/>
        <v>0</v>
      </c>
      <c r="Q11" s="53">
        <f t="shared" si="7"/>
        <v>0</v>
      </c>
      <c r="R11" s="53">
        <f t="shared" si="8"/>
        <v>34.510059999999996</v>
      </c>
      <c r="S11" s="53">
        <v>0</v>
      </c>
      <c r="T11" s="25">
        <v>0</v>
      </c>
      <c r="U11" s="24">
        <f>D11/26*T11/2</f>
        <v>0</v>
      </c>
      <c r="V11" s="24">
        <f t="shared" ref="V11:V13" si="15">((L11)*1500/4000)</f>
        <v>0</v>
      </c>
      <c r="W11" s="60"/>
      <c r="X11" s="53"/>
      <c r="Y11" s="27"/>
      <c r="Z11" s="24">
        <v>4</v>
      </c>
      <c r="AA11" s="24">
        <v>10</v>
      </c>
      <c r="AB11" s="26">
        <f t="shared" si="10"/>
        <v>102</v>
      </c>
      <c r="AC11" s="24">
        <f t="shared" si="13"/>
        <v>4.4211999999999998</v>
      </c>
      <c r="AD11" s="26"/>
      <c r="AE11" s="54">
        <f t="shared" si="2"/>
        <v>221.06</v>
      </c>
      <c r="AF11" s="28">
        <f>AB11+AC11+AD11</f>
        <v>106.4212</v>
      </c>
      <c r="AG11" s="54">
        <f t="shared" ref="AG11:AG13" si="16">INT((AE11-AF11)*100)/100</f>
        <v>114.63</v>
      </c>
      <c r="AH11" s="29">
        <f t="shared" ref="AH11:AH13" si="17">INT(AG11)</f>
        <v>114</v>
      </c>
      <c r="AI11" s="24">
        <f t="shared" ref="AI11:AI13" si="18">INT((AG11-AH11)*40+0.5)*100</f>
        <v>2500</v>
      </c>
      <c r="AJ11" s="30"/>
      <c r="AK11" s="73">
        <f t="shared" si="11"/>
        <v>4.4211999999999998</v>
      </c>
    </row>
    <row r="12" spans="1:37" s="31" customFormat="1" ht="69" customHeight="1" x14ac:dyDescent="0.25">
      <c r="A12" s="43" t="s">
        <v>511</v>
      </c>
      <c r="B12" s="69" t="s">
        <v>512</v>
      </c>
      <c r="C12" s="56" t="s">
        <v>513</v>
      </c>
      <c r="D12" s="48">
        <v>204</v>
      </c>
      <c r="E12" s="20">
        <v>19.5</v>
      </c>
      <c r="F12" s="21">
        <f t="shared" si="0"/>
        <v>156</v>
      </c>
      <c r="G12" s="57">
        <v>2.5</v>
      </c>
      <c r="H12" s="22"/>
      <c r="I12" s="23">
        <f t="shared" ref="I12" si="19">E12*8</f>
        <v>156</v>
      </c>
      <c r="J12" s="55">
        <v>909.66999999999985</v>
      </c>
      <c r="K12" s="55">
        <f>278.303-100</f>
        <v>178.303</v>
      </c>
      <c r="L12" s="23"/>
      <c r="M12" s="22"/>
      <c r="N12" s="22">
        <v>4</v>
      </c>
      <c r="O12" s="52">
        <f t="shared" ref="O12" si="20">IF(F12&gt;0,((K12+W12)/F12*I12),0)</f>
        <v>178.303</v>
      </c>
      <c r="P12" s="58">
        <f t="shared" si="6"/>
        <v>0</v>
      </c>
      <c r="Q12" s="53">
        <f t="shared" si="7"/>
        <v>0</v>
      </c>
      <c r="R12" s="53">
        <f t="shared" si="8"/>
        <v>36.574974358974359</v>
      </c>
      <c r="S12" s="53">
        <v>0</v>
      </c>
      <c r="T12" s="25">
        <v>0</v>
      </c>
      <c r="U12" s="24">
        <f t="shared" ref="U12" si="21">D12/26*T12/2</f>
        <v>0</v>
      </c>
      <c r="V12" s="24">
        <f t="shared" ref="V12" si="22">((L12)*1500/4000)</f>
        <v>0</v>
      </c>
      <c r="W12" s="60"/>
      <c r="X12" s="53"/>
      <c r="Y12" s="27"/>
      <c r="Z12" s="24"/>
      <c r="AA12" s="24">
        <v>10</v>
      </c>
      <c r="AB12" s="26">
        <f t="shared" si="10"/>
        <v>102</v>
      </c>
      <c r="AC12" s="24">
        <f t="shared" si="13"/>
        <v>4.4973999999999998</v>
      </c>
      <c r="AD12" s="26"/>
      <c r="AE12" s="54">
        <f t="shared" si="2"/>
        <v>224.87</v>
      </c>
      <c r="AF12" s="28">
        <f t="shared" ref="AF12" si="23">AB12+AC12+AD12</f>
        <v>106.4974</v>
      </c>
      <c r="AG12" s="54">
        <f t="shared" ref="AG12" si="24">INT((AE12-AF12)*100)/100</f>
        <v>118.37</v>
      </c>
      <c r="AH12" s="29">
        <f t="shared" ref="AH12" si="25">INT(AG12)</f>
        <v>118</v>
      </c>
      <c r="AI12" s="24">
        <f t="shared" ref="AI12" si="26">INT((AG12-AH12)*40+0.5)*100</f>
        <v>1500</v>
      </c>
      <c r="AJ12" s="30"/>
      <c r="AK12" s="73">
        <f t="shared" si="11"/>
        <v>4.4973999999999998</v>
      </c>
    </row>
    <row r="13" spans="1:37" s="31" customFormat="1" ht="69" customHeight="1" x14ac:dyDescent="0.25">
      <c r="A13" s="44" t="s">
        <v>331</v>
      </c>
      <c r="B13" s="69" t="s">
        <v>332</v>
      </c>
      <c r="C13" s="56" t="s">
        <v>308</v>
      </c>
      <c r="D13" s="48">
        <v>204</v>
      </c>
      <c r="E13" s="20">
        <v>21</v>
      </c>
      <c r="F13" s="21">
        <f t="shared" si="0"/>
        <v>168</v>
      </c>
      <c r="G13" s="57">
        <v>1</v>
      </c>
      <c r="H13" s="22"/>
      <c r="I13" s="23">
        <f t="shared" ref="I13" si="27">E13*8</f>
        <v>168</v>
      </c>
      <c r="J13" s="55">
        <v>961.4</v>
      </c>
      <c r="K13" s="55">
        <f>311.4462-40-100</f>
        <v>171.44619999999998</v>
      </c>
      <c r="L13" s="23"/>
      <c r="M13" s="22"/>
      <c r="N13" s="22">
        <v>4</v>
      </c>
      <c r="O13" s="52">
        <f t="shared" si="14"/>
        <v>171.4462</v>
      </c>
      <c r="P13" s="58">
        <f t="shared" si="6"/>
        <v>0</v>
      </c>
      <c r="Q13" s="53">
        <f t="shared" si="7"/>
        <v>0</v>
      </c>
      <c r="R13" s="53">
        <f t="shared" si="8"/>
        <v>32.656419047619046</v>
      </c>
      <c r="S13" s="53">
        <v>0</v>
      </c>
      <c r="T13" s="25">
        <v>0</v>
      </c>
      <c r="U13" s="24">
        <f t="shared" ref="U13" si="28">D13/26*T13/2</f>
        <v>0</v>
      </c>
      <c r="V13" s="24">
        <f t="shared" si="15"/>
        <v>0</v>
      </c>
      <c r="W13" s="60"/>
      <c r="X13" s="53"/>
      <c r="Y13" s="27"/>
      <c r="Z13" s="24">
        <v>7</v>
      </c>
      <c r="AA13" s="24">
        <v>10</v>
      </c>
      <c r="AB13" s="26">
        <f t="shared" si="10"/>
        <v>102</v>
      </c>
      <c r="AC13" s="24">
        <f t="shared" si="13"/>
        <v>4.4219999999999997</v>
      </c>
      <c r="AD13" s="26"/>
      <c r="AE13" s="54">
        <f t="shared" si="2"/>
        <v>221.1</v>
      </c>
      <c r="AF13" s="28">
        <f t="shared" ref="AF13" si="29">AB13+AC13+AD13</f>
        <v>106.422</v>
      </c>
      <c r="AG13" s="54">
        <f t="shared" si="16"/>
        <v>114.67</v>
      </c>
      <c r="AH13" s="29">
        <f t="shared" si="17"/>
        <v>114</v>
      </c>
      <c r="AI13" s="24">
        <f t="shared" si="18"/>
        <v>2700</v>
      </c>
      <c r="AJ13" s="30"/>
      <c r="AK13" s="73">
        <f t="shared" si="11"/>
        <v>4.4219999999999997</v>
      </c>
    </row>
    <row r="14" spans="1:37" s="31" customFormat="1" ht="69" customHeight="1" x14ac:dyDescent="0.25">
      <c r="A14" s="44" t="s">
        <v>454</v>
      </c>
      <c r="B14" s="69" t="s">
        <v>456</v>
      </c>
      <c r="C14" s="56" t="s">
        <v>457</v>
      </c>
      <c r="D14" s="48">
        <v>204</v>
      </c>
      <c r="E14" s="20">
        <v>22</v>
      </c>
      <c r="F14" s="21">
        <f t="shared" si="0"/>
        <v>176</v>
      </c>
      <c r="G14" s="57"/>
      <c r="H14" s="22"/>
      <c r="I14" s="23">
        <f t="shared" ref="I14:I17" si="30">E14*8</f>
        <v>176</v>
      </c>
      <c r="J14" s="55">
        <v>774.99</v>
      </c>
      <c r="K14" s="55">
        <f>251.57-70</f>
        <v>181.57</v>
      </c>
      <c r="L14" s="23"/>
      <c r="M14" s="22"/>
      <c r="N14" s="22">
        <v>4</v>
      </c>
      <c r="O14" s="52">
        <f t="shared" ref="O14:O17" si="31">IF(F14&gt;0,((K14+W14)/F14*I14),0)</f>
        <v>181.56999999999996</v>
      </c>
      <c r="P14" s="58">
        <f t="shared" si="6"/>
        <v>0</v>
      </c>
      <c r="Q14" s="53">
        <f t="shared" si="7"/>
        <v>0</v>
      </c>
      <c r="R14" s="53">
        <f t="shared" si="8"/>
        <v>33.012727272727268</v>
      </c>
      <c r="S14" s="53">
        <v>0</v>
      </c>
      <c r="T14" s="25">
        <v>0</v>
      </c>
      <c r="U14" s="24">
        <f t="shared" ref="U14:U17" si="32">D14/26*T14/2</f>
        <v>0</v>
      </c>
      <c r="V14" s="24">
        <f t="shared" ref="V14:V17" si="33">((L14)*1500/4000)</f>
        <v>0</v>
      </c>
      <c r="W14" s="60"/>
      <c r="X14" s="53"/>
      <c r="Y14" s="27"/>
      <c r="Z14" s="24">
        <v>10</v>
      </c>
      <c r="AA14" s="24">
        <v>10</v>
      </c>
      <c r="AB14" s="26">
        <f t="shared" si="10"/>
        <v>102</v>
      </c>
      <c r="AC14" s="24">
        <f t="shared" si="13"/>
        <v>4.6916000000000002</v>
      </c>
      <c r="AD14" s="26"/>
      <c r="AE14" s="54">
        <f t="shared" si="2"/>
        <v>234.58</v>
      </c>
      <c r="AF14" s="28">
        <f t="shared" ref="AF14:AF17" si="34">AB14+AC14+AD14</f>
        <v>106.69159999999999</v>
      </c>
      <c r="AG14" s="54">
        <f t="shared" ref="AG14:AG17" si="35">INT((AE14-AF14)*100)/100</f>
        <v>127.88</v>
      </c>
      <c r="AH14" s="29">
        <f t="shared" ref="AH14:AH17" si="36">INT(AG14)</f>
        <v>127</v>
      </c>
      <c r="AI14" s="24">
        <f t="shared" ref="AI14:AI17" si="37">INT((AG14-AH14)*40+0.5)*100</f>
        <v>3500</v>
      </c>
      <c r="AJ14" s="30"/>
      <c r="AK14" s="73">
        <f t="shared" si="11"/>
        <v>4.6916000000000002</v>
      </c>
    </row>
    <row r="15" spans="1:37" s="31" customFormat="1" ht="69" customHeight="1" x14ac:dyDescent="0.25">
      <c r="A15" s="44" t="s">
        <v>514</v>
      </c>
      <c r="B15" s="42" t="s">
        <v>388</v>
      </c>
      <c r="C15" s="56" t="s">
        <v>318</v>
      </c>
      <c r="D15" s="48">
        <v>204</v>
      </c>
      <c r="E15" s="20">
        <v>22</v>
      </c>
      <c r="F15" s="21">
        <f t="shared" si="0"/>
        <v>176</v>
      </c>
      <c r="G15" s="57"/>
      <c r="H15" s="22"/>
      <c r="I15" s="23">
        <f t="shared" ref="I15" si="38">E15*8</f>
        <v>176</v>
      </c>
      <c r="J15" s="55">
        <v>716.97</v>
      </c>
      <c r="K15" s="55">
        <f>232.2094-55</f>
        <v>177.20939999999999</v>
      </c>
      <c r="L15" s="23"/>
      <c r="M15" s="22"/>
      <c r="N15" s="22">
        <v>4</v>
      </c>
      <c r="O15" s="52">
        <f t="shared" ref="O15" si="39">IF(F15&gt;0,((K15+W15)/F15*I15),0)</f>
        <v>177.20939999999999</v>
      </c>
      <c r="P15" s="58">
        <f t="shared" si="6"/>
        <v>0</v>
      </c>
      <c r="Q15" s="53">
        <f t="shared" si="7"/>
        <v>0</v>
      </c>
      <c r="R15" s="53">
        <f t="shared" si="8"/>
        <v>32.219890909090907</v>
      </c>
      <c r="S15" s="53">
        <v>0</v>
      </c>
      <c r="T15" s="25">
        <v>0</v>
      </c>
      <c r="U15" s="24">
        <f t="shared" ref="U15" si="40">D15/26*T15/2</f>
        <v>0</v>
      </c>
      <c r="V15" s="24">
        <f t="shared" ref="V15" si="41">((L15)*1500/4000)</f>
        <v>0</v>
      </c>
      <c r="W15" s="60"/>
      <c r="X15" s="53"/>
      <c r="Y15" s="27"/>
      <c r="Z15" s="24">
        <v>10</v>
      </c>
      <c r="AA15" s="24">
        <v>10</v>
      </c>
      <c r="AB15" s="26">
        <f t="shared" si="10"/>
        <v>102</v>
      </c>
      <c r="AC15" s="24">
        <f t="shared" si="13"/>
        <v>4.5884</v>
      </c>
      <c r="AD15" s="26"/>
      <c r="AE15" s="54">
        <f t="shared" si="2"/>
        <v>229.42</v>
      </c>
      <c r="AF15" s="28">
        <f t="shared" ref="AF15" si="42">AB15+AC15+AD15</f>
        <v>106.58840000000001</v>
      </c>
      <c r="AG15" s="54">
        <f t="shared" ref="AG15" si="43">INT((AE15-AF15)*100)/100</f>
        <v>122.83</v>
      </c>
      <c r="AH15" s="29">
        <f t="shared" ref="AH15" si="44">INT(AG15)</f>
        <v>122</v>
      </c>
      <c r="AI15" s="24">
        <f t="shared" ref="AI15" si="45">INT((AG15-AH15)*40+0.5)*100</f>
        <v>3300</v>
      </c>
      <c r="AJ15" s="30"/>
      <c r="AK15" s="73">
        <f t="shared" ref="AK15" si="46">(AE15*0.04)/2</f>
        <v>4.5884</v>
      </c>
    </row>
    <row r="16" spans="1:37" s="31" customFormat="1" ht="69" customHeight="1" x14ac:dyDescent="0.25">
      <c r="A16" s="44" t="s">
        <v>515</v>
      </c>
      <c r="B16" s="69" t="s">
        <v>517</v>
      </c>
      <c r="C16" s="56" t="s">
        <v>519</v>
      </c>
      <c r="D16" s="48">
        <v>204</v>
      </c>
      <c r="E16" s="20">
        <v>20</v>
      </c>
      <c r="F16" s="21">
        <f t="shared" si="0"/>
        <v>160</v>
      </c>
      <c r="G16" s="57">
        <v>2</v>
      </c>
      <c r="H16" s="22"/>
      <c r="I16" s="23">
        <f t="shared" ref="I16" si="47">E16*8</f>
        <v>160</v>
      </c>
      <c r="J16" s="55">
        <v>858.00999999999988</v>
      </c>
      <c r="K16" s="55">
        <f>279.3522-100</f>
        <v>179.35219999999998</v>
      </c>
      <c r="L16" s="23"/>
      <c r="M16" s="22"/>
      <c r="N16" s="22">
        <v>4</v>
      </c>
      <c r="O16" s="52">
        <f>IF(F16&gt;0,((K16+W16)/F16*I16),0)</f>
        <v>179.35219999999998</v>
      </c>
      <c r="P16" s="58">
        <f>IF(F16&gt;0,((K16+W16)/F16*L16*1.5)*100)/100</f>
        <v>0</v>
      </c>
      <c r="Q16" s="53">
        <f>IF(F16&gt;0,((K16+W16)/F16*M16*8*2)*100)/100</f>
        <v>0</v>
      </c>
      <c r="R16" s="53">
        <f>IF(F16&gt;0,((K16+W16)/F16*N16*8*1)*100)/100</f>
        <v>35.870439999999995</v>
      </c>
      <c r="S16" s="53">
        <v>0</v>
      </c>
      <c r="T16" s="25">
        <v>0</v>
      </c>
      <c r="U16" s="24">
        <f t="shared" ref="U16" si="48">D16/26*T16/2</f>
        <v>0</v>
      </c>
      <c r="V16" s="24">
        <f t="shared" ref="V16" si="49">((L16)*1500/4000)</f>
        <v>0</v>
      </c>
      <c r="W16" s="60"/>
      <c r="X16" s="53"/>
      <c r="Y16" s="27"/>
      <c r="Z16" s="24">
        <v>4</v>
      </c>
      <c r="AA16" s="24">
        <v>10</v>
      </c>
      <c r="AB16" s="26">
        <f t="shared" si="10"/>
        <v>102</v>
      </c>
      <c r="AC16" s="24">
        <f t="shared" si="13"/>
        <v>4.5844000000000005</v>
      </c>
      <c r="AD16" s="26"/>
      <c r="AE16" s="54">
        <f t="shared" si="2"/>
        <v>229.22</v>
      </c>
      <c r="AF16" s="28">
        <f t="shared" ref="AF16" si="50">AB16+AC16+AD16</f>
        <v>106.5844</v>
      </c>
      <c r="AG16" s="54">
        <f t="shared" ref="AG16" si="51">INT((AE16-AF16)*100)/100</f>
        <v>122.63</v>
      </c>
      <c r="AH16" s="29">
        <f t="shared" ref="AH16" si="52">INT(AG16)</f>
        <v>122</v>
      </c>
      <c r="AI16" s="24">
        <f t="shared" ref="AI16" si="53">INT((AG16-AH16)*40+0.5)*100</f>
        <v>2500</v>
      </c>
      <c r="AJ16" s="30"/>
      <c r="AK16" s="73">
        <f t="shared" ref="AK16" si="54">(AE16*0.04)/2</f>
        <v>4.5844000000000005</v>
      </c>
    </row>
    <row r="17" spans="1:37" s="31" customFormat="1" ht="69" customHeight="1" x14ac:dyDescent="0.25">
      <c r="A17" s="44" t="s">
        <v>516</v>
      </c>
      <c r="B17" s="69" t="s">
        <v>518</v>
      </c>
      <c r="C17" s="56" t="s">
        <v>519</v>
      </c>
      <c r="D17" s="48">
        <v>204</v>
      </c>
      <c r="E17" s="20">
        <v>22</v>
      </c>
      <c r="F17" s="21">
        <f t="shared" si="0"/>
        <v>176</v>
      </c>
      <c r="G17" s="57"/>
      <c r="H17" s="22"/>
      <c r="I17" s="23">
        <f t="shared" si="30"/>
        <v>176</v>
      </c>
      <c r="J17" s="55">
        <v>960.91000000000008</v>
      </c>
      <c r="K17" s="55">
        <f>317.9594-50-90</f>
        <v>177.95940000000002</v>
      </c>
      <c r="L17" s="23"/>
      <c r="M17" s="22"/>
      <c r="N17" s="22">
        <v>4</v>
      </c>
      <c r="O17" s="52">
        <f t="shared" si="31"/>
        <v>177.95940000000002</v>
      </c>
      <c r="P17" s="58">
        <f t="shared" si="6"/>
        <v>0</v>
      </c>
      <c r="Q17" s="53">
        <f t="shared" si="7"/>
        <v>0</v>
      </c>
      <c r="R17" s="53">
        <f t="shared" si="8"/>
        <v>32.356254545454547</v>
      </c>
      <c r="S17" s="53">
        <v>0</v>
      </c>
      <c r="T17" s="25">
        <v>0</v>
      </c>
      <c r="U17" s="24">
        <f t="shared" si="32"/>
        <v>0</v>
      </c>
      <c r="V17" s="24">
        <f t="shared" si="33"/>
        <v>0</v>
      </c>
      <c r="W17" s="60"/>
      <c r="X17" s="53"/>
      <c r="Y17" s="27"/>
      <c r="Z17" s="24">
        <v>10</v>
      </c>
      <c r="AA17" s="24">
        <v>10</v>
      </c>
      <c r="AB17" s="26">
        <f t="shared" si="10"/>
        <v>102</v>
      </c>
      <c r="AC17" s="24">
        <f t="shared" si="13"/>
        <v>4.6062000000000003</v>
      </c>
      <c r="AD17" s="26"/>
      <c r="AE17" s="54">
        <f t="shared" si="2"/>
        <v>230.31</v>
      </c>
      <c r="AF17" s="28">
        <f t="shared" si="34"/>
        <v>106.6062</v>
      </c>
      <c r="AG17" s="54">
        <f t="shared" si="35"/>
        <v>123.7</v>
      </c>
      <c r="AH17" s="29">
        <f t="shared" si="36"/>
        <v>123</v>
      </c>
      <c r="AI17" s="24">
        <f t="shared" si="37"/>
        <v>2800</v>
      </c>
      <c r="AJ17" s="30"/>
      <c r="AK17" s="73">
        <f t="shared" si="11"/>
        <v>4.6062000000000003</v>
      </c>
    </row>
    <row r="18" spans="1:37" s="36" customFormat="1" ht="27.75" customHeight="1" thickBot="1" x14ac:dyDescent="0.3">
      <c r="A18" s="107" t="s">
        <v>33</v>
      </c>
      <c r="B18" s="108"/>
      <c r="C18" s="32"/>
      <c r="D18" s="33"/>
      <c r="E18" s="34">
        <f t="shared" ref="E18:AI18" si="55">SUM(E8:E17)</f>
        <v>211.5</v>
      </c>
      <c r="F18" s="34">
        <f t="shared" si="55"/>
        <v>1692</v>
      </c>
      <c r="G18" s="34">
        <f t="shared" si="55"/>
        <v>8.5</v>
      </c>
      <c r="H18" s="34">
        <f t="shared" si="55"/>
        <v>0</v>
      </c>
      <c r="I18" s="34">
        <f t="shared" si="55"/>
        <v>1692</v>
      </c>
      <c r="J18" s="34">
        <f t="shared" si="55"/>
        <v>8841.9500000000007</v>
      </c>
      <c r="K18" s="34">
        <f t="shared" si="55"/>
        <v>1772.1034999999997</v>
      </c>
      <c r="L18" s="34">
        <f t="shared" si="55"/>
        <v>0</v>
      </c>
      <c r="M18" s="34">
        <f t="shared" si="55"/>
        <v>0</v>
      </c>
      <c r="N18" s="34">
        <f t="shared" si="55"/>
        <v>40</v>
      </c>
      <c r="O18" s="34">
        <f t="shared" si="55"/>
        <v>1772.1034999999999</v>
      </c>
      <c r="P18" s="34">
        <f t="shared" si="55"/>
        <v>0</v>
      </c>
      <c r="Q18" s="34">
        <f t="shared" si="55"/>
        <v>0</v>
      </c>
      <c r="R18" s="34">
        <f t="shared" si="55"/>
        <v>335.75851678321669</v>
      </c>
      <c r="S18" s="34">
        <f t="shared" si="55"/>
        <v>0</v>
      </c>
      <c r="T18" s="34">
        <f t="shared" si="55"/>
        <v>0</v>
      </c>
      <c r="U18" s="34">
        <f t="shared" si="55"/>
        <v>0</v>
      </c>
      <c r="V18" s="34">
        <f t="shared" si="55"/>
        <v>0</v>
      </c>
      <c r="W18" s="34">
        <f t="shared" si="55"/>
        <v>0</v>
      </c>
      <c r="X18" s="34">
        <f t="shared" si="55"/>
        <v>0</v>
      </c>
      <c r="Y18" s="34">
        <f t="shared" si="55"/>
        <v>0</v>
      </c>
      <c r="Z18" s="34">
        <f t="shared" si="55"/>
        <v>72</v>
      </c>
      <c r="AA18" s="34">
        <f t="shared" si="55"/>
        <v>100</v>
      </c>
      <c r="AB18" s="34">
        <f t="shared" si="55"/>
        <v>1020</v>
      </c>
      <c r="AC18" s="34">
        <f t="shared" si="55"/>
        <v>45.596400000000003</v>
      </c>
      <c r="AD18" s="34">
        <f t="shared" si="55"/>
        <v>0</v>
      </c>
      <c r="AE18" s="34">
        <f t="shared" si="55"/>
        <v>2279.8199999999997</v>
      </c>
      <c r="AF18" s="34">
        <f t="shared" si="55"/>
        <v>1065.5963999999999</v>
      </c>
      <c r="AG18" s="34">
        <f t="shared" si="55"/>
        <v>1214.17</v>
      </c>
      <c r="AH18" s="34">
        <f t="shared" si="55"/>
        <v>1209</v>
      </c>
      <c r="AI18" s="34">
        <f t="shared" si="55"/>
        <v>20600</v>
      </c>
      <c r="AJ18" s="35"/>
    </row>
    <row r="19" spans="1:37" ht="21.75" customHeight="1" thickTop="1" x14ac:dyDescent="0.2">
      <c r="A19" s="109" t="s">
        <v>34</v>
      </c>
      <c r="B19" s="109"/>
      <c r="C19" s="109"/>
      <c r="D19" s="37"/>
      <c r="E19" s="37"/>
      <c r="F19" s="37"/>
      <c r="G19" s="37"/>
      <c r="H19" s="37"/>
      <c r="I19" s="37"/>
      <c r="J19" s="37"/>
      <c r="K19" s="37"/>
      <c r="L19" s="110"/>
      <c r="M19" s="110"/>
      <c r="N19" s="110"/>
      <c r="O19" s="38"/>
      <c r="P19" s="110" t="s">
        <v>35</v>
      </c>
      <c r="Q19" s="110"/>
      <c r="R19" s="110"/>
      <c r="S19" s="85"/>
      <c r="T19" s="38"/>
      <c r="U19" s="38"/>
      <c r="Z19" s="39"/>
      <c r="AA19" s="39"/>
      <c r="AE19" s="39"/>
      <c r="AF19" s="39"/>
      <c r="AG19" s="111" t="s">
        <v>36</v>
      </c>
      <c r="AH19" s="111"/>
      <c r="AI19" s="111"/>
      <c r="AJ19" s="40"/>
    </row>
    <row r="20" spans="1:37" ht="21" customHeight="1" x14ac:dyDescent="0.2">
      <c r="A20" s="41"/>
      <c r="B20" s="41"/>
      <c r="C20" s="41"/>
      <c r="D20" s="41"/>
      <c r="E20" s="41"/>
      <c r="H20" s="41"/>
      <c r="I20" s="41"/>
      <c r="J20" s="41"/>
      <c r="K20" s="41"/>
      <c r="L20" s="41"/>
    </row>
    <row r="21" spans="1:37" ht="13.5" customHeight="1" x14ac:dyDescent="0.2">
      <c r="A21" s="41"/>
      <c r="B21" s="41" t="s">
        <v>664</v>
      </c>
      <c r="C21" s="41"/>
      <c r="D21" s="41"/>
      <c r="E21" s="41"/>
      <c r="H21" s="41"/>
      <c r="I21" s="41"/>
      <c r="J21" s="41"/>
      <c r="K21" s="41"/>
      <c r="L21" s="41"/>
    </row>
    <row r="22" spans="1:37" s="41" customFormat="1" x14ac:dyDescent="0.2"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7" s="41" customFormat="1" x14ac:dyDescent="0.2"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7" s="41" customFormat="1" x14ac:dyDescent="0.2"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7" s="41" customFormat="1" x14ac:dyDescent="0.2"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7" s="41" customFormat="1" x14ac:dyDescent="0.2"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7" s="41" customFormat="1" x14ac:dyDescent="0.2"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7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7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7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7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7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</sheetData>
  <autoFilter ref="A7:AI20" xr:uid="{00000000-0009-0000-0000-000000000000}"/>
  <mergeCells count="12">
    <mergeCell ref="A18:B18"/>
    <mergeCell ref="A19:C19"/>
    <mergeCell ref="L19:N19"/>
    <mergeCell ref="P19:R19"/>
    <mergeCell ref="AG19:AI19"/>
    <mergeCell ref="A1:AJ1"/>
    <mergeCell ref="A2:AJ2"/>
    <mergeCell ref="A3:AJ3"/>
    <mergeCell ref="A4:B4"/>
    <mergeCell ref="B5:B6"/>
    <mergeCell ref="T5:U5"/>
    <mergeCell ref="AJ5:AJ6"/>
  </mergeCells>
  <phoneticPr fontId="24" type="noConversion"/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BFB16-1144-4DF3-8581-CC51F678F1F1}">
  <sheetPr>
    <tabColor theme="7" tint="0.39997558519241921"/>
  </sheetPr>
  <dimension ref="A1:AP88"/>
  <sheetViews>
    <sheetView view="pageBreakPreview" zoomScale="78" zoomScaleNormal="112" zoomScaleSheetLayoutView="78" workbookViewId="0">
      <pane ySplit="7" topLeftCell="A8" activePane="bottomLeft" state="frozen"/>
      <selection pane="bottomLeft" activeCell="AB11" sqref="AB11"/>
    </sheetView>
  </sheetViews>
  <sheetFormatPr defaultColWidth="9.140625" defaultRowHeight="12.75" x14ac:dyDescent="0.2"/>
  <cols>
    <col min="1" max="1" width="6.28515625" style="1" customWidth="1"/>
    <col min="2" max="2" width="8.4257812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4" width="3.42578125" style="41" customWidth="1"/>
    <col min="15" max="16" width="5" style="1" customWidth="1"/>
    <col min="17" max="17" width="3.85546875" style="1" customWidth="1"/>
    <col min="18" max="18" width="4.5703125" style="1" customWidth="1"/>
    <col min="19" max="19" width="3.42578125" style="1" customWidth="1"/>
    <col min="20" max="20" width="4.140625" style="1" customWidth="1"/>
    <col min="21" max="21" width="3.28515625" style="1" customWidth="1"/>
    <col min="22" max="22" width="3.85546875" style="1" customWidth="1"/>
    <col min="23" max="23" width="3.7109375" style="1" customWidth="1"/>
    <col min="24" max="24" width="4.5703125" style="1" customWidth="1"/>
    <col min="25" max="25" width="3.28515625" style="1" customWidth="1"/>
    <col min="26" max="27" width="4" style="1" customWidth="1"/>
    <col min="28" max="28" width="3.5703125" style="1" customWidth="1"/>
    <col min="29" max="29" width="4.2851562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5" width="6" style="1" customWidth="1"/>
    <col min="36" max="36" width="10.28515625" style="1" customWidth="1"/>
    <col min="37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27.7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3.25" customHeight="1" thickBot="1" x14ac:dyDescent="0.4">
      <c r="A4" s="117" t="s">
        <v>324</v>
      </c>
      <c r="B4" s="118"/>
      <c r="C4" s="2">
        <f>COUNTA(B8:B32)</f>
        <v>25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6.7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3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27.7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84.75" customHeight="1" x14ac:dyDescent="0.25">
      <c r="A8" s="43" t="s">
        <v>259</v>
      </c>
      <c r="B8" s="42" t="s">
        <v>260</v>
      </c>
      <c r="C8" s="56" t="s">
        <v>308</v>
      </c>
      <c r="D8" s="48">
        <v>204</v>
      </c>
      <c r="E8" s="20">
        <v>22</v>
      </c>
      <c r="F8" s="21">
        <f t="shared" ref="F8:F12" si="0">I8+L8+(M8)*8</f>
        <v>176</v>
      </c>
      <c r="G8" s="21"/>
      <c r="H8" s="22"/>
      <c r="I8" s="23">
        <f>E8*8</f>
        <v>176</v>
      </c>
      <c r="J8" s="55">
        <v>253.17000000000002</v>
      </c>
      <c r="K8" s="55">
        <f>195.7801-20</f>
        <v>175.7801</v>
      </c>
      <c r="L8" s="23"/>
      <c r="M8" s="22"/>
      <c r="N8" s="22">
        <v>4</v>
      </c>
      <c r="O8" s="90">
        <f t="shared" ref="O8:O32" si="1">IF(F8&gt;0,((K8+W8)/F8*I8),0)</f>
        <v>175.7801</v>
      </c>
      <c r="P8" s="53">
        <f t="shared" ref="P8:P32" si="2">IF(F8&gt;0,((K8+W8)/F8*L8*1.5)*100)/100</f>
        <v>0</v>
      </c>
      <c r="Q8" s="53">
        <f t="shared" ref="Q8:Q32" si="3">IF(F8&gt;0,((K8+W8)/F8*M8*8*2)*100)/100</f>
        <v>0</v>
      </c>
      <c r="R8" s="53">
        <f>IF(F8&gt;0,((K8+W8)/F8*N8*8*1)*100)/100</f>
        <v>31.960018181818182</v>
      </c>
      <c r="S8" s="53">
        <v>0</v>
      </c>
      <c r="T8" s="25">
        <v>0</v>
      </c>
      <c r="U8" s="24">
        <f t="shared" ref="U8:U32" si="4">D8/26*T8/2</f>
        <v>0</v>
      </c>
      <c r="V8" s="24">
        <f t="shared" ref="V8:V32" si="5">((L8)*1500/4000)</f>
        <v>0</v>
      </c>
      <c r="W8" s="61"/>
      <c r="X8" s="53"/>
      <c r="Y8" s="95"/>
      <c r="Z8" s="24">
        <v>10</v>
      </c>
      <c r="AA8" s="24">
        <v>10</v>
      </c>
      <c r="AB8" s="26">
        <f t="shared" ref="AB8:AB32" si="6">D8/2</f>
        <v>102</v>
      </c>
      <c r="AC8" s="24">
        <f t="shared" ref="AC8:AC32" si="7">AK8</f>
        <v>4.5548000000000002</v>
      </c>
      <c r="AD8" s="26"/>
      <c r="AE8" s="54">
        <f t="shared" ref="AE8:AE26" si="8">INT((O8+P8+Q8+R8+U8+V8+Z8+AA8+Y8-X8+S8)*100)/100</f>
        <v>227.74</v>
      </c>
      <c r="AF8" s="28">
        <f>AB8+AC8+AD8</f>
        <v>106.5548</v>
      </c>
      <c r="AG8" s="54">
        <f t="shared" ref="AG8:AG14" si="9">INT((AE8-AF8)*100)/100</f>
        <v>121.18</v>
      </c>
      <c r="AH8" s="29">
        <f t="shared" ref="AH8:AH26" si="10">INT(AG8)</f>
        <v>121</v>
      </c>
      <c r="AI8" s="24">
        <f t="shared" ref="AI8:AI14" si="11">INT((AG8-AH8)*40+0.5)*100</f>
        <v>700</v>
      </c>
      <c r="AJ8" s="30"/>
      <c r="AK8" s="73">
        <f t="shared" ref="AK8:AK20" si="12">(AE8*0.04)/2</f>
        <v>4.5548000000000002</v>
      </c>
    </row>
    <row r="9" spans="1:37" s="31" customFormat="1" ht="84.75" customHeight="1" x14ac:dyDescent="0.25">
      <c r="A9" s="43" t="s">
        <v>261</v>
      </c>
      <c r="B9" s="69" t="s">
        <v>144</v>
      </c>
      <c r="C9" s="56" t="s">
        <v>308</v>
      </c>
      <c r="D9" s="48">
        <v>204</v>
      </c>
      <c r="E9" s="20">
        <v>14.5</v>
      </c>
      <c r="F9" s="21">
        <f t="shared" si="0"/>
        <v>116</v>
      </c>
      <c r="G9" s="57">
        <v>7.5</v>
      </c>
      <c r="H9" s="22"/>
      <c r="I9" s="23">
        <f>E9*8</f>
        <v>116</v>
      </c>
      <c r="J9" s="55">
        <v>115.43</v>
      </c>
      <c r="K9" s="55">
        <f>84.8014+10</f>
        <v>94.801400000000001</v>
      </c>
      <c r="L9" s="23"/>
      <c r="M9" s="22"/>
      <c r="N9" s="22">
        <v>4</v>
      </c>
      <c r="O9" s="90">
        <f t="shared" si="1"/>
        <v>118.33986153846152</v>
      </c>
      <c r="P9" s="53">
        <f t="shared" si="2"/>
        <v>0</v>
      </c>
      <c r="Q9" s="53">
        <f t="shared" si="3"/>
        <v>0</v>
      </c>
      <c r="R9" s="53">
        <f t="shared" ref="R9:R24" si="13">IF(F9&gt;0,((K9+W9)/F9*N9*8*1)*100)/100</f>
        <v>32.645479045092834</v>
      </c>
      <c r="S9" s="53">
        <v>0</v>
      </c>
      <c r="T9" s="25">
        <v>0</v>
      </c>
      <c r="U9" s="24">
        <f t="shared" si="4"/>
        <v>0</v>
      </c>
      <c r="V9" s="24">
        <f t="shared" si="5"/>
        <v>0</v>
      </c>
      <c r="W9" s="61">
        <f>D9/208*24</f>
        <v>23.538461538461537</v>
      </c>
      <c r="X9" s="53"/>
      <c r="Y9" s="95"/>
      <c r="Z9" s="24"/>
      <c r="AA9" s="24">
        <v>10</v>
      </c>
      <c r="AB9" s="26">
        <f t="shared" si="6"/>
        <v>102</v>
      </c>
      <c r="AC9" s="24">
        <f t="shared" si="7"/>
        <v>3.2195999999999998</v>
      </c>
      <c r="AD9" s="26"/>
      <c r="AE9" s="54">
        <f t="shared" si="8"/>
        <v>160.97999999999999</v>
      </c>
      <c r="AF9" s="28">
        <f>AB9+AC9+AD9</f>
        <v>105.2196</v>
      </c>
      <c r="AG9" s="54">
        <f t="shared" si="9"/>
        <v>55.76</v>
      </c>
      <c r="AH9" s="29">
        <f t="shared" si="10"/>
        <v>55</v>
      </c>
      <c r="AI9" s="24">
        <f t="shared" si="11"/>
        <v>3000</v>
      </c>
      <c r="AJ9" s="30"/>
      <c r="AK9" s="73">
        <f t="shared" si="12"/>
        <v>3.2195999999999998</v>
      </c>
    </row>
    <row r="10" spans="1:37" s="31" customFormat="1" ht="84.75" customHeight="1" x14ac:dyDescent="0.25">
      <c r="A10" s="43" t="s">
        <v>262</v>
      </c>
      <c r="B10" s="69" t="s">
        <v>145</v>
      </c>
      <c r="C10" s="56" t="s">
        <v>308</v>
      </c>
      <c r="D10" s="48">
        <v>204</v>
      </c>
      <c r="E10" s="20">
        <v>22</v>
      </c>
      <c r="F10" s="21">
        <f t="shared" si="0"/>
        <v>176</v>
      </c>
      <c r="G10" s="57"/>
      <c r="H10" s="22"/>
      <c r="I10" s="23">
        <f t="shared" ref="I10:I14" si="14">E10*8</f>
        <v>176</v>
      </c>
      <c r="J10" s="55">
        <v>201.00000000000003</v>
      </c>
      <c r="K10" s="55">
        <v>156.83260000000001</v>
      </c>
      <c r="L10" s="23"/>
      <c r="M10" s="22"/>
      <c r="N10" s="22">
        <v>4</v>
      </c>
      <c r="O10" s="90">
        <f t="shared" si="1"/>
        <v>176.44798461538463</v>
      </c>
      <c r="P10" s="53">
        <f t="shared" si="2"/>
        <v>0</v>
      </c>
      <c r="Q10" s="53">
        <f t="shared" si="3"/>
        <v>0</v>
      </c>
      <c r="R10" s="53">
        <f t="shared" si="13"/>
        <v>32.081451748251752</v>
      </c>
      <c r="S10" s="53">
        <v>0</v>
      </c>
      <c r="T10" s="25">
        <v>0</v>
      </c>
      <c r="U10" s="24">
        <f t="shared" si="4"/>
        <v>0</v>
      </c>
      <c r="V10" s="24">
        <f t="shared" si="5"/>
        <v>0</v>
      </c>
      <c r="W10" s="61">
        <f>D10/208*20</f>
        <v>19.615384615384613</v>
      </c>
      <c r="X10" s="53"/>
      <c r="Y10" s="95"/>
      <c r="Z10" s="24">
        <v>10</v>
      </c>
      <c r="AA10" s="24">
        <v>10</v>
      </c>
      <c r="AB10" s="26">
        <f t="shared" si="6"/>
        <v>102</v>
      </c>
      <c r="AC10" s="24">
        <f t="shared" si="7"/>
        <v>4.5704000000000002</v>
      </c>
      <c r="AD10" s="26"/>
      <c r="AE10" s="54">
        <f t="shared" si="8"/>
        <v>228.52</v>
      </c>
      <c r="AF10" s="28">
        <f t="shared" ref="AF10:AF14" si="15">AB10+AC10+AD10</f>
        <v>106.57040000000001</v>
      </c>
      <c r="AG10" s="54">
        <f t="shared" si="9"/>
        <v>121.94</v>
      </c>
      <c r="AH10" s="29">
        <f t="shared" si="10"/>
        <v>121</v>
      </c>
      <c r="AI10" s="24">
        <f t="shared" si="11"/>
        <v>3800</v>
      </c>
      <c r="AJ10" s="30"/>
      <c r="AK10" s="73">
        <f t="shared" si="12"/>
        <v>4.5704000000000002</v>
      </c>
    </row>
    <row r="11" spans="1:37" s="31" customFormat="1" ht="84.75" customHeight="1" x14ac:dyDescent="0.25">
      <c r="A11" s="43" t="s">
        <v>263</v>
      </c>
      <c r="B11" s="69" t="s">
        <v>146</v>
      </c>
      <c r="C11" s="56" t="s">
        <v>308</v>
      </c>
      <c r="D11" s="48">
        <v>204</v>
      </c>
      <c r="E11" s="20">
        <v>20</v>
      </c>
      <c r="F11" s="21">
        <f t="shared" si="0"/>
        <v>160</v>
      </c>
      <c r="G11" s="57">
        <v>2</v>
      </c>
      <c r="H11" s="22"/>
      <c r="I11" s="23">
        <f t="shared" si="14"/>
        <v>160</v>
      </c>
      <c r="J11" s="55">
        <v>151.74</v>
      </c>
      <c r="K11" s="55">
        <v>115.50730000000001</v>
      </c>
      <c r="L11" s="23"/>
      <c r="M11" s="22"/>
      <c r="N11" s="22">
        <v>4</v>
      </c>
      <c r="O11" s="90">
        <f t="shared" si="1"/>
        <v>159.6419153846154</v>
      </c>
      <c r="P11" s="53">
        <f t="shared" si="2"/>
        <v>0</v>
      </c>
      <c r="Q11" s="53">
        <f t="shared" si="3"/>
        <v>0</v>
      </c>
      <c r="R11" s="53">
        <f t="shared" si="13"/>
        <v>31.92838307692308</v>
      </c>
      <c r="S11" s="53">
        <v>0</v>
      </c>
      <c r="T11" s="25">
        <v>0</v>
      </c>
      <c r="U11" s="24">
        <f t="shared" si="4"/>
        <v>0</v>
      </c>
      <c r="V11" s="24">
        <f t="shared" si="5"/>
        <v>0</v>
      </c>
      <c r="W11" s="61">
        <f>D11/208*45</f>
        <v>44.13461538461538</v>
      </c>
      <c r="X11" s="53"/>
      <c r="Y11" s="95"/>
      <c r="Z11" s="24">
        <v>4</v>
      </c>
      <c r="AA11" s="24">
        <v>10</v>
      </c>
      <c r="AB11" s="26">
        <f t="shared" si="6"/>
        <v>102</v>
      </c>
      <c r="AC11" s="24">
        <f t="shared" si="7"/>
        <v>4.1113999999999997</v>
      </c>
      <c r="AD11" s="26"/>
      <c r="AE11" s="54">
        <f t="shared" si="8"/>
        <v>205.57</v>
      </c>
      <c r="AF11" s="28">
        <f t="shared" si="15"/>
        <v>106.1114</v>
      </c>
      <c r="AG11" s="54">
        <f t="shared" si="9"/>
        <v>99.45</v>
      </c>
      <c r="AH11" s="29">
        <f t="shared" si="10"/>
        <v>99</v>
      </c>
      <c r="AI11" s="24">
        <f t="shared" si="11"/>
        <v>1800</v>
      </c>
      <c r="AJ11" s="30"/>
      <c r="AK11" s="73">
        <f t="shared" si="12"/>
        <v>4.1113999999999997</v>
      </c>
    </row>
    <row r="12" spans="1:37" s="31" customFormat="1" ht="84.75" customHeight="1" x14ac:dyDescent="0.25">
      <c r="A12" s="43" t="s">
        <v>264</v>
      </c>
      <c r="B12" s="70" t="s">
        <v>568</v>
      </c>
      <c r="C12" s="56" t="s">
        <v>308</v>
      </c>
      <c r="D12" s="48">
        <v>204</v>
      </c>
      <c r="E12" s="20">
        <v>17.5</v>
      </c>
      <c r="F12" s="21">
        <f t="shared" si="0"/>
        <v>140</v>
      </c>
      <c r="G12" s="57">
        <v>4.5</v>
      </c>
      <c r="H12" s="22"/>
      <c r="I12" s="23">
        <f t="shared" si="14"/>
        <v>140</v>
      </c>
      <c r="J12" s="55">
        <v>128.32</v>
      </c>
      <c r="K12" s="55">
        <v>100.20420000000001</v>
      </c>
      <c r="L12" s="23"/>
      <c r="M12" s="22"/>
      <c r="N12" s="22">
        <v>4</v>
      </c>
      <c r="O12" s="90">
        <f t="shared" si="1"/>
        <v>139.43496923076924</v>
      </c>
      <c r="P12" s="53">
        <f t="shared" si="2"/>
        <v>0</v>
      </c>
      <c r="Q12" s="53">
        <f t="shared" si="3"/>
        <v>0</v>
      </c>
      <c r="R12" s="53">
        <f t="shared" si="13"/>
        <v>31.870850109890117</v>
      </c>
      <c r="S12" s="53">
        <v>0</v>
      </c>
      <c r="T12" s="25">
        <v>0</v>
      </c>
      <c r="U12" s="24">
        <f t="shared" si="4"/>
        <v>0</v>
      </c>
      <c r="V12" s="24">
        <f t="shared" si="5"/>
        <v>0</v>
      </c>
      <c r="W12" s="61">
        <f>D12/208*40</f>
        <v>39.230769230769226</v>
      </c>
      <c r="X12" s="53"/>
      <c r="Y12" s="95"/>
      <c r="Z12" s="24"/>
      <c r="AA12" s="24">
        <v>10</v>
      </c>
      <c r="AB12" s="26">
        <f t="shared" si="6"/>
        <v>102</v>
      </c>
      <c r="AC12" s="24">
        <f t="shared" si="7"/>
        <v>3.6260000000000003</v>
      </c>
      <c r="AD12" s="26"/>
      <c r="AE12" s="54">
        <f t="shared" si="8"/>
        <v>181.3</v>
      </c>
      <c r="AF12" s="28">
        <f t="shared" si="15"/>
        <v>105.626</v>
      </c>
      <c r="AG12" s="54">
        <f t="shared" si="9"/>
        <v>75.67</v>
      </c>
      <c r="AH12" s="29">
        <f t="shared" si="10"/>
        <v>75</v>
      </c>
      <c r="AI12" s="24">
        <f t="shared" si="11"/>
        <v>2700</v>
      </c>
      <c r="AJ12" s="30"/>
      <c r="AK12" s="73">
        <f t="shared" si="12"/>
        <v>3.6260000000000003</v>
      </c>
    </row>
    <row r="13" spans="1:37" s="31" customFormat="1" ht="84.75" customHeight="1" x14ac:dyDescent="0.25">
      <c r="A13" s="43" t="s">
        <v>265</v>
      </c>
      <c r="B13" s="69" t="s">
        <v>459</v>
      </c>
      <c r="C13" s="56" t="s">
        <v>308</v>
      </c>
      <c r="D13" s="48">
        <v>204</v>
      </c>
      <c r="E13" s="20">
        <v>21</v>
      </c>
      <c r="F13" s="21">
        <f t="shared" ref="F13:F25" si="16">I13+L13+(M13)*8</f>
        <v>168</v>
      </c>
      <c r="G13" s="57">
        <v>1</v>
      </c>
      <c r="H13" s="22"/>
      <c r="I13" s="23">
        <f t="shared" si="14"/>
        <v>168</v>
      </c>
      <c r="J13" s="55">
        <v>117.16</v>
      </c>
      <c r="K13" s="55">
        <f>65.2758+25</f>
        <v>90.275800000000004</v>
      </c>
      <c r="L13" s="23"/>
      <c r="M13" s="22"/>
      <c r="N13" s="22">
        <v>4</v>
      </c>
      <c r="O13" s="90">
        <f t="shared" si="1"/>
        <v>168.73733846153843</v>
      </c>
      <c r="P13" s="53">
        <f t="shared" si="2"/>
        <v>0</v>
      </c>
      <c r="Q13" s="53">
        <f t="shared" si="3"/>
        <v>0</v>
      </c>
      <c r="R13" s="53">
        <f t="shared" si="13"/>
        <v>32.140445421245417</v>
      </c>
      <c r="S13" s="53">
        <v>0</v>
      </c>
      <c r="T13" s="25">
        <v>0</v>
      </c>
      <c r="U13" s="24">
        <f t="shared" si="4"/>
        <v>0</v>
      </c>
      <c r="V13" s="24">
        <f t="shared" si="5"/>
        <v>0</v>
      </c>
      <c r="W13" s="96">
        <f>D13/208*80</f>
        <v>78.461538461538453</v>
      </c>
      <c r="X13" s="53"/>
      <c r="Y13" s="95"/>
      <c r="Z13" s="24">
        <v>7</v>
      </c>
      <c r="AA13" s="24">
        <v>10</v>
      </c>
      <c r="AB13" s="26">
        <f t="shared" si="6"/>
        <v>102</v>
      </c>
      <c r="AC13" s="24">
        <f t="shared" si="7"/>
        <v>4.3574000000000002</v>
      </c>
      <c r="AD13" s="26"/>
      <c r="AE13" s="54">
        <f t="shared" si="8"/>
        <v>217.87</v>
      </c>
      <c r="AF13" s="28">
        <f t="shared" si="15"/>
        <v>106.3574</v>
      </c>
      <c r="AG13" s="54">
        <f t="shared" si="9"/>
        <v>111.51</v>
      </c>
      <c r="AH13" s="29">
        <f t="shared" si="10"/>
        <v>111</v>
      </c>
      <c r="AI13" s="24">
        <f t="shared" si="11"/>
        <v>2000</v>
      </c>
      <c r="AJ13" s="30"/>
      <c r="AK13" s="73">
        <f t="shared" si="12"/>
        <v>4.3574000000000002</v>
      </c>
    </row>
    <row r="14" spans="1:37" s="31" customFormat="1" ht="84.75" customHeight="1" x14ac:dyDescent="0.25">
      <c r="A14" s="43" t="s">
        <v>266</v>
      </c>
      <c r="B14" s="69" t="s">
        <v>267</v>
      </c>
      <c r="C14" s="56" t="s">
        <v>308</v>
      </c>
      <c r="D14" s="48">
        <v>204</v>
      </c>
      <c r="E14" s="20">
        <v>22</v>
      </c>
      <c r="F14" s="21">
        <f t="shared" si="16"/>
        <v>176</v>
      </c>
      <c r="G14" s="57"/>
      <c r="H14" s="22"/>
      <c r="I14" s="23">
        <f t="shared" si="14"/>
        <v>176</v>
      </c>
      <c r="J14" s="55">
        <v>209.98999999999998</v>
      </c>
      <c r="K14" s="55">
        <v>162.19290000000001</v>
      </c>
      <c r="L14" s="23"/>
      <c r="M14" s="22"/>
      <c r="N14" s="22">
        <v>4</v>
      </c>
      <c r="O14" s="90">
        <f t="shared" si="1"/>
        <v>176.90443846153843</v>
      </c>
      <c r="P14" s="53">
        <f t="shared" si="2"/>
        <v>0</v>
      </c>
      <c r="Q14" s="53">
        <f t="shared" si="3"/>
        <v>0</v>
      </c>
      <c r="R14" s="53">
        <f t="shared" si="13"/>
        <v>32.164443356643353</v>
      </c>
      <c r="S14" s="53">
        <v>0</v>
      </c>
      <c r="T14" s="25">
        <v>0</v>
      </c>
      <c r="U14" s="24">
        <f t="shared" si="4"/>
        <v>0</v>
      </c>
      <c r="V14" s="24">
        <f t="shared" si="5"/>
        <v>0</v>
      </c>
      <c r="W14" s="61">
        <f>D14/208*15</f>
        <v>14.711538461538462</v>
      </c>
      <c r="X14" s="53"/>
      <c r="Y14" s="95"/>
      <c r="Z14" s="24">
        <v>10</v>
      </c>
      <c r="AA14" s="24">
        <v>10</v>
      </c>
      <c r="AB14" s="26">
        <f t="shared" si="6"/>
        <v>102</v>
      </c>
      <c r="AC14" s="24">
        <f t="shared" si="7"/>
        <v>4.5811999999999999</v>
      </c>
      <c r="AD14" s="26"/>
      <c r="AE14" s="54">
        <f t="shared" si="8"/>
        <v>229.06</v>
      </c>
      <c r="AF14" s="28">
        <f t="shared" si="15"/>
        <v>106.5812</v>
      </c>
      <c r="AG14" s="54">
        <f t="shared" si="9"/>
        <v>122.47</v>
      </c>
      <c r="AH14" s="29">
        <f t="shared" si="10"/>
        <v>122</v>
      </c>
      <c r="AI14" s="24">
        <f t="shared" si="11"/>
        <v>1900</v>
      </c>
      <c r="AJ14" s="30"/>
      <c r="AK14" s="73">
        <f t="shared" si="12"/>
        <v>4.5811999999999999</v>
      </c>
    </row>
    <row r="15" spans="1:37" s="31" customFormat="1" ht="84.75" customHeight="1" x14ac:dyDescent="0.25">
      <c r="A15" s="43" t="s">
        <v>268</v>
      </c>
      <c r="B15" s="69" t="s">
        <v>269</v>
      </c>
      <c r="C15" s="56" t="s">
        <v>308</v>
      </c>
      <c r="D15" s="48">
        <v>204</v>
      </c>
      <c r="E15" s="20">
        <v>20</v>
      </c>
      <c r="F15" s="21">
        <f t="shared" si="16"/>
        <v>160</v>
      </c>
      <c r="G15" s="57">
        <v>2</v>
      </c>
      <c r="H15" s="22"/>
      <c r="I15" s="23">
        <f t="shared" ref="I15:I26" si="17">E15*8</f>
        <v>160</v>
      </c>
      <c r="J15" s="55">
        <v>124.17</v>
      </c>
      <c r="K15" s="55">
        <f>98.3326+20</f>
        <v>118.3326</v>
      </c>
      <c r="L15" s="23"/>
      <c r="M15" s="22"/>
      <c r="N15" s="22">
        <v>4</v>
      </c>
      <c r="O15" s="90">
        <f t="shared" si="1"/>
        <v>157.56336923076924</v>
      </c>
      <c r="P15" s="53">
        <f t="shared" si="2"/>
        <v>0</v>
      </c>
      <c r="Q15" s="53">
        <f t="shared" si="3"/>
        <v>0</v>
      </c>
      <c r="R15" s="53">
        <f t="shared" si="13"/>
        <v>31.512673846153849</v>
      </c>
      <c r="S15" s="53">
        <v>0</v>
      </c>
      <c r="T15" s="25">
        <v>0</v>
      </c>
      <c r="U15" s="24">
        <f t="shared" si="4"/>
        <v>0</v>
      </c>
      <c r="V15" s="24">
        <f t="shared" si="5"/>
        <v>0</v>
      </c>
      <c r="W15" s="61">
        <f>D15/208*40</f>
        <v>39.230769230769226</v>
      </c>
      <c r="X15" s="53"/>
      <c r="Y15" s="95"/>
      <c r="Z15" s="24">
        <v>4</v>
      </c>
      <c r="AA15" s="24">
        <v>10</v>
      </c>
      <c r="AB15" s="26">
        <f t="shared" si="6"/>
        <v>102</v>
      </c>
      <c r="AC15" s="24">
        <f t="shared" si="7"/>
        <v>4.0613999999999999</v>
      </c>
      <c r="AD15" s="26"/>
      <c r="AE15" s="54">
        <f t="shared" si="8"/>
        <v>203.07</v>
      </c>
      <c r="AF15" s="28">
        <f t="shared" ref="AF15:AF26" si="18">AB15+AC15+AD15</f>
        <v>106.06140000000001</v>
      </c>
      <c r="AG15" s="54">
        <f t="shared" ref="AG15:AG26" si="19">INT((AE15-AF15)*100)/100</f>
        <v>97</v>
      </c>
      <c r="AH15" s="29">
        <f t="shared" si="10"/>
        <v>97</v>
      </c>
      <c r="AI15" s="24">
        <f t="shared" ref="AI15:AI26" si="20">INT((AG15-AH15)*40+0.5)*100</f>
        <v>0</v>
      </c>
      <c r="AJ15" s="30"/>
      <c r="AK15" s="73">
        <f t="shared" si="12"/>
        <v>4.0613999999999999</v>
      </c>
    </row>
    <row r="16" spans="1:37" s="31" customFormat="1" ht="84.75" customHeight="1" x14ac:dyDescent="0.25">
      <c r="A16" s="43" t="s">
        <v>270</v>
      </c>
      <c r="B16" s="69" t="s">
        <v>605</v>
      </c>
      <c r="C16" s="56" t="s">
        <v>308</v>
      </c>
      <c r="D16" s="48">
        <v>204</v>
      </c>
      <c r="E16" s="20">
        <v>21</v>
      </c>
      <c r="F16" s="21">
        <f t="shared" si="16"/>
        <v>168</v>
      </c>
      <c r="G16" s="57">
        <v>1</v>
      </c>
      <c r="H16" s="22"/>
      <c r="I16" s="23">
        <f t="shared" si="17"/>
        <v>168</v>
      </c>
      <c r="J16" s="55">
        <v>127.09</v>
      </c>
      <c r="K16" s="55">
        <f>100.881+30</f>
        <v>130.881</v>
      </c>
      <c r="L16" s="23"/>
      <c r="M16" s="22"/>
      <c r="N16" s="22">
        <v>4</v>
      </c>
      <c r="O16" s="90">
        <f t="shared" si="1"/>
        <v>170.11176923076923</v>
      </c>
      <c r="P16" s="53">
        <f t="shared" si="2"/>
        <v>0</v>
      </c>
      <c r="Q16" s="53">
        <f t="shared" si="3"/>
        <v>0</v>
      </c>
      <c r="R16" s="53">
        <f t="shared" si="13"/>
        <v>32.402241758241757</v>
      </c>
      <c r="S16" s="53">
        <v>0</v>
      </c>
      <c r="T16" s="25">
        <v>0</v>
      </c>
      <c r="U16" s="24">
        <f t="shared" si="4"/>
        <v>0</v>
      </c>
      <c r="V16" s="24">
        <f t="shared" si="5"/>
        <v>0</v>
      </c>
      <c r="W16" s="61">
        <f>D16/208*40</f>
        <v>39.230769230769226</v>
      </c>
      <c r="X16" s="53"/>
      <c r="Y16" s="95"/>
      <c r="Z16" s="24">
        <v>7</v>
      </c>
      <c r="AA16" s="24">
        <v>10</v>
      </c>
      <c r="AB16" s="26">
        <f t="shared" si="6"/>
        <v>102</v>
      </c>
      <c r="AC16" s="24">
        <f t="shared" si="7"/>
        <v>4.3902000000000001</v>
      </c>
      <c r="AD16" s="26"/>
      <c r="AE16" s="54">
        <f t="shared" si="8"/>
        <v>219.51</v>
      </c>
      <c r="AF16" s="28">
        <f t="shared" ref="AF16:AF25" si="21">AB16+AC16+AD16</f>
        <v>106.39019999999999</v>
      </c>
      <c r="AG16" s="54">
        <f t="shared" ref="AG16:AG25" si="22">INT((AE16-AF16)*100)/100</f>
        <v>113.11</v>
      </c>
      <c r="AH16" s="29">
        <f t="shared" si="10"/>
        <v>113</v>
      </c>
      <c r="AI16" s="24">
        <f t="shared" ref="AI16:AI25" si="23">INT((AG16-AH16)*40+0.5)*100</f>
        <v>400</v>
      </c>
      <c r="AJ16" s="30"/>
      <c r="AK16" s="73">
        <f t="shared" si="12"/>
        <v>4.3902000000000001</v>
      </c>
    </row>
    <row r="17" spans="1:37" s="31" customFormat="1" ht="84.75" customHeight="1" x14ac:dyDescent="0.25">
      <c r="A17" s="43" t="s">
        <v>271</v>
      </c>
      <c r="B17" s="69" t="s">
        <v>272</v>
      </c>
      <c r="C17" s="56" t="s">
        <v>308</v>
      </c>
      <c r="D17" s="48">
        <v>204</v>
      </c>
      <c r="E17" s="20">
        <v>21</v>
      </c>
      <c r="F17" s="21">
        <f t="shared" si="16"/>
        <v>168</v>
      </c>
      <c r="G17" s="57">
        <v>1</v>
      </c>
      <c r="H17" s="22"/>
      <c r="I17" s="23">
        <f t="shared" si="17"/>
        <v>168</v>
      </c>
      <c r="J17" s="55">
        <v>149.24</v>
      </c>
      <c r="K17" s="55">
        <f>113.1939+25</f>
        <v>138.19389999999999</v>
      </c>
      <c r="L17" s="23"/>
      <c r="M17" s="22"/>
      <c r="N17" s="22">
        <v>4</v>
      </c>
      <c r="O17" s="90">
        <f t="shared" si="1"/>
        <v>167.61697692307692</v>
      </c>
      <c r="P17" s="53">
        <f t="shared" si="2"/>
        <v>0</v>
      </c>
      <c r="Q17" s="53">
        <f t="shared" si="3"/>
        <v>0</v>
      </c>
      <c r="R17" s="53">
        <f t="shared" si="13"/>
        <v>31.927043223443224</v>
      </c>
      <c r="S17" s="53">
        <v>0</v>
      </c>
      <c r="T17" s="25">
        <v>0</v>
      </c>
      <c r="U17" s="24">
        <f t="shared" si="4"/>
        <v>0</v>
      </c>
      <c r="V17" s="24">
        <f t="shared" si="5"/>
        <v>0</v>
      </c>
      <c r="W17" s="61">
        <f>D17/208*30</f>
        <v>29.423076923076923</v>
      </c>
      <c r="X17" s="53"/>
      <c r="Y17" s="95"/>
      <c r="Z17" s="24">
        <v>7</v>
      </c>
      <c r="AA17" s="24">
        <v>10</v>
      </c>
      <c r="AB17" s="26">
        <f t="shared" si="6"/>
        <v>102</v>
      </c>
      <c r="AC17" s="24">
        <f t="shared" si="7"/>
        <v>4.3308</v>
      </c>
      <c r="AD17" s="26"/>
      <c r="AE17" s="54">
        <f t="shared" si="8"/>
        <v>216.54</v>
      </c>
      <c r="AF17" s="28">
        <f t="shared" si="21"/>
        <v>106.3308</v>
      </c>
      <c r="AG17" s="54">
        <f t="shared" si="22"/>
        <v>110.2</v>
      </c>
      <c r="AH17" s="29">
        <f t="shared" si="10"/>
        <v>110</v>
      </c>
      <c r="AI17" s="24">
        <f t="shared" si="23"/>
        <v>800</v>
      </c>
      <c r="AJ17" s="30"/>
      <c r="AK17" s="73">
        <f t="shared" si="12"/>
        <v>4.3308</v>
      </c>
    </row>
    <row r="18" spans="1:37" s="31" customFormat="1" ht="84.75" customHeight="1" x14ac:dyDescent="0.25">
      <c r="A18" s="43" t="s">
        <v>273</v>
      </c>
      <c r="B18" s="42" t="s">
        <v>274</v>
      </c>
      <c r="C18" s="56" t="s">
        <v>308</v>
      </c>
      <c r="D18" s="48">
        <v>204</v>
      </c>
      <c r="E18" s="20">
        <v>20</v>
      </c>
      <c r="F18" s="21">
        <f t="shared" si="16"/>
        <v>160</v>
      </c>
      <c r="G18" s="57">
        <v>2</v>
      </c>
      <c r="H18" s="22"/>
      <c r="I18" s="23">
        <f t="shared" si="17"/>
        <v>160</v>
      </c>
      <c r="J18" s="55">
        <v>161.08000000000004</v>
      </c>
      <c r="K18" s="55">
        <v>117.8121</v>
      </c>
      <c r="L18" s="23"/>
      <c r="M18" s="22"/>
      <c r="N18" s="22">
        <v>4</v>
      </c>
      <c r="O18" s="90">
        <f t="shared" si="1"/>
        <v>157.04286923076921</v>
      </c>
      <c r="P18" s="53">
        <f t="shared" si="2"/>
        <v>0</v>
      </c>
      <c r="Q18" s="53">
        <f t="shared" si="3"/>
        <v>0</v>
      </c>
      <c r="R18" s="53">
        <f t="shared" si="13"/>
        <v>31.408573846153839</v>
      </c>
      <c r="S18" s="53">
        <v>0</v>
      </c>
      <c r="T18" s="25">
        <v>0</v>
      </c>
      <c r="U18" s="24">
        <f t="shared" si="4"/>
        <v>0</v>
      </c>
      <c r="V18" s="24">
        <f t="shared" si="5"/>
        <v>0</v>
      </c>
      <c r="W18" s="61">
        <f>D18/208*40</f>
        <v>39.230769230769226</v>
      </c>
      <c r="X18" s="53"/>
      <c r="Y18" s="95"/>
      <c r="Z18" s="24">
        <v>4</v>
      </c>
      <c r="AA18" s="24">
        <v>10</v>
      </c>
      <c r="AB18" s="26">
        <f t="shared" si="6"/>
        <v>102</v>
      </c>
      <c r="AC18" s="24">
        <f t="shared" si="7"/>
        <v>4.0489999999999995</v>
      </c>
      <c r="AD18" s="26"/>
      <c r="AE18" s="54">
        <f t="shared" si="8"/>
        <v>202.45</v>
      </c>
      <c r="AF18" s="28">
        <f t="shared" si="21"/>
        <v>106.04900000000001</v>
      </c>
      <c r="AG18" s="54">
        <f t="shared" si="22"/>
        <v>96.4</v>
      </c>
      <c r="AH18" s="29">
        <f t="shared" si="10"/>
        <v>96</v>
      </c>
      <c r="AI18" s="24">
        <f t="shared" si="23"/>
        <v>1600</v>
      </c>
      <c r="AJ18" s="30"/>
      <c r="AK18" s="73">
        <f t="shared" si="12"/>
        <v>4.0489999999999995</v>
      </c>
    </row>
    <row r="19" spans="1:37" s="31" customFormat="1" ht="84.75" customHeight="1" x14ac:dyDescent="0.25">
      <c r="A19" s="43" t="s">
        <v>275</v>
      </c>
      <c r="B19" s="42" t="s">
        <v>276</v>
      </c>
      <c r="C19" s="56" t="s">
        <v>308</v>
      </c>
      <c r="D19" s="48">
        <v>204</v>
      </c>
      <c r="E19" s="20">
        <v>16</v>
      </c>
      <c r="F19" s="21">
        <f t="shared" si="16"/>
        <v>128</v>
      </c>
      <c r="G19" s="57">
        <v>3</v>
      </c>
      <c r="H19" s="22">
        <v>3</v>
      </c>
      <c r="I19" s="23">
        <f t="shared" si="17"/>
        <v>128</v>
      </c>
      <c r="J19" s="55">
        <v>93.5</v>
      </c>
      <c r="K19" s="55">
        <f>72.0331+55</f>
        <v>127.0331</v>
      </c>
      <c r="L19" s="23"/>
      <c r="M19" s="22"/>
      <c r="N19" s="22">
        <v>4</v>
      </c>
      <c r="O19" s="90">
        <f t="shared" si="1"/>
        <v>127.0331</v>
      </c>
      <c r="P19" s="53">
        <f t="shared" si="2"/>
        <v>0</v>
      </c>
      <c r="Q19" s="53">
        <f t="shared" si="3"/>
        <v>0</v>
      </c>
      <c r="R19" s="53">
        <f t="shared" si="13"/>
        <v>31.758275000000005</v>
      </c>
      <c r="S19" s="53">
        <v>0</v>
      </c>
      <c r="T19" s="25">
        <v>0</v>
      </c>
      <c r="U19" s="24">
        <f t="shared" si="4"/>
        <v>0</v>
      </c>
      <c r="V19" s="24">
        <f t="shared" si="5"/>
        <v>0</v>
      </c>
      <c r="W19" s="61"/>
      <c r="X19" s="53"/>
      <c r="Y19" s="95"/>
      <c r="Z19" s="24"/>
      <c r="AA19" s="24">
        <v>10</v>
      </c>
      <c r="AB19" s="26">
        <f t="shared" si="6"/>
        <v>102</v>
      </c>
      <c r="AC19" s="24">
        <f t="shared" si="7"/>
        <v>3.3757999999999999</v>
      </c>
      <c r="AD19" s="26"/>
      <c r="AE19" s="54">
        <f t="shared" si="8"/>
        <v>168.79</v>
      </c>
      <c r="AF19" s="28">
        <f t="shared" si="21"/>
        <v>105.3758</v>
      </c>
      <c r="AG19" s="54">
        <f t="shared" si="22"/>
        <v>63.41</v>
      </c>
      <c r="AH19" s="29">
        <f t="shared" si="10"/>
        <v>63</v>
      </c>
      <c r="AI19" s="24">
        <f t="shared" si="23"/>
        <v>1600</v>
      </c>
      <c r="AJ19" s="30"/>
      <c r="AK19" s="73">
        <f t="shared" si="12"/>
        <v>3.3757999999999999</v>
      </c>
    </row>
    <row r="20" spans="1:37" s="31" customFormat="1" ht="84.75" customHeight="1" x14ac:dyDescent="0.25">
      <c r="A20" s="43" t="s">
        <v>277</v>
      </c>
      <c r="B20" s="69" t="s">
        <v>278</v>
      </c>
      <c r="C20" s="56" t="s">
        <v>310</v>
      </c>
      <c r="D20" s="48">
        <v>204</v>
      </c>
      <c r="E20" s="20">
        <v>22</v>
      </c>
      <c r="F20" s="21">
        <f t="shared" si="16"/>
        <v>176</v>
      </c>
      <c r="G20" s="57"/>
      <c r="H20" s="22"/>
      <c r="I20" s="23">
        <f t="shared" si="17"/>
        <v>176</v>
      </c>
      <c r="J20" s="55">
        <v>287.10000000000002</v>
      </c>
      <c r="K20" s="55">
        <f>214.1534-35</f>
        <v>179.1534</v>
      </c>
      <c r="L20" s="23"/>
      <c r="M20" s="22"/>
      <c r="N20" s="22">
        <v>4</v>
      </c>
      <c r="O20" s="90">
        <f t="shared" si="1"/>
        <v>179.1534</v>
      </c>
      <c r="P20" s="53">
        <f t="shared" si="2"/>
        <v>0</v>
      </c>
      <c r="Q20" s="53">
        <f t="shared" si="3"/>
        <v>0</v>
      </c>
      <c r="R20" s="53">
        <f t="shared" si="13"/>
        <v>32.573345454545453</v>
      </c>
      <c r="S20" s="53">
        <v>0</v>
      </c>
      <c r="T20" s="25">
        <v>0</v>
      </c>
      <c r="U20" s="24">
        <f t="shared" si="4"/>
        <v>0</v>
      </c>
      <c r="V20" s="24">
        <f t="shared" si="5"/>
        <v>0</v>
      </c>
      <c r="W20" s="61"/>
      <c r="X20" s="53"/>
      <c r="Y20" s="95"/>
      <c r="Z20" s="24">
        <v>10</v>
      </c>
      <c r="AA20" s="24">
        <v>10</v>
      </c>
      <c r="AB20" s="26">
        <f t="shared" si="6"/>
        <v>102</v>
      </c>
      <c r="AC20" s="24">
        <f t="shared" si="7"/>
        <v>4.6344000000000003</v>
      </c>
      <c r="AD20" s="26"/>
      <c r="AE20" s="54">
        <f t="shared" si="8"/>
        <v>231.72</v>
      </c>
      <c r="AF20" s="28">
        <f t="shared" si="21"/>
        <v>106.6344</v>
      </c>
      <c r="AG20" s="54">
        <f t="shared" si="22"/>
        <v>125.08</v>
      </c>
      <c r="AH20" s="29">
        <f t="shared" si="10"/>
        <v>125</v>
      </c>
      <c r="AI20" s="24">
        <f t="shared" si="23"/>
        <v>300</v>
      </c>
      <c r="AJ20" s="30"/>
      <c r="AK20" s="73">
        <f t="shared" si="12"/>
        <v>4.6344000000000003</v>
      </c>
    </row>
    <row r="21" spans="1:37" s="31" customFormat="1" ht="84.75" customHeight="1" x14ac:dyDescent="0.25">
      <c r="A21" s="43" t="s">
        <v>279</v>
      </c>
      <c r="B21" s="69" t="s">
        <v>280</v>
      </c>
      <c r="C21" s="56" t="s">
        <v>316</v>
      </c>
      <c r="D21" s="48">
        <v>204</v>
      </c>
      <c r="E21" s="20">
        <v>20</v>
      </c>
      <c r="F21" s="21">
        <f t="shared" si="16"/>
        <v>160</v>
      </c>
      <c r="G21" s="57">
        <v>2</v>
      </c>
      <c r="H21" s="22"/>
      <c r="I21" s="23">
        <f t="shared" si="17"/>
        <v>160</v>
      </c>
      <c r="J21" s="55">
        <v>178.92</v>
      </c>
      <c r="K21" s="55">
        <f>133.28+25</f>
        <v>158.28</v>
      </c>
      <c r="L21" s="23"/>
      <c r="M21" s="22"/>
      <c r="N21" s="22">
        <v>4</v>
      </c>
      <c r="O21" s="90">
        <f t="shared" si="1"/>
        <v>158.28</v>
      </c>
      <c r="P21" s="53">
        <f t="shared" si="2"/>
        <v>0</v>
      </c>
      <c r="Q21" s="53">
        <f t="shared" si="3"/>
        <v>0</v>
      </c>
      <c r="R21" s="53">
        <f>IF(F21&gt;0,((K21+W21)/F21*N21*8*1)*100)/100</f>
        <v>31.655999999999999</v>
      </c>
      <c r="S21" s="53">
        <v>0</v>
      </c>
      <c r="T21" s="25">
        <v>0</v>
      </c>
      <c r="U21" s="24">
        <f t="shared" si="4"/>
        <v>0</v>
      </c>
      <c r="V21" s="24">
        <f t="shared" si="5"/>
        <v>0</v>
      </c>
      <c r="W21" s="61"/>
      <c r="X21" s="53"/>
      <c r="Y21" s="95"/>
      <c r="Z21" s="24">
        <v>4</v>
      </c>
      <c r="AA21" s="24">
        <v>10</v>
      </c>
      <c r="AB21" s="26">
        <f t="shared" si="6"/>
        <v>102</v>
      </c>
      <c r="AC21" s="24">
        <f t="shared" si="7"/>
        <v>4.0785999999999998</v>
      </c>
      <c r="AD21" s="26"/>
      <c r="AE21" s="54">
        <f t="shared" si="8"/>
        <v>203.93</v>
      </c>
      <c r="AF21" s="28">
        <f t="shared" si="21"/>
        <v>106.07859999999999</v>
      </c>
      <c r="AG21" s="54">
        <f t="shared" si="22"/>
        <v>97.85</v>
      </c>
      <c r="AH21" s="29">
        <f t="shared" si="10"/>
        <v>97</v>
      </c>
      <c r="AI21" s="24">
        <f t="shared" si="23"/>
        <v>3400</v>
      </c>
      <c r="AJ21" s="30"/>
      <c r="AK21" s="73">
        <f t="shared" ref="AK21:AK25" si="24">(AE21*0.04)/2</f>
        <v>4.0785999999999998</v>
      </c>
    </row>
    <row r="22" spans="1:37" s="31" customFormat="1" ht="84.75" customHeight="1" x14ac:dyDescent="0.25">
      <c r="A22" s="43" t="s">
        <v>281</v>
      </c>
      <c r="B22" s="69" t="s">
        <v>282</v>
      </c>
      <c r="C22" s="56" t="s">
        <v>310</v>
      </c>
      <c r="D22" s="48">
        <v>204</v>
      </c>
      <c r="E22" s="20">
        <v>21</v>
      </c>
      <c r="F22" s="21">
        <f t="shared" si="16"/>
        <v>168</v>
      </c>
      <c r="G22" s="57">
        <v>1</v>
      </c>
      <c r="H22" s="22"/>
      <c r="I22" s="23">
        <f t="shared" si="17"/>
        <v>168</v>
      </c>
      <c r="J22" s="55">
        <v>199.99</v>
      </c>
      <c r="K22" s="55">
        <f>158.4745+8</f>
        <v>166.47450000000001</v>
      </c>
      <c r="L22" s="23"/>
      <c r="M22" s="22"/>
      <c r="N22" s="22">
        <v>4</v>
      </c>
      <c r="O22" s="90">
        <f t="shared" si="1"/>
        <v>166.47450000000001</v>
      </c>
      <c r="P22" s="53">
        <f t="shared" si="2"/>
        <v>0</v>
      </c>
      <c r="Q22" s="53">
        <f t="shared" si="3"/>
        <v>0</v>
      </c>
      <c r="R22" s="53">
        <f t="shared" si="13"/>
        <v>31.709428571428571</v>
      </c>
      <c r="S22" s="53">
        <v>0</v>
      </c>
      <c r="T22" s="25">
        <v>0</v>
      </c>
      <c r="U22" s="24">
        <f t="shared" si="4"/>
        <v>0</v>
      </c>
      <c r="V22" s="24">
        <f t="shared" si="5"/>
        <v>0</v>
      </c>
      <c r="W22" s="61"/>
      <c r="X22" s="53"/>
      <c r="Y22" s="95"/>
      <c r="Z22" s="24">
        <v>7</v>
      </c>
      <c r="AA22" s="24">
        <v>10</v>
      </c>
      <c r="AB22" s="26">
        <f t="shared" si="6"/>
        <v>102</v>
      </c>
      <c r="AC22" s="24">
        <f t="shared" si="7"/>
        <v>4.3036000000000003</v>
      </c>
      <c r="AD22" s="26"/>
      <c r="AE22" s="54">
        <f t="shared" si="8"/>
        <v>215.18</v>
      </c>
      <c r="AF22" s="28">
        <f t="shared" si="21"/>
        <v>106.3036</v>
      </c>
      <c r="AG22" s="54">
        <f t="shared" si="22"/>
        <v>108.87</v>
      </c>
      <c r="AH22" s="29">
        <f t="shared" si="10"/>
        <v>108</v>
      </c>
      <c r="AI22" s="24">
        <f t="shared" si="23"/>
        <v>3500</v>
      </c>
      <c r="AJ22" s="30"/>
      <c r="AK22" s="73">
        <f t="shared" si="24"/>
        <v>4.3036000000000003</v>
      </c>
    </row>
    <row r="23" spans="1:37" s="31" customFormat="1" ht="84.75" customHeight="1" x14ac:dyDescent="0.25">
      <c r="A23" s="43" t="s">
        <v>283</v>
      </c>
      <c r="B23" s="42" t="s">
        <v>284</v>
      </c>
      <c r="C23" s="56" t="s">
        <v>310</v>
      </c>
      <c r="D23" s="48">
        <v>204</v>
      </c>
      <c r="E23" s="20">
        <v>12</v>
      </c>
      <c r="F23" s="21">
        <f t="shared" si="16"/>
        <v>96</v>
      </c>
      <c r="G23" s="57">
        <v>10</v>
      </c>
      <c r="H23" s="22"/>
      <c r="I23" s="23">
        <f t="shared" si="17"/>
        <v>96</v>
      </c>
      <c r="J23" s="55">
        <v>110.17</v>
      </c>
      <c r="K23" s="55">
        <f>87.6126+8</f>
        <v>95.6126</v>
      </c>
      <c r="L23" s="23"/>
      <c r="M23" s="22"/>
      <c r="N23" s="22">
        <v>4</v>
      </c>
      <c r="O23" s="90">
        <f t="shared" si="1"/>
        <v>95.6126</v>
      </c>
      <c r="P23" s="53">
        <f t="shared" si="2"/>
        <v>0</v>
      </c>
      <c r="Q23" s="53">
        <f t="shared" si="3"/>
        <v>0</v>
      </c>
      <c r="R23" s="53">
        <f t="shared" si="13"/>
        <v>31.870866666666664</v>
      </c>
      <c r="S23" s="53">
        <v>0</v>
      </c>
      <c r="T23" s="25">
        <v>0</v>
      </c>
      <c r="U23" s="24">
        <f t="shared" si="4"/>
        <v>0</v>
      </c>
      <c r="V23" s="24">
        <f t="shared" si="5"/>
        <v>0</v>
      </c>
      <c r="W23" s="61"/>
      <c r="X23" s="53"/>
      <c r="Y23" s="95"/>
      <c r="Z23" s="24"/>
      <c r="AA23" s="24">
        <v>10</v>
      </c>
      <c r="AB23" s="26">
        <f t="shared" si="6"/>
        <v>102</v>
      </c>
      <c r="AC23" s="24">
        <f t="shared" si="7"/>
        <v>2.7496</v>
      </c>
      <c r="AD23" s="26"/>
      <c r="AE23" s="54">
        <f t="shared" si="8"/>
        <v>137.47999999999999</v>
      </c>
      <c r="AF23" s="28">
        <f t="shared" si="21"/>
        <v>104.7496</v>
      </c>
      <c r="AG23" s="54">
        <f t="shared" si="22"/>
        <v>32.729999999999997</v>
      </c>
      <c r="AH23" s="29">
        <f t="shared" si="10"/>
        <v>32</v>
      </c>
      <c r="AI23" s="24">
        <f t="shared" si="23"/>
        <v>2900</v>
      </c>
      <c r="AJ23" s="30"/>
      <c r="AK23" s="73">
        <f t="shared" si="24"/>
        <v>2.7496</v>
      </c>
    </row>
    <row r="24" spans="1:37" s="31" customFormat="1" ht="84.75" customHeight="1" x14ac:dyDescent="0.25">
      <c r="A24" s="43" t="s">
        <v>285</v>
      </c>
      <c r="B24" s="71" t="s">
        <v>286</v>
      </c>
      <c r="C24" s="56" t="s">
        <v>310</v>
      </c>
      <c r="D24" s="48">
        <v>204</v>
      </c>
      <c r="E24" s="20">
        <v>20.5</v>
      </c>
      <c r="F24" s="21">
        <f>I24+L24+(M24)*8</f>
        <v>164</v>
      </c>
      <c r="G24" s="57">
        <v>1.5</v>
      </c>
      <c r="H24" s="22"/>
      <c r="I24" s="23">
        <f t="shared" si="17"/>
        <v>164</v>
      </c>
      <c r="J24" s="55">
        <v>221.33999999999995</v>
      </c>
      <c r="K24" s="55">
        <v>173.58090000000001</v>
      </c>
      <c r="L24" s="23"/>
      <c r="M24" s="22"/>
      <c r="N24" s="22">
        <v>4</v>
      </c>
      <c r="O24" s="90">
        <f t="shared" si="1"/>
        <v>173.58090000000004</v>
      </c>
      <c r="P24" s="53">
        <f t="shared" si="2"/>
        <v>0</v>
      </c>
      <c r="Q24" s="53">
        <f t="shared" si="3"/>
        <v>0</v>
      </c>
      <c r="R24" s="53">
        <f t="shared" si="13"/>
        <v>33.869443902439031</v>
      </c>
      <c r="S24" s="53">
        <v>0</v>
      </c>
      <c r="T24" s="25">
        <v>0</v>
      </c>
      <c r="U24" s="24">
        <f t="shared" si="4"/>
        <v>0</v>
      </c>
      <c r="V24" s="24">
        <f t="shared" si="5"/>
        <v>0</v>
      </c>
      <c r="W24" s="61"/>
      <c r="X24" s="53"/>
      <c r="Y24" s="95"/>
      <c r="Z24" s="24">
        <v>4</v>
      </c>
      <c r="AA24" s="24">
        <v>10</v>
      </c>
      <c r="AB24" s="26">
        <f t="shared" si="6"/>
        <v>102</v>
      </c>
      <c r="AC24" s="24">
        <f t="shared" si="7"/>
        <v>4.4290000000000003</v>
      </c>
      <c r="AD24" s="26"/>
      <c r="AE24" s="54">
        <f t="shared" si="8"/>
        <v>221.45</v>
      </c>
      <c r="AF24" s="28">
        <f t="shared" si="21"/>
        <v>106.429</v>
      </c>
      <c r="AG24" s="54">
        <f t="shared" si="22"/>
        <v>115.02</v>
      </c>
      <c r="AH24" s="29">
        <f t="shared" si="10"/>
        <v>115</v>
      </c>
      <c r="AI24" s="24">
        <f t="shared" si="23"/>
        <v>100</v>
      </c>
      <c r="AJ24" s="30"/>
      <c r="AK24" s="73">
        <f t="shared" si="24"/>
        <v>4.4290000000000003</v>
      </c>
    </row>
    <row r="25" spans="1:37" s="31" customFormat="1" ht="84.75" customHeight="1" x14ac:dyDescent="0.25">
      <c r="A25" s="43" t="s">
        <v>287</v>
      </c>
      <c r="B25" s="69" t="s">
        <v>288</v>
      </c>
      <c r="C25" s="56" t="s">
        <v>310</v>
      </c>
      <c r="D25" s="48">
        <v>204</v>
      </c>
      <c r="E25" s="20">
        <v>21</v>
      </c>
      <c r="F25" s="21">
        <f t="shared" si="16"/>
        <v>168</v>
      </c>
      <c r="G25" s="57">
        <v>1</v>
      </c>
      <c r="H25" s="22"/>
      <c r="I25" s="23">
        <f t="shared" si="17"/>
        <v>168</v>
      </c>
      <c r="J25" s="55">
        <v>117.75</v>
      </c>
      <c r="K25" s="55">
        <f>91.663+10</f>
        <v>101.663</v>
      </c>
      <c r="L25" s="23"/>
      <c r="M25" s="22"/>
      <c r="N25" s="22">
        <v>4</v>
      </c>
      <c r="O25" s="90">
        <f t="shared" si="1"/>
        <v>140.89376923076924</v>
      </c>
      <c r="P25" s="53">
        <f t="shared" si="2"/>
        <v>0</v>
      </c>
      <c r="Q25" s="53">
        <f t="shared" si="3"/>
        <v>0</v>
      </c>
      <c r="R25" s="53">
        <f>D25/26*N25</f>
        <v>31.384615384615383</v>
      </c>
      <c r="S25" s="53">
        <v>0</v>
      </c>
      <c r="T25" s="25">
        <v>0</v>
      </c>
      <c r="U25" s="24">
        <f t="shared" si="4"/>
        <v>0</v>
      </c>
      <c r="V25" s="24">
        <f t="shared" si="5"/>
        <v>0</v>
      </c>
      <c r="W25" s="61">
        <f>D25/208*40</f>
        <v>39.230769230769226</v>
      </c>
      <c r="X25" s="53">
        <f t="shared" ref="X25:X27" si="25">(-D25/208*I25)+(O25)</f>
        <v>-23.875461538461536</v>
      </c>
      <c r="Y25" s="95"/>
      <c r="Z25" s="24">
        <v>7</v>
      </c>
      <c r="AA25" s="24">
        <v>10</v>
      </c>
      <c r="AB25" s="26">
        <f t="shared" si="6"/>
        <v>102</v>
      </c>
      <c r="AC25" s="24">
        <f t="shared" si="7"/>
        <v>4.2629999999999999</v>
      </c>
      <c r="AD25" s="26"/>
      <c r="AE25" s="54">
        <f t="shared" si="8"/>
        <v>213.15</v>
      </c>
      <c r="AF25" s="28">
        <f t="shared" si="21"/>
        <v>106.26300000000001</v>
      </c>
      <c r="AG25" s="54">
        <f t="shared" si="22"/>
        <v>106.88</v>
      </c>
      <c r="AH25" s="29">
        <f t="shared" si="10"/>
        <v>106</v>
      </c>
      <c r="AI25" s="24">
        <f t="shared" si="23"/>
        <v>3500</v>
      </c>
      <c r="AJ25" s="30"/>
      <c r="AK25" s="73">
        <f t="shared" si="24"/>
        <v>4.2629999999999999</v>
      </c>
    </row>
    <row r="26" spans="1:37" s="31" customFormat="1" ht="84.75" customHeight="1" x14ac:dyDescent="0.25">
      <c r="A26" s="43" t="s">
        <v>289</v>
      </c>
      <c r="B26" s="69" t="s">
        <v>290</v>
      </c>
      <c r="C26" s="56" t="s">
        <v>333</v>
      </c>
      <c r="D26" s="48">
        <v>204</v>
      </c>
      <c r="E26" s="20">
        <v>21.5</v>
      </c>
      <c r="F26" s="21">
        <f t="shared" ref="F26:F30" si="26">I26+L26+(M26)*8</f>
        <v>172</v>
      </c>
      <c r="G26" s="57">
        <v>0.5</v>
      </c>
      <c r="H26" s="22"/>
      <c r="I26" s="23">
        <f t="shared" si="17"/>
        <v>172</v>
      </c>
      <c r="J26" s="55">
        <v>187.99000000000004</v>
      </c>
      <c r="K26" s="55">
        <v>147.2192</v>
      </c>
      <c r="L26" s="23"/>
      <c r="M26" s="22"/>
      <c r="N26" s="22">
        <v>4</v>
      </c>
      <c r="O26" s="90">
        <f t="shared" si="1"/>
        <v>171.73843076923077</v>
      </c>
      <c r="P26" s="53">
        <f t="shared" si="2"/>
        <v>0</v>
      </c>
      <c r="Q26" s="53">
        <f t="shared" si="3"/>
        <v>0</v>
      </c>
      <c r="R26" s="53">
        <f>IF(F26&gt;0,((K26+W26)/F26*N26*8*1)*100)/100</f>
        <v>31.951335957066195</v>
      </c>
      <c r="S26" s="53">
        <v>0</v>
      </c>
      <c r="T26" s="25">
        <v>0</v>
      </c>
      <c r="U26" s="24">
        <f t="shared" si="4"/>
        <v>0</v>
      </c>
      <c r="V26" s="24">
        <f t="shared" si="5"/>
        <v>0</v>
      </c>
      <c r="W26" s="61">
        <f>D26/208*25</f>
        <v>24.519230769230766</v>
      </c>
      <c r="X26" s="53"/>
      <c r="Y26" s="95"/>
      <c r="Z26" s="24">
        <v>7</v>
      </c>
      <c r="AA26" s="24">
        <v>10</v>
      </c>
      <c r="AB26" s="26">
        <f t="shared" si="6"/>
        <v>102</v>
      </c>
      <c r="AC26" s="24">
        <f t="shared" si="7"/>
        <v>4.4136000000000006</v>
      </c>
      <c r="AD26" s="26"/>
      <c r="AE26" s="54">
        <f t="shared" si="8"/>
        <v>220.68</v>
      </c>
      <c r="AF26" s="28">
        <f t="shared" si="18"/>
        <v>106.4136</v>
      </c>
      <c r="AG26" s="54">
        <f t="shared" si="19"/>
        <v>114.26</v>
      </c>
      <c r="AH26" s="29">
        <f t="shared" si="10"/>
        <v>114</v>
      </c>
      <c r="AI26" s="24">
        <f t="shared" si="20"/>
        <v>1000</v>
      </c>
      <c r="AJ26" s="30"/>
      <c r="AK26" s="73">
        <f t="shared" ref="AK26:AK32" si="27">(AE26*0.04)/2</f>
        <v>4.4136000000000006</v>
      </c>
    </row>
    <row r="27" spans="1:37" s="31" customFormat="1" ht="84.75" customHeight="1" x14ac:dyDescent="0.25">
      <c r="A27" s="43" t="s">
        <v>291</v>
      </c>
      <c r="B27" s="69" t="s">
        <v>292</v>
      </c>
      <c r="C27" s="56" t="s">
        <v>322</v>
      </c>
      <c r="D27" s="48">
        <v>204</v>
      </c>
      <c r="E27" s="20">
        <v>13.5</v>
      </c>
      <c r="F27" s="21">
        <f t="shared" si="26"/>
        <v>108</v>
      </c>
      <c r="G27" s="57">
        <v>8.5</v>
      </c>
      <c r="H27" s="22"/>
      <c r="I27" s="23">
        <f t="shared" ref="I27:I31" si="28">E27*8</f>
        <v>108</v>
      </c>
      <c r="J27" s="55">
        <v>80.5</v>
      </c>
      <c r="K27" s="55">
        <v>61.228999999999999</v>
      </c>
      <c r="L27" s="23"/>
      <c r="M27" s="22"/>
      <c r="N27" s="22">
        <v>4</v>
      </c>
      <c r="O27" s="90">
        <f t="shared" si="1"/>
        <v>90.652076923076919</v>
      </c>
      <c r="P27" s="53">
        <f t="shared" si="2"/>
        <v>0</v>
      </c>
      <c r="Q27" s="53">
        <f t="shared" si="3"/>
        <v>0</v>
      </c>
      <c r="R27" s="53">
        <f>D27/26*N27</f>
        <v>31.384615384615383</v>
      </c>
      <c r="S27" s="53">
        <v>0</v>
      </c>
      <c r="T27" s="25">
        <v>0</v>
      </c>
      <c r="U27" s="24">
        <f t="shared" si="4"/>
        <v>0</v>
      </c>
      <c r="V27" s="24">
        <f t="shared" si="5"/>
        <v>0</v>
      </c>
      <c r="W27" s="61">
        <f>D27/208*30</f>
        <v>29.423076923076923</v>
      </c>
      <c r="X27" s="53">
        <f t="shared" si="25"/>
        <v>-15.271000000000001</v>
      </c>
      <c r="Y27" s="95"/>
      <c r="Z27" s="24"/>
      <c r="AA27" s="24">
        <v>10</v>
      </c>
      <c r="AB27" s="26">
        <f t="shared" si="6"/>
        <v>102</v>
      </c>
      <c r="AC27" s="24">
        <f t="shared" si="7"/>
        <v>2.9460000000000002</v>
      </c>
      <c r="AD27" s="26"/>
      <c r="AE27" s="54">
        <f t="shared" ref="AE27:AE32" si="29">INT((O27+P27+Q27+R27+U27+V27+Z27+AA27+Y27-X27+S27)*100)/100</f>
        <v>147.30000000000001</v>
      </c>
      <c r="AF27" s="28">
        <f t="shared" ref="AF27:AF31" si="30">AB27+AC27+AD27</f>
        <v>104.946</v>
      </c>
      <c r="AG27" s="54">
        <f t="shared" ref="AG27:AG31" si="31">INT((AE27-AF27)*100)/100</f>
        <v>42.35</v>
      </c>
      <c r="AH27" s="29">
        <f t="shared" ref="AH27:AH31" si="32">INT(AG27)</f>
        <v>42</v>
      </c>
      <c r="AI27" s="24">
        <f t="shared" ref="AI27:AI31" si="33">INT((AG27-AH27)*40+0.5)*100</f>
        <v>1400</v>
      </c>
      <c r="AJ27" s="30"/>
      <c r="AK27" s="73">
        <f t="shared" si="27"/>
        <v>2.9460000000000002</v>
      </c>
    </row>
    <row r="28" spans="1:37" s="31" customFormat="1" ht="84.75" customHeight="1" x14ac:dyDescent="0.25">
      <c r="A28" s="43" t="s">
        <v>460</v>
      </c>
      <c r="B28" s="69" t="s">
        <v>464</v>
      </c>
      <c r="C28" s="56" t="s">
        <v>468</v>
      </c>
      <c r="D28" s="48">
        <v>204</v>
      </c>
      <c r="E28" s="20">
        <v>19.5</v>
      </c>
      <c r="F28" s="21">
        <f t="shared" si="26"/>
        <v>156</v>
      </c>
      <c r="G28" s="57">
        <v>2.5</v>
      </c>
      <c r="H28" s="22"/>
      <c r="I28" s="23">
        <f t="shared" si="28"/>
        <v>156</v>
      </c>
      <c r="J28" s="55">
        <v>142.16</v>
      </c>
      <c r="K28" s="55">
        <f>115.973+30</f>
        <v>145.97300000000001</v>
      </c>
      <c r="L28" s="23"/>
      <c r="M28" s="22"/>
      <c r="N28" s="22">
        <v>4</v>
      </c>
      <c r="O28" s="90">
        <f t="shared" si="1"/>
        <v>155.78069230769233</v>
      </c>
      <c r="P28" s="53">
        <f t="shared" si="2"/>
        <v>0</v>
      </c>
      <c r="Q28" s="53">
        <f t="shared" si="3"/>
        <v>0</v>
      </c>
      <c r="R28" s="53">
        <f>IF(F28&gt;0,((K28+W28)/F28*N28*8*1)*100)/100</f>
        <v>31.95501380670612</v>
      </c>
      <c r="S28" s="53">
        <v>0</v>
      </c>
      <c r="T28" s="25">
        <v>0</v>
      </c>
      <c r="U28" s="24">
        <f t="shared" si="4"/>
        <v>0</v>
      </c>
      <c r="V28" s="24">
        <f t="shared" si="5"/>
        <v>0</v>
      </c>
      <c r="W28" s="61">
        <f>D28/208*10</f>
        <v>9.8076923076923066</v>
      </c>
      <c r="X28" s="53"/>
      <c r="Y28" s="95"/>
      <c r="Z28" s="24"/>
      <c r="AA28" s="24">
        <v>10</v>
      </c>
      <c r="AB28" s="26">
        <f t="shared" si="6"/>
        <v>102</v>
      </c>
      <c r="AC28" s="24">
        <f t="shared" si="7"/>
        <v>3.9545999999999997</v>
      </c>
      <c r="AD28" s="26"/>
      <c r="AE28" s="54">
        <f t="shared" si="29"/>
        <v>197.73</v>
      </c>
      <c r="AF28" s="28">
        <f t="shared" si="30"/>
        <v>105.9546</v>
      </c>
      <c r="AG28" s="54">
        <f t="shared" si="31"/>
        <v>91.77</v>
      </c>
      <c r="AH28" s="29">
        <f t="shared" si="32"/>
        <v>91</v>
      </c>
      <c r="AI28" s="24">
        <f t="shared" si="33"/>
        <v>3100</v>
      </c>
      <c r="AJ28" s="30"/>
      <c r="AK28" s="73">
        <f t="shared" si="27"/>
        <v>3.9545999999999997</v>
      </c>
    </row>
    <row r="29" spans="1:37" s="31" customFormat="1" ht="84.75" customHeight="1" x14ac:dyDescent="0.25">
      <c r="A29" s="43" t="s">
        <v>461</v>
      </c>
      <c r="B29" s="69" t="s">
        <v>465</v>
      </c>
      <c r="C29" s="56" t="s">
        <v>437</v>
      </c>
      <c r="D29" s="48">
        <v>204</v>
      </c>
      <c r="E29" s="20">
        <v>19</v>
      </c>
      <c r="F29" s="21">
        <f t="shared" si="26"/>
        <v>152</v>
      </c>
      <c r="G29" s="57">
        <v>3</v>
      </c>
      <c r="H29" s="22"/>
      <c r="I29" s="23">
        <f t="shared" si="28"/>
        <v>152</v>
      </c>
      <c r="J29" s="55">
        <v>184.82000000000002</v>
      </c>
      <c r="K29" s="55">
        <v>148.5599</v>
      </c>
      <c r="L29" s="23"/>
      <c r="M29" s="22"/>
      <c r="N29" s="22">
        <v>4</v>
      </c>
      <c r="O29" s="90">
        <f t="shared" si="1"/>
        <v>153.46374615384616</v>
      </c>
      <c r="P29" s="53">
        <f t="shared" si="2"/>
        <v>0</v>
      </c>
      <c r="Q29" s="53">
        <f t="shared" si="3"/>
        <v>0</v>
      </c>
      <c r="R29" s="53">
        <f>IF(F29&gt;0,((K29+W29)/F29*N29*8*1)*100)/100</f>
        <v>32.308157085020241</v>
      </c>
      <c r="S29" s="53">
        <v>0</v>
      </c>
      <c r="T29" s="25">
        <v>0</v>
      </c>
      <c r="U29" s="24">
        <f t="shared" si="4"/>
        <v>0</v>
      </c>
      <c r="V29" s="24">
        <f t="shared" si="5"/>
        <v>0</v>
      </c>
      <c r="W29" s="61">
        <f>D29/208*5</f>
        <v>4.9038461538461533</v>
      </c>
      <c r="X29" s="53"/>
      <c r="Y29" s="95"/>
      <c r="Z29" s="24"/>
      <c r="AA29" s="24">
        <v>10</v>
      </c>
      <c r="AB29" s="26">
        <f t="shared" si="6"/>
        <v>102</v>
      </c>
      <c r="AC29" s="24">
        <f t="shared" si="7"/>
        <v>3.9154000000000004</v>
      </c>
      <c r="AD29" s="26"/>
      <c r="AE29" s="54">
        <f t="shared" si="29"/>
        <v>195.77</v>
      </c>
      <c r="AF29" s="28">
        <f t="shared" si="30"/>
        <v>105.91540000000001</v>
      </c>
      <c r="AG29" s="54">
        <f t="shared" si="31"/>
        <v>89.85</v>
      </c>
      <c r="AH29" s="29">
        <f t="shared" si="32"/>
        <v>89</v>
      </c>
      <c r="AI29" s="24">
        <f t="shared" si="33"/>
        <v>3400</v>
      </c>
      <c r="AJ29" s="30"/>
      <c r="AK29" s="73">
        <f t="shared" si="27"/>
        <v>3.9154000000000004</v>
      </c>
    </row>
    <row r="30" spans="1:37" s="31" customFormat="1" ht="84.75" customHeight="1" x14ac:dyDescent="0.25">
      <c r="A30" s="43" t="s">
        <v>462</v>
      </c>
      <c r="B30" s="69" t="s">
        <v>466</v>
      </c>
      <c r="C30" s="56" t="s">
        <v>433</v>
      </c>
      <c r="D30" s="48">
        <v>204</v>
      </c>
      <c r="E30" s="20">
        <v>19.5</v>
      </c>
      <c r="F30" s="21">
        <f t="shared" si="26"/>
        <v>156</v>
      </c>
      <c r="G30" s="57">
        <v>1</v>
      </c>
      <c r="H30" s="22">
        <v>1.5</v>
      </c>
      <c r="I30" s="23">
        <f t="shared" si="28"/>
        <v>156</v>
      </c>
      <c r="J30" s="55">
        <v>103.42</v>
      </c>
      <c r="K30" s="55">
        <v>64.471499999999992</v>
      </c>
      <c r="L30" s="23"/>
      <c r="M30" s="22"/>
      <c r="N30" s="22">
        <v>4</v>
      </c>
      <c r="O30" s="90">
        <f t="shared" si="1"/>
        <v>128.22149999999999</v>
      </c>
      <c r="P30" s="53">
        <f>D30/208*L30*1.5</f>
        <v>0</v>
      </c>
      <c r="Q30" s="53">
        <f t="shared" si="3"/>
        <v>0</v>
      </c>
      <c r="R30" s="53">
        <f>D30/26*N30</f>
        <v>31.384615384615383</v>
      </c>
      <c r="S30" s="53">
        <v>0</v>
      </c>
      <c r="T30" s="25">
        <v>0</v>
      </c>
      <c r="U30" s="24">
        <f t="shared" si="4"/>
        <v>0</v>
      </c>
      <c r="V30" s="24">
        <f t="shared" si="5"/>
        <v>0</v>
      </c>
      <c r="W30" s="61">
        <f>D30/208*65</f>
        <v>63.75</v>
      </c>
      <c r="X30" s="53">
        <f>(-D30/208*I30)+(O30)</f>
        <v>-24.778500000000008</v>
      </c>
      <c r="Y30" s="95"/>
      <c r="Z30" s="24"/>
      <c r="AA30" s="24">
        <v>10</v>
      </c>
      <c r="AB30" s="26">
        <f t="shared" si="6"/>
        <v>102</v>
      </c>
      <c r="AC30" s="24">
        <f t="shared" si="7"/>
        <v>3.8875999999999999</v>
      </c>
      <c r="AD30" s="26"/>
      <c r="AE30" s="54">
        <f t="shared" si="29"/>
        <v>194.38</v>
      </c>
      <c r="AF30" s="28">
        <f t="shared" si="30"/>
        <v>105.88760000000001</v>
      </c>
      <c r="AG30" s="54">
        <f t="shared" si="31"/>
        <v>88.49</v>
      </c>
      <c r="AH30" s="29">
        <f t="shared" si="32"/>
        <v>88</v>
      </c>
      <c r="AI30" s="24">
        <f t="shared" si="33"/>
        <v>2000</v>
      </c>
      <c r="AJ30" s="30"/>
      <c r="AK30" s="73">
        <f t="shared" si="27"/>
        <v>3.8875999999999999</v>
      </c>
    </row>
    <row r="31" spans="1:37" s="31" customFormat="1" ht="84.75" customHeight="1" x14ac:dyDescent="0.25">
      <c r="A31" s="43" t="s">
        <v>520</v>
      </c>
      <c r="B31" s="69" t="s">
        <v>606</v>
      </c>
      <c r="C31" s="56" t="s">
        <v>521</v>
      </c>
      <c r="D31" s="48">
        <v>204</v>
      </c>
      <c r="E31" s="20">
        <v>20</v>
      </c>
      <c r="F31" s="21">
        <f t="shared" ref="F31" si="34">I31+L31+(M31)*8</f>
        <v>160</v>
      </c>
      <c r="G31" s="57">
        <v>2</v>
      </c>
      <c r="H31" s="22"/>
      <c r="I31" s="23">
        <f t="shared" si="28"/>
        <v>160</v>
      </c>
      <c r="J31" s="55">
        <v>239.49999999999994</v>
      </c>
      <c r="K31" s="55">
        <v>183.2784</v>
      </c>
      <c r="L31" s="23"/>
      <c r="M31" s="22"/>
      <c r="N31" s="22">
        <v>4</v>
      </c>
      <c r="O31" s="90">
        <f t="shared" si="1"/>
        <v>183.27840000000003</v>
      </c>
      <c r="P31" s="53">
        <f t="shared" si="2"/>
        <v>0</v>
      </c>
      <c r="Q31" s="53">
        <f t="shared" si="3"/>
        <v>0</v>
      </c>
      <c r="R31" s="53">
        <f>IF(F31&gt;0,((K31+W31)/F31*N31*8*1)*100)/100</f>
        <v>36.655680000000004</v>
      </c>
      <c r="S31" s="53">
        <v>0</v>
      </c>
      <c r="T31" s="25">
        <v>0</v>
      </c>
      <c r="U31" s="24">
        <f t="shared" si="4"/>
        <v>0</v>
      </c>
      <c r="V31" s="24">
        <f t="shared" si="5"/>
        <v>0</v>
      </c>
      <c r="W31" s="61"/>
      <c r="X31" s="53"/>
      <c r="Y31" s="95"/>
      <c r="Z31" s="24">
        <v>4</v>
      </c>
      <c r="AA31" s="24">
        <v>10</v>
      </c>
      <c r="AB31" s="26">
        <f t="shared" si="6"/>
        <v>102</v>
      </c>
      <c r="AC31" s="24">
        <f t="shared" si="7"/>
        <v>4.6786000000000003</v>
      </c>
      <c r="AD31" s="26"/>
      <c r="AE31" s="54">
        <f t="shared" si="29"/>
        <v>233.93</v>
      </c>
      <c r="AF31" s="28">
        <f t="shared" si="30"/>
        <v>106.6786</v>
      </c>
      <c r="AG31" s="54">
        <f t="shared" si="31"/>
        <v>127.25</v>
      </c>
      <c r="AH31" s="29">
        <f t="shared" si="32"/>
        <v>127</v>
      </c>
      <c r="AI31" s="24">
        <f t="shared" si="33"/>
        <v>1000</v>
      </c>
      <c r="AJ31" s="30"/>
      <c r="AK31" s="73">
        <f t="shared" si="27"/>
        <v>4.6786000000000003</v>
      </c>
    </row>
    <row r="32" spans="1:37" s="31" customFormat="1" ht="84.75" customHeight="1" x14ac:dyDescent="0.25">
      <c r="A32" s="43" t="s">
        <v>463</v>
      </c>
      <c r="B32" s="69" t="s">
        <v>467</v>
      </c>
      <c r="C32" s="56" t="s">
        <v>436</v>
      </c>
      <c r="D32" s="48">
        <v>204</v>
      </c>
      <c r="E32" s="20">
        <v>21</v>
      </c>
      <c r="F32" s="21">
        <f t="shared" ref="F32" si="35">I32+L32+(M32)*8</f>
        <v>168</v>
      </c>
      <c r="G32" s="57">
        <v>1</v>
      </c>
      <c r="H32" s="22"/>
      <c r="I32" s="23">
        <f t="shared" ref="I32" si="36">E32*8</f>
        <v>168</v>
      </c>
      <c r="J32" s="55">
        <v>228.83</v>
      </c>
      <c r="K32" s="55">
        <v>173.363</v>
      </c>
      <c r="L32" s="23"/>
      <c r="M32" s="22"/>
      <c r="N32" s="22">
        <v>4</v>
      </c>
      <c r="O32" s="90">
        <f t="shared" si="1"/>
        <v>173.36299999999997</v>
      </c>
      <c r="P32" s="53">
        <f t="shared" si="2"/>
        <v>0</v>
      </c>
      <c r="Q32" s="53">
        <f t="shared" si="3"/>
        <v>0</v>
      </c>
      <c r="R32" s="53">
        <f>IF(F32&gt;0,((K32+W32)/F32*N32*8*1)*100)/100</f>
        <v>33.021523809523806</v>
      </c>
      <c r="S32" s="53">
        <v>0</v>
      </c>
      <c r="T32" s="25">
        <v>0</v>
      </c>
      <c r="U32" s="24">
        <f t="shared" si="4"/>
        <v>0</v>
      </c>
      <c r="V32" s="24">
        <f t="shared" si="5"/>
        <v>0</v>
      </c>
      <c r="W32" s="61"/>
      <c r="X32" s="53"/>
      <c r="Y32" s="95"/>
      <c r="Z32" s="24">
        <v>7</v>
      </c>
      <c r="AA32" s="24">
        <v>10</v>
      </c>
      <c r="AB32" s="26">
        <f t="shared" si="6"/>
        <v>102</v>
      </c>
      <c r="AC32" s="24">
        <f t="shared" si="7"/>
        <v>4.4676</v>
      </c>
      <c r="AD32" s="26"/>
      <c r="AE32" s="54">
        <f t="shared" si="29"/>
        <v>223.38</v>
      </c>
      <c r="AF32" s="28">
        <f t="shared" ref="AF32" si="37">AB32+AC32+AD32</f>
        <v>106.4676</v>
      </c>
      <c r="AG32" s="54">
        <f t="shared" ref="AG32" si="38">INT((AE32-AF32)*100)/100</f>
        <v>116.91</v>
      </c>
      <c r="AH32" s="29">
        <f t="shared" ref="AH32" si="39">INT(AG32)</f>
        <v>116</v>
      </c>
      <c r="AI32" s="24">
        <f t="shared" ref="AI32" si="40">INT((AG32-AH32)*40+0.5)*100</f>
        <v>3600</v>
      </c>
      <c r="AJ32" s="30"/>
      <c r="AK32" s="73">
        <f t="shared" si="27"/>
        <v>4.4676</v>
      </c>
    </row>
    <row r="33" spans="1:42" s="36" customFormat="1" ht="27.75" customHeight="1" thickBot="1" x14ac:dyDescent="0.3">
      <c r="A33" s="107" t="s">
        <v>33</v>
      </c>
      <c r="B33" s="108"/>
      <c r="C33" s="97"/>
      <c r="D33" s="33"/>
      <c r="E33" s="34">
        <f t="shared" ref="E33:AI33" si="41">SUM(E8:E32)</f>
        <v>487.5</v>
      </c>
      <c r="F33" s="34">
        <f t="shared" si="41"/>
        <v>3900</v>
      </c>
      <c r="G33" s="34">
        <f t="shared" si="41"/>
        <v>58</v>
      </c>
      <c r="H33" s="34">
        <f t="shared" si="41"/>
        <v>4.5</v>
      </c>
      <c r="I33" s="34">
        <f t="shared" si="41"/>
        <v>3900</v>
      </c>
      <c r="J33" s="34">
        <f t="shared" si="41"/>
        <v>4114.38</v>
      </c>
      <c r="K33" s="34">
        <f t="shared" si="41"/>
        <v>3326.7054000000003</v>
      </c>
      <c r="L33" s="34">
        <f t="shared" si="41"/>
        <v>0</v>
      </c>
      <c r="M33" s="34">
        <f t="shared" si="41"/>
        <v>0</v>
      </c>
      <c r="N33" s="34">
        <f t="shared" si="41"/>
        <v>100</v>
      </c>
      <c r="O33" s="34">
        <f t="shared" si="41"/>
        <v>3865.1477076923074</v>
      </c>
      <c r="P33" s="34">
        <f t="shared" si="41"/>
        <v>0</v>
      </c>
      <c r="Q33" s="34">
        <f t="shared" si="41"/>
        <v>0</v>
      </c>
      <c r="R33" s="34">
        <f t="shared" si="41"/>
        <v>805.52452002109953</v>
      </c>
      <c r="S33" s="34">
        <f t="shared" si="41"/>
        <v>0</v>
      </c>
      <c r="T33" s="34">
        <f t="shared" si="41"/>
        <v>0</v>
      </c>
      <c r="U33" s="34">
        <f t="shared" si="41"/>
        <v>0</v>
      </c>
      <c r="V33" s="34">
        <f t="shared" si="41"/>
        <v>0</v>
      </c>
      <c r="W33" s="34">
        <f t="shared" si="41"/>
        <v>538.44230769230762</v>
      </c>
      <c r="X33" s="34">
        <f t="shared" si="41"/>
        <v>-63.924961538461545</v>
      </c>
      <c r="Y33" s="34">
        <f t="shared" si="41"/>
        <v>0</v>
      </c>
      <c r="Z33" s="34">
        <f t="shared" si="41"/>
        <v>113</v>
      </c>
      <c r="AA33" s="34">
        <f t="shared" si="41"/>
        <v>250</v>
      </c>
      <c r="AB33" s="34">
        <f t="shared" si="41"/>
        <v>2550</v>
      </c>
      <c r="AC33" s="34">
        <f t="shared" si="41"/>
        <v>101.94960000000003</v>
      </c>
      <c r="AD33" s="34">
        <f t="shared" si="41"/>
        <v>0</v>
      </c>
      <c r="AE33" s="34">
        <f t="shared" si="41"/>
        <v>5097.4799999999996</v>
      </c>
      <c r="AF33" s="34">
        <f t="shared" si="41"/>
        <v>2651.9496000000004</v>
      </c>
      <c r="AG33" s="34">
        <f t="shared" si="41"/>
        <v>2445.41</v>
      </c>
      <c r="AH33" s="34">
        <f t="shared" si="41"/>
        <v>2433</v>
      </c>
      <c r="AI33" s="34">
        <f t="shared" si="41"/>
        <v>49500</v>
      </c>
      <c r="AJ33" s="35"/>
    </row>
    <row r="34" spans="1:42" ht="21.75" customHeight="1" thickTop="1" x14ac:dyDescent="0.2">
      <c r="A34" s="109" t="s">
        <v>34</v>
      </c>
      <c r="B34" s="109"/>
      <c r="C34" s="109"/>
      <c r="D34" s="37"/>
      <c r="E34" s="37"/>
      <c r="F34" s="37"/>
      <c r="G34" s="37"/>
      <c r="H34" s="37"/>
      <c r="I34" s="37"/>
      <c r="J34" s="37"/>
      <c r="K34" s="37"/>
      <c r="L34" s="110"/>
      <c r="M34" s="110"/>
      <c r="N34" s="110"/>
      <c r="O34" s="38"/>
      <c r="P34" s="110" t="s">
        <v>35</v>
      </c>
      <c r="Q34" s="110"/>
      <c r="R34" s="110"/>
      <c r="S34" s="85"/>
      <c r="T34" s="38"/>
      <c r="U34" s="38"/>
      <c r="Z34" s="39"/>
      <c r="AA34" s="39"/>
      <c r="AE34" s="39"/>
      <c r="AF34" s="39"/>
      <c r="AG34" s="111" t="s">
        <v>36</v>
      </c>
      <c r="AH34" s="111"/>
      <c r="AI34" s="111"/>
      <c r="AJ34" s="40"/>
    </row>
    <row r="35" spans="1:42" ht="21" customHeight="1" x14ac:dyDescent="0.2">
      <c r="A35" s="41"/>
      <c r="B35" s="41"/>
      <c r="C35" s="41"/>
      <c r="D35" s="41"/>
      <c r="E35" s="41"/>
      <c r="H35" s="41"/>
      <c r="I35" s="41"/>
      <c r="J35" s="41"/>
      <c r="K35" s="41"/>
      <c r="L35" s="41"/>
    </row>
    <row r="36" spans="1:42" ht="13.5" customHeight="1" x14ac:dyDescent="0.2">
      <c r="A36" s="41"/>
      <c r="B36" s="41"/>
      <c r="C36" s="41"/>
      <c r="D36" s="41"/>
      <c r="E36" s="41"/>
      <c r="H36" s="41"/>
      <c r="I36" s="41"/>
      <c r="J36" s="41"/>
      <c r="K36" s="41"/>
      <c r="L36" s="41"/>
    </row>
    <row r="37" spans="1:42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42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P38" s="89"/>
    </row>
    <row r="39" spans="1:42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42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42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42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42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42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42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42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42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42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5:36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5:36" s="41" customForma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5:36" s="41" customFormat="1" x14ac:dyDescent="0.2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5:36" s="41" customFormat="1" x14ac:dyDescent="0.2"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5:36" s="41" customFormat="1" x14ac:dyDescent="0.2"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5:36" s="41" customFormat="1" x14ac:dyDescent="0.2"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5:36" s="41" customFormat="1" x14ac:dyDescent="0.2"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5:36" s="41" customFormat="1" x14ac:dyDescent="0.2"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5:36" s="41" customFormat="1" x14ac:dyDescent="0.2"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5:36" s="41" customFormat="1" x14ac:dyDescent="0.2"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5:36" s="41" customFormat="1" x14ac:dyDescent="0.2"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</sheetData>
  <autoFilter ref="A7:AI35" xr:uid="{00000000-0009-0000-0000-000000000000}"/>
  <mergeCells count="12">
    <mergeCell ref="A33:B33"/>
    <mergeCell ref="A34:C34"/>
    <mergeCell ref="L34:N34"/>
    <mergeCell ref="P34:R34"/>
    <mergeCell ref="AG34:AI34"/>
    <mergeCell ref="A1:AJ1"/>
    <mergeCell ref="A2:AJ2"/>
    <mergeCell ref="A3:AJ3"/>
    <mergeCell ref="A4:B4"/>
    <mergeCell ref="B5:B6"/>
    <mergeCell ref="T5:U5"/>
    <mergeCell ref="AJ5:AJ6"/>
  </mergeCells>
  <phoneticPr fontId="24" type="noConversion"/>
  <pageMargins left="0.118110236220472" right="0" top="0.31496062992126" bottom="0.118110236220472" header="0" footer="0.118110236220472"/>
  <pageSetup paperSize="9" scale="85" orientation="landscape" horizontalDpi="360" verticalDpi="360" r:id="rId1"/>
  <headerFooter alignWithMargins="0"/>
  <rowBreaks count="1" manualBreakCount="1">
    <brk id="12" max="35" man="1"/>
  </rowBreaks>
  <colBreaks count="1" manualBreakCount="1">
    <brk id="36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88A03-5FC0-42EA-9E2D-456F62B8FADA}">
  <sheetPr>
    <tabColor theme="7" tint="0.39997558519241921"/>
  </sheetPr>
  <dimension ref="A1:AP79"/>
  <sheetViews>
    <sheetView zoomScale="106" zoomScaleNormal="106" workbookViewId="0">
      <pane ySplit="7" topLeftCell="A8" activePane="bottomLeft" state="frozen"/>
      <selection activeCell="N19" sqref="N19"/>
      <selection pane="bottomLeft" activeCell="S29" sqref="S29"/>
    </sheetView>
  </sheetViews>
  <sheetFormatPr defaultColWidth="9.140625" defaultRowHeight="12.75" x14ac:dyDescent="0.2"/>
  <cols>
    <col min="1" max="1" width="6.28515625" style="1" customWidth="1"/>
    <col min="2" max="2" width="9.710937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6.140625" style="1" customWidth="1"/>
    <col min="16" max="16" width="5" style="1" customWidth="1"/>
    <col min="17" max="19" width="4.5703125" style="1" customWidth="1"/>
    <col min="20" max="21" width="4.140625" style="1" customWidth="1"/>
    <col min="22" max="22" width="3.85546875" style="1" customWidth="1"/>
    <col min="23" max="23" width="4.28515625" style="1" customWidth="1"/>
    <col min="24" max="24" width="3.85546875" style="1" customWidth="1"/>
    <col min="25" max="25" width="4.42578125" style="1" customWidth="1"/>
    <col min="26" max="26" width="4.7109375" style="1" customWidth="1"/>
    <col min="27" max="27" width="4.5703125" style="1" customWidth="1"/>
    <col min="28" max="28" width="4.28515625" style="1" customWidth="1"/>
    <col min="29" max="30" width="3.85546875" style="1" customWidth="1"/>
    <col min="31" max="31" width="4.5703125" style="1" customWidth="1"/>
    <col min="32" max="32" width="5" style="1" customWidth="1"/>
    <col min="33" max="33" width="5.140625" style="1" customWidth="1"/>
    <col min="34" max="35" width="6" style="1" customWidth="1"/>
    <col min="36" max="36" width="13.7109375" style="1" customWidth="1"/>
    <col min="37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8.5" customHeight="1" thickBot="1" x14ac:dyDescent="0.4">
      <c r="A4" s="119" t="s">
        <v>334</v>
      </c>
      <c r="B4" s="120"/>
      <c r="C4" s="2">
        <f>COUNTA(B8:B23)</f>
        <v>16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41.25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7.5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78" customHeight="1" x14ac:dyDescent="0.25">
      <c r="A8" s="44" t="s">
        <v>335</v>
      </c>
      <c r="B8" s="64" t="s">
        <v>336</v>
      </c>
      <c r="C8" s="56" t="s">
        <v>308</v>
      </c>
      <c r="D8" s="48">
        <v>204</v>
      </c>
      <c r="E8" s="20">
        <v>22</v>
      </c>
      <c r="F8" s="21">
        <f>I8+L8+(M8)*8</f>
        <v>176</v>
      </c>
      <c r="G8" s="57"/>
      <c r="H8" s="22"/>
      <c r="I8" s="23">
        <f>E8*8</f>
        <v>176</v>
      </c>
      <c r="J8" s="55">
        <v>759.93000000000006</v>
      </c>
      <c r="K8" s="55">
        <f>325.6077-60-90</f>
        <v>175.60770000000002</v>
      </c>
      <c r="L8" s="23"/>
      <c r="M8" s="22"/>
      <c r="N8" s="22">
        <v>4</v>
      </c>
      <c r="O8" s="52">
        <f>IF(F8&gt;0,((K8+W8)/F8*I8),0)</f>
        <v>175.60770000000002</v>
      </c>
      <c r="P8" s="58">
        <f>IF(F8&gt;0,((K8+W8)/F8*L8*1.5)*100)/100</f>
        <v>0</v>
      </c>
      <c r="Q8" s="53">
        <f>IF(F8&gt;0,((K8+W8)/F8*M8*8*2)*100)/100</f>
        <v>0</v>
      </c>
      <c r="R8" s="53">
        <f>IF(F8&gt;0,((K8+W8)/F8*N8*8*1)*100)/100</f>
        <v>31.92867272727273</v>
      </c>
      <c r="S8" s="53">
        <v>0</v>
      </c>
      <c r="T8" s="25">
        <v>0</v>
      </c>
      <c r="U8" s="24">
        <f>D8/26*T8/2</f>
        <v>0</v>
      </c>
      <c r="V8" s="24">
        <f t="shared" ref="V8:V17" si="0">((L8)*1500/4000)</f>
        <v>0</v>
      </c>
      <c r="W8" s="61"/>
      <c r="X8" s="53"/>
      <c r="Y8" s="27"/>
      <c r="Z8" s="24">
        <v>10</v>
      </c>
      <c r="AA8" s="24">
        <v>10</v>
      </c>
      <c r="AB8" s="26">
        <f>D8/2</f>
        <v>102</v>
      </c>
      <c r="AC8" s="24">
        <f>AK8</f>
        <v>4.5506000000000002</v>
      </c>
      <c r="AD8" s="26"/>
      <c r="AE8" s="54">
        <f>INT((O8+P8+Q8+R8+U8+V8+Z8+AA8+Y8-X8+S8)*100)/100</f>
        <v>227.53</v>
      </c>
      <c r="AF8" s="28">
        <f>AB8+AC8+AD8</f>
        <v>106.5506</v>
      </c>
      <c r="AG8" s="54">
        <f t="shared" ref="AG8:AG17" si="1">INT((AE8-AF8)*100)/100</f>
        <v>120.97</v>
      </c>
      <c r="AH8" s="29">
        <f t="shared" ref="AH8:AH17" si="2">INT(AG8)</f>
        <v>120</v>
      </c>
      <c r="AI8" s="24">
        <f t="shared" ref="AI8:AI17" si="3">INT((AG8-AH8)*40+0.5)*100</f>
        <v>3900</v>
      </c>
      <c r="AJ8" s="30"/>
      <c r="AK8" s="73">
        <f>(AE8*0.04)/2</f>
        <v>4.5506000000000002</v>
      </c>
    </row>
    <row r="9" spans="1:37" s="31" customFormat="1" ht="78" customHeight="1" x14ac:dyDescent="0.25">
      <c r="A9" s="44" t="s">
        <v>337</v>
      </c>
      <c r="B9" s="64" t="s">
        <v>338</v>
      </c>
      <c r="C9" s="56" t="s">
        <v>308</v>
      </c>
      <c r="D9" s="48">
        <v>204</v>
      </c>
      <c r="E9" s="20">
        <v>19.5</v>
      </c>
      <c r="F9" s="21">
        <f t="shared" ref="F9:F17" si="4">I9+L9+(M9)*8</f>
        <v>156</v>
      </c>
      <c r="G9" s="57">
        <v>2.5</v>
      </c>
      <c r="H9" s="22"/>
      <c r="I9" s="23">
        <f t="shared" ref="I9:I17" si="5">E9*8</f>
        <v>156</v>
      </c>
      <c r="J9" s="76">
        <v>241.42000000000004</v>
      </c>
      <c r="K9" s="77">
        <v>109.17600000000002</v>
      </c>
      <c r="L9" s="23"/>
      <c r="M9" s="22"/>
      <c r="N9" s="22">
        <v>4</v>
      </c>
      <c r="O9" s="52">
        <f t="shared" ref="O9:O23" si="6">IF(F9&gt;0,((K9+W9)/F9*I9),0)</f>
        <v>128.79138461538463</v>
      </c>
      <c r="P9" s="58">
        <f t="shared" ref="P9:P23" si="7">IF(F9&gt;0,((K9+W9)/F9*L9*1.5)*100)/100</f>
        <v>0</v>
      </c>
      <c r="Q9" s="53">
        <f t="shared" ref="Q9:Q23" si="8">IF(F9&gt;0,((K9+W9)/F9*M9*8*2)*100)/100</f>
        <v>0</v>
      </c>
      <c r="R9" s="53">
        <f>D9/26*N9</f>
        <v>31.384615384615383</v>
      </c>
      <c r="S9" s="53">
        <v>0</v>
      </c>
      <c r="T9" s="25">
        <v>0</v>
      </c>
      <c r="U9" s="24">
        <f t="shared" ref="U9:U17" si="9">D9/26*T9/2</f>
        <v>0</v>
      </c>
      <c r="V9" s="24">
        <f t="shared" si="0"/>
        <v>0</v>
      </c>
      <c r="W9" s="61">
        <f>D9/208*20</f>
        <v>19.615384615384613</v>
      </c>
      <c r="X9" s="53">
        <f>(-D9/208*I9)+(O9)</f>
        <v>-24.208615384615371</v>
      </c>
      <c r="Y9" s="27"/>
      <c r="Z9" s="24"/>
      <c r="AA9" s="24">
        <v>10</v>
      </c>
      <c r="AB9" s="26">
        <f t="shared" ref="AB9:AB23" si="10">D9/2</f>
        <v>102</v>
      </c>
      <c r="AC9" s="24">
        <f t="shared" ref="AC9:AC23" si="11">AK9</f>
        <v>3.8875999999999999</v>
      </c>
      <c r="AD9" s="26"/>
      <c r="AE9" s="54">
        <f t="shared" ref="AE9:AE23" si="12">INT((O9+P9+Q9+R9+U9+V9+Z9+AA9+Y9-X9+S9)*100)/100</f>
        <v>194.38</v>
      </c>
      <c r="AF9" s="28">
        <f t="shared" ref="AF9:AF17" si="13">AB9+AC9+AD9</f>
        <v>105.88760000000001</v>
      </c>
      <c r="AG9" s="54">
        <f t="shared" si="1"/>
        <v>88.49</v>
      </c>
      <c r="AH9" s="29">
        <f t="shared" si="2"/>
        <v>88</v>
      </c>
      <c r="AI9" s="24">
        <f t="shared" si="3"/>
        <v>2000</v>
      </c>
      <c r="AJ9" s="30"/>
      <c r="AK9" s="73">
        <f t="shared" ref="AK9:AK19" si="14">(AE9*0.04)/2</f>
        <v>3.8875999999999999</v>
      </c>
    </row>
    <row r="10" spans="1:37" s="31" customFormat="1" ht="78" customHeight="1" x14ac:dyDescent="0.25">
      <c r="A10" s="44" t="s">
        <v>339</v>
      </c>
      <c r="B10" s="64" t="s">
        <v>340</v>
      </c>
      <c r="C10" s="56" t="s">
        <v>308</v>
      </c>
      <c r="D10" s="48">
        <v>204</v>
      </c>
      <c r="E10" s="20">
        <v>21</v>
      </c>
      <c r="F10" s="21">
        <f t="shared" si="4"/>
        <v>168</v>
      </c>
      <c r="G10" s="57">
        <v>1</v>
      </c>
      <c r="H10" s="22"/>
      <c r="I10" s="23">
        <f t="shared" si="5"/>
        <v>168</v>
      </c>
      <c r="J10" s="55">
        <v>492.08000000000004</v>
      </c>
      <c r="K10" s="55">
        <f>212.4481-40</f>
        <v>172.44810000000001</v>
      </c>
      <c r="L10" s="23"/>
      <c r="M10" s="22"/>
      <c r="N10" s="22">
        <v>4</v>
      </c>
      <c r="O10" s="52">
        <f t="shared" si="6"/>
        <v>172.44810000000001</v>
      </c>
      <c r="P10" s="58">
        <f t="shared" si="7"/>
        <v>0</v>
      </c>
      <c r="Q10" s="53">
        <f t="shared" si="8"/>
        <v>0</v>
      </c>
      <c r="R10" s="53">
        <f t="shared" ref="R10:R23" si="15">IF(F10&gt;0,((K10+W10)/F10*N10*8*1)*100)/100</f>
        <v>32.847257142857146</v>
      </c>
      <c r="S10" s="53">
        <v>0</v>
      </c>
      <c r="T10" s="25">
        <v>0</v>
      </c>
      <c r="U10" s="24">
        <f t="shared" si="9"/>
        <v>0</v>
      </c>
      <c r="V10" s="24">
        <f t="shared" si="0"/>
        <v>0</v>
      </c>
      <c r="W10" s="61"/>
      <c r="X10" s="53"/>
      <c r="Y10" s="27"/>
      <c r="Z10" s="24">
        <v>7</v>
      </c>
      <c r="AA10" s="24">
        <v>10</v>
      </c>
      <c r="AB10" s="26">
        <f t="shared" si="10"/>
        <v>102</v>
      </c>
      <c r="AC10" s="24">
        <f t="shared" si="11"/>
        <v>4.4458000000000002</v>
      </c>
      <c r="AD10" s="26"/>
      <c r="AE10" s="54">
        <f t="shared" si="12"/>
        <v>222.29</v>
      </c>
      <c r="AF10" s="28">
        <f t="shared" si="13"/>
        <v>106.44580000000001</v>
      </c>
      <c r="AG10" s="54">
        <f t="shared" si="1"/>
        <v>115.84</v>
      </c>
      <c r="AH10" s="29">
        <f t="shared" si="2"/>
        <v>115</v>
      </c>
      <c r="AI10" s="24">
        <f t="shared" si="3"/>
        <v>3400</v>
      </c>
      <c r="AJ10" s="30"/>
      <c r="AK10" s="73">
        <f t="shared" si="14"/>
        <v>4.4458000000000002</v>
      </c>
    </row>
    <row r="11" spans="1:37" s="31" customFormat="1" ht="78" customHeight="1" x14ac:dyDescent="0.25">
      <c r="A11" s="44" t="s">
        <v>341</v>
      </c>
      <c r="B11" s="64" t="s">
        <v>342</v>
      </c>
      <c r="C11" s="56" t="s">
        <v>308</v>
      </c>
      <c r="D11" s="48">
        <v>204</v>
      </c>
      <c r="E11" s="20">
        <v>21</v>
      </c>
      <c r="F11" s="21">
        <f>I11+L11+(M11)*8</f>
        <v>168</v>
      </c>
      <c r="G11" s="57">
        <v>1</v>
      </c>
      <c r="H11" s="22"/>
      <c r="I11" s="23">
        <f t="shared" si="5"/>
        <v>168</v>
      </c>
      <c r="J11" s="55">
        <v>753.07000000000016</v>
      </c>
      <c r="K11" s="55">
        <f>216.7004-40</f>
        <v>176.7004</v>
      </c>
      <c r="L11" s="23"/>
      <c r="M11" s="22"/>
      <c r="N11" s="22">
        <v>4</v>
      </c>
      <c r="O11" s="52">
        <f t="shared" si="6"/>
        <v>176.70040000000003</v>
      </c>
      <c r="P11" s="58">
        <f t="shared" si="7"/>
        <v>0</v>
      </c>
      <c r="Q11" s="53">
        <f t="shared" si="8"/>
        <v>0</v>
      </c>
      <c r="R11" s="53">
        <f t="shared" si="15"/>
        <v>33.657219047619051</v>
      </c>
      <c r="S11" s="53">
        <v>0</v>
      </c>
      <c r="T11" s="25">
        <v>0</v>
      </c>
      <c r="U11" s="24">
        <f t="shared" si="9"/>
        <v>0</v>
      </c>
      <c r="V11" s="24">
        <f t="shared" si="0"/>
        <v>0</v>
      </c>
      <c r="W11" s="66"/>
      <c r="X11" s="53"/>
      <c r="Y11" s="27"/>
      <c r="Z11" s="24">
        <v>4</v>
      </c>
      <c r="AA11" s="24">
        <v>10</v>
      </c>
      <c r="AB11" s="26">
        <f t="shared" si="10"/>
        <v>102</v>
      </c>
      <c r="AC11" s="24">
        <f t="shared" si="11"/>
        <v>4.4870000000000001</v>
      </c>
      <c r="AD11" s="26"/>
      <c r="AE11" s="54">
        <f t="shared" si="12"/>
        <v>224.35</v>
      </c>
      <c r="AF11" s="28">
        <f t="shared" si="13"/>
        <v>106.48699999999999</v>
      </c>
      <c r="AG11" s="54">
        <f t="shared" si="1"/>
        <v>117.86</v>
      </c>
      <c r="AH11" s="29">
        <f t="shared" si="2"/>
        <v>117</v>
      </c>
      <c r="AI11" s="24">
        <f t="shared" si="3"/>
        <v>3400</v>
      </c>
      <c r="AJ11" s="30"/>
      <c r="AK11" s="73">
        <f t="shared" si="14"/>
        <v>4.4870000000000001</v>
      </c>
    </row>
    <row r="12" spans="1:37" s="31" customFormat="1" ht="78" customHeight="1" x14ac:dyDescent="0.25">
      <c r="A12" s="44" t="s">
        <v>343</v>
      </c>
      <c r="B12" s="64" t="s">
        <v>344</v>
      </c>
      <c r="C12" s="56" t="s">
        <v>308</v>
      </c>
      <c r="D12" s="48">
        <v>204</v>
      </c>
      <c r="E12" s="20">
        <v>21</v>
      </c>
      <c r="F12" s="21">
        <f t="shared" si="4"/>
        <v>168</v>
      </c>
      <c r="G12" s="57">
        <v>1</v>
      </c>
      <c r="H12" s="22"/>
      <c r="I12" s="23">
        <f t="shared" si="5"/>
        <v>168</v>
      </c>
      <c r="J12" s="55">
        <v>491.93000000000006</v>
      </c>
      <c r="K12" s="55">
        <f>200.1053-20</f>
        <v>180.1053</v>
      </c>
      <c r="L12" s="23"/>
      <c r="M12" s="22"/>
      <c r="N12" s="22">
        <v>4</v>
      </c>
      <c r="O12" s="52">
        <f t="shared" si="6"/>
        <v>180.10529999999997</v>
      </c>
      <c r="P12" s="58">
        <f t="shared" si="7"/>
        <v>0</v>
      </c>
      <c r="Q12" s="53">
        <f t="shared" si="8"/>
        <v>0</v>
      </c>
      <c r="R12" s="53">
        <f t="shared" si="15"/>
        <v>34.305771428571425</v>
      </c>
      <c r="S12" s="53">
        <v>0</v>
      </c>
      <c r="T12" s="25">
        <v>0</v>
      </c>
      <c r="U12" s="24">
        <f t="shared" si="9"/>
        <v>0</v>
      </c>
      <c r="V12" s="24">
        <f t="shared" si="0"/>
        <v>0</v>
      </c>
      <c r="W12" s="67"/>
      <c r="X12" s="53"/>
      <c r="Y12" s="27"/>
      <c r="Z12" s="24">
        <v>7</v>
      </c>
      <c r="AA12" s="24">
        <v>10</v>
      </c>
      <c r="AB12" s="26">
        <f t="shared" si="10"/>
        <v>102</v>
      </c>
      <c r="AC12" s="24">
        <f t="shared" si="11"/>
        <v>4.6281999999999996</v>
      </c>
      <c r="AD12" s="26"/>
      <c r="AE12" s="54">
        <f t="shared" si="12"/>
        <v>231.41</v>
      </c>
      <c r="AF12" s="28">
        <f t="shared" si="13"/>
        <v>106.62819999999999</v>
      </c>
      <c r="AG12" s="54">
        <f t="shared" si="1"/>
        <v>124.78</v>
      </c>
      <c r="AH12" s="29">
        <f t="shared" si="2"/>
        <v>124</v>
      </c>
      <c r="AI12" s="24">
        <f t="shared" si="3"/>
        <v>3100</v>
      </c>
      <c r="AJ12" s="30"/>
      <c r="AK12" s="73">
        <f t="shared" si="14"/>
        <v>4.6281999999999996</v>
      </c>
    </row>
    <row r="13" spans="1:37" s="31" customFormat="1" ht="78" customHeight="1" x14ac:dyDescent="0.25">
      <c r="A13" s="44" t="s">
        <v>345</v>
      </c>
      <c r="B13" s="64" t="s">
        <v>346</v>
      </c>
      <c r="C13" s="56" t="s">
        <v>308</v>
      </c>
      <c r="D13" s="48">
        <v>204</v>
      </c>
      <c r="E13" s="20">
        <v>21</v>
      </c>
      <c r="F13" s="21">
        <f t="shared" si="4"/>
        <v>168</v>
      </c>
      <c r="G13" s="57">
        <v>1</v>
      </c>
      <c r="H13" s="22"/>
      <c r="I13" s="23">
        <f t="shared" si="5"/>
        <v>168</v>
      </c>
      <c r="J13" s="55">
        <v>279.34999999999997</v>
      </c>
      <c r="K13" s="55">
        <f>121.0617+30</f>
        <v>151.0617</v>
      </c>
      <c r="L13" s="23"/>
      <c r="M13" s="22"/>
      <c r="N13" s="22">
        <v>4</v>
      </c>
      <c r="O13" s="52">
        <f t="shared" si="6"/>
        <v>166.75400769230768</v>
      </c>
      <c r="P13" s="58">
        <f t="shared" si="7"/>
        <v>0</v>
      </c>
      <c r="Q13" s="53">
        <f t="shared" si="8"/>
        <v>0</v>
      </c>
      <c r="R13" s="53">
        <f t="shared" si="15"/>
        <v>31.762668131868125</v>
      </c>
      <c r="S13" s="53">
        <v>0</v>
      </c>
      <c r="T13" s="25">
        <v>0</v>
      </c>
      <c r="U13" s="24">
        <f t="shared" si="9"/>
        <v>0</v>
      </c>
      <c r="V13" s="24">
        <f t="shared" si="0"/>
        <v>0</v>
      </c>
      <c r="W13" s="61">
        <f>D13/208*16</f>
        <v>15.692307692307692</v>
      </c>
      <c r="X13" s="53"/>
      <c r="Y13" s="27"/>
      <c r="Z13" s="24">
        <v>7</v>
      </c>
      <c r="AA13" s="24">
        <v>10</v>
      </c>
      <c r="AB13" s="26">
        <f t="shared" si="10"/>
        <v>102</v>
      </c>
      <c r="AC13" s="24">
        <f t="shared" si="11"/>
        <v>4.3102</v>
      </c>
      <c r="AD13" s="26"/>
      <c r="AE13" s="54">
        <f t="shared" si="12"/>
        <v>215.51</v>
      </c>
      <c r="AF13" s="28">
        <f t="shared" si="13"/>
        <v>106.31019999999999</v>
      </c>
      <c r="AG13" s="54">
        <f t="shared" si="1"/>
        <v>109.19</v>
      </c>
      <c r="AH13" s="29">
        <f t="shared" si="2"/>
        <v>109</v>
      </c>
      <c r="AI13" s="24">
        <f t="shared" si="3"/>
        <v>800</v>
      </c>
      <c r="AJ13" s="30"/>
      <c r="AK13" s="73">
        <f t="shared" si="14"/>
        <v>4.3102</v>
      </c>
    </row>
    <row r="14" spans="1:37" s="31" customFormat="1" ht="78" customHeight="1" x14ac:dyDescent="0.25">
      <c r="A14" s="44" t="s">
        <v>347</v>
      </c>
      <c r="B14" s="64" t="s">
        <v>348</v>
      </c>
      <c r="C14" s="56" t="s">
        <v>310</v>
      </c>
      <c r="D14" s="48">
        <v>204</v>
      </c>
      <c r="E14" s="20">
        <v>22</v>
      </c>
      <c r="F14" s="21">
        <f t="shared" si="4"/>
        <v>176</v>
      </c>
      <c r="G14" s="57"/>
      <c r="H14" s="22"/>
      <c r="I14" s="23">
        <f t="shared" si="5"/>
        <v>176</v>
      </c>
      <c r="J14" s="55">
        <v>429.16999999999996</v>
      </c>
      <c r="K14" s="55">
        <v>180.59500000000003</v>
      </c>
      <c r="L14" s="23"/>
      <c r="M14" s="22"/>
      <c r="N14" s="22">
        <v>4</v>
      </c>
      <c r="O14" s="52">
        <f t="shared" si="6"/>
        <v>180.59500000000003</v>
      </c>
      <c r="P14" s="58">
        <f t="shared" si="7"/>
        <v>0</v>
      </c>
      <c r="Q14" s="53">
        <f t="shared" si="8"/>
        <v>0</v>
      </c>
      <c r="R14" s="53">
        <f t="shared" si="15"/>
        <v>32.835454545454553</v>
      </c>
      <c r="S14" s="53">
        <v>0</v>
      </c>
      <c r="T14" s="25">
        <v>0</v>
      </c>
      <c r="U14" s="24">
        <f t="shared" si="9"/>
        <v>0</v>
      </c>
      <c r="V14" s="24">
        <f t="shared" si="0"/>
        <v>0</v>
      </c>
      <c r="W14" s="61"/>
      <c r="X14" s="53"/>
      <c r="Y14" s="27"/>
      <c r="Z14" s="24">
        <v>10</v>
      </c>
      <c r="AA14" s="24">
        <v>10</v>
      </c>
      <c r="AB14" s="26">
        <f t="shared" si="10"/>
        <v>102</v>
      </c>
      <c r="AC14" s="24">
        <f t="shared" si="11"/>
        <v>4.6686000000000005</v>
      </c>
      <c r="AD14" s="26"/>
      <c r="AE14" s="54">
        <f t="shared" si="12"/>
        <v>233.43</v>
      </c>
      <c r="AF14" s="28">
        <f t="shared" si="13"/>
        <v>106.6686</v>
      </c>
      <c r="AG14" s="54">
        <f t="shared" si="1"/>
        <v>126.76</v>
      </c>
      <c r="AH14" s="29">
        <f t="shared" si="2"/>
        <v>126</v>
      </c>
      <c r="AI14" s="24">
        <f t="shared" si="3"/>
        <v>3000</v>
      </c>
      <c r="AJ14" s="30"/>
      <c r="AK14" s="73">
        <f t="shared" si="14"/>
        <v>4.6686000000000005</v>
      </c>
    </row>
    <row r="15" spans="1:37" s="31" customFormat="1" ht="78" customHeight="1" x14ac:dyDescent="0.25">
      <c r="A15" s="44" t="s">
        <v>349</v>
      </c>
      <c r="B15" s="64" t="s">
        <v>350</v>
      </c>
      <c r="C15" s="56" t="s">
        <v>309</v>
      </c>
      <c r="D15" s="48">
        <v>204</v>
      </c>
      <c r="E15" s="20">
        <v>22</v>
      </c>
      <c r="F15" s="21">
        <f t="shared" si="4"/>
        <v>176</v>
      </c>
      <c r="G15" s="57"/>
      <c r="H15" s="22"/>
      <c r="I15" s="23">
        <f t="shared" si="5"/>
        <v>176</v>
      </c>
      <c r="J15" s="55">
        <v>18.670000000000002</v>
      </c>
      <c r="K15" s="55">
        <v>7.8880999999999988</v>
      </c>
      <c r="L15" s="23"/>
      <c r="M15" s="22"/>
      <c r="N15" s="22">
        <v>4</v>
      </c>
      <c r="O15" s="52">
        <f t="shared" si="6"/>
        <v>174.61886923076923</v>
      </c>
      <c r="P15" s="58">
        <f t="shared" si="7"/>
        <v>0</v>
      </c>
      <c r="Q15" s="53">
        <f t="shared" si="8"/>
        <v>0</v>
      </c>
      <c r="R15" s="53">
        <f t="shared" si="15"/>
        <v>31.748885314685314</v>
      </c>
      <c r="S15" s="53">
        <v>0</v>
      </c>
      <c r="T15" s="25">
        <v>0</v>
      </c>
      <c r="U15" s="24">
        <f t="shared" si="9"/>
        <v>0</v>
      </c>
      <c r="V15" s="24">
        <f t="shared" si="0"/>
        <v>0</v>
      </c>
      <c r="W15" s="61">
        <f>D15/208*170</f>
        <v>166.73076923076923</v>
      </c>
      <c r="X15" s="53"/>
      <c r="Y15" s="27"/>
      <c r="Z15" s="24">
        <v>10</v>
      </c>
      <c r="AA15" s="24">
        <v>10</v>
      </c>
      <c r="AB15" s="26">
        <f t="shared" si="10"/>
        <v>102</v>
      </c>
      <c r="AC15" s="24">
        <f t="shared" si="11"/>
        <v>4.5272000000000006</v>
      </c>
      <c r="AD15" s="26"/>
      <c r="AE15" s="54">
        <f t="shared" si="12"/>
        <v>226.36</v>
      </c>
      <c r="AF15" s="28">
        <f t="shared" si="13"/>
        <v>106.52719999999999</v>
      </c>
      <c r="AG15" s="54">
        <f t="shared" si="1"/>
        <v>119.83</v>
      </c>
      <c r="AH15" s="29">
        <f t="shared" si="2"/>
        <v>119</v>
      </c>
      <c r="AI15" s="24">
        <f t="shared" si="3"/>
        <v>3300</v>
      </c>
      <c r="AJ15" s="30"/>
      <c r="AK15" s="73">
        <f t="shared" si="14"/>
        <v>4.5272000000000006</v>
      </c>
    </row>
    <row r="16" spans="1:37" s="31" customFormat="1" ht="78" customHeight="1" x14ac:dyDescent="0.25">
      <c r="A16" s="44" t="s">
        <v>351</v>
      </c>
      <c r="B16" s="64" t="s">
        <v>352</v>
      </c>
      <c r="C16" s="56" t="s">
        <v>313</v>
      </c>
      <c r="D16" s="48">
        <v>204</v>
      </c>
      <c r="E16" s="20">
        <v>21</v>
      </c>
      <c r="F16" s="21">
        <f t="shared" si="4"/>
        <v>168</v>
      </c>
      <c r="G16" s="57">
        <v>1</v>
      </c>
      <c r="H16" s="22"/>
      <c r="I16" s="23">
        <f t="shared" si="5"/>
        <v>168</v>
      </c>
      <c r="J16" s="55">
        <v>25.4</v>
      </c>
      <c r="K16" s="55">
        <v>10.868800000000002</v>
      </c>
      <c r="L16" s="23"/>
      <c r="M16" s="22"/>
      <c r="N16" s="22">
        <v>4</v>
      </c>
      <c r="O16" s="52">
        <f t="shared" si="6"/>
        <v>167.7918769230769</v>
      </c>
      <c r="P16" s="58">
        <f t="shared" si="7"/>
        <v>0</v>
      </c>
      <c r="Q16" s="53">
        <f t="shared" si="8"/>
        <v>0</v>
      </c>
      <c r="R16" s="53">
        <f t="shared" si="15"/>
        <v>31.960357509157504</v>
      </c>
      <c r="S16" s="53">
        <v>0</v>
      </c>
      <c r="T16" s="25">
        <v>0</v>
      </c>
      <c r="U16" s="24">
        <f t="shared" si="9"/>
        <v>0</v>
      </c>
      <c r="V16" s="24">
        <f t="shared" si="0"/>
        <v>0</v>
      </c>
      <c r="W16" s="61">
        <f>D16/208*160</f>
        <v>156.92307692307691</v>
      </c>
      <c r="X16" s="53"/>
      <c r="Y16" s="27"/>
      <c r="Z16" s="24">
        <v>7</v>
      </c>
      <c r="AA16" s="24">
        <v>10</v>
      </c>
      <c r="AB16" s="26">
        <f t="shared" si="10"/>
        <v>102</v>
      </c>
      <c r="AC16" s="24">
        <f t="shared" si="11"/>
        <v>4.335</v>
      </c>
      <c r="AD16" s="26"/>
      <c r="AE16" s="54">
        <f t="shared" si="12"/>
        <v>216.75</v>
      </c>
      <c r="AF16" s="28">
        <f t="shared" si="13"/>
        <v>106.33499999999999</v>
      </c>
      <c r="AG16" s="54">
        <f t="shared" si="1"/>
        <v>110.41</v>
      </c>
      <c r="AH16" s="29">
        <f t="shared" si="2"/>
        <v>110</v>
      </c>
      <c r="AI16" s="24">
        <f t="shared" si="3"/>
        <v>1600</v>
      </c>
      <c r="AJ16" s="30"/>
      <c r="AK16" s="73">
        <f t="shared" si="14"/>
        <v>4.335</v>
      </c>
    </row>
    <row r="17" spans="1:42" s="31" customFormat="1" ht="78" customHeight="1" x14ac:dyDescent="0.25">
      <c r="A17" s="44" t="s">
        <v>353</v>
      </c>
      <c r="B17" s="64" t="s">
        <v>354</v>
      </c>
      <c r="C17" s="56" t="s">
        <v>355</v>
      </c>
      <c r="D17" s="48">
        <v>204</v>
      </c>
      <c r="E17" s="20">
        <v>22</v>
      </c>
      <c r="F17" s="21">
        <f t="shared" si="4"/>
        <v>176</v>
      </c>
      <c r="G17" s="57"/>
      <c r="H17" s="22"/>
      <c r="I17" s="23">
        <f t="shared" si="5"/>
        <v>176</v>
      </c>
      <c r="J17" s="55">
        <v>429.35</v>
      </c>
      <c r="K17" s="55">
        <v>181.08779999999993</v>
      </c>
      <c r="L17" s="23"/>
      <c r="M17" s="22"/>
      <c r="N17" s="22">
        <v>4</v>
      </c>
      <c r="O17" s="52">
        <f t="shared" si="6"/>
        <v>181.08779999999996</v>
      </c>
      <c r="P17" s="58">
        <f t="shared" si="7"/>
        <v>0</v>
      </c>
      <c r="Q17" s="53">
        <f t="shared" si="8"/>
        <v>0</v>
      </c>
      <c r="R17" s="53">
        <f t="shared" si="15"/>
        <v>32.925054545454536</v>
      </c>
      <c r="S17" s="53">
        <v>0</v>
      </c>
      <c r="T17" s="25">
        <v>0</v>
      </c>
      <c r="U17" s="24">
        <f t="shared" si="9"/>
        <v>0</v>
      </c>
      <c r="V17" s="24">
        <f t="shared" si="0"/>
        <v>0</v>
      </c>
      <c r="W17" s="61"/>
      <c r="X17" s="53"/>
      <c r="Y17" s="27"/>
      <c r="Z17" s="24">
        <v>10</v>
      </c>
      <c r="AA17" s="24">
        <v>10</v>
      </c>
      <c r="AB17" s="26">
        <f t="shared" si="10"/>
        <v>102</v>
      </c>
      <c r="AC17" s="24">
        <f t="shared" si="11"/>
        <v>4.6802000000000001</v>
      </c>
      <c r="AD17" s="26"/>
      <c r="AE17" s="54">
        <f t="shared" si="12"/>
        <v>234.01</v>
      </c>
      <c r="AF17" s="28">
        <f t="shared" si="13"/>
        <v>106.6802</v>
      </c>
      <c r="AG17" s="54">
        <f t="shared" si="1"/>
        <v>127.32</v>
      </c>
      <c r="AH17" s="29">
        <f t="shared" si="2"/>
        <v>127</v>
      </c>
      <c r="AI17" s="24">
        <f t="shared" si="3"/>
        <v>1300</v>
      </c>
      <c r="AJ17" s="30"/>
      <c r="AK17" s="73">
        <f t="shared" si="14"/>
        <v>4.6802000000000001</v>
      </c>
    </row>
    <row r="18" spans="1:42" s="31" customFormat="1" ht="78" customHeight="1" x14ac:dyDescent="0.25">
      <c r="A18" s="44" t="s">
        <v>469</v>
      </c>
      <c r="B18" s="64" t="s">
        <v>607</v>
      </c>
      <c r="C18" s="56" t="s">
        <v>431</v>
      </c>
      <c r="D18" s="48">
        <v>204</v>
      </c>
      <c r="E18" s="20">
        <v>21</v>
      </c>
      <c r="F18" s="21">
        <f t="shared" ref="F18" si="16">I18+L18+(M18)*8</f>
        <v>168</v>
      </c>
      <c r="G18" s="57">
        <v>1</v>
      </c>
      <c r="H18" s="22"/>
      <c r="I18" s="23">
        <f t="shared" ref="I18:I21" si="17">E18*8</f>
        <v>168</v>
      </c>
      <c r="J18" s="55">
        <v>358.27</v>
      </c>
      <c r="K18" s="55">
        <v>155.38170000000005</v>
      </c>
      <c r="L18" s="23"/>
      <c r="M18" s="22"/>
      <c r="N18" s="22">
        <v>4</v>
      </c>
      <c r="O18" s="52">
        <f t="shared" si="6"/>
        <v>170.0932384615385</v>
      </c>
      <c r="P18" s="58">
        <f t="shared" si="7"/>
        <v>0</v>
      </c>
      <c r="Q18" s="53">
        <f t="shared" si="8"/>
        <v>0</v>
      </c>
      <c r="R18" s="53">
        <f t="shared" si="15"/>
        <v>32.398712087912095</v>
      </c>
      <c r="S18" s="53">
        <v>0</v>
      </c>
      <c r="T18" s="25">
        <v>0</v>
      </c>
      <c r="U18" s="24">
        <f t="shared" ref="U18:U21" si="18">D18/26*T18/2</f>
        <v>0</v>
      </c>
      <c r="V18" s="24">
        <f t="shared" ref="V18:V21" si="19">((L18)*1500/4000)</f>
        <v>0</v>
      </c>
      <c r="W18" s="61">
        <f>D18/208*15</f>
        <v>14.711538461538462</v>
      </c>
      <c r="X18" s="53"/>
      <c r="Y18" s="27"/>
      <c r="Z18" s="24">
        <v>7</v>
      </c>
      <c r="AA18" s="24">
        <v>10</v>
      </c>
      <c r="AB18" s="26">
        <f t="shared" si="10"/>
        <v>102</v>
      </c>
      <c r="AC18" s="24">
        <f t="shared" si="11"/>
        <v>4.3898000000000001</v>
      </c>
      <c r="AD18" s="26"/>
      <c r="AE18" s="54">
        <f t="shared" si="12"/>
        <v>219.49</v>
      </c>
      <c r="AF18" s="28">
        <f t="shared" ref="AF18:AF21" si="20">AB18+AC18+AD18</f>
        <v>106.38979999999999</v>
      </c>
      <c r="AG18" s="54">
        <f t="shared" ref="AG18:AG21" si="21">INT((AE18-AF18)*100)/100</f>
        <v>113.1</v>
      </c>
      <c r="AH18" s="29">
        <f t="shared" ref="AH18:AH21" si="22">INT(AG18)</f>
        <v>113</v>
      </c>
      <c r="AI18" s="24">
        <f t="shared" ref="AI18:AI21" si="23">INT((AG18-AH18)*40+0.5)*100</f>
        <v>400</v>
      </c>
      <c r="AJ18" s="30"/>
      <c r="AK18" s="73">
        <f t="shared" si="14"/>
        <v>4.3898000000000001</v>
      </c>
    </row>
    <row r="19" spans="1:42" s="31" customFormat="1" ht="78" customHeight="1" x14ac:dyDescent="0.25">
      <c r="A19" s="44" t="s">
        <v>470</v>
      </c>
      <c r="B19" s="69" t="s">
        <v>471</v>
      </c>
      <c r="C19" s="56" t="s">
        <v>472</v>
      </c>
      <c r="D19" s="48">
        <v>204</v>
      </c>
      <c r="E19" s="20">
        <v>21</v>
      </c>
      <c r="F19" s="21">
        <f>I19+L19+(M19)*8</f>
        <v>168</v>
      </c>
      <c r="G19" s="57">
        <v>1</v>
      </c>
      <c r="H19" s="22"/>
      <c r="I19" s="23">
        <f t="shared" si="17"/>
        <v>168</v>
      </c>
      <c r="J19" s="55">
        <v>660.15000000000009</v>
      </c>
      <c r="K19" s="55">
        <f>126.183+35</f>
        <v>161.18299999999999</v>
      </c>
      <c r="L19" s="23"/>
      <c r="M19" s="22"/>
      <c r="N19" s="22">
        <v>4</v>
      </c>
      <c r="O19" s="52">
        <f t="shared" si="6"/>
        <v>168.18299999999999</v>
      </c>
      <c r="P19" s="58">
        <f t="shared" si="7"/>
        <v>0</v>
      </c>
      <c r="Q19" s="53">
        <f t="shared" si="8"/>
        <v>0</v>
      </c>
      <c r="R19" s="53">
        <f t="shared" si="15"/>
        <v>32.034857142857142</v>
      </c>
      <c r="S19" s="53">
        <v>0</v>
      </c>
      <c r="T19" s="25">
        <v>0</v>
      </c>
      <c r="U19" s="24">
        <f t="shared" si="18"/>
        <v>0</v>
      </c>
      <c r="V19" s="24">
        <f t="shared" si="19"/>
        <v>0</v>
      </c>
      <c r="W19" s="61">
        <v>7</v>
      </c>
      <c r="X19" s="53"/>
      <c r="Y19" s="27"/>
      <c r="Z19" s="24">
        <v>7</v>
      </c>
      <c r="AA19" s="24">
        <v>10</v>
      </c>
      <c r="AB19" s="26">
        <f t="shared" si="10"/>
        <v>102</v>
      </c>
      <c r="AC19" s="24">
        <f t="shared" si="11"/>
        <v>4.3441999999999998</v>
      </c>
      <c r="AD19" s="26"/>
      <c r="AE19" s="54">
        <f t="shared" si="12"/>
        <v>217.21</v>
      </c>
      <c r="AF19" s="28">
        <f t="shared" si="20"/>
        <v>106.3442</v>
      </c>
      <c r="AG19" s="54">
        <f t="shared" si="21"/>
        <v>110.86</v>
      </c>
      <c r="AH19" s="29">
        <f t="shared" si="22"/>
        <v>110</v>
      </c>
      <c r="AI19" s="24">
        <f t="shared" si="23"/>
        <v>3400</v>
      </c>
      <c r="AJ19" s="30"/>
      <c r="AK19" s="73">
        <f t="shared" si="14"/>
        <v>4.3441999999999998</v>
      </c>
    </row>
    <row r="20" spans="1:42" s="31" customFormat="1" ht="78" customHeight="1" x14ac:dyDescent="0.25">
      <c r="A20" s="44" t="s">
        <v>523</v>
      </c>
      <c r="B20" s="69" t="s">
        <v>527</v>
      </c>
      <c r="C20" s="56" t="s">
        <v>530</v>
      </c>
      <c r="D20" s="48">
        <v>204</v>
      </c>
      <c r="E20" s="20">
        <v>22</v>
      </c>
      <c r="F20" s="21">
        <f t="shared" ref="F20:F21" si="24">I20+L20+(M20)*8</f>
        <v>176</v>
      </c>
      <c r="G20" s="57"/>
      <c r="H20" s="22"/>
      <c r="I20" s="23">
        <f t="shared" si="17"/>
        <v>176</v>
      </c>
      <c r="J20" s="55">
        <v>497.4799999999999</v>
      </c>
      <c r="K20" s="55">
        <f>217.4801-40</f>
        <v>177.48009999999999</v>
      </c>
      <c r="L20" s="23"/>
      <c r="M20" s="22"/>
      <c r="N20" s="22">
        <v>4</v>
      </c>
      <c r="O20" s="52">
        <f t="shared" si="6"/>
        <v>177.48009999999999</v>
      </c>
      <c r="P20" s="58">
        <f t="shared" si="7"/>
        <v>0</v>
      </c>
      <c r="Q20" s="53">
        <f t="shared" si="8"/>
        <v>0</v>
      </c>
      <c r="R20" s="53">
        <f t="shared" si="15"/>
        <v>32.26910909090909</v>
      </c>
      <c r="S20" s="53">
        <v>0</v>
      </c>
      <c r="T20" s="25">
        <v>0</v>
      </c>
      <c r="U20" s="24">
        <f t="shared" si="18"/>
        <v>0</v>
      </c>
      <c r="V20" s="24">
        <f t="shared" si="19"/>
        <v>0</v>
      </c>
      <c r="W20" s="61"/>
      <c r="X20" s="53"/>
      <c r="Y20" s="27"/>
      <c r="Z20" s="24">
        <v>10</v>
      </c>
      <c r="AA20" s="24">
        <v>10</v>
      </c>
      <c r="AB20" s="26">
        <f t="shared" si="10"/>
        <v>102</v>
      </c>
      <c r="AC20" s="24">
        <f t="shared" si="11"/>
        <v>4.5948000000000002</v>
      </c>
      <c r="AD20" s="26"/>
      <c r="AE20" s="54">
        <f t="shared" si="12"/>
        <v>229.74</v>
      </c>
      <c r="AF20" s="28">
        <f t="shared" si="20"/>
        <v>106.59480000000001</v>
      </c>
      <c r="AG20" s="54">
        <f t="shared" si="21"/>
        <v>123.14</v>
      </c>
      <c r="AH20" s="29">
        <f t="shared" si="22"/>
        <v>123</v>
      </c>
      <c r="AI20" s="24">
        <f t="shared" si="23"/>
        <v>600</v>
      </c>
      <c r="AJ20" s="30"/>
      <c r="AK20" s="73">
        <f t="shared" ref="AK20:AK21" si="25">(AE20*0.04)/2</f>
        <v>4.5948000000000002</v>
      </c>
    </row>
    <row r="21" spans="1:42" s="31" customFormat="1" ht="78" customHeight="1" x14ac:dyDescent="0.25">
      <c r="A21" s="44" t="s">
        <v>524</v>
      </c>
      <c r="B21" s="69" t="s">
        <v>532</v>
      </c>
      <c r="C21" s="56" t="s">
        <v>500</v>
      </c>
      <c r="D21" s="48">
        <v>204</v>
      </c>
      <c r="E21" s="20">
        <v>20.5</v>
      </c>
      <c r="F21" s="21">
        <f t="shared" si="24"/>
        <v>164</v>
      </c>
      <c r="G21" s="57">
        <v>1.5</v>
      </c>
      <c r="H21" s="22"/>
      <c r="I21" s="23">
        <f t="shared" si="17"/>
        <v>164</v>
      </c>
      <c r="J21" s="55">
        <v>493.50000000000006</v>
      </c>
      <c r="K21" s="55">
        <f>212.9522-40</f>
        <v>172.9522</v>
      </c>
      <c r="L21" s="23"/>
      <c r="M21" s="22"/>
      <c r="N21" s="22">
        <v>4</v>
      </c>
      <c r="O21" s="52">
        <f t="shared" si="6"/>
        <v>172.95219999999998</v>
      </c>
      <c r="P21" s="58">
        <f t="shared" si="7"/>
        <v>0</v>
      </c>
      <c r="Q21" s="53">
        <f t="shared" si="8"/>
        <v>0</v>
      </c>
      <c r="R21" s="53">
        <f t="shared" si="15"/>
        <v>33.746770731707315</v>
      </c>
      <c r="S21" s="53">
        <v>0</v>
      </c>
      <c r="T21" s="25">
        <v>0</v>
      </c>
      <c r="U21" s="24">
        <f t="shared" si="18"/>
        <v>0</v>
      </c>
      <c r="V21" s="24">
        <f t="shared" si="19"/>
        <v>0</v>
      </c>
      <c r="W21" s="61"/>
      <c r="X21" s="53"/>
      <c r="Y21" s="27"/>
      <c r="Z21" s="24">
        <v>4</v>
      </c>
      <c r="AA21" s="24">
        <v>10</v>
      </c>
      <c r="AB21" s="26">
        <f t="shared" si="10"/>
        <v>102</v>
      </c>
      <c r="AC21" s="24">
        <f t="shared" si="11"/>
        <v>4.4138000000000002</v>
      </c>
      <c r="AD21" s="26"/>
      <c r="AE21" s="54">
        <f t="shared" si="12"/>
        <v>220.69</v>
      </c>
      <c r="AF21" s="28">
        <f t="shared" si="20"/>
        <v>106.41379999999999</v>
      </c>
      <c r="AG21" s="54">
        <f t="shared" si="21"/>
        <v>114.27</v>
      </c>
      <c r="AH21" s="29">
        <f t="shared" si="22"/>
        <v>114</v>
      </c>
      <c r="AI21" s="24">
        <f t="shared" si="23"/>
        <v>1100</v>
      </c>
      <c r="AJ21" s="30"/>
      <c r="AK21" s="73">
        <f t="shared" si="25"/>
        <v>4.4138000000000002</v>
      </c>
    </row>
    <row r="22" spans="1:42" s="31" customFormat="1" ht="78" customHeight="1" x14ac:dyDescent="0.25">
      <c r="A22" s="44" t="s">
        <v>525</v>
      </c>
      <c r="B22" s="69" t="s">
        <v>528</v>
      </c>
      <c r="C22" s="56" t="s">
        <v>531</v>
      </c>
      <c r="D22" s="48">
        <v>204</v>
      </c>
      <c r="E22" s="20">
        <v>20</v>
      </c>
      <c r="F22" s="21">
        <f t="shared" ref="F22" si="26">I22+L22+(M22)*8</f>
        <v>160</v>
      </c>
      <c r="G22" s="57">
        <v>2</v>
      </c>
      <c r="H22" s="22"/>
      <c r="I22" s="23">
        <f t="shared" ref="I22" si="27">E22*8</f>
        <v>160</v>
      </c>
      <c r="J22" s="55">
        <v>651.87</v>
      </c>
      <c r="K22" s="55">
        <f>126.9677+20</f>
        <v>146.96769999999998</v>
      </c>
      <c r="L22" s="23"/>
      <c r="M22" s="22"/>
      <c r="N22" s="22">
        <v>4</v>
      </c>
      <c r="O22" s="52">
        <f t="shared" si="6"/>
        <v>146.96769999999998</v>
      </c>
      <c r="P22" s="58">
        <f t="shared" si="7"/>
        <v>0</v>
      </c>
      <c r="Q22" s="53">
        <f t="shared" si="8"/>
        <v>0</v>
      </c>
      <c r="R22" s="53">
        <f>D22/26*N22</f>
        <v>31.384615384615383</v>
      </c>
      <c r="S22" s="53">
        <v>0</v>
      </c>
      <c r="T22" s="25">
        <v>0</v>
      </c>
      <c r="U22" s="24">
        <f t="shared" ref="U22" si="28">D22/26*T22/2</f>
        <v>0</v>
      </c>
      <c r="V22" s="24">
        <f t="shared" ref="V22" si="29">((L22)*1500/4000)</f>
        <v>0</v>
      </c>
      <c r="W22" s="61"/>
      <c r="X22" s="53">
        <f t="shared" ref="X22" si="30">(-D22/208*I22)+(O22)</f>
        <v>-9.9553769230769262</v>
      </c>
      <c r="Y22" s="27"/>
      <c r="Z22" s="24">
        <v>4</v>
      </c>
      <c r="AA22" s="24">
        <v>10</v>
      </c>
      <c r="AB22" s="26">
        <f t="shared" si="10"/>
        <v>102</v>
      </c>
      <c r="AC22" s="24">
        <f t="shared" si="11"/>
        <v>4.0460000000000003</v>
      </c>
      <c r="AD22" s="26"/>
      <c r="AE22" s="54">
        <f t="shared" si="12"/>
        <v>202.3</v>
      </c>
      <c r="AF22" s="28">
        <f t="shared" ref="AF22" si="31">AB22+AC22+AD22</f>
        <v>106.04600000000001</v>
      </c>
      <c r="AG22" s="54">
        <f t="shared" ref="AG22" si="32">INT((AE22-AF22)*100)/100</f>
        <v>96.25</v>
      </c>
      <c r="AH22" s="29">
        <f t="shared" ref="AH22" si="33">INT(AG22)</f>
        <v>96</v>
      </c>
      <c r="AI22" s="24">
        <f t="shared" ref="AI22" si="34">INT((AG22-AH22)*40+0.5)*100</f>
        <v>1000</v>
      </c>
      <c r="AJ22" s="30"/>
      <c r="AK22" s="73">
        <f t="shared" ref="AK22" si="35">(AE22*0.04)/2</f>
        <v>4.0460000000000003</v>
      </c>
    </row>
    <row r="23" spans="1:42" s="31" customFormat="1" ht="78" customHeight="1" x14ac:dyDescent="0.25">
      <c r="A23" s="44" t="s">
        <v>526</v>
      </c>
      <c r="B23" s="69" t="s">
        <v>529</v>
      </c>
      <c r="C23" s="56" t="s">
        <v>489</v>
      </c>
      <c r="D23" s="48">
        <v>204</v>
      </c>
      <c r="E23" s="20">
        <v>22</v>
      </c>
      <c r="F23" s="21">
        <f t="shared" ref="F23" si="36">I23+L23+(M23)*8</f>
        <v>176</v>
      </c>
      <c r="G23" s="57"/>
      <c r="H23" s="22"/>
      <c r="I23" s="23">
        <f t="shared" ref="I23" si="37">E23*8</f>
        <v>176</v>
      </c>
      <c r="J23" s="55">
        <v>433.0100000000001</v>
      </c>
      <c r="K23" s="55">
        <f>189.9932-15</f>
        <v>174.9932</v>
      </c>
      <c r="L23" s="23"/>
      <c r="M23" s="22"/>
      <c r="N23" s="22">
        <v>4</v>
      </c>
      <c r="O23" s="52">
        <f t="shared" si="6"/>
        <v>174.9932</v>
      </c>
      <c r="P23" s="58">
        <f t="shared" si="7"/>
        <v>0</v>
      </c>
      <c r="Q23" s="53">
        <f t="shared" si="8"/>
        <v>0</v>
      </c>
      <c r="R23" s="53">
        <f t="shared" si="15"/>
        <v>31.816945454545454</v>
      </c>
      <c r="S23" s="53">
        <v>0</v>
      </c>
      <c r="T23" s="25">
        <v>0</v>
      </c>
      <c r="U23" s="24">
        <f t="shared" ref="U23" si="38">D23/26*T23/2</f>
        <v>0</v>
      </c>
      <c r="V23" s="24">
        <f t="shared" ref="V23" si="39">((L23)*1500/4000)</f>
        <v>0</v>
      </c>
      <c r="W23" s="61"/>
      <c r="X23" s="53"/>
      <c r="Y23" s="27"/>
      <c r="Z23" s="24">
        <v>10</v>
      </c>
      <c r="AA23" s="24">
        <v>10</v>
      </c>
      <c r="AB23" s="26">
        <f t="shared" si="10"/>
        <v>102</v>
      </c>
      <c r="AC23" s="24">
        <f t="shared" si="11"/>
        <v>4.5362</v>
      </c>
      <c r="AD23" s="26"/>
      <c r="AE23" s="54">
        <f t="shared" si="12"/>
        <v>226.81</v>
      </c>
      <c r="AF23" s="28">
        <f t="shared" ref="AF23" si="40">AB23+AC23+AD23</f>
        <v>106.53619999999999</v>
      </c>
      <c r="AG23" s="54">
        <f t="shared" ref="AG23" si="41">INT((AE23-AF23)*100)/100</f>
        <v>120.27</v>
      </c>
      <c r="AH23" s="29">
        <f t="shared" ref="AH23" si="42">INT(AG23)</f>
        <v>120</v>
      </c>
      <c r="AI23" s="24">
        <f t="shared" ref="AI23" si="43">INT((AG23-AH23)*40+0.5)*100</f>
        <v>1100</v>
      </c>
      <c r="AJ23" s="30"/>
      <c r="AK23" s="73">
        <f t="shared" ref="AK23" si="44">(AE23*0.04)/2</f>
        <v>4.5362</v>
      </c>
    </row>
    <row r="24" spans="1:42" s="36" customFormat="1" ht="27.75" customHeight="1" thickBot="1" x14ac:dyDescent="0.3">
      <c r="A24" s="107" t="s">
        <v>33</v>
      </c>
      <c r="B24" s="108"/>
      <c r="C24" s="32"/>
      <c r="D24" s="33"/>
      <c r="E24" s="34">
        <f t="shared" ref="E24:AI24" si="45">SUM(E8:E23)</f>
        <v>339</v>
      </c>
      <c r="F24" s="34">
        <f t="shared" si="45"/>
        <v>2712</v>
      </c>
      <c r="G24" s="34">
        <f t="shared" si="45"/>
        <v>13</v>
      </c>
      <c r="H24" s="34">
        <f t="shared" si="45"/>
        <v>0</v>
      </c>
      <c r="I24" s="34">
        <f t="shared" si="45"/>
        <v>2712</v>
      </c>
      <c r="J24" s="34">
        <f t="shared" si="45"/>
        <v>7014.6500000000005</v>
      </c>
      <c r="K24" s="34">
        <f t="shared" si="45"/>
        <v>2334.4967999999999</v>
      </c>
      <c r="L24" s="34">
        <f t="shared" si="45"/>
        <v>0</v>
      </c>
      <c r="M24" s="34">
        <f t="shared" si="45"/>
        <v>0</v>
      </c>
      <c r="N24" s="34">
        <f t="shared" si="45"/>
        <v>64</v>
      </c>
      <c r="O24" s="34">
        <f t="shared" si="45"/>
        <v>2715.169876923077</v>
      </c>
      <c r="P24" s="34">
        <f t="shared" si="45"/>
        <v>0</v>
      </c>
      <c r="Q24" s="34">
        <f t="shared" si="45"/>
        <v>0</v>
      </c>
      <c r="R24" s="34">
        <f t="shared" si="45"/>
        <v>519.00696567010232</v>
      </c>
      <c r="S24" s="34">
        <f t="shared" si="45"/>
        <v>0</v>
      </c>
      <c r="T24" s="34">
        <f t="shared" si="45"/>
        <v>0</v>
      </c>
      <c r="U24" s="34">
        <f t="shared" si="45"/>
        <v>0</v>
      </c>
      <c r="V24" s="34">
        <f t="shared" si="45"/>
        <v>0</v>
      </c>
      <c r="W24" s="34">
        <f t="shared" si="45"/>
        <v>380.67307692307691</v>
      </c>
      <c r="X24" s="34">
        <f t="shared" si="45"/>
        <v>-34.163992307692297</v>
      </c>
      <c r="Y24" s="34">
        <f t="shared" si="45"/>
        <v>0</v>
      </c>
      <c r="Z24" s="34">
        <f t="shared" si="45"/>
        <v>114</v>
      </c>
      <c r="AA24" s="34">
        <f t="shared" si="45"/>
        <v>160</v>
      </c>
      <c r="AB24" s="34">
        <f t="shared" si="45"/>
        <v>1632</v>
      </c>
      <c r="AC24" s="34">
        <f t="shared" si="45"/>
        <v>70.845200000000006</v>
      </c>
      <c r="AD24" s="34">
        <f t="shared" si="45"/>
        <v>0</v>
      </c>
      <c r="AE24" s="34">
        <f t="shared" si="45"/>
        <v>3542.26</v>
      </c>
      <c r="AF24" s="34">
        <f t="shared" si="45"/>
        <v>1702.8452</v>
      </c>
      <c r="AG24" s="34">
        <f t="shared" si="45"/>
        <v>1839.3399999999997</v>
      </c>
      <c r="AH24" s="34">
        <f t="shared" si="45"/>
        <v>1831</v>
      </c>
      <c r="AI24" s="34">
        <f t="shared" si="45"/>
        <v>33400</v>
      </c>
      <c r="AJ24" s="35"/>
    </row>
    <row r="25" spans="1:42" ht="21.75" customHeight="1" thickTop="1" x14ac:dyDescent="0.2">
      <c r="A25" s="109" t="s">
        <v>34</v>
      </c>
      <c r="B25" s="109"/>
      <c r="C25" s="109"/>
      <c r="D25" s="37"/>
      <c r="E25" s="37"/>
      <c r="F25" s="37"/>
      <c r="G25" s="37"/>
      <c r="H25" s="37"/>
      <c r="I25" s="37"/>
      <c r="J25" s="37"/>
      <c r="K25" s="37"/>
      <c r="L25" s="110"/>
      <c r="M25" s="110"/>
      <c r="N25" s="110"/>
      <c r="O25" s="38"/>
      <c r="P25" s="110" t="s">
        <v>35</v>
      </c>
      <c r="Q25" s="110"/>
      <c r="R25" s="110"/>
      <c r="S25" s="85"/>
      <c r="T25" s="38"/>
      <c r="U25" s="38"/>
      <c r="Z25" s="39"/>
      <c r="AA25" s="39"/>
      <c r="AE25" s="39"/>
      <c r="AF25" s="39"/>
      <c r="AG25" s="111" t="s">
        <v>36</v>
      </c>
      <c r="AH25" s="111"/>
      <c r="AI25" s="111"/>
      <c r="AJ25" s="40"/>
    </row>
    <row r="26" spans="1:42" ht="21" customHeight="1" x14ac:dyDescent="0.2">
      <c r="A26" s="41"/>
      <c r="B26" s="41"/>
      <c r="C26" s="41"/>
      <c r="D26" s="41"/>
      <c r="E26" s="41"/>
      <c r="H26" s="41"/>
      <c r="I26" s="41"/>
      <c r="J26" s="41"/>
      <c r="K26" s="41"/>
      <c r="L26" s="41"/>
    </row>
    <row r="27" spans="1:42" ht="13.5" customHeight="1" x14ac:dyDescent="0.2">
      <c r="A27" s="41"/>
      <c r="B27" s="41"/>
      <c r="C27" s="41"/>
      <c r="D27" s="41"/>
      <c r="E27" s="41"/>
      <c r="H27" s="41"/>
      <c r="I27" s="41"/>
      <c r="J27" s="41"/>
      <c r="K27" s="41"/>
      <c r="L27" s="41"/>
    </row>
    <row r="28" spans="1:42" s="41" customFormat="1" x14ac:dyDescent="0.2"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42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O29" s="89"/>
      <c r="AP29" s="89"/>
    </row>
    <row r="30" spans="1:42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42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42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5:36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5:36" s="41" customForma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</sheetData>
  <autoFilter ref="A7:AI26" xr:uid="{00000000-0009-0000-0000-000000000000}"/>
  <mergeCells count="12">
    <mergeCell ref="A1:AJ1"/>
    <mergeCell ref="A2:AJ2"/>
    <mergeCell ref="A3:AJ3"/>
    <mergeCell ref="A4:B4"/>
    <mergeCell ref="B5:B6"/>
    <mergeCell ref="T5:U5"/>
    <mergeCell ref="AJ5:AJ6"/>
    <mergeCell ref="A24:B24"/>
    <mergeCell ref="A25:C25"/>
    <mergeCell ref="L25:N25"/>
    <mergeCell ref="P25:R25"/>
    <mergeCell ref="AG25:AI25"/>
  </mergeCells>
  <phoneticPr fontId="24" type="noConversion"/>
  <pageMargins left="0.118110236220472" right="0" top="0.31496062992126" bottom="0.118110236220472" header="0" footer="0.118110236220472"/>
  <pageSetup paperSize="9" scale="80" orientation="landscape" horizontalDpi="360" verticalDpi="36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13D3F-88FC-4C77-A794-50B58028EB63}">
  <sheetPr>
    <tabColor theme="7" tint="0.39997558519241921"/>
  </sheetPr>
  <dimension ref="A1:AO80"/>
  <sheetViews>
    <sheetView zoomScale="115" zoomScaleNormal="115" zoomScaleSheetLayoutView="112" workbookViewId="0">
      <pane ySplit="7" topLeftCell="A20" activePane="bottomLeft" state="frozen"/>
      <selection pane="bottomLeft" activeCell="AE23" sqref="AE23"/>
    </sheetView>
  </sheetViews>
  <sheetFormatPr defaultColWidth="9.140625" defaultRowHeight="12.75" x14ac:dyDescent="0.2"/>
  <cols>
    <col min="1" max="1" width="6" style="1" customWidth="1"/>
    <col min="2" max="2" width="8.28515625" style="1" customWidth="1"/>
    <col min="3" max="3" width="6.140625" style="1" customWidth="1"/>
    <col min="4" max="4" width="4.140625" style="1" customWidth="1"/>
    <col min="5" max="5" width="4.7109375" style="1" customWidth="1"/>
    <col min="6" max="6" width="4.85546875" style="41" customWidth="1"/>
    <col min="7" max="7" width="3.5703125" style="41" customWidth="1"/>
    <col min="8" max="8" width="3.5703125" style="1" customWidth="1"/>
    <col min="9" max="9" width="4.85546875" style="1" customWidth="1"/>
    <col min="10" max="10" width="6" style="1" customWidth="1"/>
    <col min="11" max="11" width="5.85546875" style="1" customWidth="1"/>
    <col min="12" max="12" width="3.5703125" style="1" customWidth="1"/>
    <col min="13" max="13" width="4.140625" style="41" customWidth="1"/>
    <col min="14" max="14" width="3.42578125" style="41" customWidth="1"/>
    <col min="15" max="15" width="5.5703125" style="1" customWidth="1"/>
    <col min="16" max="16" width="5" style="1" customWidth="1"/>
    <col min="17" max="17" width="4.5703125" style="1" customWidth="1"/>
    <col min="18" max="18" width="4.7109375" style="1" customWidth="1"/>
    <col min="19" max="19" width="4.42578125" style="1" customWidth="1"/>
    <col min="20" max="21" width="4.140625" style="1" customWidth="1"/>
    <col min="22" max="22" width="3.85546875" style="1" customWidth="1"/>
    <col min="23" max="23" width="4.28515625" style="1" customWidth="1"/>
    <col min="24" max="24" width="4" style="1" customWidth="1"/>
    <col min="25" max="25" width="3.85546875" style="1" customWidth="1"/>
    <col min="26" max="26" width="4.28515625" style="1" customWidth="1"/>
    <col min="27" max="27" width="4.5703125" style="1" customWidth="1"/>
    <col min="28" max="29" width="4.28515625" style="1" customWidth="1"/>
    <col min="30" max="30" width="3.85546875" style="1" customWidth="1"/>
    <col min="31" max="31" width="5.28515625" style="1" customWidth="1"/>
    <col min="32" max="32" width="5" style="1" customWidth="1"/>
    <col min="33" max="33" width="5.140625" style="1" customWidth="1"/>
    <col min="34" max="35" width="6" style="1" customWidth="1"/>
    <col min="36" max="36" width="11.42578125" style="1" customWidth="1"/>
    <col min="37" max="16384" width="9.140625" style="1"/>
  </cols>
  <sheetData>
    <row r="1" spans="1:37" ht="26.25" customHeight="1" x14ac:dyDescent="0.75">
      <c r="A1" s="98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</row>
    <row r="2" spans="1:37" ht="22.9" customHeight="1" x14ac:dyDescent="0.2">
      <c r="A2" s="99" t="s">
        <v>38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7" ht="19.5" customHeight="1" x14ac:dyDescent="0.65">
      <c r="A3" s="100" t="str">
        <f>ផុង!A3</f>
        <v>តារាងប្រាក់បៀវវត្តន៍ប្រចាំខែ ១១-២០២៤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</row>
    <row r="4" spans="1:37" ht="23.25" customHeight="1" thickBot="1" x14ac:dyDescent="0.4">
      <c r="A4" s="119" t="s">
        <v>356</v>
      </c>
      <c r="B4" s="120"/>
      <c r="C4" s="2">
        <f>COUNTA(B8:B24)</f>
        <v>17</v>
      </c>
      <c r="D4" s="3"/>
      <c r="E4" s="3"/>
      <c r="F4" s="1"/>
      <c r="G4" s="1"/>
      <c r="M4" s="1"/>
      <c r="N4" s="1"/>
      <c r="AA4" s="4"/>
      <c r="AE4" s="5"/>
      <c r="AF4" s="5"/>
      <c r="AG4" s="5"/>
      <c r="AI4" s="5"/>
    </row>
    <row r="5" spans="1:37" s="9" customFormat="1" ht="39" customHeight="1" thickTop="1" x14ac:dyDescent="0.25">
      <c r="A5" s="6" t="s">
        <v>0</v>
      </c>
      <c r="B5" s="103" t="s">
        <v>1</v>
      </c>
      <c r="C5" s="8" t="s">
        <v>2</v>
      </c>
      <c r="D5" s="47" t="s">
        <v>12</v>
      </c>
      <c r="E5" s="7" t="s">
        <v>3</v>
      </c>
      <c r="F5" s="8" t="s">
        <v>5</v>
      </c>
      <c r="G5" s="46" t="s">
        <v>293</v>
      </c>
      <c r="H5" s="45" t="s">
        <v>294</v>
      </c>
      <c r="I5" s="8" t="s">
        <v>5</v>
      </c>
      <c r="J5" s="49" t="s">
        <v>298</v>
      </c>
      <c r="K5" s="49" t="s">
        <v>299</v>
      </c>
      <c r="L5" s="7" t="s">
        <v>7</v>
      </c>
      <c r="M5" s="7" t="s">
        <v>8</v>
      </c>
      <c r="N5" s="7" t="s">
        <v>8</v>
      </c>
      <c r="O5" s="49" t="s">
        <v>9</v>
      </c>
      <c r="P5" s="7" t="s">
        <v>4</v>
      </c>
      <c r="Q5" s="8" t="s">
        <v>10</v>
      </c>
      <c r="R5" s="8" t="s">
        <v>10</v>
      </c>
      <c r="S5" s="8" t="s">
        <v>4</v>
      </c>
      <c r="T5" s="103" t="s">
        <v>11</v>
      </c>
      <c r="U5" s="103"/>
      <c r="V5" s="7" t="s">
        <v>4</v>
      </c>
      <c r="W5" s="7" t="s">
        <v>4</v>
      </c>
      <c r="X5" s="51" t="s">
        <v>4</v>
      </c>
      <c r="Y5" s="8" t="s">
        <v>4</v>
      </c>
      <c r="Z5" s="7" t="s">
        <v>4</v>
      </c>
      <c r="AA5" s="7" t="s">
        <v>4</v>
      </c>
      <c r="AB5" s="7" t="s">
        <v>4</v>
      </c>
      <c r="AC5" s="7" t="s">
        <v>4</v>
      </c>
      <c r="AD5" s="8" t="s">
        <v>4</v>
      </c>
      <c r="AE5" s="8" t="s">
        <v>12</v>
      </c>
      <c r="AF5" s="8" t="s">
        <v>4</v>
      </c>
      <c r="AG5" s="8" t="s">
        <v>303</v>
      </c>
      <c r="AH5" s="8" t="s">
        <v>13</v>
      </c>
      <c r="AI5" s="7" t="s">
        <v>4</v>
      </c>
      <c r="AJ5" s="105" t="s">
        <v>584</v>
      </c>
    </row>
    <row r="6" spans="1:37" s="9" customFormat="1" ht="39" customHeight="1" thickBot="1" x14ac:dyDescent="0.3">
      <c r="A6" s="10" t="s">
        <v>14</v>
      </c>
      <c r="B6" s="104"/>
      <c r="C6" s="13" t="s">
        <v>15</v>
      </c>
      <c r="D6" s="13" t="s">
        <v>295</v>
      </c>
      <c r="E6" s="12" t="s">
        <v>17</v>
      </c>
      <c r="F6" s="12" t="s">
        <v>18</v>
      </c>
      <c r="G6" s="12" t="s">
        <v>6</v>
      </c>
      <c r="H6" s="12" t="s">
        <v>6</v>
      </c>
      <c r="I6" s="12" t="s">
        <v>19</v>
      </c>
      <c r="J6" s="50" t="s">
        <v>31</v>
      </c>
      <c r="K6" s="50" t="s">
        <v>31</v>
      </c>
      <c r="L6" s="12" t="s">
        <v>20</v>
      </c>
      <c r="M6" s="12" t="s">
        <v>21</v>
      </c>
      <c r="N6" s="12" t="s">
        <v>22</v>
      </c>
      <c r="O6" s="50" t="s">
        <v>19</v>
      </c>
      <c r="P6" s="12" t="s">
        <v>23</v>
      </c>
      <c r="Q6" s="12" t="s">
        <v>21</v>
      </c>
      <c r="R6" s="11" t="s">
        <v>22</v>
      </c>
      <c r="S6" s="13" t="s">
        <v>580</v>
      </c>
      <c r="T6" s="14" t="s">
        <v>24</v>
      </c>
      <c r="U6" s="15" t="s">
        <v>4</v>
      </c>
      <c r="V6" s="11" t="s">
        <v>25</v>
      </c>
      <c r="W6" s="12" t="s">
        <v>314</v>
      </c>
      <c r="X6" s="50" t="s">
        <v>300</v>
      </c>
      <c r="Y6" s="12" t="s">
        <v>26</v>
      </c>
      <c r="Z6" s="13" t="s">
        <v>306</v>
      </c>
      <c r="AA6" s="12" t="s">
        <v>27</v>
      </c>
      <c r="AB6" s="12" t="s">
        <v>296</v>
      </c>
      <c r="AC6" s="12" t="s">
        <v>297</v>
      </c>
      <c r="AD6" s="16" t="s">
        <v>28</v>
      </c>
      <c r="AE6" s="12" t="s">
        <v>301</v>
      </c>
      <c r="AF6" s="12" t="s">
        <v>302</v>
      </c>
      <c r="AG6" s="12" t="s">
        <v>304</v>
      </c>
      <c r="AH6" s="12" t="s">
        <v>29</v>
      </c>
      <c r="AI6" s="11" t="s">
        <v>30</v>
      </c>
      <c r="AJ6" s="106"/>
    </row>
    <row r="7" spans="1:37" s="2" customFormat="1" ht="15" customHeight="1" thickTop="1" x14ac:dyDescent="0.25">
      <c r="A7" s="17">
        <v>1</v>
      </c>
      <c r="B7" s="18">
        <v>2</v>
      </c>
      <c r="C7" s="17">
        <v>3</v>
      </c>
      <c r="D7" s="18">
        <v>4</v>
      </c>
      <c r="E7" s="17">
        <v>5</v>
      </c>
      <c r="F7" s="18">
        <v>6</v>
      </c>
      <c r="G7" s="17">
        <v>7</v>
      </c>
      <c r="H7" s="18">
        <v>8</v>
      </c>
      <c r="I7" s="17">
        <v>9</v>
      </c>
      <c r="J7" s="18">
        <v>10</v>
      </c>
      <c r="K7" s="17">
        <v>11</v>
      </c>
      <c r="L7" s="18">
        <v>12</v>
      </c>
      <c r="M7" s="17">
        <v>13</v>
      </c>
      <c r="N7" s="18">
        <v>14</v>
      </c>
      <c r="O7" s="17">
        <v>15</v>
      </c>
      <c r="P7" s="18">
        <v>16</v>
      </c>
      <c r="Q7" s="17">
        <v>17</v>
      </c>
      <c r="R7" s="18">
        <v>18</v>
      </c>
      <c r="S7" s="17">
        <v>19</v>
      </c>
      <c r="T7" s="18">
        <v>20</v>
      </c>
      <c r="U7" s="17">
        <v>21</v>
      </c>
      <c r="V7" s="18">
        <v>22</v>
      </c>
      <c r="W7" s="17">
        <v>23</v>
      </c>
      <c r="X7" s="18">
        <v>24</v>
      </c>
      <c r="Y7" s="17">
        <v>25</v>
      </c>
      <c r="Z7" s="18">
        <v>26</v>
      </c>
      <c r="AA7" s="17">
        <v>27</v>
      </c>
      <c r="AB7" s="18">
        <v>28</v>
      </c>
      <c r="AC7" s="17">
        <v>29</v>
      </c>
      <c r="AD7" s="18">
        <v>30</v>
      </c>
      <c r="AE7" s="17">
        <v>31</v>
      </c>
      <c r="AF7" s="18">
        <v>32</v>
      </c>
      <c r="AG7" s="17">
        <v>33</v>
      </c>
      <c r="AH7" s="18">
        <v>34</v>
      </c>
      <c r="AI7" s="17">
        <v>35</v>
      </c>
      <c r="AJ7" s="18">
        <v>36</v>
      </c>
    </row>
    <row r="8" spans="1:37" s="31" customFormat="1" ht="75" customHeight="1" x14ac:dyDescent="0.25">
      <c r="A8" s="43" t="s">
        <v>357</v>
      </c>
      <c r="B8" s="42" t="s">
        <v>358</v>
      </c>
      <c r="C8" s="56" t="s">
        <v>308</v>
      </c>
      <c r="D8" s="48">
        <v>204</v>
      </c>
      <c r="E8" s="20">
        <v>22</v>
      </c>
      <c r="F8" s="21">
        <f>I8+L8+(M8)*8</f>
        <v>176</v>
      </c>
      <c r="G8" s="57"/>
      <c r="H8" s="22"/>
      <c r="I8" s="23">
        <f>E8*8</f>
        <v>176</v>
      </c>
      <c r="J8" s="55">
        <v>1380.4600000000003</v>
      </c>
      <c r="K8" s="55">
        <f>220.84892-40</f>
        <v>180.84891999999999</v>
      </c>
      <c r="L8" s="23"/>
      <c r="M8" s="22"/>
      <c r="N8" s="22">
        <v>4</v>
      </c>
      <c r="O8" s="52">
        <f>IF(F8&gt;0,((K8+W8)/F8*I8),0)</f>
        <v>180.84892000000002</v>
      </c>
      <c r="P8" s="58">
        <f t="shared" ref="P8" si="0">IF(F8&gt;0,((K8+W8)/F8*L8*1.5)*100)/100</f>
        <v>0</v>
      </c>
      <c r="Q8" s="53">
        <f t="shared" ref="Q8" si="1">IF(F8&gt;0,((K8+W8)/F8*M8*8*2)*100)/100</f>
        <v>0</v>
      </c>
      <c r="R8" s="53">
        <f t="shared" ref="R8" si="2">IF(F8&gt;0,((K8+W8)/F8*N8*8*1)*100)/100</f>
        <v>32.88162181818182</v>
      </c>
      <c r="S8" s="53">
        <v>0</v>
      </c>
      <c r="T8" s="25">
        <v>0</v>
      </c>
      <c r="U8" s="24">
        <f>D8/26*T8/2</f>
        <v>0</v>
      </c>
      <c r="V8" s="24">
        <f>((L8)*1500/4000)</f>
        <v>0</v>
      </c>
      <c r="W8" s="53"/>
      <c r="X8" s="53"/>
      <c r="Y8" s="27"/>
      <c r="Z8" s="24">
        <v>10</v>
      </c>
      <c r="AA8" s="24">
        <v>10</v>
      </c>
      <c r="AB8" s="26">
        <f>D8/2</f>
        <v>102</v>
      </c>
      <c r="AC8" s="24">
        <f>AK8</f>
        <v>4.6745999999999999</v>
      </c>
      <c r="AD8" s="26"/>
      <c r="AE8" s="54">
        <f>INT((O8+P8+Q8+R8+U8+V8+Z8+AA8+Y8-X8+S8)*100)/100</f>
        <v>233.73</v>
      </c>
      <c r="AF8" s="28">
        <f>AB8+AC8+AD8</f>
        <v>106.6746</v>
      </c>
      <c r="AG8" s="54">
        <f t="shared" ref="AG8:AG24" si="3">INT((AE8-AF8)*100)/100</f>
        <v>127.05</v>
      </c>
      <c r="AH8" s="29">
        <f t="shared" ref="AH8:AH24" si="4">INT(AG8)</f>
        <v>127</v>
      </c>
      <c r="AI8" s="24">
        <f t="shared" ref="AI8:AI24" si="5">INT((AG8-AH8)*40+0.5)*100</f>
        <v>200</v>
      </c>
      <c r="AJ8" s="30"/>
      <c r="AK8" s="73">
        <f t="shared" ref="AK8:AK24" si="6">(AE8*0.04)/2</f>
        <v>4.6745999999999999</v>
      </c>
    </row>
    <row r="9" spans="1:37" s="31" customFormat="1" ht="75" customHeight="1" x14ac:dyDescent="0.25">
      <c r="A9" s="43" t="s">
        <v>359</v>
      </c>
      <c r="B9" s="42" t="s">
        <v>360</v>
      </c>
      <c r="C9" s="56" t="s">
        <v>308</v>
      </c>
      <c r="D9" s="48">
        <v>204</v>
      </c>
      <c r="E9" s="20">
        <v>22</v>
      </c>
      <c r="F9" s="21">
        <f t="shared" ref="F9:F17" si="7">I9+L9+(M9)*8</f>
        <v>176</v>
      </c>
      <c r="G9" s="57"/>
      <c r="H9" s="22"/>
      <c r="I9" s="23">
        <f>E9*8</f>
        <v>176</v>
      </c>
      <c r="J9" s="55">
        <v>482.83</v>
      </c>
      <c r="K9" s="55">
        <f>109.1226+10</f>
        <v>119.12260000000001</v>
      </c>
      <c r="L9" s="23"/>
      <c r="M9" s="22"/>
      <c r="N9" s="22">
        <v>4</v>
      </c>
      <c r="O9" s="52">
        <f t="shared" ref="O9:O24" si="8">IF(F9&gt;0,((K9+W9)/F9*I9),0)</f>
        <v>177.96875384615385</v>
      </c>
      <c r="P9" s="58">
        <f t="shared" ref="P9:P24" si="9">IF(F9&gt;0,((K9+W9)/F9*L9*1.5)*100)/100</f>
        <v>0</v>
      </c>
      <c r="Q9" s="53">
        <f t="shared" ref="Q9:Q24" si="10">IF(F9&gt;0,((K9+W9)/F9*M9*8*2)*100)/100</f>
        <v>0</v>
      </c>
      <c r="R9" s="53">
        <f t="shared" ref="R9:R24" si="11">IF(F9&gt;0,((K9+W9)/F9*N9*8*1)*100)/100</f>
        <v>32.357955244755246</v>
      </c>
      <c r="S9" s="53">
        <v>0</v>
      </c>
      <c r="T9" s="25">
        <v>0</v>
      </c>
      <c r="U9" s="24">
        <f>D9/26*T9/2</f>
        <v>0</v>
      </c>
      <c r="V9" s="24">
        <f t="shared" ref="V9:V24" si="12">((L9)*1500/4000)</f>
        <v>0</v>
      </c>
      <c r="W9" s="53">
        <f>D9/208*60</f>
        <v>58.846153846153847</v>
      </c>
      <c r="X9" s="53"/>
      <c r="Y9" s="27"/>
      <c r="Z9" s="24">
        <v>10</v>
      </c>
      <c r="AA9" s="24">
        <v>10</v>
      </c>
      <c r="AB9" s="26">
        <f t="shared" ref="AB9:AB22" si="13">D9/2</f>
        <v>102</v>
      </c>
      <c r="AC9" s="24">
        <f t="shared" ref="AC9:AC24" si="14">AK9</f>
        <v>4.6063999999999998</v>
      </c>
      <c r="AD9" s="26"/>
      <c r="AE9" s="54">
        <f t="shared" ref="AE9:AE24" si="15">INT((O9+P9+Q9+R9+U9+V9+Z9+AA9+Y9-X9+S9)*100)/100</f>
        <v>230.32</v>
      </c>
      <c r="AF9" s="28">
        <f>AB9+AC9+AD9</f>
        <v>106.60639999999999</v>
      </c>
      <c r="AG9" s="54">
        <f t="shared" si="3"/>
        <v>123.71</v>
      </c>
      <c r="AH9" s="29">
        <f t="shared" si="4"/>
        <v>123</v>
      </c>
      <c r="AI9" s="24">
        <f t="shared" si="5"/>
        <v>2800</v>
      </c>
      <c r="AJ9" s="30"/>
      <c r="AK9" s="73">
        <f t="shared" si="6"/>
        <v>4.6063999999999998</v>
      </c>
    </row>
    <row r="10" spans="1:37" s="31" customFormat="1" ht="75" customHeight="1" x14ac:dyDescent="0.25">
      <c r="A10" s="43" t="s">
        <v>361</v>
      </c>
      <c r="B10" s="42" t="s">
        <v>362</v>
      </c>
      <c r="C10" s="56" t="s">
        <v>308</v>
      </c>
      <c r="D10" s="48">
        <v>204</v>
      </c>
      <c r="E10" s="20">
        <v>20</v>
      </c>
      <c r="F10" s="21">
        <f t="shared" si="7"/>
        <v>160</v>
      </c>
      <c r="G10" s="57">
        <v>2</v>
      </c>
      <c r="H10" s="22"/>
      <c r="I10" s="23">
        <f>E10*8</f>
        <v>160</v>
      </c>
      <c r="J10" s="55">
        <v>1191.0500000000002</v>
      </c>
      <c r="K10" s="55">
        <f>193.79538-15</f>
        <v>178.79537999999999</v>
      </c>
      <c r="L10" s="23"/>
      <c r="M10" s="22"/>
      <c r="N10" s="22">
        <v>4</v>
      </c>
      <c r="O10" s="52">
        <f t="shared" si="8"/>
        <v>178.79537999999999</v>
      </c>
      <c r="P10" s="58">
        <f t="shared" si="9"/>
        <v>0</v>
      </c>
      <c r="Q10" s="53">
        <f t="shared" si="10"/>
        <v>0</v>
      </c>
      <c r="R10" s="53">
        <f t="shared" si="11"/>
        <v>35.759076</v>
      </c>
      <c r="S10" s="53">
        <v>0</v>
      </c>
      <c r="T10" s="25">
        <v>0</v>
      </c>
      <c r="U10" s="24">
        <f>D10/26*T10/2</f>
        <v>0</v>
      </c>
      <c r="V10" s="24">
        <f t="shared" si="12"/>
        <v>0</v>
      </c>
      <c r="W10" s="53"/>
      <c r="X10" s="53"/>
      <c r="Y10" s="27"/>
      <c r="Z10" s="24"/>
      <c r="AA10" s="24">
        <v>10</v>
      </c>
      <c r="AB10" s="26">
        <f t="shared" si="13"/>
        <v>102</v>
      </c>
      <c r="AC10" s="24">
        <f t="shared" si="14"/>
        <v>4.4910000000000005</v>
      </c>
      <c r="AD10" s="26"/>
      <c r="AE10" s="54">
        <f t="shared" si="15"/>
        <v>224.55</v>
      </c>
      <c r="AF10" s="28">
        <f>AB10+AC10+AD10</f>
        <v>106.491</v>
      </c>
      <c r="AG10" s="54">
        <f t="shared" si="3"/>
        <v>118.05</v>
      </c>
      <c r="AH10" s="29">
        <f t="shared" si="4"/>
        <v>118</v>
      </c>
      <c r="AI10" s="24">
        <f t="shared" si="5"/>
        <v>200</v>
      </c>
      <c r="AJ10" s="30"/>
      <c r="AK10" s="73">
        <f t="shared" si="6"/>
        <v>4.4910000000000005</v>
      </c>
    </row>
    <row r="11" spans="1:37" s="31" customFormat="1" ht="75" customHeight="1" x14ac:dyDescent="0.25">
      <c r="A11" s="43" t="s">
        <v>363</v>
      </c>
      <c r="B11" s="42" t="s">
        <v>364</v>
      </c>
      <c r="C11" s="56" t="s">
        <v>308</v>
      </c>
      <c r="D11" s="48">
        <v>204</v>
      </c>
      <c r="E11" s="20">
        <v>22</v>
      </c>
      <c r="F11" s="21">
        <f t="shared" si="7"/>
        <v>176</v>
      </c>
      <c r="G11" s="57"/>
      <c r="H11" s="22"/>
      <c r="I11" s="23">
        <f t="shared" ref="I11:I17" si="16">E11*8</f>
        <v>176</v>
      </c>
      <c r="J11" s="55">
        <v>1373.72</v>
      </c>
      <c r="K11" s="55">
        <f>218.95944-40</f>
        <v>178.95944</v>
      </c>
      <c r="L11" s="23"/>
      <c r="M11" s="22"/>
      <c r="N11" s="22">
        <v>4</v>
      </c>
      <c r="O11" s="52">
        <f t="shared" si="8"/>
        <v>178.95944</v>
      </c>
      <c r="P11" s="58">
        <f t="shared" si="9"/>
        <v>0</v>
      </c>
      <c r="Q11" s="53">
        <f t="shared" si="10"/>
        <v>0</v>
      </c>
      <c r="R11" s="53">
        <f t="shared" si="11"/>
        <v>32.538080000000001</v>
      </c>
      <c r="S11" s="53">
        <v>0</v>
      </c>
      <c r="T11" s="25">
        <v>0</v>
      </c>
      <c r="U11" s="24">
        <f t="shared" ref="U11:U24" si="17">D11/26*T11/2</f>
        <v>0</v>
      </c>
      <c r="V11" s="24">
        <f t="shared" si="12"/>
        <v>0</v>
      </c>
      <c r="W11" s="53"/>
      <c r="X11" s="53"/>
      <c r="Y11" s="27"/>
      <c r="Z11" s="24">
        <v>10</v>
      </c>
      <c r="AA11" s="24">
        <v>10</v>
      </c>
      <c r="AB11" s="26">
        <f t="shared" si="13"/>
        <v>102</v>
      </c>
      <c r="AC11" s="24">
        <f t="shared" si="14"/>
        <v>4.6298000000000004</v>
      </c>
      <c r="AD11" s="26"/>
      <c r="AE11" s="54">
        <f t="shared" si="15"/>
        <v>231.49</v>
      </c>
      <c r="AF11" s="28">
        <f t="shared" ref="AF11:AF17" si="18">AB11+AC11+AD11</f>
        <v>106.6298</v>
      </c>
      <c r="AG11" s="54">
        <f t="shared" si="3"/>
        <v>124.86</v>
      </c>
      <c r="AH11" s="29">
        <f t="shared" si="4"/>
        <v>124</v>
      </c>
      <c r="AI11" s="24">
        <f t="shared" si="5"/>
        <v>3400</v>
      </c>
      <c r="AJ11" s="30"/>
      <c r="AK11" s="73">
        <f t="shared" si="6"/>
        <v>4.6298000000000004</v>
      </c>
    </row>
    <row r="12" spans="1:37" s="31" customFormat="1" ht="75" customHeight="1" x14ac:dyDescent="0.25">
      <c r="A12" s="43" t="s">
        <v>365</v>
      </c>
      <c r="B12" s="42" t="s">
        <v>366</v>
      </c>
      <c r="C12" s="56" t="s">
        <v>308</v>
      </c>
      <c r="D12" s="48">
        <v>204</v>
      </c>
      <c r="E12" s="20">
        <v>22</v>
      </c>
      <c r="F12" s="21">
        <f t="shared" si="7"/>
        <v>176</v>
      </c>
      <c r="G12" s="57"/>
      <c r="H12" s="22"/>
      <c r="I12" s="23">
        <f t="shared" si="16"/>
        <v>176</v>
      </c>
      <c r="J12" s="55">
        <v>669.0100000000001</v>
      </c>
      <c r="K12" s="55">
        <v>150.73229999999998</v>
      </c>
      <c r="L12" s="23"/>
      <c r="M12" s="22"/>
      <c r="N12" s="22">
        <v>4</v>
      </c>
      <c r="O12" s="52">
        <f t="shared" si="8"/>
        <v>180.15537692307691</v>
      </c>
      <c r="P12" s="58">
        <f t="shared" si="9"/>
        <v>0</v>
      </c>
      <c r="Q12" s="53">
        <f t="shared" si="10"/>
        <v>0</v>
      </c>
      <c r="R12" s="53">
        <f t="shared" si="11"/>
        <v>32.755523076923076</v>
      </c>
      <c r="S12" s="53">
        <v>0</v>
      </c>
      <c r="T12" s="25">
        <v>0</v>
      </c>
      <c r="U12" s="24">
        <f t="shared" si="17"/>
        <v>0</v>
      </c>
      <c r="V12" s="24">
        <f t="shared" si="12"/>
        <v>0</v>
      </c>
      <c r="W12" s="53">
        <f>D12/208*30</f>
        <v>29.423076923076923</v>
      </c>
      <c r="X12" s="53"/>
      <c r="Y12" s="27"/>
      <c r="Z12" s="24">
        <v>10</v>
      </c>
      <c r="AA12" s="24">
        <v>10</v>
      </c>
      <c r="AB12" s="26">
        <f t="shared" si="13"/>
        <v>102</v>
      </c>
      <c r="AC12" s="24">
        <f t="shared" si="14"/>
        <v>4.6581999999999999</v>
      </c>
      <c r="AD12" s="26"/>
      <c r="AE12" s="54">
        <f t="shared" si="15"/>
        <v>232.91</v>
      </c>
      <c r="AF12" s="28">
        <f t="shared" si="18"/>
        <v>106.65819999999999</v>
      </c>
      <c r="AG12" s="54">
        <f t="shared" si="3"/>
        <v>126.25</v>
      </c>
      <c r="AH12" s="29">
        <f t="shared" si="4"/>
        <v>126</v>
      </c>
      <c r="AI12" s="24">
        <f t="shared" si="5"/>
        <v>1000</v>
      </c>
      <c r="AJ12" s="30"/>
      <c r="AK12" s="73">
        <f t="shared" si="6"/>
        <v>4.6581999999999999</v>
      </c>
    </row>
    <row r="13" spans="1:37" s="31" customFormat="1" ht="75" customHeight="1" x14ac:dyDescent="0.25">
      <c r="A13" s="43" t="s">
        <v>367</v>
      </c>
      <c r="B13" s="42" t="s">
        <v>368</v>
      </c>
      <c r="C13" s="56" t="s">
        <v>308</v>
      </c>
      <c r="D13" s="48">
        <v>204</v>
      </c>
      <c r="E13" s="20">
        <v>20.5</v>
      </c>
      <c r="F13" s="21">
        <f t="shared" si="7"/>
        <v>164</v>
      </c>
      <c r="G13" s="57">
        <v>1.5</v>
      </c>
      <c r="H13" s="22"/>
      <c r="I13" s="23">
        <f t="shared" si="16"/>
        <v>164</v>
      </c>
      <c r="J13" s="55">
        <v>543.42000000000007</v>
      </c>
      <c r="K13" s="55">
        <f>121.19942+5</f>
        <v>126.19942</v>
      </c>
      <c r="L13" s="23"/>
      <c r="M13" s="22"/>
      <c r="N13" s="22">
        <v>4</v>
      </c>
      <c r="O13" s="52">
        <f t="shared" si="8"/>
        <v>165.43018923076923</v>
      </c>
      <c r="P13" s="58">
        <f t="shared" si="9"/>
        <v>0</v>
      </c>
      <c r="Q13" s="53">
        <f t="shared" si="10"/>
        <v>0</v>
      </c>
      <c r="R13" s="53">
        <f t="shared" si="11"/>
        <v>32.279061313320824</v>
      </c>
      <c r="S13" s="53">
        <v>0</v>
      </c>
      <c r="T13" s="25">
        <v>0</v>
      </c>
      <c r="U13" s="24">
        <f t="shared" si="17"/>
        <v>0</v>
      </c>
      <c r="V13" s="24">
        <f t="shared" si="12"/>
        <v>0</v>
      </c>
      <c r="W13" s="53">
        <f>D13/208*40</f>
        <v>39.230769230769226</v>
      </c>
      <c r="X13" s="53"/>
      <c r="Y13" s="27"/>
      <c r="Z13" s="24">
        <v>4</v>
      </c>
      <c r="AA13" s="24">
        <v>10</v>
      </c>
      <c r="AB13" s="26">
        <f t="shared" si="13"/>
        <v>102</v>
      </c>
      <c r="AC13" s="24">
        <f t="shared" si="14"/>
        <v>4.234</v>
      </c>
      <c r="AD13" s="26"/>
      <c r="AE13" s="54">
        <f t="shared" si="15"/>
        <v>211.7</v>
      </c>
      <c r="AF13" s="28">
        <f t="shared" si="18"/>
        <v>106.23399999999999</v>
      </c>
      <c r="AG13" s="54">
        <f t="shared" si="3"/>
        <v>105.46</v>
      </c>
      <c r="AH13" s="29">
        <f t="shared" si="4"/>
        <v>105</v>
      </c>
      <c r="AI13" s="24">
        <f t="shared" si="5"/>
        <v>1800</v>
      </c>
      <c r="AJ13" s="30"/>
      <c r="AK13" s="73">
        <f t="shared" si="6"/>
        <v>4.234</v>
      </c>
    </row>
    <row r="14" spans="1:37" s="31" customFormat="1" ht="75" customHeight="1" x14ac:dyDescent="0.25">
      <c r="A14" s="43" t="s">
        <v>369</v>
      </c>
      <c r="B14" s="42" t="s">
        <v>370</v>
      </c>
      <c r="C14" s="56" t="s">
        <v>308</v>
      </c>
      <c r="D14" s="48">
        <v>204</v>
      </c>
      <c r="E14" s="20">
        <v>18.5</v>
      </c>
      <c r="F14" s="21">
        <f>I14+L14+(M14)*8</f>
        <v>148</v>
      </c>
      <c r="G14" s="57">
        <v>3.5</v>
      </c>
      <c r="H14" s="22"/>
      <c r="I14" s="23">
        <f t="shared" si="16"/>
        <v>148</v>
      </c>
      <c r="J14" s="55">
        <v>293.32</v>
      </c>
      <c r="K14" s="55">
        <f>66.2512+50</f>
        <v>116.2512</v>
      </c>
      <c r="L14" s="23"/>
      <c r="M14" s="22"/>
      <c r="N14" s="22">
        <v>4</v>
      </c>
      <c r="O14" s="52">
        <f t="shared" si="8"/>
        <v>145.67427692307692</v>
      </c>
      <c r="P14" s="58">
        <f t="shared" si="9"/>
        <v>0</v>
      </c>
      <c r="Q14" s="53">
        <f t="shared" si="10"/>
        <v>0</v>
      </c>
      <c r="R14" s="53">
        <f t="shared" si="11"/>
        <v>31.497140956340953</v>
      </c>
      <c r="S14" s="53">
        <v>0</v>
      </c>
      <c r="T14" s="25">
        <v>0</v>
      </c>
      <c r="U14" s="24">
        <f t="shared" si="17"/>
        <v>0</v>
      </c>
      <c r="V14" s="24">
        <f t="shared" si="12"/>
        <v>0</v>
      </c>
      <c r="W14" s="53">
        <f>D14/208*30</f>
        <v>29.423076923076923</v>
      </c>
      <c r="X14" s="53"/>
      <c r="Y14" s="27"/>
      <c r="Z14" s="24"/>
      <c r="AA14" s="24">
        <v>10</v>
      </c>
      <c r="AB14" s="26">
        <f t="shared" si="13"/>
        <v>102</v>
      </c>
      <c r="AC14" s="24">
        <f t="shared" si="14"/>
        <v>3.7433999999999998</v>
      </c>
      <c r="AD14" s="26"/>
      <c r="AE14" s="54">
        <f t="shared" si="15"/>
        <v>187.17</v>
      </c>
      <c r="AF14" s="28">
        <f t="shared" si="18"/>
        <v>105.74339999999999</v>
      </c>
      <c r="AG14" s="54">
        <f t="shared" si="3"/>
        <v>81.42</v>
      </c>
      <c r="AH14" s="29">
        <f t="shared" si="4"/>
        <v>81</v>
      </c>
      <c r="AI14" s="24">
        <f t="shared" si="5"/>
        <v>1700</v>
      </c>
      <c r="AJ14" s="30"/>
      <c r="AK14" s="73">
        <f t="shared" si="6"/>
        <v>3.7433999999999998</v>
      </c>
    </row>
    <row r="15" spans="1:37" s="31" customFormat="1" ht="75" customHeight="1" x14ac:dyDescent="0.25">
      <c r="A15" s="43" t="s">
        <v>371</v>
      </c>
      <c r="B15" s="42" t="s">
        <v>372</v>
      </c>
      <c r="C15" s="56" t="s">
        <v>308</v>
      </c>
      <c r="D15" s="48">
        <v>204</v>
      </c>
      <c r="E15" s="20">
        <v>19</v>
      </c>
      <c r="F15" s="21">
        <f t="shared" si="7"/>
        <v>152</v>
      </c>
      <c r="G15" s="57">
        <v>3</v>
      </c>
      <c r="H15" s="22"/>
      <c r="I15" s="23">
        <f t="shared" si="16"/>
        <v>152</v>
      </c>
      <c r="J15" s="55">
        <v>301.33999999999997</v>
      </c>
      <c r="K15" s="55">
        <f>67.9607+55</f>
        <v>122.9607</v>
      </c>
      <c r="L15" s="23"/>
      <c r="M15" s="22"/>
      <c r="N15" s="22">
        <v>4</v>
      </c>
      <c r="O15" s="52">
        <f t="shared" si="8"/>
        <v>152.38377692307694</v>
      </c>
      <c r="P15" s="58">
        <f t="shared" si="9"/>
        <v>0</v>
      </c>
      <c r="Q15" s="53">
        <f t="shared" si="10"/>
        <v>0</v>
      </c>
      <c r="R15" s="53">
        <f t="shared" si="11"/>
        <v>32.080795141700406</v>
      </c>
      <c r="S15" s="53">
        <v>0</v>
      </c>
      <c r="T15" s="25">
        <v>0</v>
      </c>
      <c r="U15" s="24">
        <f t="shared" si="17"/>
        <v>0</v>
      </c>
      <c r="V15" s="24">
        <f t="shared" si="12"/>
        <v>0</v>
      </c>
      <c r="W15" s="53">
        <f>D15/208*30</f>
        <v>29.423076923076923</v>
      </c>
      <c r="X15" s="53"/>
      <c r="Y15" s="27"/>
      <c r="Z15" s="24"/>
      <c r="AA15" s="24">
        <v>10</v>
      </c>
      <c r="AB15" s="26">
        <f t="shared" si="13"/>
        <v>102</v>
      </c>
      <c r="AC15" s="24">
        <f t="shared" si="14"/>
        <v>3.8892000000000002</v>
      </c>
      <c r="AD15" s="26"/>
      <c r="AE15" s="54">
        <f t="shared" si="15"/>
        <v>194.46</v>
      </c>
      <c r="AF15" s="28">
        <f t="shared" si="18"/>
        <v>105.8892</v>
      </c>
      <c r="AG15" s="54">
        <f t="shared" si="3"/>
        <v>88.57</v>
      </c>
      <c r="AH15" s="29">
        <f t="shared" si="4"/>
        <v>88</v>
      </c>
      <c r="AI15" s="24">
        <f t="shared" si="5"/>
        <v>2300</v>
      </c>
      <c r="AJ15" s="30"/>
      <c r="AK15" s="73">
        <f t="shared" si="6"/>
        <v>3.8892000000000002</v>
      </c>
    </row>
    <row r="16" spans="1:37" s="31" customFormat="1" ht="75" customHeight="1" x14ac:dyDescent="0.25">
      <c r="A16" s="43" t="s">
        <v>373</v>
      </c>
      <c r="B16" s="42" t="s">
        <v>374</v>
      </c>
      <c r="C16" s="56" t="s">
        <v>308</v>
      </c>
      <c r="D16" s="48">
        <v>204</v>
      </c>
      <c r="E16" s="20">
        <v>21</v>
      </c>
      <c r="F16" s="21">
        <f t="shared" si="7"/>
        <v>168</v>
      </c>
      <c r="G16" s="57">
        <v>1</v>
      </c>
      <c r="H16" s="22"/>
      <c r="I16" s="23">
        <f t="shared" si="16"/>
        <v>168</v>
      </c>
      <c r="J16" s="55">
        <v>536.24999999999989</v>
      </c>
      <c r="K16" s="55">
        <f>120.5901+20</f>
        <v>140.59010000000001</v>
      </c>
      <c r="L16" s="23"/>
      <c r="M16" s="22"/>
      <c r="N16" s="22">
        <v>4</v>
      </c>
      <c r="O16" s="52">
        <f t="shared" si="8"/>
        <v>170.01317692307691</v>
      </c>
      <c r="P16" s="58">
        <f t="shared" si="9"/>
        <v>0</v>
      </c>
      <c r="Q16" s="53">
        <f t="shared" si="10"/>
        <v>0</v>
      </c>
      <c r="R16" s="53">
        <f t="shared" si="11"/>
        <v>32.383462271062271</v>
      </c>
      <c r="S16" s="53">
        <v>0</v>
      </c>
      <c r="T16" s="25">
        <v>0</v>
      </c>
      <c r="U16" s="24">
        <f t="shared" si="17"/>
        <v>0</v>
      </c>
      <c r="V16" s="24">
        <f t="shared" si="12"/>
        <v>0</v>
      </c>
      <c r="W16" s="53">
        <f>D16/208*30</f>
        <v>29.423076923076923</v>
      </c>
      <c r="X16" s="53"/>
      <c r="Y16" s="27"/>
      <c r="Z16" s="24">
        <v>7</v>
      </c>
      <c r="AA16" s="24">
        <v>10</v>
      </c>
      <c r="AB16" s="26">
        <f t="shared" si="13"/>
        <v>102</v>
      </c>
      <c r="AC16" s="24">
        <f t="shared" si="14"/>
        <v>4.3877999999999995</v>
      </c>
      <c r="AD16" s="26"/>
      <c r="AE16" s="54">
        <f t="shared" si="15"/>
        <v>219.39</v>
      </c>
      <c r="AF16" s="28">
        <f t="shared" si="18"/>
        <v>106.3878</v>
      </c>
      <c r="AG16" s="54">
        <f t="shared" si="3"/>
        <v>113</v>
      </c>
      <c r="AH16" s="29">
        <f t="shared" si="4"/>
        <v>113</v>
      </c>
      <c r="AI16" s="24">
        <f t="shared" si="5"/>
        <v>0</v>
      </c>
      <c r="AJ16" s="30"/>
      <c r="AK16" s="73">
        <f t="shared" si="6"/>
        <v>4.3877999999999995</v>
      </c>
    </row>
    <row r="17" spans="1:41" s="31" customFormat="1" ht="75" customHeight="1" x14ac:dyDescent="0.25">
      <c r="A17" s="43" t="s">
        <v>375</v>
      </c>
      <c r="B17" s="42" t="s">
        <v>376</v>
      </c>
      <c r="C17" s="56" t="s">
        <v>308</v>
      </c>
      <c r="D17" s="48">
        <v>204</v>
      </c>
      <c r="E17" s="20">
        <v>22</v>
      </c>
      <c r="F17" s="21">
        <f t="shared" si="7"/>
        <v>176</v>
      </c>
      <c r="G17" s="57"/>
      <c r="H17" s="22"/>
      <c r="I17" s="23">
        <f t="shared" si="16"/>
        <v>176</v>
      </c>
      <c r="J17" s="55">
        <v>443.59000000000009</v>
      </c>
      <c r="K17" s="55">
        <v>99.882400000000018</v>
      </c>
      <c r="L17" s="23"/>
      <c r="M17" s="22"/>
      <c r="N17" s="22">
        <v>4</v>
      </c>
      <c r="O17" s="52">
        <f t="shared" si="8"/>
        <v>178.34393846153847</v>
      </c>
      <c r="P17" s="58">
        <f t="shared" si="9"/>
        <v>0</v>
      </c>
      <c r="Q17" s="53">
        <f t="shared" si="10"/>
        <v>0</v>
      </c>
      <c r="R17" s="53">
        <f t="shared" si="11"/>
        <v>32.426170629370631</v>
      </c>
      <c r="S17" s="53">
        <v>0</v>
      </c>
      <c r="T17" s="25">
        <v>0</v>
      </c>
      <c r="U17" s="24">
        <f t="shared" si="17"/>
        <v>0</v>
      </c>
      <c r="V17" s="24">
        <f t="shared" si="12"/>
        <v>0</v>
      </c>
      <c r="W17" s="53">
        <f>D17/208*80</f>
        <v>78.461538461538453</v>
      </c>
      <c r="X17" s="53"/>
      <c r="Y17" s="27"/>
      <c r="Z17" s="24">
        <v>10</v>
      </c>
      <c r="AA17" s="24">
        <v>10</v>
      </c>
      <c r="AB17" s="26">
        <f t="shared" si="13"/>
        <v>102</v>
      </c>
      <c r="AC17" s="24">
        <f t="shared" si="14"/>
        <v>4.6154000000000002</v>
      </c>
      <c r="AD17" s="26"/>
      <c r="AE17" s="54">
        <f t="shared" si="15"/>
        <v>230.77</v>
      </c>
      <c r="AF17" s="28">
        <f t="shared" si="18"/>
        <v>106.61539999999999</v>
      </c>
      <c r="AG17" s="54">
        <f t="shared" si="3"/>
        <v>124.15</v>
      </c>
      <c r="AH17" s="29">
        <f t="shared" si="4"/>
        <v>124</v>
      </c>
      <c r="AI17" s="24">
        <f t="shared" si="5"/>
        <v>600</v>
      </c>
      <c r="AJ17" s="30"/>
      <c r="AK17" s="73">
        <f t="shared" si="6"/>
        <v>4.6154000000000002</v>
      </c>
    </row>
    <row r="18" spans="1:41" s="31" customFormat="1" ht="75" customHeight="1" x14ac:dyDescent="0.25">
      <c r="A18" s="43" t="s">
        <v>377</v>
      </c>
      <c r="B18" s="42" t="s">
        <v>378</v>
      </c>
      <c r="C18" s="56" t="s">
        <v>308</v>
      </c>
      <c r="D18" s="48">
        <v>204</v>
      </c>
      <c r="E18" s="20">
        <v>22</v>
      </c>
      <c r="F18" s="21">
        <f t="shared" ref="F18:F20" si="19">I18+L18+(M18)*8</f>
        <v>176</v>
      </c>
      <c r="G18" s="57"/>
      <c r="H18" s="22"/>
      <c r="I18" s="23">
        <f t="shared" ref="I18:I20" si="20">E18*8</f>
        <v>176</v>
      </c>
      <c r="J18" s="55">
        <v>1346.8000000000004</v>
      </c>
      <c r="K18" s="55">
        <f>216.16202-40</f>
        <v>176.16202000000001</v>
      </c>
      <c r="L18" s="23"/>
      <c r="M18" s="22"/>
      <c r="N18" s="22">
        <v>4</v>
      </c>
      <c r="O18" s="52">
        <f t="shared" si="8"/>
        <v>176.16202000000001</v>
      </c>
      <c r="P18" s="58">
        <f t="shared" si="9"/>
        <v>0</v>
      </c>
      <c r="Q18" s="53">
        <f t="shared" si="10"/>
        <v>0</v>
      </c>
      <c r="R18" s="53">
        <f t="shared" si="11"/>
        <v>32.029458181818185</v>
      </c>
      <c r="S18" s="53">
        <v>0</v>
      </c>
      <c r="T18" s="25">
        <v>0</v>
      </c>
      <c r="U18" s="24">
        <f t="shared" ref="U18:U20" si="21">D18/26*T18/2</f>
        <v>0</v>
      </c>
      <c r="V18" s="24">
        <f t="shared" ref="V18:V20" si="22">((L18)*1500/4000)</f>
        <v>0</v>
      </c>
      <c r="W18" s="53"/>
      <c r="X18" s="53"/>
      <c r="Y18" s="27"/>
      <c r="Z18" s="24">
        <v>10</v>
      </c>
      <c r="AA18" s="24">
        <v>10</v>
      </c>
      <c r="AB18" s="26">
        <f t="shared" si="13"/>
        <v>102</v>
      </c>
      <c r="AC18" s="24">
        <f t="shared" si="14"/>
        <v>4.5637999999999996</v>
      </c>
      <c r="AD18" s="26"/>
      <c r="AE18" s="54">
        <f t="shared" si="15"/>
        <v>228.19</v>
      </c>
      <c r="AF18" s="28">
        <f t="shared" ref="AF18:AF20" si="23">AB18+AC18+AD18</f>
        <v>106.5638</v>
      </c>
      <c r="AG18" s="54">
        <f t="shared" ref="AG18:AG20" si="24">INT((AE18-AF18)*100)/100</f>
        <v>121.62</v>
      </c>
      <c r="AH18" s="29">
        <f t="shared" ref="AH18:AH20" si="25">INT(AG18)</f>
        <v>121</v>
      </c>
      <c r="AI18" s="24">
        <f t="shared" si="5"/>
        <v>2500</v>
      </c>
      <c r="AJ18" s="30"/>
      <c r="AK18" s="73">
        <f t="shared" si="6"/>
        <v>4.5637999999999996</v>
      </c>
    </row>
    <row r="19" spans="1:41" s="31" customFormat="1" ht="75" customHeight="1" x14ac:dyDescent="0.25">
      <c r="A19" s="43" t="s">
        <v>379</v>
      </c>
      <c r="B19" s="42" t="s">
        <v>380</v>
      </c>
      <c r="C19" s="56" t="s">
        <v>308</v>
      </c>
      <c r="D19" s="48">
        <v>204</v>
      </c>
      <c r="E19" s="20">
        <v>21</v>
      </c>
      <c r="F19" s="21">
        <f t="shared" si="19"/>
        <v>168</v>
      </c>
      <c r="G19" s="57">
        <v>1</v>
      </c>
      <c r="H19" s="22"/>
      <c r="I19" s="23">
        <f t="shared" si="20"/>
        <v>168</v>
      </c>
      <c r="J19" s="55">
        <v>1298.2700000000002</v>
      </c>
      <c r="K19" s="55">
        <f>208.16158-30</f>
        <v>178.16157999999999</v>
      </c>
      <c r="L19" s="23"/>
      <c r="M19" s="22"/>
      <c r="N19" s="22">
        <v>4</v>
      </c>
      <c r="O19" s="52">
        <f t="shared" si="8"/>
        <v>178.16157999999999</v>
      </c>
      <c r="P19" s="58">
        <f t="shared" si="9"/>
        <v>0</v>
      </c>
      <c r="Q19" s="53">
        <f t="shared" si="10"/>
        <v>0</v>
      </c>
      <c r="R19" s="53">
        <f t="shared" si="11"/>
        <v>33.935539047619045</v>
      </c>
      <c r="S19" s="53">
        <v>0</v>
      </c>
      <c r="T19" s="25">
        <v>0</v>
      </c>
      <c r="U19" s="24">
        <f t="shared" si="21"/>
        <v>0</v>
      </c>
      <c r="V19" s="24">
        <f t="shared" si="22"/>
        <v>0</v>
      </c>
      <c r="W19" s="53"/>
      <c r="X19" s="53"/>
      <c r="Y19" s="27"/>
      <c r="Z19" s="24">
        <v>7</v>
      </c>
      <c r="AA19" s="24">
        <v>10</v>
      </c>
      <c r="AB19" s="26">
        <f t="shared" si="13"/>
        <v>102</v>
      </c>
      <c r="AC19" s="24">
        <f t="shared" si="14"/>
        <v>4.5818000000000003</v>
      </c>
      <c r="AD19" s="26"/>
      <c r="AE19" s="54">
        <f t="shared" si="15"/>
        <v>229.09</v>
      </c>
      <c r="AF19" s="28">
        <f t="shared" si="23"/>
        <v>106.5818</v>
      </c>
      <c r="AG19" s="54">
        <f t="shared" si="24"/>
        <v>122.5</v>
      </c>
      <c r="AH19" s="29">
        <f t="shared" si="25"/>
        <v>122</v>
      </c>
      <c r="AI19" s="24">
        <f t="shared" si="5"/>
        <v>2000</v>
      </c>
      <c r="AJ19" s="30"/>
      <c r="AK19" s="73">
        <f t="shared" si="6"/>
        <v>4.5818000000000003</v>
      </c>
    </row>
    <row r="20" spans="1:41" s="31" customFormat="1" ht="75" customHeight="1" x14ac:dyDescent="0.25">
      <c r="A20" s="43" t="s">
        <v>381</v>
      </c>
      <c r="B20" s="42" t="s">
        <v>382</v>
      </c>
      <c r="C20" s="56" t="s">
        <v>308</v>
      </c>
      <c r="D20" s="48">
        <v>204</v>
      </c>
      <c r="E20" s="20">
        <v>21.5</v>
      </c>
      <c r="F20" s="21">
        <f t="shared" si="19"/>
        <v>172</v>
      </c>
      <c r="G20" s="57">
        <v>0.5</v>
      </c>
      <c r="H20" s="22"/>
      <c r="I20" s="23">
        <f t="shared" si="20"/>
        <v>172</v>
      </c>
      <c r="J20" s="55">
        <v>751.09999999999991</v>
      </c>
      <c r="K20" s="55">
        <v>170.2148</v>
      </c>
      <c r="L20" s="23"/>
      <c r="M20" s="22"/>
      <c r="N20" s="22">
        <v>4</v>
      </c>
      <c r="O20" s="52">
        <f t="shared" si="8"/>
        <v>170.2148</v>
      </c>
      <c r="P20" s="58">
        <f t="shared" si="9"/>
        <v>0</v>
      </c>
      <c r="Q20" s="53">
        <f t="shared" si="10"/>
        <v>0</v>
      </c>
      <c r="R20" s="53">
        <f t="shared" si="11"/>
        <v>31.667869767441861</v>
      </c>
      <c r="S20" s="53">
        <v>0</v>
      </c>
      <c r="T20" s="25">
        <v>0</v>
      </c>
      <c r="U20" s="24">
        <f t="shared" si="21"/>
        <v>0</v>
      </c>
      <c r="V20" s="24">
        <f t="shared" si="22"/>
        <v>0</v>
      </c>
      <c r="W20" s="53"/>
      <c r="X20" s="53"/>
      <c r="Y20" s="27"/>
      <c r="Z20" s="24">
        <v>7</v>
      </c>
      <c r="AA20" s="24">
        <v>10</v>
      </c>
      <c r="AB20" s="26">
        <f t="shared" si="13"/>
        <v>102</v>
      </c>
      <c r="AC20" s="24">
        <f t="shared" si="14"/>
        <v>4.3776000000000002</v>
      </c>
      <c r="AD20" s="26"/>
      <c r="AE20" s="54">
        <f t="shared" si="15"/>
        <v>218.88</v>
      </c>
      <c r="AF20" s="28">
        <f t="shared" si="23"/>
        <v>106.3776</v>
      </c>
      <c r="AG20" s="54">
        <f t="shared" si="24"/>
        <v>112.5</v>
      </c>
      <c r="AH20" s="29">
        <f t="shared" si="25"/>
        <v>112</v>
      </c>
      <c r="AI20" s="24">
        <f t="shared" si="5"/>
        <v>2000</v>
      </c>
      <c r="AJ20" s="30"/>
      <c r="AK20" s="73">
        <f t="shared" si="6"/>
        <v>4.3776000000000002</v>
      </c>
    </row>
    <row r="21" spans="1:41" s="31" customFormat="1" ht="75" customHeight="1" x14ac:dyDescent="0.25">
      <c r="A21" s="43" t="s">
        <v>383</v>
      </c>
      <c r="B21" s="69" t="s">
        <v>384</v>
      </c>
      <c r="C21" s="56" t="s">
        <v>308</v>
      </c>
      <c r="D21" s="48">
        <v>204</v>
      </c>
      <c r="E21" s="20">
        <v>22</v>
      </c>
      <c r="F21" s="21">
        <f t="shared" ref="F21:F22" si="26">I21+L21+(M21)*8</f>
        <v>176</v>
      </c>
      <c r="G21" s="57"/>
      <c r="H21" s="22"/>
      <c r="I21" s="23">
        <f t="shared" ref="I21:I22" si="27">E21*8</f>
        <v>176</v>
      </c>
      <c r="J21" s="55">
        <v>1344.6200000000003</v>
      </c>
      <c r="K21" s="55">
        <f>218.95042-40</f>
        <v>178.95042000000001</v>
      </c>
      <c r="L21" s="23"/>
      <c r="M21" s="22"/>
      <c r="N21" s="22">
        <v>4</v>
      </c>
      <c r="O21" s="52">
        <f t="shared" si="8"/>
        <v>178.95042000000001</v>
      </c>
      <c r="P21" s="58">
        <f t="shared" si="9"/>
        <v>0</v>
      </c>
      <c r="Q21" s="53">
        <f t="shared" si="10"/>
        <v>0</v>
      </c>
      <c r="R21" s="53">
        <f t="shared" si="11"/>
        <v>32.536439999999999</v>
      </c>
      <c r="S21" s="53">
        <v>0</v>
      </c>
      <c r="T21" s="25">
        <v>0</v>
      </c>
      <c r="U21" s="24">
        <f t="shared" ref="U21:U22" si="28">D21/26*T21/2</f>
        <v>0</v>
      </c>
      <c r="V21" s="24">
        <f t="shared" ref="V21:V22" si="29">((L21)*1500/4000)</f>
        <v>0</v>
      </c>
      <c r="W21" s="53"/>
      <c r="X21" s="53"/>
      <c r="Y21" s="27"/>
      <c r="Z21" s="24">
        <v>10</v>
      </c>
      <c r="AA21" s="24">
        <v>10</v>
      </c>
      <c r="AB21" s="26">
        <f t="shared" si="13"/>
        <v>102</v>
      </c>
      <c r="AC21" s="24">
        <f t="shared" si="14"/>
        <v>4.6295999999999999</v>
      </c>
      <c r="AD21" s="26"/>
      <c r="AE21" s="54">
        <f t="shared" si="15"/>
        <v>231.48</v>
      </c>
      <c r="AF21" s="28">
        <f t="shared" ref="AF21:AF22" si="30">AB21+AC21+AD21</f>
        <v>106.6296</v>
      </c>
      <c r="AG21" s="54">
        <f t="shared" ref="AG21:AG22" si="31">INT((AE21-AF21)*100)/100</f>
        <v>124.85</v>
      </c>
      <c r="AH21" s="29">
        <f t="shared" ref="AH21:AH22" si="32">INT(AG21)</f>
        <v>124</v>
      </c>
      <c r="AI21" s="24">
        <f t="shared" si="5"/>
        <v>3400</v>
      </c>
      <c r="AJ21" s="30"/>
      <c r="AK21" s="73">
        <f t="shared" si="6"/>
        <v>4.6295999999999999</v>
      </c>
    </row>
    <row r="22" spans="1:41" s="31" customFormat="1" ht="75" customHeight="1" x14ac:dyDescent="0.25">
      <c r="A22" s="43" t="s">
        <v>534</v>
      </c>
      <c r="B22" s="69" t="s">
        <v>536</v>
      </c>
      <c r="C22" s="56" t="s">
        <v>488</v>
      </c>
      <c r="D22" s="48">
        <v>204</v>
      </c>
      <c r="E22" s="20">
        <v>22</v>
      </c>
      <c r="F22" s="21">
        <f t="shared" si="26"/>
        <v>176</v>
      </c>
      <c r="G22" s="57"/>
      <c r="H22" s="22"/>
      <c r="I22" s="23">
        <f t="shared" si="27"/>
        <v>176</v>
      </c>
      <c r="J22" s="55">
        <v>374.09000000000009</v>
      </c>
      <c r="K22" s="55">
        <f>84.5291+30</f>
        <v>114.5291</v>
      </c>
      <c r="L22" s="23"/>
      <c r="M22" s="22"/>
      <c r="N22" s="22">
        <v>4</v>
      </c>
      <c r="O22" s="52">
        <f t="shared" si="8"/>
        <v>163.56756153846152</v>
      </c>
      <c r="P22" s="58">
        <f t="shared" si="9"/>
        <v>0</v>
      </c>
      <c r="Q22" s="53">
        <f t="shared" si="10"/>
        <v>0</v>
      </c>
      <c r="R22" s="53">
        <f>D22/26*N22</f>
        <v>31.384615384615383</v>
      </c>
      <c r="S22" s="53">
        <v>0</v>
      </c>
      <c r="T22" s="25">
        <v>0</v>
      </c>
      <c r="U22" s="24">
        <f t="shared" si="28"/>
        <v>0</v>
      </c>
      <c r="V22" s="24">
        <f t="shared" si="29"/>
        <v>0</v>
      </c>
      <c r="W22" s="53">
        <f>D22/208*50</f>
        <v>49.038461538461533</v>
      </c>
      <c r="X22" s="53">
        <f t="shared" ref="X22" si="33">(-D22/208*I22)+(O22)</f>
        <v>-9.0478230769230947</v>
      </c>
      <c r="Y22" s="27"/>
      <c r="Z22" s="24">
        <v>10</v>
      </c>
      <c r="AA22" s="24">
        <v>10</v>
      </c>
      <c r="AB22" s="26">
        <f t="shared" si="13"/>
        <v>102</v>
      </c>
      <c r="AC22" s="24">
        <f t="shared" si="14"/>
        <v>4.4800000000000004</v>
      </c>
      <c r="AD22" s="26"/>
      <c r="AE22" s="54">
        <f t="shared" si="15"/>
        <v>224</v>
      </c>
      <c r="AF22" s="28">
        <f t="shared" si="30"/>
        <v>106.48</v>
      </c>
      <c r="AG22" s="54">
        <f t="shared" si="31"/>
        <v>117.52</v>
      </c>
      <c r="AH22" s="29">
        <f t="shared" si="32"/>
        <v>117</v>
      </c>
      <c r="AI22" s="24">
        <f t="shared" si="5"/>
        <v>2100</v>
      </c>
      <c r="AJ22" s="30"/>
      <c r="AK22" s="73">
        <f t="shared" ref="AK22:AK23" si="34">(AE22*0.04)/2</f>
        <v>4.4800000000000004</v>
      </c>
    </row>
    <row r="23" spans="1:41" s="31" customFormat="1" ht="75" customHeight="1" x14ac:dyDescent="0.25">
      <c r="A23" s="43" t="s">
        <v>535</v>
      </c>
      <c r="B23" s="69" t="s">
        <v>537</v>
      </c>
      <c r="C23" s="56" t="s">
        <v>510</v>
      </c>
      <c r="D23" s="48">
        <v>204</v>
      </c>
      <c r="E23" s="20">
        <v>22</v>
      </c>
      <c r="F23" s="21">
        <f t="shared" ref="F23:F24" si="35">I23+L23+(M23)*8</f>
        <v>176</v>
      </c>
      <c r="G23" s="57"/>
      <c r="H23" s="22"/>
      <c r="I23" s="23">
        <f t="shared" ref="I23:I24" si="36">E23*8</f>
        <v>176</v>
      </c>
      <c r="J23" s="55">
        <v>563.43000000000006</v>
      </c>
      <c r="K23" s="55">
        <f>126.9981+20</f>
        <v>146.99809999999999</v>
      </c>
      <c r="L23" s="23"/>
      <c r="M23" s="22"/>
      <c r="N23" s="22">
        <v>4</v>
      </c>
      <c r="O23" s="52">
        <f t="shared" si="8"/>
        <v>166.61348461538461</v>
      </c>
      <c r="P23" s="58">
        <f t="shared" si="9"/>
        <v>0</v>
      </c>
      <c r="Q23" s="53">
        <f t="shared" si="10"/>
        <v>0</v>
      </c>
      <c r="R23" s="53">
        <f>D23/26*N23</f>
        <v>31.384615384615383</v>
      </c>
      <c r="S23" s="53">
        <v>0</v>
      </c>
      <c r="T23" s="25">
        <v>0</v>
      </c>
      <c r="U23" s="24">
        <f t="shared" ref="U23" si="37">D23/26*T23/2</f>
        <v>0</v>
      </c>
      <c r="V23" s="24">
        <f t="shared" ref="V23" si="38">((L23)*1500/4000)</f>
        <v>0</v>
      </c>
      <c r="W23" s="53">
        <f>D23/208*20</f>
        <v>19.615384615384613</v>
      </c>
      <c r="X23" s="53">
        <f t="shared" ref="X23" si="39">(-D23/208*I23)+(O23)</f>
        <v>-6.0019000000000062</v>
      </c>
      <c r="Y23" s="27"/>
      <c r="Z23" s="24">
        <v>10</v>
      </c>
      <c r="AA23" s="24">
        <v>10</v>
      </c>
      <c r="AB23" s="26">
        <f t="shared" ref="AB23" si="40">D23/2</f>
        <v>102</v>
      </c>
      <c r="AC23" s="24">
        <f t="shared" si="14"/>
        <v>4.4800000000000004</v>
      </c>
      <c r="AD23" s="26"/>
      <c r="AE23" s="54">
        <f t="shared" ref="AE23" si="41">INT((O23+P23+Q23+R23+U23+V23+Z23+AA23+Y23-X23+S23)*100)/100</f>
        <v>224</v>
      </c>
      <c r="AF23" s="28">
        <f t="shared" ref="AF23" si="42">AB23+AC23+AD23</f>
        <v>106.48</v>
      </c>
      <c r="AG23" s="54">
        <f t="shared" ref="AG23" si="43">INT((AE23-AF23)*100)/100</f>
        <v>117.52</v>
      </c>
      <c r="AH23" s="29">
        <f t="shared" ref="AH23" si="44">INT(AG23)</f>
        <v>117</v>
      </c>
      <c r="AI23" s="24">
        <f t="shared" ref="AI23" si="45">INT((AG23-AH23)*40+0.5)*100</f>
        <v>2100</v>
      </c>
      <c r="AJ23" s="30"/>
      <c r="AK23" s="73">
        <f t="shared" si="34"/>
        <v>4.4800000000000004</v>
      </c>
    </row>
    <row r="24" spans="1:41" s="31" customFormat="1" ht="75" customHeight="1" x14ac:dyDescent="0.25">
      <c r="A24" s="43" t="s">
        <v>659</v>
      </c>
      <c r="B24" s="69" t="s">
        <v>660</v>
      </c>
      <c r="C24" s="56" t="s">
        <v>640</v>
      </c>
      <c r="D24" s="48">
        <v>202</v>
      </c>
      <c r="E24" s="20">
        <v>11</v>
      </c>
      <c r="F24" s="21">
        <f t="shared" si="35"/>
        <v>88</v>
      </c>
      <c r="G24" s="57">
        <v>1</v>
      </c>
      <c r="H24" s="22"/>
      <c r="I24" s="23">
        <f t="shared" si="36"/>
        <v>88</v>
      </c>
      <c r="J24" s="55">
        <v>383.66000000000008</v>
      </c>
      <c r="K24" s="55">
        <v>87.413399999999996</v>
      </c>
      <c r="L24" s="23"/>
      <c r="M24" s="22"/>
      <c r="N24" s="22"/>
      <c r="O24" s="52">
        <f t="shared" si="8"/>
        <v>87.413399999999996</v>
      </c>
      <c r="P24" s="58">
        <f t="shared" si="9"/>
        <v>0</v>
      </c>
      <c r="Q24" s="53">
        <f t="shared" si="10"/>
        <v>0</v>
      </c>
      <c r="R24" s="53">
        <f t="shared" si="11"/>
        <v>0</v>
      </c>
      <c r="S24" s="53">
        <v>0</v>
      </c>
      <c r="T24" s="25">
        <v>0</v>
      </c>
      <c r="U24" s="24">
        <f t="shared" si="17"/>
        <v>0</v>
      </c>
      <c r="V24" s="24">
        <f t="shared" si="12"/>
        <v>0</v>
      </c>
      <c r="W24" s="53"/>
      <c r="X24" s="53"/>
      <c r="Y24" s="27"/>
      <c r="Z24" s="24">
        <f>10/26*11</f>
        <v>4.2307692307692308</v>
      </c>
      <c r="AA24" s="24">
        <v>5</v>
      </c>
      <c r="AB24" s="26">
        <f>D24/26*5</f>
        <v>38.846153846153847</v>
      </c>
      <c r="AC24" s="24">
        <f t="shared" si="14"/>
        <v>1.9328000000000001</v>
      </c>
      <c r="AD24" s="26"/>
      <c r="AE24" s="54">
        <f t="shared" si="15"/>
        <v>96.64</v>
      </c>
      <c r="AF24" s="28">
        <v>39</v>
      </c>
      <c r="AG24" s="54">
        <f t="shared" si="3"/>
        <v>57.64</v>
      </c>
      <c r="AH24" s="29">
        <f t="shared" si="4"/>
        <v>57</v>
      </c>
      <c r="AI24" s="24">
        <f t="shared" si="5"/>
        <v>2600</v>
      </c>
      <c r="AJ24" s="30"/>
      <c r="AK24" s="73">
        <f t="shared" si="6"/>
        <v>1.9328000000000001</v>
      </c>
    </row>
    <row r="25" spans="1:41" s="36" customFormat="1" ht="27.75" customHeight="1" thickBot="1" x14ac:dyDescent="0.3">
      <c r="A25" s="107" t="s">
        <v>33</v>
      </c>
      <c r="B25" s="108"/>
      <c r="C25" s="32"/>
      <c r="D25" s="33"/>
      <c r="E25" s="34">
        <f t="shared" ref="E25:AI25" si="46">SUM(E8:E24)</f>
        <v>350.5</v>
      </c>
      <c r="F25" s="34">
        <f t="shared" si="46"/>
        <v>2804</v>
      </c>
      <c r="G25" s="34">
        <f t="shared" si="46"/>
        <v>13.5</v>
      </c>
      <c r="H25" s="34">
        <f t="shared" si="46"/>
        <v>0</v>
      </c>
      <c r="I25" s="34">
        <f t="shared" si="46"/>
        <v>2804</v>
      </c>
      <c r="J25" s="34">
        <f t="shared" si="46"/>
        <v>13276.960000000003</v>
      </c>
      <c r="K25" s="34">
        <f t="shared" si="46"/>
        <v>2466.7718799999998</v>
      </c>
      <c r="L25" s="34">
        <f t="shared" si="46"/>
        <v>0</v>
      </c>
      <c r="M25" s="34">
        <f t="shared" si="46"/>
        <v>0</v>
      </c>
      <c r="N25" s="34">
        <f t="shared" si="46"/>
        <v>64</v>
      </c>
      <c r="O25" s="34">
        <f t="shared" si="46"/>
        <v>2829.6564953846159</v>
      </c>
      <c r="P25" s="34">
        <f t="shared" si="46"/>
        <v>0</v>
      </c>
      <c r="Q25" s="34">
        <f t="shared" si="46"/>
        <v>0</v>
      </c>
      <c r="R25" s="34">
        <f t="shared" si="46"/>
        <v>519.89742421776509</v>
      </c>
      <c r="S25" s="34">
        <f t="shared" si="46"/>
        <v>0</v>
      </c>
      <c r="T25" s="34">
        <f t="shared" si="46"/>
        <v>0</v>
      </c>
      <c r="U25" s="34">
        <f t="shared" si="46"/>
        <v>0</v>
      </c>
      <c r="V25" s="34">
        <f t="shared" si="46"/>
        <v>0</v>
      </c>
      <c r="W25" s="34">
        <f t="shared" si="46"/>
        <v>362.88461538461547</v>
      </c>
      <c r="X25" s="34">
        <f t="shared" si="46"/>
        <v>-15.049723076923101</v>
      </c>
      <c r="Y25" s="34">
        <f t="shared" si="46"/>
        <v>0</v>
      </c>
      <c r="Z25" s="34">
        <f t="shared" si="46"/>
        <v>119.23076923076923</v>
      </c>
      <c r="AA25" s="34">
        <f t="shared" si="46"/>
        <v>165</v>
      </c>
      <c r="AB25" s="34">
        <f t="shared" si="46"/>
        <v>1670.8461538461538</v>
      </c>
      <c r="AC25" s="34">
        <f t="shared" si="46"/>
        <v>72.975400000000008</v>
      </c>
      <c r="AD25" s="34">
        <f t="shared" si="46"/>
        <v>0</v>
      </c>
      <c r="AE25" s="34">
        <f t="shared" si="46"/>
        <v>3648.7700000000004</v>
      </c>
      <c r="AF25" s="34">
        <f t="shared" si="46"/>
        <v>1742.0425999999998</v>
      </c>
      <c r="AG25" s="34">
        <f t="shared" si="46"/>
        <v>1906.6700000000003</v>
      </c>
      <c r="AH25" s="34">
        <f t="shared" si="46"/>
        <v>1899</v>
      </c>
      <c r="AI25" s="34">
        <f t="shared" si="46"/>
        <v>30700</v>
      </c>
      <c r="AJ25" s="35"/>
    </row>
    <row r="26" spans="1:41" ht="21.75" customHeight="1" thickTop="1" x14ac:dyDescent="0.2">
      <c r="A26" s="109" t="s">
        <v>34</v>
      </c>
      <c r="B26" s="109"/>
      <c r="C26" s="109"/>
      <c r="D26" s="37"/>
      <c r="E26" s="37"/>
      <c r="F26" s="37"/>
      <c r="G26" s="37"/>
      <c r="H26" s="37"/>
      <c r="I26" s="37"/>
      <c r="J26" s="37"/>
      <c r="K26" s="37"/>
      <c r="L26" s="110"/>
      <c r="M26" s="110"/>
      <c r="N26" s="110"/>
      <c r="O26" s="38"/>
      <c r="P26" s="110" t="s">
        <v>35</v>
      </c>
      <c r="Q26" s="110"/>
      <c r="R26" s="110"/>
      <c r="S26" s="85"/>
      <c r="T26" s="38"/>
      <c r="U26" s="38"/>
      <c r="Z26" s="39"/>
      <c r="AA26" s="39"/>
      <c r="AE26" s="39"/>
      <c r="AF26" s="39"/>
      <c r="AG26" s="111" t="s">
        <v>36</v>
      </c>
      <c r="AH26" s="111"/>
      <c r="AI26" s="111"/>
      <c r="AJ26" s="40"/>
      <c r="AL26" s="86"/>
    </row>
    <row r="27" spans="1:41" ht="21" customHeight="1" x14ac:dyDescent="0.2">
      <c r="A27" s="41"/>
      <c r="B27" s="41"/>
      <c r="C27" s="41"/>
      <c r="D27" s="41"/>
      <c r="E27" s="41"/>
      <c r="H27" s="41"/>
      <c r="I27" s="41"/>
      <c r="J27" s="41"/>
      <c r="K27" s="41"/>
      <c r="L27" s="41"/>
    </row>
    <row r="28" spans="1:41" ht="13.5" customHeight="1" x14ac:dyDescent="0.2">
      <c r="A28" s="41"/>
      <c r="B28" s="41"/>
      <c r="C28" s="41"/>
      <c r="D28" s="41"/>
      <c r="E28" s="41"/>
      <c r="H28" s="41"/>
      <c r="I28" s="41"/>
      <c r="J28" s="41"/>
      <c r="K28" s="41"/>
      <c r="L28" s="41"/>
    </row>
    <row r="29" spans="1:41" s="41" customFormat="1" x14ac:dyDescent="0.2"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41" s="41" customFormat="1" x14ac:dyDescent="0.2"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41" s="41" customFormat="1" x14ac:dyDescent="0.2"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O31" s="89"/>
    </row>
    <row r="32" spans="1:41" s="41" customFormat="1" x14ac:dyDescent="0.2"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5:36" s="41" customFormat="1" x14ac:dyDescent="0.2"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5:36" s="41" customFormat="1" x14ac:dyDescent="0.2"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5:36" s="41" customFormat="1" x14ac:dyDescent="0.2"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5:36" s="41" customFormat="1" x14ac:dyDescent="0.2"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5:36" s="41" customFormat="1" x14ac:dyDescent="0.2"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5:36" s="41" customFormat="1" x14ac:dyDescent="0.2"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5:36" s="41" customFormat="1" x14ac:dyDescent="0.2"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5:36" s="41" customFormat="1" x14ac:dyDescent="0.2"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5:36" s="41" customFormat="1" x14ac:dyDescent="0.2"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5:36" s="41" customFormat="1" x14ac:dyDescent="0.2"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5:36" s="41" customFormat="1" x14ac:dyDescent="0.2"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5:36" s="41" customFormat="1" x14ac:dyDescent="0.2"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5:36" s="41" customFormat="1" x14ac:dyDescent="0.2"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5:36" s="41" customFormat="1" x14ac:dyDescent="0.2"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5:36" s="41" customFormat="1" x14ac:dyDescent="0.2"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5:36" s="41" customFormat="1" x14ac:dyDescent="0.2"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5:36" s="41" customFormat="1" x14ac:dyDescent="0.2"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5:36" s="41" customFormat="1" x14ac:dyDescent="0.2"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5:36" s="41" customFormat="1" x14ac:dyDescent="0.2"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5:36" s="41" customFormat="1" x14ac:dyDescent="0.2"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5:36" s="41" customFormat="1" x14ac:dyDescent="0.2"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5:36" s="41" customFormat="1" x14ac:dyDescent="0.2"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5:36" s="41" customFormat="1" x14ac:dyDescent="0.2"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5:36" s="41" customFormat="1" x14ac:dyDescent="0.2"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5:36" s="41" customFormat="1" x14ac:dyDescent="0.2"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5:36" s="41" customFormat="1" x14ac:dyDescent="0.2"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5:36" s="41" customFormat="1" x14ac:dyDescent="0.2"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5:36" s="41" customFormat="1" x14ac:dyDescent="0.2"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5:36" s="41" customFormat="1" x14ac:dyDescent="0.2"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5:36" s="41" customFormat="1" x14ac:dyDescent="0.2"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5:36" s="41" customFormat="1" x14ac:dyDescent="0.2"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5:36" s="41" customFormat="1" x14ac:dyDescent="0.2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5:36" s="41" customFormat="1" x14ac:dyDescent="0.2"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5:36" s="41" customFormat="1" x14ac:dyDescent="0.2"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5:36" s="41" customFormat="1" x14ac:dyDescent="0.2"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5:36" s="41" customFormat="1" x14ac:dyDescent="0.2"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5:36" s="41" customFormat="1" x14ac:dyDescent="0.2"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5:36" s="41" customFormat="1" x14ac:dyDescent="0.2"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5:36" s="41" customFormat="1" x14ac:dyDescent="0.2"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5:36" s="41" customFormat="1" x14ac:dyDescent="0.2"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5:36" s="41" customFormat="1" x14ac:dyDescent="0.2"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5:36" s="41" customFormat="1" x14ac:dyDescent="0.2"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5:36" s="41" customFormat="1" x14ac:dyDescent="0.2"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5:36" s="41" customFormat="1" x14ac:dyDescent="0.2"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5:36" s="41" customFormat="1" x14ac:dyDescent="0.2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5:36" s="41" customFormat="1" x14ac:dyDescent="0.2"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5:36" s="41" customFormat="1" x14ac:dyDescent="0.2"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5:36" s="41" customFormat="1" x14ac:dyDescent="0.2"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</sheetData>
  <autoFilter ref="A7:AI27" xr:uid="{00000000-0009-0000-0000-000000000000}"/>
  <mergeCells count="12">
    <mergeCell ref="A1:AJ1"/>
    <mergeCell ref="A2:AJ2"/>
    <mergeCell ref="A3:AJ3"/>
    <mergeCell ref="A4:B4"/>
    <mergeCell ref="B5:B6"/>
    <mergeCell ref="T5:U5"/>
    <mergeCell ref="AJ5:AJ6"/>
    <mergeCell ref="A25:B25"/>
    <mergeCell ref="A26:C26"/>
    <mergeCell ref="L26:N26"/>
    <mergeCell ref="P26:R26"/>
    <mergeCell ref="AG26:AI26"/>
  </mergeCells>
  <phoneticPr fontId="24" type="noConversion"/>
  <pageMargins left="0.118110236220472" right="0" top="0.31496062992126" bottom="0.118110236220472" header="0" footer="0.118110236220472"/>
  <pageSetup scale="77" orientation="landscape" horizontalDpi="360" verticalDpi="360" r:id="rId1"/>
  <headerFooter alignWithMargins="0"/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ផុង</vt:lpstr>
      <vt:lpstr>ម៉ុក</vt:lpstr>
      <vt:lpstr>ឆែកផុង+ឆែកម៉ុក+ឆ្លុះភ្លើង</vt:lpstr>
      <vt:lpstr>ដេរផ្លាកករ</vt:lpstr>
      <vt:lpstr>ឆែកទី១</vt:lpstr>
      <vt:lpstr>ប៉ះ</vt:lpstr>
      <vt:lpstr>អ៊ុត</vt:lpstr>
      <vt:lpstr>ឆែកទី២</vt:lpstr>
      <vt:lpstr>វេចខ្ចប់</vt:lpstr>
      <vt:lpstr>ឆែកប៉ះផ្ទាំង</vt:lpstr>
      <vt:lpstr>ការិយាល័យ</vt:lpstr>
      <vt:lpstr>ប្រធាន</vt:lpstr>
      <vt:lpstr>ឃ្លាំងកត់ឡូតិ៍</vt:lpstr>
      <vt:lpstr>ជាង ឡ</vt:lpstr>
      <vt:lpstr>វាស់  QC</vt:lpstr>
      <vt:lpstr>កាតុង</vt:lpstr>
      <vt:lpstr>ត្បាញស្នយ័ប្រវត្តិ</vt:lpstr>
      <vt:lpstr>បោកគក់</vt:lpstr>
      <vt:lpstr>ឃ្លាំងសម្ភារះ</vt:lpstr>
      <vt:lpstr>បើកបរ</vt:lpstr>
      <vt:lpstr>អនាម័យ</vt:lpstr>
      <vt:lpstr>ត្បាញស្នយ័ប្រវត្តិ!Print_Area</vt:lpstr>
      <vt:lpstr>ផុង!Print_Area</vt:lpstr>
      <vt:lpstr>ឃ្លាំងកត់ឡូតិ៍!Print_Titles</vt:lpstr>
      <vt:lpstr>ឆែកទី១!Print_Titles</vt:lpstr>
      <vt:lpstr>ឆែកទី២!Print_Titles</vt:lpstr>
      <vt:lpstr>ឆែកប៉ះផ្ទាំង!Print_Titles</vt:lpstr>
      <vt:lpstr>'ឆែកផុង+ឆែកម៉ុក+ឆ្លុះភ្លើង'!Print_Titles</vt:lpstr>
      <vt:lpstr>ដេរផ្លាកករ!Print_Titles</vt:lpstr>
      <vt:lpstr>ត្បាញស្នយ័ប្រវត្តិ!Print_Titles</vt:lpstr>
      <vt:lpstr>ប៉ះ!Print_Titles</vt:lpstr>
      <vt:lpstr>ប្រធាន!Print_Titles</vt:lpstr>
      <vt:lpstr>ផុង!Print_Titles</vt:lpstr>
      <vt:lpstr>ម៉ុក!Print_Titles</vt:lpstr>
      <vt:lpstr>'វាស់  QC'!Print_Titles</vt:lpstr>
      <vt:lpstr>វេចខ្ចប់!Print_Titles</vt:lpstr>
      <vt:lpstr>អ៊ុត!Print_Titles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 ra</cp:lastModifiedBy>
  <cp:lastPrinted>2024-12-12T07:32:13Z</cp:lastPrinted>
  <dcterms:created xsi:type="dcterms:W3CDTF">2024-04-18T06:30:18Z</dcterms:created>
  <dcterms:modified xsi:type="dcterms:W3CDTF">2024-12-23T07:53:05Z</dcterms:modified>
</cp:coreProperties>
</file>