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3665" yWindow="8790" windowWidth="6840" windowHeight="1185" tabRatio="764" firstSheet="41" activeTab="50"/>
  </bookViews>
  <sheets>
    <sheet name="Packing" sheetId="58" state="hidden" r:id="rId1"/>
    <sheet name="OT Sunday " sheetId="380" state="hidden" r:id="rId2"/>
    <sheet name="S1 Salary" sheetId="539" r:id="rId3"/>
    <sheet name="S1" sheetId="481" r:id="rId4"/>
    <sheet name="Tax Calulation " sheetId="502" r:id="rId5"/>
    <sheet name="S2 Salary" sheetId="540" r:id="rId6"/>
    <sheet name="S2" sheetId="504" r:id="rId7"/>
    <sheet name="Tax Calulation" sheetId="505" r:id="rId8"/>
    <sheet name="S3 Salary" sheetId="541" r:id="rId9"/>
    <sheet name="S3" sheetId="506" r:id="rId10"/>
    <sheet name="Tax Calulation  " sheetId="507" r:id="rId11"/>
    <sheet name="S4 Salary" sheetId="542" r:id="rId12"/>
    <sheet name="S4" sheetId="508" r:id="rId13"/>
    <sheet name="Tax Calulation   " sheetId="509" r:id="rId14"/>
    <sheet name="S5 Salary" sheetId="543" r:id="rId15"/>
    <sheet name="S5" sheetId="510" r:id="rId16"/>
    <sheet name="Tax Calulation    " sheetId="511" r:id="rId17"/>
    <sheet name="S6 Salary" sheetId="544" r:id="rId18"/>
    <sheet name="S6" sheetId="512" r:id="rId19"/>
    <sheet name="Tax Calulation     " sheetId="513" r:id="rId20"/>
    <sheet name="CUT Salary" sheetId="545" r:id="rId21"/>
    <sheet name="CUT" sheetId="514" r:id="rId22"/>
    <sheet name="Tax Calulation                 " sheetId="515" r:id="rId23"/>
    <sheet name="WC Salary" sheetId="546" r:id="rId24"/>
    <sheet name="WC" sheetId="519" r:id="rId25"/>
    <sheet name="Tax Calulation               " sheetId="518" r:id="rId26"/>
    <sheet name="R Salary" sheetId="547" r:id="rId27"/>
    <sheet name="R" sheetId="516" r:id="rId28"/>
    <sheet name="Tax Calulation              " sheetId="520" r:id="rId29"/>
    <sheet name="WH Salary" sheetId="548" r:id="rId30"/>
    <sheet name="WH" sheetId="521" r:id="rId31"/>
    <sheet name="Tax Calulation             " sheetId="523" r:id="rId32"/>
    <sheet name="P Salary" sheetId="549" r:id="rId33"/>
    <sheet name="P" sheetId="524" r:id="rId34"/>
    <sheet name="Tax Calulation            " sheetId="525" r:id="rId35"/>
    <sheet name="QC Salary" sheetId="550" r:id="rId36"/>
    <sheet name="QC" sheetId="526" r:id="rId37"/>
    <sheet name="Tax Calulation           " sheetId="527" r:id="rId38"/>
    <sheet name="PP Salary" sheetId="551" r:id="rId39"/>
    <sheet name="PP" sheetId="528" r:id="rId40"/>
    <sheet name="Tax Calulation          " sheetId="530" r:id="rId41"/>
    <sheet name="D Salary" sheetId="552" r:id="rId42"/>
    <sheet name="D" sheetId="531" r:id="rId43"/>
    <sheet name="Tax Calulation         " sheetId="532" r:id="rId44"/>
    <sheet name="T Salary" sheetId="553" r:id="rId45"/>
    <sheet name="T" sheetId="533" r:id="rId46"/>
    <sheet name="Tax Calulation        " sheetId="534" r:id="rId47"/>
    <sheet name="12 Salary" sheetId="557" r:id="rId48"/>
    <sheet name="OFFICE" sheetId="558" r:id="rId49"/>
    <sheet name="Tax Calulation       " sheetId="559" r:id="rId50"/>
    <sheet name="总表" sheetId="535" r:id="rId51"/>
    <sheet name="AB" sheetId="536" r:id="rId52"/>
    <sheet name="ការចំណាយ" sheetId="537" r:id="rId53"/>
  </sheets>
  <definedNames>
    <definedName name="_xlnm._FilterDatabase" localSheetId="1" hidden="1">'OT Sunday '!$C$1:$C$43</definedName>
    <definedName name="_xlnm._FilterDatabase" localSheetId="0" hidden="1">Packing!$J$1:$J$184</definedName>
    <definedName name="_xlnm.Print_Area" localSheetId="21">CUT!$A$1:$AT$30</definedName>
    <definedName name="_xlnm.Print_Area" localSheetId="42">D!$A$1:$AS$14</definedName>
    <definedName name="_xlnm.Print_Area" localSheetId="48">OFFICE!$A$1:$AT$20</definedName>
    <definedName name="_xlnm.Print_Area" localSheetId="1">'OT Sunday '!$A$1:$W$43</definedName>
    <definedName name="_xlnm.Print_Area" localSheetId="33">P!$A$1:$AU$56</definedName>
    <definedName name="_xlnm.Print_Area" localSheetId="39">PP!$A$1:$AT$22</definedName>
    <definedName name="_xlnm.Print_Area" localSheetId="36">QC!$A$1:$AT$29</definedName>
    <definedName name="_xlnm.Print_Area" localSheetId="27">'R'!$A$1:$AS$14</definedName>
    <definedName name="_xlnm.Print_Area" localSheetId="3">'S1'!$A$1:$AT$39</definedName>
    <definedName name="_xlnm.Print_Area" localSheetId="6">'S2'!$A$1:$AT$43</definedName>
    <definedName name="_xlnm.Print_Area" localSheetId="9">'S3'!$A$1:$AT$42</definedName>
    <definedName name="_xlnm.Print_Area" localSheetId="8">'S3 Salary'!$A$1:$W$42</definedName>
    <definedName name="_xlnm.Print_Area" localSheetId="12">'S4'!$A$1:$AT$41</definedName>
    <definedName name="_xlnm.Print_Area" localSheetId="15">'S5'!$A$1:$AT$37</definedName>
    <definedName name="_xlnm.Print_Area" localSheetId="18">'S6'!$A$1:$AT$39</definedName>
    <definedName name="_xlnm.Print_Area" localSheetId="45">T!$A$1:$AT$13</definedName>
    <definedName name="_xlnm.Print_Area" localSheetId="24">WC!$A$1:$AT$16</definedName>
    <definedName name="_xlnm.Print_Area" localSheetId="30">WH!$A$1:$AS$14</definedName>
    <definedName name="_xlnm.Print_Area" localSheetId="52">ការចំណាយ!$A$1:$L$35</definedName>
    <definedName name="_xlnm.Print_Area" localSheetId="50">总表!$A$1:$AM$25</definedName>
  </definedNames>
  <calcPr calcId="144525"/>
  <fileRecoveryPr autoRecover="0"/>
</workbook>
</file>

<file path=xl/calcChain.xml><?xml version="1.0" encoding="utf-8"?>
<calcChain xmlns="http://schemas.openxmlformats.org/spreadsheetml/2006/main">
  <c r="F23" i="537" l="1"/>
  <c r="F8" i="558" l="1"/>
  <c r="AF11" i="558"/>
  <c r="F11" i="558"/>
  <c r="AF8" i="558"/>
  <c r="AF7" i="558"/>
  <c r="AE19" i="528" l="1"/>
  <c r="AD13" i="519" l="1"/>
  <c r="AE25" i="514"/>
  <c r="AE24" i="514"/>
  <c r="Y8" i="514"/>
  <c r="Y9" i="514"/>
  <c r="Y10" i="514"/>
  <c r="Y11" i="514"/>
  <c r="Y12" i="514"/>
  <c r="Y13" i="514"/>
  <c r="Y14" i="514"/>
  <c r="Y15" i="514"/>
  <c r="Y16" i="514"/>
  <c r="Y17" i="514"/>
  <c r="Y18" i="514"/>
  <c r="Y19" i="514"/>
  <c r="Y20" i="514"/>
  <c r="Y21" i="514"/>
  <c r="Y22" i="514"/>
  <c r="Y23" i="514"/>
  <c r="Y24" i="514"/>
  <c r="Y25" i="514"/>
  <c r="Y26" i="514"/>
  <c r="Y27" i="514"/>
  <c r="AD11" i="506"/>
  <c r="U9" i="559"/>
  <c r="U10" i="559"/>
  <c r="U12" i="559"/>
  <c r="U13" i="559"/>
  <c r="U14" i="559"/>
  <c r="U15" i="559"/>
  <c r="U16" i="559"/>
  <c r="U17" i="559"/>
  <c r="U18" i="559"/>
  <c r="T9" i="559"/>
  <c r="T10" i="559"/>
  <c r="T12" i="559"/>
  <c r="T13" i="559"/>
  <c r="T14" i="559"/>
  <c r="T15" i="559"/>
  <c r="T16" i="559"/>
  <c r="T17" i="559"/>
  <c r="T18" i="559"/>
  <c r="X8" i="558"/>
  <c r="X9" i="558"/>
  <c r="X10" i="558"/>
  <c r="X11" i="558"/>
  <c r="X12" i="558"/>
  <c r="X13" i="558"/>
  <c r="X14" i="558"/>
  <c r="X15" i="558"/>
  <c r="X16" i="558"/>
  <c r="X17" i="558"/>
  <c r="X18" i="558"/>
  <c r="V9" i="557"/>
  <c r="V10" i="557"/>
  <c r="V11" i="557"/>
  <c r="V12" i="557"/>
  <c r="V13" i="557"/>
  <c r="V14" i="557"/>
  <c r="V15" i="557"/>
  <c r="V16" i="557"/>
  <c r="V17" i="557"/>
  <c r="V18" i="557"/>
  <c r="V19" i="557"/>
  <c r="T9" i="557"/>
  <c r="T10" i="557"/>
  <c r="T11" i="557"/>
  <c r="T12" i="557"/>
  <c r="T13" i="557"/>
  <c r="T14" i="557"/>
  <c r="T15" i="557"/>
  <c r="T16" i="557"/>
  <c r="T17" i="557"/>
  <c r="T18" i="557"/>
  <c r="T19" i="557"/>
  <c r="AP8" i="533"/>
  <c r="AP9" i="533"/>
  <c r="AP10" i="533"/>
  <c r="AO8" i="533"/>
  <c r="AO9" i="533"/>
  <c r="AO10" i="533"/>
  <c r="X8" i="533"/>
  <c r="X9" i="533"/>
  <c r="X10" i="533"/>
  <c r="F8" i="532"/>
  <c r="F9" i="532"/>
  <c r="F10" i="532"/>
  <c r="F11" i="532"/>
  <c r="AO8" i="531"/>
  <c r="AO9" i="531"/>
  <c r="AO10" i="531"/>
  <c r="AO11" i="531"/>
  <c r="X8" i="531"/>
  <c r="X9" i="531"/>
  <c r="X10" i="531"/>
  <c r="X11" i="531"/>
  <c r="V9" i="552"/>
  <c r="V10" i="552"/>
  <c r="V11" i="552"/>
  <c r="V12" i="552"/>
  <c r="AQ8" i="528"/>
  <c r="AQ9" i="528"/>
  <c r="AQ10" i="528"/>
  <c r="AQ11" i="528"/>
  <c r="AQ12" i="528"/>
  <c r="AQ13" i="528"/>
  <c r="AQ14" i="528"/>
  <c r="AQ15" i="528"/>
  <c r="AQ16" i="528"/>
  <c r="AQ17" i="528"/>
  <c r="AQ18" i="528"/>
  <c r="AP8" i="528"/>
  <c r="AP9" i="528"/>
  <c r="AP10" i="528"/>
  <c r="AP11" i="528"/>
  <c r="AP12" i="528"/>
  <c r="AP13" i="528"/>
  <c r="AP14" i="528"/>
  <c r="AP15" i="528"/>
  <c r="AP16" i="528"/>
  <c r="AP17" i="528"/>
  <c r="AP18" i="528"/>
  <c r="AO8" i="528"/>
  <c r="AO9" i="528"/>
  <c r="AO10" i="528"/>
  <c r="AO11" i="528"/>
  <c r="AO12" i="528"/>
  <c r="AO13" i="528"/>
  <c r="AO14" i="528"/>
  <c r="AO15" i="528"/>
  <c r="AO16" i="528"/>
  <c r="AO17" i="528"/>
  <c r="AO18" i="528"/>
  <c r="Y8" i="528"/>
  <c r="Y9" i="528"/>
  <c r="Y10" i="528"/>
  <c r="Y11" i="528"/>
  <c r="Y12" i="528"/>
  <c r="Y13" i="528"/>
  <c r="Y14" i="528"/>
  <c r="Y15" i="528"/>
  <c r="Y16" i="528"/>
  <c r="Y17" i="528"/>
  <c r="Y18" i="528"/>
  <c r="Y19" i="528"/>
  <c r="X8" i="526" l="1"/>
  <c r="X9" i="526"/>
  <c r="X10" i="526"/>
  <c r="X11" i="526"/>
  <c r="X12" i="526"/>
  <c r="X13" i="526"/>
  <c r="X14" i="526"/>
  <c r="X15" i="526"/>
  <c r="X16" i="526"/>
  <c r="X17" i="526"/>
  <c r="X18" i="526"/>
  <c r="X19" i="526"/>
  <c r="X20" i="526"/>
  <c r="X21" i="526"/>
  <c r="X22" i="526"/>
  <c r="X23" i="526"/>
  <c r="X24" i="526"/>
  <c r="X25" i="526"/>
  <c r="V9" i="550"/>
  <c r="V10" i="550"/>
  <c r="V11" i="550"/>
  <c r="V12" i="550"/>
  <c r="V13" i="550"/>
  <c r="V14" i="550"/>
  <c r="V15" i="550"/>
  <c r="V16" i="550"/>
  <c r="V17" i="550"/>
  <c r="V18" i="550"/>
  <c r="V19" i="550"/>
  <c r="V20" i="550"/>
  <c r="V21" i="550"/>
  <c r="V22" i="550"/>
  <c r="V23" i="550"/>
  <c r="V24" i="550"/>
  <c r="V25" i="550"/>
  <c r="V26" i="550"/>
  <c r="Y8" i="524"/>
  <c r="Y9" i="524"/>
  <c r="Y10" i="524"/>
  <c r="Y11" i="524"/>
  <c r="Y12" i="524"/>
  <c r="Y13" i="524"/>
  <c r="Y14" i="524"/>
  <c r="Y15" i="524"/>
  <c r="Y16" i="524"/>
  <c r="Y17" i="524"/>
  <c r="Y18" i="524"/>
  <c r="Y19" i="524"/>
  <c r="Y20" i="524"/>
  <c r="Y21" i="524"/>
  <c r="Y22" i="524"/>
  <c r="Y23" i="524"/>
  <c r="Y24" i="524"/>
  <c r="Y25" i="524"/>
  <c r="Y26" i="524"/>
  <c r="Y27" i="524"/>
  <c r="Y28" i="524"/>
  <c r="Y29" i="524"/>
  <c r="Y30" i="524"/>
  <c r="Y31" i="524"/>
  <c r="Y32" i="524"/>
  <c r="Y33" i="524"/>
  <c r="Y34" i="524"/>
  <c r="Y35" i="524"/>
  <c r="Y36" i="524"/>
  <c r="Y37" i="524"/>
  <c r="Y38" i="524"/>
  <c r="Y39" i="524"/>
  <c r="Y40" i="524"/>
  <c r="Y41" i="524"/>
  <c r="Y42" i="524"/>
  <c r="Y43" i="524"/>
  <c r="Y44" i="524"/>
  <c r="Y45" i="524"/>
  <c r="Y46" i="524"/>
  <c r="Y47" i="524"/>
  <c r="Y48" i="524"/>
  <c r="Y49" i="524"/>
  <c r="Y50" i="524"/>
  <c r="Y51" i="524"/>
  <c r="Y52" i="524"/>
  <c r="V9" i="549"/>
  <c r="V10" i="549"/>
  <c r="V11" i="549"/>
  <c r="V12" i="549"/>
  <c r="V13" i="549"/>
  <c r="V14" i="549"/>
  <c r="V15" i="549"/>
  <c r="V16" i="549"/>
  <c r="V17" i="549"/>
  <c r="V18" i="549"/>
  <c r="V19" i="549"/>
  <c r="V20" i="549"/>
  <c r="V21" i="549"/>
  <c r="V22" i="549"/>
  <c r="V23" i="549"/>
  <c r="V24" i="549"/>
  <c r="V25" i="549"/>
  <c r="V26" i="549"/>
  <c r="V27" i="549"/>
  <c r="V28" i="549"/>
  <c r="V29" i="549"/>
  <c r="V30" i="549"/>
  <c r="V31" i="549"/>
  <c r="V32" i="549"/>
  <c r="V33" i="549"/>
  <c r="V34" i="549"/>
  <c r="V35" i="549"/>
  <c r="V36" i="549"/>
  <c r="V37" i="549"/>
  <c r="V38" i="549"/>
  <c r="V39" i="549"/>
  <c r="V40" i="549"/>
  <c r="V41" i="549"/>
  <c r="V42" i="549"/>
  <c r="V43" i="549"/>
  <c r="V44" i="549"/>
  <c r="V45" i="549"/>
  <c r="V46" i="549"/>
  <c r="V47" i="549"/>
  <c r="V48" i="549"/>
  <c r="V49" i="549"/>
  <c r="V50" i="549"/>
  <c r="V51" i="549"/>
  <c r="V52" i="549"/>
  <c r="V53" i="549"/>
  <c r="T9" i="549"/>
  <c r="T10" i="549"/>
  <c r="T11" i="549"/>
  <c r="T12" i="549"/>
  <c r="T13" i="549"/>
  <c r="T14" i="549"/>
  <c r="T15" i="549"/>
  <c r="T16" i="549"/>
  <c r="T17" i="549"/>
  <c r="T18" i="549"/>
  <c r="T19" i="549"/>
  <c r="T20" i="549"/>
  <c r="T21" i="549"/>
  <c r="T22" i="549"/>
  <c r="T23" i="549"/>
  <c r="T24" i="549"/>
  <c r="T25" i="549"/>
  <c r="T26" i="549"/>
  <c r="T27" i="549"/>
  <c r="T28" i="549"/>
  <c r="T29" i="549"/>
  <c r="T30" i="549"/>
  <c r="T31" i="549"/>
  <c r="T32" i="549"/>
  <c r="T33" i="549"/>
  <c r="T34" i="549"/>
  <c r="T35" i="549"/>
  <c r="T36" i="549"/>
  <c r="T37" i="549"/>
  <c r="T38" i="549"/>
  <c r="T39" i="549"/>
  <c r="T40" i="549"/>
  <c r="T41" i="549"/>
  <c r="T42" i="549"/>
  <c r="T43" i="549"/>
  <c r="T44" i="549"/>
  <c r="T45" i="549"/>
  <c r="T46" i="549"/>
  <c r="T47" i="549"/>
  <c r="T48" i="549"/>
  <c r="T49" i="549"/>
  <c r="T50" i="549"/>
  <c r="T51" i="549"/>
  <c r="T52" i="549"/>
  <c r="T53" i="549"/>
  <c r="AN8" i="521"/>
  <c r="AN9" i="521"/>
  <c r="AN11" i="521"/>
  <c r="T8" i="523"/>
  <c r="T9" i="523"/>
  <c r="T11" i="523"/>
  <c r="U8" i="523"/>
  <c r="U9" i="523"/>
  <c r="U11" i="523"/>
  <c r="X8" i="521"/>
  <c r="X9" i="521"/>
  <c r="X10" i="521"/>
  <c r="X11" i="521"/>
  <c r="T9" i="548"/>
  <c r="T10" i="548"/>
  <c r="T11" i="548"/>
  <c r="T12" i="548"/>
  <c r="V9" i="548"/>
  <c r="V10" i="548"/>
  <c r="V11" i="548"/>
  <c r="V12" i="548"/>
  <c r="X8" i="516"/>
  <c r="X9" i="516"/>
  <c r="X10" i="516"/>
  <c r="X11" i="516"/>
  <c r="V9" i="547"/>
  <c r="V10" i="547"/>
  <c r="V11" i="547"/>
  <c r="V12" i="547"/>
  <c r="F8" i="518"/>
  <c r="F9" i="518"/>
  <c r="F10" i="518"/>
  <c r="F11" i="518"/>
  <c r="F12" i="518"/>
  <c r="W8" i="518"/>
  <c r="W9" i="518"/>
  <c r="W10" i="518"/>
  <c r="W11" i="518"/>
  <c r="W12" i="518"/>
  <c r="T8" i="518"/>
  <c r="T9" i="518"/>
  <c r="T10" i="518"/>
  <c r="T11" i="518"/>
  <c r="T12" i="518"/>
  <c r="X8" i="519"/>
  <c r="X9" i="519"/>
  <c r="X10" i="519"/>
  <c r="X11" i="519"/>
  <c r="X12" i="519"/>
  <c r="X13" i="519"/>
  <c r="T9" i="546"/>
  <c r="T10" i="546"/>
  <c r="T11" i="546"/>
  <c r="T12" i="546"/>
  <c r="T13" i="546"/>
  <c r="T14" i="546"/>
  <c r="W8" i="514"/>
  <c r="W9" i="514"/>
  <c r="W10" i="514"/>
  <c r="W11" i="514"/>
  <c r="W12" i="514"/>
  <c r="W13" i="514"/>
  <c r="W14" i="514"/>
  <c r="W15" i="514"/>
  <c r="W16" i="514"/>
  <c r="W17" i="514"/>
  <c r="W18" i="514"/>
  <c r="W19" i="514"/>
  <c r="W20" i="514"/>
  <c r="W21" i="514"/>
  <c r="W22" i="514"/>
  <c r="W23" i="514"/>
  <c r="W24" i="514"/>
  <c r="W25" i="514"/>
  <c r="W26" i="514"/>
  <c r="W27" i="514"/>
  <c r="Y28" i="514"/>
  <c r="V8" i="545"/>
  <c r="V9" i="545"/>
  <c r="V10" i="545"/>
  <c r="V11" i="545"/>
  <c r="V12" i="545"/>
  <c r="V13" i="545"/>
  <c r="V14" i="545"/>
  <c r="V15" i="545"/>
  <c r="V16" i="545"/>
  <c r="V17" i="545"/>
  <c r="V18" i="545"/>
  <c r="V19" i="545"/>
  <c r="V20" i="545"/>
  <c r="V21" i="545"/>
  <c r="V22" i="545"/>
  <c r="V23" i="545"/>
  <c r="V24" i="545"/>
  <c r="V25" i="545"/>
  <c r="V26" i="545"/>
  <c r="V27" i="545"/>
  <c r="T8" i="545"/>
  <c r="T9" i="545"/>
  <c r="T10" i="545"/>
  <c r="T11" i="545"/>
  <c r="T12" i="545"/>
  <c r="T13" i="545"/>
  <c r="T14" i="545"/>
  <c r="T15" i="545"/>
  <c r="T16" i="545"/>
  <c r="T17" i="545"/>
  <c r="T18" i="545"/>
  <c r="T19" i="545"/>
  <c r="T20" i="545"/>
  <c r="T21" i="545"/>
  <c r="T22" i="545"/>
  <c r="T23" i="545"/>
  <c r="T24" i="545"/>
  <c r="T25" i="545"/>
  <c r="T26" i="545"/>
  <c r="T27" i="545"/>
  <c r="W8" i="513"/>
  <c r="W9" i="513"/>
  <c r="W10" i="513"/>
  <c r="W11" i="513"/>
  <c r="W12" i="513"/>
  <c r="W13" i="513"/>
  <c r="W14" i="513"/>
  <c r="W15" i="513"/>
  <c r="W16" i="513"/>
  <c r="W17" i="513"/>
  <c r="W18" i="513"/>
  <c r="W20" i="513"/>
  <c r="W21" i="513"/>
  <c r="W22" i="513"/>
  <c r="W23" i="513"/>
  <c r="W24" i="513"/>
  <c r="W25" i="513"/>
  <c r="W26" i="513"/>
  <c r="W27" i="513"/>
  <c r="W28" i="513"/>
  <c r="W29" i="513"/>
  <c r="W30" i="513"/>
  <c r="W31" i="513"/>
  <c r="W33" i="513"/>
  <c r="W34" i="513"/>
  <c r="W35" i="513"/>
  <c r="W36" i="513"/>
  <c r="U8" i="513"/>
  <c r="U9" i="513"/>
  <c r="U10" i="513"/>
  <c r="U11" i="513"/>
  <c r="U12" i="513"/>
  <c r="U13" i="513"/>
  <c r="U14" i="513"/>
  <c r="U15" i="513"/>
  <c r="U16" i="513"/>
  <c r="U17" i="513"/>
  <c r="U18" i="513"/>
  <c r="U20" i="513"/>
  <c r="U21" i="513"/>
  <c r="U22" i="513"/>
  <c r="U23" i="513"/>
  <c r="U24" i="513"/>
  <c r="U25" i="513"/>
  <c r="U26" i="513"/>
  <c r="U27" i="513"/>
  <c r="U28" i="513"/>
  <c r="U29" i="513"/>
  <c r="U30" i="513"/>
  <c r="U31" i="513"/>
  <c r="U33" i="513"/>
  <c r="U34" i="513"/>
  <c r="U35" i="513"/>
  <c r="U36" i="513"/>
  <c r="T8" i="513"/>
  <c r="T9" i="513"/>
  <c r="T10" i="513"/>
  <c r="T11" i="513"/>
  <c r="T12" i="513"/>
  <c r="T13" i="513"/>
  <c r="T14" i="513"/>
  <c r="T15" i="513"/>
  <c r="T16" i="513"/>
  <c r="T17" i="513"/>
  <c r="T18" i="513"/>
  <c r="T20" i="513"/>
  <c r="T21" i="513"/>
  <c r="T22" i="513"/>
  <c r="T23" i="513"/>
  <c r="T24" i="513"/>
  <c r="T25" i="513"/>
  <c r="T26" i="513"/>
  <c r="T27" i="513"/>
  <c r="T28" i="513"/>
  <c r="T29" i="513"/>
  <c r="T30" i="513"/>
  <c r="T31" i="513"/>
  <c r="T33" i="513"/>
  <c r="T34" i="513"/>
  <c r="T35" i="513"/>
  <c r="T36" i="513"/>
  <c r="X8" i="512"/>
  <c r="X9" i="512"/>
  <c r="X10" i="512"/>
  <c r="X11" i="512"/>
  <c r="X12" i="512"/>
  <c r="X13" i="512"/>
  <c r="X14" i="512"/>
  <c r="X15" i="512"/>
  <c r="X16" i="512"/>
  <c r="X17" i="512"/>
  <c r="X18" i="512"/>
  <c r="X19" i="512"/>
  <c r="X20" i="512"/>
  <c r="X21" i="512"/>
  <c r="X22" i="512"/>
  <c r="X23" i="512"/>
  <c r="X24" i="512"/>
  <c r="X25" i="512"/>
  <c r="X26" i="512"/>
  <c r="X27" i="512"/>
  <c r="X28" i="512"/>
  <c r="X29" i="512"/>
  <c r="X30" i="512"/>
  <c r="X31" i="512"/>
  <c r="X32" i="512"/>
  <c r="X33" i="512"/>
  <c r="X34" i="512"/>
  <c r="X35" i="512"/>
  <c r="X36" i="512"/>
  <c r="AC8" i="512"/>
  <c r="AC9" i="512"/>
  <c r="AC10" i="512"/>
  <c r="AC11" i="512"/>
  <c r="AC12" i="512"/>
  <c r="AC13" i="512"/>
  <c r="AC14" i="512"/>
  <c r="AC15" i="512"/>
  <c r="AC16" i="512"/>
  <c r="AC17" i="512"/>
  <c r="AC18" i="512"/>
  <c r="AC19" i="512"/>
  <c r="AC20" i="512"/>
  <c r="AC21" i="512"/>
  <c r="AC22" i="512"/>
  <c r="AC23" i="512"/>
  <c r="AC24" i="512"/>
  <c r="AC25" i="512"/>
  <c r="AC26" i="512"/>
  <c r="AC27" i="512"/>
  <c r="AC28" i="512"/>
  <c r="AC29" i="512"/>
  <c r="AC30" i="512"/>
  <c r="AC31" i="512"/>
  <c r="AC32" i="512"/>
  <c r="AC33" i="512"/>
  <c r="AC34" i="512"/>
  <c r="AC35" i="512"/>
  <c r="AC36" i="512"/>
  <c r="V38" i="544"/>
  <c r="V9" i="544"/>
  <c r="V10" i="544"/>
  <c r="V11" i="544"/>
  <c r="V12" i="544"/>
  <c r="V13" i="544"/>
  <c r="V14" i="544"/>
  <c r="V15" i="544"/>
  <c r="V16" i="544"/>
  <c r="V17" i="544"/>
  <c r="V18" i="544"/>
  <c r="V19" i="544"/>
  <c r="V20" i="544"/>
  <c r="V21" i="544"/>
  <c r="V22" i="544"/>
  <c r="V23" i="544"/>
  <c r="V24" i="544"/>
  <c r="V25" i="544"/>
  <c r="V26" i="544"/>
  <c r="V27" i="544"/>
  <c r="V28" i="544"/>
  <c r="V29" i="544"/>
  <c r="V30" i="544"/>
  <c r="V31" i="544"/>
  <c r="V32" i="544"/>
  <c r="V33" i="544"/>
  <c r="V34" i="544"/>
  <c r="V35" i="544"/>
  <c r="V36" i="544"/>
  <c r="V37" i="544"/>
  <c r="U9" i="544"/>
  <c r="U10" i="544"/>
  <c r="U11" i="544"/>
  <c r="U12" i="544"/>
  <c r="U13" i="544"/>
  <c r="U14" i="544"/>
  <c r="U15" i="544"/>
  <c r="U16" i="544"/>
  <c r="U17" i="544"/>
  <c r="U18" i="544"/>
  <c r="U19" i="544"/>
  <c r="U20" i="544"/>
  <c r="U21" i="544"/>
  <c r="U22" i="544"/>
  <c r="U23" i="544"/>
  <c r="U24" i="544"/>
  <c r="U25" i="544"/>
  <c r="U26" i="544"/>
  <c r="U27" i="544"/>
  <c r="U28" i="544"/>
  <c r="U29" i="544"/>
  <c r="U30" i="544"/>
  <c r="U31" i="544"/>
  <c r="U32" i="544"/>
  <c r="U33" i="544"/>
  <c r="U34" i="544"/>
  <c r="U35" i="544"/>
  <c r="U36" i="544"/>
  <c r="U37" i="544"/>
  <c r="T9" i="544"/>
  <c r="T10" i="544"/>
  <c r="T11" i="544"/>
  <c r="T12" i="544"/>
  <c r="T13" i="544"/>
  <c r="T14" i="544"/>
  <c r="T15" i="544"/>
  <c r="T16" i="544"/>
  <c r="T17" i="544"/>
  <c r="T18" i="544"/>
  <c r="T19" i="544"/>
  <c r="T20" i="544"/>
  <c r="T21" i="544"/>
  <c r="T22" i="544"/>
  <c r="T23" i="544"/>
  <c r="T24" i="544"/>
  <c r="T25" i="544"/>
  <c r="T26" i="544"/>
  <c r="T27" i="544"/>
  <c r="T28" i="544"/>
  <c r="T29" i="544"/>
  <c r="T30" i="544"/>
  <c r="T31" i="544"/>
  <c r="T32" i="544"/>
  <c r="T33" i="544"/>
  <c r="T34" i="544"/>
  <c r="T35" i="544"/>
  <c r="T36" i="544"/>
  <c r="T37" i="544"/>
  <c r="T8" i="511"/>
  <c r="T9" i="511"/>
  <c r="T10" i="511"/>
  <c r="T11" i="511"/>
  <c r="T12" i="511"/>
  <c r="T13" i="511"/>
  <c r="T14" i="511"/>
  <c r="T15" i="511"/>
  <c r="T16" i="511"/>
  <c r="T17" i="511"/>
  <c r="T18" i="511"/>
  <c r="T20" i="511"/>
  <c r="T21" i="511"/>
  <c r="T22" i="511"/>
  <c r="T23" i="511"/>
  <c r="T24" i="511"/>
  <c r="T25" i="511"/>
  <c r="T26" i="511"/>
  <c r="T27" i="511"/>
  <c r="T28" i="511"/>
  <c r="T29" i="511"/>
  <c r="T30" i="511"/>
  <c r="T31" i="511"/>
  <c r="T32" i="511"/>
  <c r="T33" i="511"/>
  <c r="T34" i="511"/>
  <c r="H11" i="511"/>
  <c r="H15" i="511"/>
  <c r="X8" i="510"/>
  <c r="AL8" i="510" s="1"/>
  <c r="U8" i="511" s="1"/>
  <c r="V8" i="511" s="1"/>
  <c r="W8" i="511" s="1"/>
  <c r="X9" i="510"/>
  <c r="X10" i="510"/>
  <c r="AL10" i="510" s="1"/>
  <c r="U10" i="511" s="1"/>
  <c r="V10" i="511" s="1"/>
  <c r="W10" i="511" s="1"/>
  <c r="X11" i="510"/>
  <c r="X12" i="510"/>
  <c r="AL12" i="510" s="1"/>
  <c r="U12" i="511" s="1"/>
  <c r="V12" i="511" s="1"/>
  <c r="W12" i="511" s="1"/>
  <c r="X13" i="510"/>
  <c r="X14" i="510"/>
  <c r="AL14" i="510" s="1"/>
  <c r="U14" i="511" s="1"/>
  <c r="V14" i="511" s="1"/>
  <c r="W14" i="511" s="1"/>
  <c r="X15" i="510"/>
  <c r="X16" i="510"/>
  <c r="AL16" i="510" s="1"/>
  <c r="U16" i="511" s="1"/>
  <c r="V16" i="511" s="1"/>
  <c r="W16" i="511" s="1"/>
  <c r="X17" i="510"/>
  <c r="X18" i="510"/>
  <c r="AL18" i="510" s="1"/>
  <c r="U18" i="511" s="1"/>
  <c r="V18" i="511" s="1"/>
  <c r="W18" i="511" s="1"/>
  <c r="X19" i="510"/>
  <c r="X20" i="510"/>
  <c r="AL20" i="510" s="1"/>
  <c r="U20" i="511" s="1"/>
  <c r="V20" i="511" s="1"/>
  <c r="W20" i="511" s="1"/>
  <c r="X21" i="510"/>
  <c r="X22" i="510"/>
  <c r="AL22" i="510" s="1"/>
  <c r="U22" i="511" s="1"/>
  <c r="V22" i="511" s="1"/>
  <c r="W22" i="511" s="1"/>
  <c r="X23" i="510"/>
  <c r="X24" i="510"/>
  <c r="AL24" i="510" s="1"/>
  <c r="U24" i="511" s="1"/>
  <c r="V24" i="511" s="1"/>
  <c r="W24" i="511" s="1"/>
  <c r="X25" i="510"/>
  <c r="X26" i="510"/>
  <c r="AL26" i="510" s="1"/>
  <c r="U26" i="511" s="1"/>
  <c r="V26" i="511" s="1"/>
  <c r="W26" i="511" s="1"/>
  <c r="X27" i="510"/>
  <c r="X28" i="510"/>
  <c r="AL28" i="510" s="1"/>
  <c r="U28" i="511" s="1"/>
  <c r="V28" i="511" s="1"/>
  <c r="W28" i="511" s="1"/>
  <c r="X29" i="510"/>
  <c r="X30" i="510"/>
  <c r="AL30" i="510" s="1"/>
  <c r="U30" i="511" s="1"/>
  <c r="V30" i="511" s="1"/>
  <c r="W30" i="511" s="1"/>
  <c r="X31" i="510"/>
  <c r="X32" i="510"/>
  <c r="AL32" i="510" s="1"/>
  <c r="U32" i="511" s="1"/>
  <c r="V32" i="511" s="1"/>
  <c r="W32" i="511" s="1"/>
  <c r="X33" i="510"/>
  <c r="X34" i="510"/>
  <c r="AL34" i="510" s="1"/>
  <c r="U34" i="511" s="1"/>
  <c r="V34" i="511" s="1"/>
  <c r="W34" i="511" s="1"/>
  <c r="AL9" i="510"/>
  <c r="AL11" i="510"/>
  <c r="AL13" i="510"/>
  <c r="AL15" i="510"/>
  <c r="AL17" i="510"/>
  <c r="AL21" i="510"/>
  <c r="AL23" i="510"/>
  <c r="AL25" i="510"/>
  <c r="AL27" i="510"/>
  <c r="AL29" i="510"/>
  <c r="AL31" i="510"/>
  <c r="AL33" i="510"/>
  <c r="U9" i="511"/>
  <c r="V9" i="511" s="1"/>
  <c r="W9" i="511" s="1"/>
  <c r="F9" i="511" s="1"/>
  <c r="H9" i="511" s="1"/>
  <c r="U11" i="511"/>
  <c r="V11" i="511" s="1"/>
  <c r="W11" i="511" s="1"/>
  <c r="F11" i="511" s="1"/>
  <c r="U13" i="511"/>
  <c r="V13" i="511" s="1"/>
  <c r="W13" i="511" s="1"/>
  <c r="F13" i="511" s="1"/>
  <c r="H13" i="511" s="1"/>
  <c r="U15" i="511"/>
  <c r="V15" i="511" s="1"/>
  <c r="W15" i="511" s="1"/>
  <c r="F15" i="511" s="1"/>
  <c r="U17" i="511"/>
  <c r="V17" i="511" s="1"/>
  <c r="W17" i="511" s="1"/>
  <c r="F17" i="511" s="1"/>
  <c r="H17" i="511" s="1"/>
  <c r="U21" i="511"/>
  <c r="V21" i="511" s="1"/>
  <c r="W21" i="511" s="1"/>
  <c r="F21" i="511" s="1"/>
  <c r="H21" i="511" s="1"/>
  <c r="U23" i="511"/>
  <c r="V23" i="511" s="1"/>
  <c r="W23" i="511" s="1"/>
  <c r="F23" i="511" s="1"/>
  <c r="H23" i="511" s="1"/>
  <c r="U25" i="511"/>
  <c r="V25" i="511" s="1"/>
  <c r="W25" i="511" s="1"/>
  <c r="F25" i="511" s="1"/>
  <c r="H25" i="511" s="1"/>
  <c r="U27" i="511"/>
  <c r="V27" i="511" s="1"/>
  <c r="W27" i="511" s="1"/>
  <c r="F27" i="511" s="1"/>
  <c r="H27" i="511" s="1"/>
  <c r="U29" i="511"/>
  <c r="V29" i="511" s="1"/>
  <c r="W29" i="511" s="1"/>
  <c r="F29" i="511" s="1"/>
  <c r="H29" i="511" s="1"/>
  <c r="U31" i="511"/>
  <c r="V31" i="511" s="1"/>
  <c r="W31" i="511" s="1"/>
  <c r="F31" i="511" s="1"/>
  <c r="H31" i="511" s="1"/>
  <c r="U33" i="511"/>
  <c r="V33" i="511" s="1"/>
  <c r="W33" i="511" s="1"/>
  <c r="F33" i="511" s="1"/>
  <c r="H33" i="511" s="1"/>
  <c r="V9" i="543"/>
  <c r="V10" i="543"/>
  <c r="V11" i="543"/>
  <c r="V12" i="543"/>
  <c r="V13" i="543"/>
  <c r="V14" i="543"/>
  <c r="V15" i="543"/>
  <c r="V16" i="543"/>
  <c r="V17" i="543"/>
  <c r="V18" i="543"/>
  <c r="V19" i="543"/>
  <c r="V20" i="543"/>
  <c r="V21" i="543"/>
  <c r="V22" i="543"/>
  <c r="V23" i="543"/>
  <c r="V24" i="543"/>
  <c r="V25" i="543"/>
  <c r="V26" i="543"/>
  <c r="V27" i="543"/>
  <c r="V28" i="543"/>
  <c r="V29" i="543"/>
  <c r="V30" i="543"/>
  <c r="V31" i="543"/>
  <c r="V32" i="543"/>
  <c r="V33" i="543"/>
  <c r="V34" i="543"/>
  <c r="V35" i="543"/>
  <c r="U9" i="543"/>
  <c r="U10" i="543"/>
  <c r="U11" i="543"/>
  <c r="U12" i="543"/>
  <c r="U13" i="543"/>
  <c r="U14" i="543"/>
  <c r="U15" i="543"/>
  <c r="U16" i="543"/>
  <c r="U17" i="543"/>
  <c r="U18" i="543"/>
  <c r="U19" i="543"/>
  <c r="U20" i="543"/>
  <c r="U21" i="543"/>
  <c r="U22" i="543"/>
  <c r="U23" i="543"/>
  <c r="U24" i="543"/>
  <c r="U25" i="543"/>
  <c r="U26" i="543"/>
  <c r="U27" i="543"/>
  <c r="U28" i="543"/>
  <c r="U29" i="543"/>
  <c r="U30" i="543"/>
  <c r="U31" i="543"/>
  <c r="U32" i="543"/>
  <c r="U33" i="543"/>
  <c r="U34" i="543"/>
  <c r="U35" i="543"/>
  <c r="T9" i="543"/>
  <c r="T10" i="543"/>
  <c r="T11" i="543"/>
  <c r="T12" i="543"/>
  <c r="T13" i="543"/>
  <c r="T14" i="543"/>
  <c r="T15" i="543"/>
  <c r="T16" i="543"/>
  <c r="T17" i="543"/>
  <c r="T18" i="543"/>
  <c r="T19" i="543"/>
  <c r="T20" i="543"/>
  <c r="T21" i="543"/>
  <c r="T22" i="543"/>
  <c r="T23" i="543"/>
  <c r="T24" i="543"/>
  <c r="T25" i="543"/>
  <c r="T26" i="543"/>
  <c r="T27" i="543"/>
  <c r="T28" i="543"/>
  <c r="T29" i="543"/>
  <c r="T30" i="543"/>
  <c r="T31" i="543"/>
  <c r="T32" i="543"/>
  <c r="T33" i="543"/>
  <c r="T34" i="543"/>
  <c r="T35" i="543"/>
  <c r="T8" i="509"/>
  <c r="T9" i="509"/>
  <c r="T10" i="509"/>
  <c r="T11" i="509"/>
  <c r="T12" i="509"/>
  <c r="T13" i="509"/>
  <c r="T14" i="509"/>
  <c r="T15" i="509"/>
  <c r="T16" i="509"/>
  <c r="T17" i="509"/>
  <c r="T18" i="509"/>
  <c r="T19" i="509"/>
  <c r="T20" i="509"/>
  <c r="T21" i="509"/>
  <c r="T22" i="509"/>
  <c r="T23" i="509"/>
  <c r="T24" i="509"/>
  <c r="T26" i="509"/>
  <c r="T31" i="509"/>
  <c r="T32" i="509"/>
  <c r="T33" i="509"/>
  <c r="T34" i="509"/>
  <c r="T35" i="509"/>
  <c r="T36" i="509"/>
  <c r="X8" i="508"/>
  <c r="X9" i="508"/>
  <c r="X10" i="508"/>
  <c r="X11" i="508"/>
  <c r="X12" i="508"/>
  <c r="X13" i="508"/>
  <c r="X14" i="508"/>
  <c r="X15" i="508"/>
  <c r="X16" i="508"/>
  <c r="X17" i="508"/>
  <c r="X18" i="508"/>
  <c r="X19" i="508"/>
  <c r="X20" i="508"/>
  <c r="X21" i="508"/>
  <c r="X22" i="508"/>
  <c r="X23" i="508"/>
  <c r="X24" i="508"/>
  <c r="X25" i="508"/>
  <c r="X26" i="508"/>
  <c r="X27" i="508"/>
  <c r="X28" i="508"/>
  <c r="X29" i="508"/>
  <c r="X30" i="508"/>
  <c r="X31" i="508"/>
  <c r="X32" i="508"/>
  <c r="X33" i="508"/>
  <c r="X34" i="508"/>
  <c r="X35" i="508"/>
  <c r="X36" i="508"/>
  <c r="V8" i="508"/>
  <c r="V9" i="508"/>
  <c r="V10" i="508"/>
  <c r="V11" i="508"/>
  <c r="V12" i="508"/>
  <c r="V13" i="508"/>
  <c r="V14" i="508"/>
  <c r="V15" i="508"/>
  <c r="V16" i="508"/>
  <c r="V17" i="508"/>
  <c r="V18" i="508"/>
  <c r="V19" i="508"/>
  <c r="V20" i="508"/>
  <c r="V21" i="508"/>
  <c r="V22" i="508"/>
  <c r="V23" i="508"/>
  <c r="V24" i="508"/>
  <c r="V25" i="508"/>
  <c r="V26" i="508"/>
  <c r="V27" i="508"/>
  <c r="V28" i="508"/>
  <c r="V29" i="508"/>
  <c r="V30" i="508"/>
  <c r="V31" i="508"/>
  <c r="V32" i="508"/>
  <c r="V33" i="508"/>
  <c r="V34" i="508"/>
  <c r="V35" i="508"/>
  <c r="V36" i="508"/>
  <c r="W8" i="507"/>
  <c r="W9" i="507"/>
  <c r="W10" i="507"/>
  <c r="W13" i="507"/>
  <c r="W14" i="507"/>
  <c r="W15" i="507"/>
  <c r="W16" i="507"/>
  <c r="W17" i="507"/>
  <c r="W18" i="507"/>
  <c r="W19" i="507"/>
  <c r="W20" i="507"/>
  <c r="W21" i="507"/>
  <c r="W22" i="507"/>
  <c r="W23" i="507"/>
  <c r="W24" i="507"/>
  <c r="W25" i="507"/>
  <c r="W26" i="507"/>
  <c r="W27" i="507"/>
  <c r="W28" i="507"/>
  <c r="W29" i="507"/>
  <c r="W30" i="507"/>
  <c r="W31" i="507"/>
  <c r="W32" i="507"/>
  <c r="W34" i="507"/>
  <c r="W36" i="507"/>
  <c r="W37" i="507"/>
  <c r="W38" i="507"/>
  <c r="U8" i="507"/>
  <c r="U9" i="507"/>
  <c r="U10" i="507"/>
  <c r="U13" i="507"/>
  <c r="U14" i="507"/>
  <c r="U15" i="507"/>
  <c r="U16" i="507"/>
  <c r="U17" i="507"/>
  <c r="U18" i="507"/>
  <c r="U19" i="507"/>
  <c r="U20" i="507"/>
  <c r="U21" i="507"/>
  <c r="U22" i="507"/>
  <c r="U23" i="507"/>
  <c r="U24" i="507"/>
  <c r="U25" i="507"/>
  <c r="U26" i="507"/>
  <c r="U27" i="507"/>
  <c r="U28" i="507"/>
  <c r="U29" i="507"/>
  <c r="U30" i="507"/>
  <c r="U31" i="507"/>
  <c r="U32" i="507"/>
  <c r="U34" i="507"/>
  <c r="U36" i="507"/>
  <c r="U37" i="507"/>
  <c r="U38" i="507"/>
  <c r="J8" i="506"/>
  <c r="J9" i="506"/>
  <c r="J10" i="506"/>
  <c r="J11" i="506"/>
  <c r="J12" i="506"/>
  <c r="J13" i="506"/>
  <c r="J14" i="506"/>
  <c r="J15" i="506"/>
  <c r="J16" i="506"/>
  <c r="J17" i="506"/>
  <c r="J18" i="506"/>
  <c r="J19" i="506"/>
  <c r="J20" i="506"/>
  <c r="J21" i="506"/>
  <c r="J22" i="506"/>
  <c r="J23" i="506"/>
  <c r="J24" i="506"/>
  <c r="J25" i="506"/>
  <c r="J26" i="506"/>
  <c r="J27" i="506"/>
  <c r="J28" i="506"/>
  <c r="J29" i="506"/>
  <c r="J30" i="506"/>
  <c r="J31" i="506"/>
  <c r="J32" i="506"/>
  <c r="J33" i="506"/>
  <c r="J34" i="506"/>
  <c r="J35" i="506"/>
  <c r="J36" i="506"/>
  <c r="J37" i="506"/>
  <c r="J38" i="506"/>
  <c r="X39" i="506"/>
  <c r="X8" i="506"/>
  <c r="X9" i="506"/>
  <c r="X10" i="506"/>
  <c r="X11" i="506"/>
  <c r="X12" i="506"/>
  <c r="X13" i="506"/>
  <c r="X14" i="506"/>
  <c r="X15" i="506"/>
  <c r="X16" i="506"/>
  <c r="X17" i="506"/>
  <c r="X18" i="506"/>
  <c r="X19" i="506"/>
  <c r="X20" i="506"/>
  <c r="X21" i="506"/>
  <c r="X22" i="506"/>
  <c r="X23" i="506"/>
  <c r="X24" i="506"/>
  <c r="X25" i="506"/>
  <c r="X26" i="506"/>
  <c r="X27" i="506"/>
  <c r="X28" i="506"/>
  <c r="X29" i="506"/>
  <c r="X30" i="506"/>
  <c r="X31" i="506"/>
  <c r="X32" i="506"/>
  <c r="X33" i="506"/>
  <c r="X34" i="506"/>
  <c r="X35" i="506"/>
  <c r="X36" i="506"/>
  <c r="X37" i="506"/>
  <c r="X38" i="506"/>
  <c r="T9" i="541"/>
  <c r="T10" i="541"/>
  <c r="T11" i="541"/>
  <c r="T12" i="541"/>
  <c r="T13" i="541"/>
  <c r="T14" i="541"/>
  <c r="T15" i="541"/>
  <c r="T16" i="541"/>
  <c r="T17" i="541"/>
  <c r="T18" i="541"/>
  <c r="T19" i="541"/>
  <c r="T20" i="541"/>
  <c r="T21" i="541"/>
  <c r="T22" i="541"/>
  <c r="T23" i="541"/>
  <c r="T24" i="541"/>
  <c r="T25" i="541"/>
  <c r="T26" i="541"/>
  <c r="T27" i="541"/>
  <c r="T28" i="541"/>
  <c r="T29" i="541"/>
  <c r="T30" i="541"/>
  <c r="T31" i="541"/>
  <c r="T32" i="541"/>
  <c r="T33" i="541"/>
  <c r="T34" i="541"/>
  <c r="T35" i="541"/>
  <c r="T36" i="541"/>
  <c r="T37" i="541"/>
  <c r="T38" i="541"/>
  <c r="T39" i="541"/>
  <c r="W9" i="505"/>
  <c r="W10" i="505"/>
  <c r="W11" i="505"/>
  <c r="W12" i="505"/>
  <c r="W13" i="505"/>
  <c r="W14" i="505"/>
  <c r="W17" i="505"/>
  <c r="W18" i="505"/>
  <c r="W19" i="505"/>
  <c r="W20" i="505"/>
  <c r="W21" i="505"/>
  <c r="W23" i="505"/>
  <c r="W24" i="505"/>
  <c r="W26" i="505"/>
  <c r="W27" i="505"/>
  <c r="W28" i="505"/>
  <c r="W29" i="505"/>
  <c r="W30" i="505"/>
  <c r="W31" i="505"/>
  <c r="W32" i="505"/>
  <c r="W33" i="505"/>
  <c r="W34" i="505"/>
  <c r="W35" i="505"/>
  <c r="W36" i="505"/>
  <c r="W37" i="505"/>
  <c r="W38" i="505"/>
  <c r="W39" i="505"/>
  <c r="W40" i="505"/>
  <c r="T9" i="505"/>
  <c r="T10" i="505"/>
  <c r="T11" i="505"/>
  <c r="T12" i="505"/>
  <c r="T13" i="505"/>
  <c r="T14" i="505"/>
  <c r="T17" i="505"/>
  <c r="T18" i="505"/>
  <c r="T19" i="505"/>
  <c r="T20" i="505"/>
  <c r="T21" i="505"/>
  <c r="T23" i="505"/>
  <c r="T24" i="505"/>
  <c r="T26" i="505"/>
  <c r="T27" i="505"/>
  <c r="T28" i="505"/>
  <c r="T29" i="505"/>
  <c r="T30" i="505"/>
  <c r="T31" i="505"/>
  <c r="T32" i="505"/>
  <c r="T33" i="505"/>
  <c r="T34" i="505"/>
  <c r="T35" i="505"/>
  <c r="T36" i="505"/>
  <c r="T37" i="505"/>
  <c r="T38" i="505"/>
  <c r="T39" i="505"/>
  <c r="T40" i="505"/>
  <c r="X8" i="504"/>
  <c r="X9" i="504"/>
  <c r="X10" i="504"/>
  <c r="X11" i="504"/>
  <c r="X12" i="504"/>
  <c r="X13" i="504"/>
  <c r="X14" i="504"/>
  <c r="X15" i="504"/>
  <c r="X16" i="504"/>
  <c r="X17" i="504"/>
  <c r="X18" i="504"/>
  <c r="X19" i="504"/>
  <c r="X20" i="504"/>
  <c r="X21" i="504"/>
  <c r="X22" i="504"/>
  <c r="X23" i="504"/>
  <c r="X24" i="504"/>
  <c r="X25" i="504"/>
  <c r="X26" i="504"/>
  <c r="X27" i="504"/>
  <c r="X28" i="504"/>
  <c r="X29" i="504"/>
  <c r="X30" i="504"/>
  <c r="X31" i="504"/>
  <c r="X32" i="504"/>
  <c r="X33" i="504"/>
  <c r="X34" i="504"/>
  <c r="X35" i="504"/>
  <c r="X36" i="504"/>
  <c r="X37" i="504"/>
  <c r="X38" i="504"/>
  <c r="X39" i="504"/>
  <c r="X40" i="504"/>
  <c r="W8" i="502"/>
  <c r="W9" i="502"/>
  <c r="W10" i="502"/>
  <c r="W11" i="502"/>
  <c r="W12" i="502"/>
  <c r="W13" i="502"/>
  <c r="W14" i="502"/>
  <c r="W16" i="502"/>
  <c r="W17" i="502"/>
  <c r="W18" i="502"/>
  <c r="W19" i="502"/>
  <c r="W20" i="502"/>
  <c r="W21" i="502"/>
  <c r="W22" i="502"/>
  <c r="W23" i="502"/>
  <c r="W25" i="502"/>
  <c r="W26" i="502"/>
  <c r="W27" i="502"/>
  <c r="W28" i="502"/>
  <c r="W29" i="502"/>
  <c r="W30" i="502"/>
  <c r="W31" i="502"/>
  <c r="W33" i="502"/>
  <c r="W34" i="502"/>
  <c r="W35" i="502"/>
  <c r="W36" i="502"/>
  <c r="T8" i="502"/>
  <c r="T9" i="502"/>
  <c r="T10" i="502"/>
  <c r="T11" i="502"/>
  <c r="T12" i="502"/>
  <c r="T13" i="502"/>
  <c r="T14" i="502"/>
  <c r="T16" i="502"/>
  <c r="T17" i="502"/>
  <c r="T18" i="502"/>
  <c r="T19" i="502"/>
  <c r="T20" i="502"/>
  <c r="T21" i="502"/>
  <c r="T22" i="502"/>
  <c r="T23" i="502"/>
  <c r="T25" i="502"/>
  <c r="T26" i="502"/>
  <c r="T27" i="502"/>
  <c r="T28" i="502"/>
  <c r="T29" i="502"/>
  <c r="T30" i="502"/>
  <c r="T31" i="502"/>
  <c r="T33" i="502"/>
  <c r="T34" i="502"/>
  <c r="T35" i="502"/>
  <c r="T36" i="502"/>
  <c r="AL8" i="481"/>
  <c r="AL9" i="481"/>
  <c r="AL10" i="481"/>
  <c r="AL11" i="481"/>
  <c r="AL12" i="481"/>
  <c r="AL13" i="481"/>
  <c r="AL14" i="481"/>
  <c r="AL15" i="481"/>
  <c r="T15" i="502" s="1"/>
  <c r="AL16" i="481"/>
  <c r="AL17" i="481"/>
  <c r="AL18" i="481"/>
  <c r="AL19" i="481"/>
  <c r="AL20" i="481"/>
  <c r="AL21" i="481"/>
  <c r="AL22" i="481"/>
  <c r="AL23" i="481"/>
  <c r="AL25" i="481"/>
  <c r="AL26" i="481"/>
  <c r="AL27" i="481"/>
  <c r="AL28" i="481"/>
  <c r="AL29" i="481"/>
  <c r="AL30" i="481"/>
  <c r="AL31" i="481"/>
  <c r="AL32" i="481"/>
  <c r="T32" i="502" s="1"/>
  <c r="AL33" i="481"/>
  <c r="AL34" i="481"/>
  <c r="AL35" i="481"/>
  <c r="AL36" i="481"/>
  <c r="X8" i="481"/>
  <c r="X9" i="481"/>
  <c r="X10" i="481"/>
  <c r="X11" i="481"/>
  <c r="X12" i="481"/>
  <c r="X13" i="481"/>
  <c r="X14" i="481"/>
  <c r="X15" i="481"/>
  <c r="X16" i="481"/>
  <c r="X17" i="481"/>
  <c r="X18" i="481"/>
  <c r="X19" i="481"/>
  <c r="X20" i="481"/>
  <c r="X21" i="481"/>
  <c r="X22" i="481"/>
  <c r="X23" i="481"/>
  <c r="X24" i="481"/>
  <c r="X25" i="481"/>
  <c r="X26" i="481"/>
  <c r="X27" i="481"/>
  <c r="X28" i="481"/>
  <c r="X29" i="481"/>
  <c r="X30" i="481"/>
  <c r="X31" i="481"/>
  <c r="X32" i="481"/>
  <c r="X33" i="481"/>
  <c r="X34" i="481"/>
  <c r="X35" i="481"/>
  <c r="X36" i="481"/>
  <c r="F34" i="511" l="1"/>
  <c r="H34" i="511" s="1"/>
  <c r="F32" i="511"/>
  <c r="H32" i="511" s="1"/>
  <c r="F30" i="511"/>
  <c r="H30" i="511" s="1"/>
  <c r="F28" i="511"/>
  <c r="H28" i="511" s="1"/>
  <c r="F26" i="511"/>
  <c r="H26" i="511" s="1"/>
  <c r="F24" i="511"/>
  <c r="H24" i="511" s="1"/>
  <c r="F22" i="511"/>
  <c r="H22" i="511" s="1"/>
  <c r="F20" i="511"/>
  <c r="H20" i="511" s="1"/>
  <c r="F18" i="511"/>
  <c r="H18" i="511" s="1"/>
  <c r="F16" i="511"/>
  <c r="H16" i="511" s="1"/>
  <c r="F14" i="511"/>
  <c r="H14" i="511" s="1"/>
  <c r="F12" i="511"/>
  <c r="H12" i="511" s="1"/>
  <c r="F10" i="511"/>
  <c r="H10" i="511" s="1"/>
  <c r="F8" i="511"/>
  <c r="H8" i="511" s="1"/>
  <c r="V8" i="481" l="1"/>
  <c r="V9" i="481"/>
  <c r="V10" i="481"/>
  <c r="V11" i="481"/>
  <c r="V12" i="481"/>
  <c r="V13" i="481"/>
  <c r="V14" i="481"/>
  <c r="V15" i="481"/>
  <c r="V16" i="481"/>
  <c r="V17" i="481"/>
  <c r="V18" i="481"/>
  <c r="V19" i="481"/>
  <c r="V20" i="481"/>
  <c r="V21" i="481"/>
  <c r="V22" i="481"/>
  <c r="V23" i="481"/>
  <c r="V24" i="481"/>
  <c r="V25" i="481"/>
  <c r="V26" i="481"/>
  <c r="V27" i="481"/>
  <c r="V28" i="481"/>
  <c r="V29" i="481"/>
  <c r="V30" i="481"/>
  <c r="V31" i="481"/>
  <c r="V32" i="481"/>
  <c r="V33" i="481"/>
  <c r="V34" i="481"/>
  <c r="V35" i="481"/>
  <c r="V36" i="481"/>
  <c r="I7" i="506" l="1"/>
  <c r="R17" i="543" l="1"/>
  <c r="R18" i="543"/>
  <c r="R19" i="543"/>
  <c r="R20" i="543"/>
  <c r="R21" i="543"/>
  <c r="R22" i="543"/>
  <c r="S17" i="543"/>
  <c r="K16" i="511"/>
  <c r="R16" i="510"/>
  <c r="AC16" i="510"/>
  <c r="AA16" i="510"/>
  <c r="Z16" i="510"/>
  <c r="U16" i="510"/>
  <c r="V16" i="510" s="1"/>
  <c r="S16" i="510"/>
  <c r="O16" i="510"/>
  <c r="P16" i="510" s="1"/>
  <c r="L16" i="510"/>
  <c r="M16" i="510" s="1"/>
  <c r="J16" i="510"/>
  <c r="I16" i="510"/>
  <c r="R16" i="557" l="1"/>
  <c r="F15" i="558"/>
  <c r="F16" i="558"/>
  <c r="U16" i="557"/>
  <c r="AM12" i="516" l="1"/>
  <c r="S12" i="547"/>
  <c r="R12" i="547"/>
  <c r="AL11" i="547"/>
  <c r="U11" i="547"/>
  <c r="S11" i="547"/>
  <c r="T11" i="547" s="1"/>
  <c r="R11" i="547"/>
  <c r="K10" i="520"/>
  <c r="AC10" i="516" l="1"/>
  <c r="Z10" i="516"/>
  <c r="AA10" i="516" s="1"/>
  <c r="V10" i="516"/>
  <c r="U10" i="516"/>
  <c r="S10" i="516"/>
  <c r="R10" i="516"/>
  <c r="P10" i="516"/>
  <c r="O10" i="516"/>
  <c r="M10" i="516"/>
  <c r="L10" i="516"/>
  <c r="J10" i="516"/>
  <c r="AK10" i="516" s="1"/>
  <c r="I10" i="516"/>
  <c r="T10" i="520" l="1"/>
  <c r="U10" i="520" s="1"/>
  <c r="V10" i="520" s="1"/>
  <c r="W10" i="520" s="1"/>
  <c r="F10" i="520" s="1"/>
  <c r="K20" i="525"/>
  <c r="AO10" i="516" l="1"/>
  <c r="H10" i="520"/>
  <c r="L10" i="520" s="1"/>
  <c r="U21" i="549"/>
  <c r="R21" i="549"/>
  <c r="AD20" i="524"/>
  <c r="G20" i="524"/>
  <c r="F20" i="524"/>
  <c r="AA20" i="524" s="1"/>
  <c r="AB20" i="524" s="1"/>
  <c r="M10" i="520" l="1"/>
  <c r="N10" i="520" s="1"/>
  <c r="S21" i="549"/>
  <c r="I20" i="524"/>
  <c r="K20" i="524" s="1"/>
  <c r="M20" i="524"/>
  <c r="N20" i="524" s="1"/>
  <c r="P20" i="524"/>
  <c r="Q20" i="524" s="1"/>
  <c r="S20" i="524"/>
  <c r="T20" i="524" s="1"/>
  <c r="V20" i="524"/>
  <c r="W20" i="524" s="1"/>
  <c r="O10" i="520" l="1"/>
  <c r="P10" i="520" s="1"/>
  <c r="AN10" i="516" s="1"/>
  <c r="AF22" i="526"/>
  <c r="F15" i="506" l="1"/>
  <c r="F14" i="506"/>
  <c r="AK22" i="550" l="1"/>
  <c r="S22" i="550" l="1"/>
  <c r="R22" i="550"/>
  <c r="U22" i="550"/>
  <c r="T22" i="550"/>
  <c r="K21" i="527" l="1"/>
  <c r="AC21" i="526"/>
  <c r="Z21" i="526"/>
  <c r="AA21" i="526" s="1"/>
  <c r="V21" i="526"/>
  <c r="U21" i="526"/>
  <c r="S21" i="526"/>
  <c r="R21" i="526"/>
  <c r="P21" i="526"/>
  <c r="O21" i="526"/>
  <c r="M21" i="526"/>
  <c r="L21" i="526"/>
  <c r="J21" i="526"/>
  <c r="I21" i="526"/>
  <c r="G21" i="526"/>
  <c r="F21" i="526"/>
  <c r="AL21" i="526" l="1"/>
  <c r="T21" i="527" l="1"/>
  <c r="V21" i="527" l="1"/>
  <c r="U21" i="527"/>
  <c r="R9" i="542"/>
  <c r="R10" i="542"/>
  <c r="R11" i="542"/>
  <c r="R12" i="542"/>
  <c r="R13" i="542"/>
  <c r="R14" i="542"/>
  <c r="R15" i="542"/>
  <c r="R16" i="542"/>
  <c r="R17" i="542"/>
  <c r="R18" i="542"/>
  <c r="R19" i="542"/>
  <c r="R20" i="542"/>
  <c r="R21" i="542"/>
  <c r="R22" i="542"/>
  <c r="R23" i="542"/>
  <c r="R24" i="542"/>
  <c r="R25" i="542"/>
  <c r="R26" i="542"/>
  <c r="R27" i="542"/>
  <c r="R28" i="542"/>
  <c r="R29" i="542"/>
  <c r="R30" i="542"/>
  <c r="R31" i="542"/>
  <c r="R32" i="542"/>
  <c r="R33" i="542"/>
  <c r="R34" i="542"/>
  <c r="R35" i="542"/>
  <c r="R36" i="542"/>
  <c r="S36" i="542" s="1"/>
  <c r="R37" i="542"/>
  <c r="S37" i="542"/>
  <c r="S35" i="542"/>
  <c r="T35" i="542" s="1"/>
  <c r="U35" i="542"/>
  <c r="K34" i="509"/>
  <c r="AC34" i="508"/>
  <c r="Z34" i="508"/>
  <c r="AA34" i="508" s="1"/>
  <c r="U34" i="508"/>
  <c r="R34" i="508"/>
  <c r="S34" i="508" s="1"/>
  <c r="O34" i="508"/>
  <c r="P34" i="508" s="1"/>
  <c r="L34" i="508"/>
  <c r="M34" i="508" s="1"/>
  <c r="J34" i="508"/>
  <c r="I34" i="508"/>
  <c r="W21" i="527" l="1"/>
  <c r="F21" i="527" s="1"/>
  <c r="H21" i="527" s="1"/>
  <c r="L21" i="527" s="1"/>
  <c r="V35" i="542"/>
  <c r="R15" i="539"/>
  <c r="S15" i="539" s="1"/>
  <c r="T15" i="539" s="1"/>
  <c r="V15" i="539" s="1"/>
  <c r="R16" i="539"/>
  <c r="S16" i="539" s="1"/>
  <c r="T16" i="539" s="1"/>
  <c r="V16" i="539" s="1"/>
  <c r="R17" i="539"/>
  <c r="S17" i="539" s="1"/>
  <c r="T17" i="539" s="1"/>
  <c r="V17" i="539" s="1"/>
  <c r="R18" i="539"/>
  <c r="S18" i="539" s="1"/>
  <c r="T18" i="539" s="1"/>
  <c r="V18" i="539" s="1"/>
  <c r="R19" i="539"/>
  <c r="S19" i="539" s="1"/>
  <c r="T19" i="539" s="1"/>
  <c r="V19" i="539" s="1"/>
  <c r="R20" i="539"/>
  <c r="U19" i="539"/>
  <c r="U18" i="539"/>
  <c r="U17" i="539"/>
  <c r="U16" i="539"/>
  <c r="U15" i="539"/>
  <c r="K18" i="502"/>
  <c r="K17" i="502"/>
  <c r="K16" i="502"/>
  <c r="K15" i="502"/>
  <c r="K14" i="502"/>
  <c r="AC18" i="481"/>
  <c r="AC17" i="481"/>
  <c r="Z17" i="481"/>
  <c r="AA17" i="481" s="1"/>
  <c r="J17" i="481"/>
  <c r="AC16" i="481"/>
  <c r="O16" i="481"/>
  <c r="P16" i="481" s="1"/>
  <c r="AC15" i="481"/>
  <c r="Z15" i="481"/>
  <c r="AA15" i="481" s="1"/>
  <c r="J15" i="481"/>
  <c r="AC14" i="481"/>
  <c r="F14" i="481"/>
  <c r="Z14" i="481" s="1"/>
  <c r="AA14" i="481" s="1"/>
  <c r="F15" i="481"/>
  <c r="U15" i="481" s="1"/>
  <c r="F16" i="481"/>
  <c r="Z16" i="481" s="1"/>
  <c r="AA16" i="481" s="1"/>
  <c r="F17" i="481"/>
  <c r="U17" i="481" s="1"/>
  <c r="F18" i="481"/>
  <c r="Z18" i="481" s="1"/>
  <c r="AA18" i="481" s="1"/>
  <c r="AP21" i="526" l="1"/>
  <c r="M21" i="527"/>
  <c r="N21" i="527" s="1"/>
  <c r="J14" i="481"/>
  <c r="I16" i="481"/>
  <c r="L16" i="481"/>
  <c r="M16" i="481" s="1"/>
  <c r="R16" i="481"/>
  <c r="S16" i="481" s="1"/>
  <c r="U16" i="481"/>
  <c r="I18" i="481"/>
  <c r="L18" i="481"/>
  <c r="M18" i="481" s="1"/>
  <c r="O18" i="481"/>
  <c r="P18" i="481" s="1"/>
  <c r="R18" i="481"/>
  <c r="S18" i="481" s="1"/>
  <c r="U18" i="481"/>
  <c r="I14" i="481"/>
  <c r="L14" i="481"/>
  <c r="M14" i="481" s="1"/>
  <c r="O14" i="481"/>
  <c r="P14" i="481" s="1"/>
  <c r="R14" i="481"/>
  <c r="S14" i="481" s="1"/>
  <c r="U14" i="481"/>
  <c r="I15" i="481"/>
  <c r="L15" i="481"/>
  <c r="M15" i="481" s="1"/>
  <c r="O15" i="481"/>
  <c r="P15" i="481" s="1"/>
  <c r="R15" i="481"/>
  <c r="S15" i="481" s="1"/>
  <c r="J16" i="481"/>
  <c r="I17" i="481"/>
  <c r="L17" i="481"/>
  <c r="M17" i="481" s="1"/>
  <c r="O17" i="481"/>
  <c r="P17" i="481" s="1"/>
  <c r="R17" i="481"/>
  <c r="S17" i="481" s="1"/>
  <c r="J18" i="481"/>
  <c r="O21" i="527" l="1"/>
  <c r="P21" i="527" s="1"/>
  <c r="AO21" i="526" s="1"/>
  <c r="U15" i="502"/>
  <c r="V15" i="502" s="1"/>
  <c r="W15" i="502" s="1"/>
  <c r="AP15" i="481" l="1"/>
  <c r="F15" i="502"/>
  <c r="H15" i="502" s="1"/>
  <c r="L15" i="502" s="1"/>
  <c r="M15" i="502" s="1"/>
  <c r="N15" i="502" s="1"/>
  <c r="O15" i="502" l="1"/>
  <c r="P15" i="502" s="1"/>
  <c r="AO15" i="481" s="1"/>
  <c r="AK12" i="557" l="1"/>
  <c r="R9" i="557"/>
  <c r="R10" i="557"/>
  <c r="R11" i="557"/>
  <c r="R12" i="557"/>
  <c r="R13" i="557"/>
  <c r="R14" i="557"/>
  <c r="R15" i="557"/>
  <c r="R17" i="557"/>
  <c r="R18" i="557"/>
  <c r="R19" i="557"/>
  <c r="R9" i="552"/>
  <c r="R10" i="552"/>
  <c r="R11" i="552"/>
  <c r="R12" i="552"/>
  <c r="S19" i="551"/>
  <c r="S18" i="551"/>
  <c r="S17" i="551"/>
  <c r="S16" i="551"/>
  <c r="R9" i="551"/>
  <c r="R10" i="551"/>
  <c r="R11" i="551"/>
  <c r="R12" i="551"/>
  <c r="R13" i="551"/>
  <c r="R14" i="551"/>
  <c r="R15" i="551"/>
  <c r="R16" i="551"/>
  <c r="R17" i="551"/>
  <c r="R18" i="551"/>
  <c r="R19" i="551"/>
  <c r="R20" i="551"/>
  <c r="S10" i="550"/>
  <c r="R9" i="550"/>
  <c r="R10" i="550"/>
  <c r="R11" i="550"/>
  <c r="R12" i="550"/>
  <c r="R13" i="550"/>
  <c r="R14" i="550"/>
  <c r="R15" i="550"/>
  <c r="R16" i="550"/>
  <c r="R17" i="550"/>
  <c r="R18" i="550"/>
  <c r="R19" i="550"/>
  <c r="R20" i="550"/>
  <c r="R21" i="550"/>
  <c r="R23" i="550"/>
  <c r="R24" i="550"/>
  <c r="R25" i="550"/>
  <c r="R26" i="550"/>
  <c r="R9" i="549"/>
  <c r="R10" i="549"/>
  <c r="R11" i="549"/>
  <c r="R12" i="549"/>
  <c r="R13" i="549"/>
  <c r="R14" i="549"/>
  <c r="R15" i="549"/>
  <c r="R16" i="549"/>
  <c r="R17" i="549"/>
  <c r="R18" i="549"/>
  <c r="R19" i="549"/>
  <c r="R20" i="549"/>
  <c r="R22" i="549"/>
  <c r="R23" i="549"/>
  <c r="R24" i="549"/>
  <c r="R25" i="549"/>
  <c r="R26" i="549"/>
  <c r="R27" i="549"/>
  <c r="R28" i="549"/>
  <c r="R29" i="549"/>
  <c r="R30" i="549"/>
  <c r="R31" i="549"/>
  <c r="R32" i="549"/>
  <c r="R33" i="549"/>
  <c r="R34" i="549"/>
  <c r="R35" i="549"/>
  <c r="R36" i="549"/>
  <c r="R37" i="549"/>
  <c r="R38" i="549"/>
  <c r="R39" i="549"/>
  <c r="R40" i="549"/>
  <c r="R41" i="549"/>
  <c r="R42" i="549"/>
  <c r="R43" i="549"/>
  <c r="R44" i="549"/>
  <c r="R45" i="549"/>
  <c r="R46" i="549"/>
  <c r="R47" i="549"/>
  <c r="R48" i="549"/>
  <c r="R49" i="549"/>
  <c r="R50" i="549"/>
  <c r="S50" i="549" s="1"/>
  <c r="R51" i="549"/>
  <c r="R52" i="549"/>
  <c r="S52" i="549" s="1"/>
  <c r="R53" i="549"/>
  <c r="S53" i="549"/>
  <c r="S51" i="549"/>
  <c r="S49" i="549"/>
  <c r="S27" i="549"/>
  <c r="R9" i="548" l="1"/>
  <c r="R10" i="548"/>
  <c r="R11" i="548"/>
  <c r="R12" i="548"/>
  <c r="R9" i="547"/>
  <c r="R10" i="547"/>
  <c r="R9" i="546"/>
  <c r="R10" i="546"/>
  <c r="R11" i="546"/>
  <c r="R12" i="546"/>
  <c r="R13" i="546"/>
  <c r="R14" i="546"/>
  <c r="R8" i="545"/>
  <c r="R9" i="545"/>
  <c r="R10" i="545"/>
  <c r="R11" i="545"/>
  <c r="R12" i="545"/>
  <c r="R13" i="545"/>
  <c r="R14" i="545"/>
  <c r="R15" i="545"/>
  <c r="R16" i="545"/>
  <c r="R17" i="545"/>
  <c r="R18" i="545"/>
  <c r="R19" i="545"/>
  <c r="R20" i="545"/>
  <c r="R21" i="545"/>
  <c r="R22" i="545"/>
  <c r="R23" i="545"/>
  <c r="R24" i="545"/>
  <c r="R25" i="545"/>
  <c r="S25" i="545" s="1"/>
  <c r="R26" i="545"/>
  <c r="S26" i="545" s="1"/>
  <c r="R27" i="545"/>
  <c r="S25" i="544"/>
  <c r="S13" i="544"/>
  <c r="S10" i="544"/>
  <c r="R12" i="544"/>
  <c r="R13" i="544"/>
  <c r="R14" i="544"/>
  <c r="R15" i="544"/>
  <c r="R16" i="544"/>
  <c r="R17" i="544"/>
  <c r="R18" i="544"/>
  <c r="R19" i="544"/>
  <c r="R20" i="544"/>
  <c r="R21" i="544"/>
  <c r="R22" i="544"/>
  <c r="R23" i="544"/>
  <c r="R24" i="544"/>
  <c r="R25" i="544"/>
  <c r="R26" i="544"/>
  <c r="R27" i="544"/>
  <c r="R28" i="544"/>
  <c r="R29" i="544"/>
  <c r="R30" i="544"/>
  <c r="R31" i="544"/>
  <c r="R32" i="544"/>
  <c r="R33" i="544"/>
  <c r="R34" i="544"/>
  <c r="R35" i="544"/>
  <c r="R36" i="544"/>
  <c r="R37" i="544"/>
  <c r="R9" i="543"/>
  <c r="R10" i="543"/>
  <c r="R11" i="543"/>
  <c r="R12" i="543"/>
  <c r="R13" i="543"/>
  <c r="R14" i="543"/>
  <c r="R15" i="543"/>
  <c r="R16" i="543"/>
  <c r="S16" i="543" s="1"/>
  <c r="R23" i="543"/>
  <c r="R24" i="543"/>
  <c r="R25" i="543"/>
  <c r="R26" i="543"/>
  <c r="R27" i="543"/>
  <c r="R28" i="543"/>
  <c r="R29" i="543"/>
  <c r="R30" i="543"/>
  <c r="R31" i="543"/>
  <c r="R32" i="543"/>
  <c r="R33" i="543"/>
  <c r="R34" i="543"/>
  <c r="R35" i="543"/>
  <c r="S28" i="542"/>
  <c r="S30" i="542"/>
  <c r="S32" i="542"/>
  <c r="S34" i="542"/>
  <c r="S33" i="542"/>
  <c r="S31" i="542"/>
  <c r="S29" i="542"/>
  <c r="S12" i="542"/>
  <c r="R9" i="541"/>
  <c r="R10" i="541"/>
  <c r="R11" i="541"/>
  <c r="R12" i="541"/>
  <c r="S12" i="541" s="1"/>
  <c r="R13" i="541"/>
  <c r="S13" i="541" s="1"/>
  <c r="R14" i="541"/>
  <c r="S14" i="541" s="1"/>
  <c r="R15" i="541"/>
  <c r="S15" i="541" s="1"/>
  <c r="R16" i="541"/>
  <c r="S16" i="541" s="1"/>
  <c r="R17" i="541"/>
  <c r="R18" i="541"/>
  <c r="R19" i="541"/>
  <c r="R20" i="541"/>
  <c r="R21" i="541"/>
  <c r="R22" i="541"/>
  <c r="R23" i="541"/>
  <c r="R24" i="541"/>
  <c r="R25" i="541"/>
  <c r="R26" i="541"/>
  <c r="R27" i="541"/>
  <c r="R28" i="541"/>
  <c r="R29" i="541"/>
  <c r="R30" i="541"/>
  <c r="R31" i="541"/>
  <c r="R32" i="541"/>
  <c r="R33" i="541"/>
  <c r="R34" i="541"/>
  <c r="R35" i="541"/>
  <c r="R36" i="541"/>
  <c r="R37" i="541"/>
  <c r="R38" i="541"/>
  <c r="R39" i="541"/>
  <c r="S33" i="540"/>
  <c r="S27" i="540"/>
  <c r="S11" i="540"/>
  <c r="R9" i="540"/>
  <c r="R10" i="540"/>
  <c r="R11" i="540"/>
  <c r="R12" i="540"/>
  <c r="R13" i="540"/>
  <c r="R14" i="540"/>
  <c r="R15" i="540"/>
  <c r="R16" i="540"/>
  <c r="R17" i="540"/>
  <c r="R18" i="540"/>
  <c r="R19" i="540"/>
  <c r="R20" i="540"/>
  <c r="R21" i="540"/>
  <c r="R22" i="540"/>
  <c r="R23" i="540"/>
  <c r="R24" i="540"/>
  <c r="R25" i="540"/>
  <c r="R26" i="540"/>
  <c r="R27" i="540"/>
  <c r="R28" i="540"/>
  <c r="R29" i="540"/>
  <c r="R30" i="540"/>
  <c r="R31" i="540"/>
  <c r="R32" i="540"/>
  <c r="R33" i="540"/>
  <c r="R34" i="540"/>
  <c r="R35" i="540"/>
  <c r="R36" i="540"/>
  <c r="R37" i="540"/>
  <c r="R38" i="540"/>
  <c r="R39" i="540"/>
  <c r="R40" i="540"/>
  <c r="R41" i="540"/>
  <c r="S33" i="539"/>
  <c r="R9" i="539"/>
  <c r="R10" i="539"/>
  <c r="R11" i="539"/>
  <c r="R12" i="539"/>
  <c r="R13" i="539"/>
  <c r="R14" i="539"/>
  <c r="S14" i="539" s="1"/>
  <c r="R21" i="539"/>
  <c r="R22" i="539"/>
  <c r="R23" i="539"/>
  <c r="R24" i="539"/>
  <c r="R25" i="539"/>
  <c r="R26" i="539"/>
  <c r="S26" i="539" s="1"/>
  <c r="R27" i="539"/>
  <c r="R28" i="539"/>
  <c r="R29" i="539"/>
  <c r="R30" i="539"/>
  <c r="R31" i="539"/>
  <c r="R32" i="539"/>
  <c r="R33" i="539"/>
  <c r="R34" i="539"/>
  <c r="R35" i="539"/>
  <c r="R36" i="539"/>
  <c r="R37" i="539"/>
  <c r="AK9" i="557"/>
  <c r="AK8" i="557"/>
  <c r="AK8" i="548" l="1"/>
  <c r="U8" i="549" l="1"/>
  <c r="U9" i="549"/>
  <c r="U10" i="549"/>
  <c r="U11" i="549"/>
  <c r="U12" i="549"/>
  <c r="U13" i="549"/>
  <c r="U24" i="545"/>
  <c r="AK15" i="542"/>
  <c r="AK14" i="542"/>
  <c r="AK12" i="542"/>
  <c r="AK11" i="542"/>
  <c r="AK10" i="542"/>
  <c r="AK9" i="542"/>
  <c r="AK19" i="542"/>
  <c r="AK18" i="542"/>
  <c r="AK17" i="542"/>
  <c r="AK16" i="542"/>
  <c r="AK13" i="542"/>
  <c r="AK8" i="542"/>
  <c r="AK32" i="542"/>
  <c r="AK20" i="542"/>
  <c r="AK21" i="542"/>
  <c r="AK22" i="542"/>
  <c r="AK23" i="542"/>
  <c r="AK24" i="542"/>
  <c r="AK25" i="542"/>
  <c r="AK26" i="542"/>
  <c r="AK27" i="542"/>
  <c r="AK28" i="542"/>
  <c r="AK29" i="542"/>
  <c r="AK30" i="542"/>
  <c r="AK31" i="542"/>
  <c r="AK33" i="542"/>
  <c r="AK34" i="542"/>
  <c r="AK36" i="542"/>
  <c r="AK37" i="542"/>
  <c r="AK31" i="539"/>
  <c r="AK10" i="557" l="1"/>
  <c r="AK11" i="557"/>
  <c r="AK13" i="557"/>
  <c r="AK14" i="557"/>
  <c r="AK15" i="557"/>
  <c r="AK16" i="557"/>
  <c r="AK17" i="557"/>
  <c r="AK18" i="557"/>
  <c r="AK19" i="557"/>
  <c r="AK9" i="549"/>
  <c r="AK10" i="549"/>
  <c r="AK11" i="549"/>
  <c r="AK12" i="549"/>
  <c r="AK13" i="549"/>
  <c r="AK14" i="549"/>
  <c r="AK15" i="549"/>
  <c r="AK16" i="549"/>
  <c r="AK17" i="549"/>
  <c r="AK18" i="549"/>
  <c r="AK19" i="549"/>
  <c r="AK20" i="549"/>
  <c r="AK22" i="549"/>
  <c r="AK23" i="549"/>
  <c r="AK24" i="549"/>
  <c r="AK25" i="549"/>
  <c r="AK26" i="549"/>
  <c r="AK27" i="549"/>
  <c r="AK28" i="549"/>
  <c r="AK29" i="549"/>
  <c r="AK30" i="549"/>
  <c r="AK31" i="549"/>
  <c r="AK32" i="549"/>
  <c r="AK33" i="549"/>
  <c r="AK34" i="549"/>
  <c r="AK35" i="549"/>
  <c r="AK36" i="549"/>
  <c r="AK37" i="549"/>
  <c r="AK38" i="549"/>
  <c r="AK39" i="549"/>
  <c r="AK40" i="549"/>
  <c r="AK41" i="549"/>
  <c r="AK42" i="549"/>
  <c r="AK43" i="549"/>
  <c r="AK44" i="549"/>
  <c r="AK45" i="549"/>
  <c r="AK46" i="549"/>
  <c r="AK47" i="549"/>
  <c r="AK48" i="549"/>
  <c r="AK49" i="549"/>
  <c r="AK50" i="549"/>
  <c r="AK51" i="549"/>
  <c r="AK52" i="549"/>
  <c r="AK53" i="549"/>
  <c r="AM12" i="521" l="1"/>
  <c r="AE11" i="533" l="1"/>
  <c r="J21" i="537" s="1"/>
  <c r="AE19" i="558"/>
  <c r="AF20" i="528" l="1"/>
  <c r="AE26" i="526"/>
  <c r="AE37" i="512"/>
  <c r="U19" i="481" l="1"/>
  <c r="L19" i="481"/>
  <c r="J19" i="481"/>
  <c r="F10" i="533" l="1"/>
  <c r="J8" i="533" l="1"/>
  <c r="J9" i="533"/>
  <c r="J10" i="533"/>
  <c r="M8" i="533"/>
  <c r="M9" i="533"/>
  <c r="V8" i="531"/>
  <c r="V9" i="531"/>
  <c r="V10" i="531"/>
  <c r="V11" i="531"/>
  <c r="J8" i="531"/>
  <c r="J9" i="531"/>
  <c r="J10" i="531"/>
  <c r="J11" i="531"/>
  <c r="W8" i="528"/>
  <c r="W9" i="528"/>
  <c r="W10" i="528"/>
  <c r="W11" i="528"/>
  <c r="W12" i="528"/>
  <c r="W13" i="528"/>
  <c r="W14" i="528"/>
  <c r="W15" i="528"/>
  <c r="W16" i="528"/>
  <c r="W17" i="528"/>
  <c r="W18" i="528"/>
  <c r="W19" i="528"/>
  <c r="T8" i="528"/>
  <c r="T9" i="528"/>
  <c r="T10" i="528"/>
  <c r="T11" i="528"/>
  <c r="T12" i="528"/>
  <c r="T13" i="528"/>
  <c r="T14" i="528"/>
  <c r="T15" i="528"/>
  <c r="T16" i="528"/>
  <c r="T17" i="528"/>
  <c r="T18" i="528"/>
  <c r="T19" i="528"/>
  <c r="N8" i="528"/>
  <c r="N9" i="528"/>
  <c r="N10" i="528"/>
  <c r="N11" i="528"/>
  <c r="N12" i="528"/>
  <c r="N13" i="528"/>
  <c r="N14" i="528"/>
  <c r="N15" i="528"/>
  <c r="N16" i="528"/>
  <c r="N17" i="528"/>
  <c r="N18" i="528"/>
  <c r="N19" i="528"/>
  <c r="V8" i="526"/>
  <c r="V10" i="526"/>
  <c r="V14" i="526"/>
  <c r="V22" i="526"/>
  <c r="S8" i="526"/>
  <c r="S10" i="526"/>
  <c r="S14" i="526"/>
  <c r="S22" i="526"/>
  <c r="J8" i="526"/>
  <c r="J9" i="526"/>
  <c r="J10" i="526"/>
  <c r="J11" i="526"/>
  <c r="J12" i="526"/>
  <c r="J13" i="526"/>
  <c r="J14" i="526"/>
  <c r="J15" i="526"/>
  <c r="J16" i="526"/>
  <c r="J17" i="526"/>
  <c r="J18" i="526"/>
  <c r="J19" i="526"/>
  <c r="J20" i="526"/>
  <c r="J22" i="526"/>
  <c r="J23" i="526"/>
  <c r="J24" i="526"/>
  <c r="J25" i="526"/>
  <c r="V8" i="521"/>
  <c r="V9" i="521"/>
  <c r="V10" i="521"/>
  <c r="V11" i="521"/>
  <c r="M8" i="521"/>
  <c r="M9" i="521"/>
  <c r="M10" i="521"/>
  <c r="M11" i="521"/>
  <c r="J8" i="521"/>
  <c r="J9" i="521"/>
  <c r="J10" i="521"/>
  <c r="J11" i="521"/>
  <c r="V9" i="516"/>
  <c r="S9" i="516"/>
  <c r="M9" i="516"/>
  <c r="J8" i="516"/>
  <c r="J9" i="516"/>
  <c r="J11" i="516"/>
  <c r="AA8" i="519"/>
  <c r="AA9" i="519"/>
  <c r="AA10" i="519"/>
  <c r="AA11" i="519"/>
  <c r="AA12" i="519"/>
  <c r="AA13" i="519"/>
  <c r="V8" i="519"/>
  <c r="V9" i="519"/>
  <c r="V10" i="519"/>
  <c r="V11" i="519"/>
  <c r="V12" i="519"/>
  <c r="V13" i="519"/>
  <c r="J8" i="519"/>
  <c r="J9" i="519"/>
  <c r="J10" i="519"/>
  <c r="J11" i="519"/>
  <c r="J12" i="519"/>
  <c r="J13" i="519"/>
  <c r="M8" i="519"/>
  <c r="M9" i="519"/>
  <c r="M10" i="519"/>
  <c r="M11" i="519"/>
  <c r="M12" i="519"/>
  <c r="M13" i="519"/>
  <c r="I25" i="514"/>
  <c r="K25" i="514" s="1"/>
  <c r="V8" i="512"/>
  <c r="V9" i="512"/>
  <c r="V10" i="512"/>
  <c r="V11" i="512"/>
  <c r="V12" i="512"/>
  <c r="V13" i="512"/>
  <c r="V14" i="512"/>
  <c r="V15" i="512"/>
  <c r="V16" i="512"/>
  <c r="V17" i="512"/>
  <c r="V18" i="512"/>
  <c r="V19" i="512"/>
  <c r="V20" i="512"/>
  <c r="V21" i="512"/>
  <c r="V22" i="512"/>
  <c r="V23" i="512"/>
  <c r="V24" i="512"/>
  <c r="V25" i="512"/>
  <c r="V26" i="512"/>
  <c r="V27" i="512"/>
  <c r="V28" i="512"/>
  <c r="V29" i="512"/>
  <c r="V30" i="512"/>
  <c r="V31" i="512"/>
  <c r="V32" i="512"/>
  <c r="V33" i="512"/>
  <c r="V34" i="512"/>
  <c r="V35" i="512"/>
  <c r="V36" i="512"/>
  <c r="M8" i="512"/>
  <c r="M9" i="512"/>
  <c r="M10" i="512"/>
  <c r="M11" i="512"/>
  <c r="M12" i="512"/>
  <c r="M13" i="512"/>
  <c r="M14" i="512"/>
  <c r="M15" i="512"/>
  <c r="M16" i="512"/>
  <c r="M17" i="512"/>
  <c r="M18" i="512"/>
  <c r="M19" i="512"/>
  <c r="M20" i="512"/>
  <c r="M21" i="512"/>
  <c r="M22" i="512"/>
  <c r="M23" i="512"/>
  <c r="M24" i="512"/>
  <c r="M25" i="512"/>
  <c r="M26" i="512"/>
  <c r="M27" i="512"/>
  <c r="M28" i="512"/>
  <c r="M29" i="512"/>
  <c r="M30" i="512"/>
  <c r="M31" i="512"/>
  <c r="M32" i="512"/>
  <c r="M33" i="512"/>
  <c r="M34" i="512"/>
  <c r="M35" i="512"/>
  <c r="M36" i="512"/>
  <c r="J8" i="512"/>
  <c r="J9" i="512"/>
  <c r="J10" i="512"/>
  <c r="J11" i="512"/>
  <c r="J12" i="512"/>
  <c r="J13" i="512"/>
  <c r="J14" i="512"/>
  <c r="J15" i="512"/>
  <c r="J16" i="512"/>
  <c r="J17" i="512"/>
  <c r="J18" i="512"/>
  <c r="J19" i="512"/>
  <c r="J20" i="512"/>
  <c r="J21" i="512"/>
  <c r="J22" i="512"/>
  <c r="J23" i="512"/>
  <c r="J24" i="512"/>
  <c r="J25" i="512"/>
  <c r="J26" i="512"/>
  <c r="J27" i="512"/>
  <c r="J28" i="512"/>
  <c r="J29" i="512"/>
  <c r="J30" i="512"/>
  <c r="J31" i="512"/>
  <c r="J32" i="512"/>
  <c r="J33" i="512"/>
  <c r="J34" i="512"/>
  <c r="J35" i="512"/>
  <c r="J36" i="512"/>
  <c r="I8" i="512"/>
  <c r="I9" i="512"/>
  <c r="I10" i="512"/>
  <c r="I11" i="512"/>
  <c r="I12" i="512"/>
  <c r="I13" i="512"/>
  <c r="I14" i="512"/>
  <c r="I15" i="512"/>
  <c r="I16" i="512"/>
  <c r="I17" i="512"/>
  <c r="I18" i="512"/>
  <c r="I19" i="512"/>
  <c r="I20" i="512"/>
  <c r="I21" i="512"/>
  <c r="I22" i="512"/>
  <c r="I23" i="512"/>
  <c r="I24" i="512"/>
  <c r="I25" i="512"/>
  <c r="I26" i="512"/>
  <c r="I27" i="512"/>
  <c r="I28" i="512"/>
  <c r="I29" i="512"/>
  <c r="I30" i="512"/>
  <c r="I31" i="512"/>
  <c r="I32" i="512"/>
  <c r="I33" i="512"/>
  <c r="I34" i="512"/>
  <c r="I35" i="512"/>
  <c r="I36" i="512"/>
  <c r="I11" i="506"/>
  <c r="I14" i="506"/>
  <c r="I15" i="506"/>
  <c r="V8" i="504"/>
  <c r="V9" i="504"/>
  <c r="V10" i="504"/>
  <c r="V11" i="504"/>
  <c r="V12" i="504"/>
  <c r="V13" i="504"/>
  <c r="V14" i="504"/>
  <c r="V15" i="504"/>
  <c r="V16" i="504"/>
  <c r="V17" i="504"/>
  <c r="V18" i="504"/>
  <c r="V19" i="504"/>
  <c r="V20" i="504"/>
  <c r="V21" i="504"/>
  <c r="V22" i="504"/>
  <c r="V23" i="504"/>
  <c r="V24" i="504"/>
  <c r="V25" i="504"/>
  <c r="V26" i="504"/>
  <c r="V27" i="504"/>
  <c r="V28" i="504"/>
  <c r="V29" i="504"/>
  <c r="V30" i="504"/>
  <c r="V31" i="504"/>
  <c r="V32" i="504"/>
  <c r="V33" i="504"/>
  <c r="V34" i="504"/>
  <c r="V35" i="504"/>
  <c r="V36" i="504"/>
  <c r="V37" i="504"/>
  <c r="V38" i="504"/>
  <c r="V39" i="504"/>
  <c r="V40" i="504"/>
  <c r="M8" i="504"/>
  <c r="M9" i="504"/>
  <c r="M10" i="504"/>
  <c r="M11" i="504"/>
  <c r="M12" i="504"/>
  <c r="M13" i="504"/>
  <c r="M14" i="504"/>
  <c r="M15" i="504"/>
  <c r="M16" i="504"/>
  <c r="M17" i="504"/>
  <c r="M18" i="504"/>
  <c r="M19" i="504"/>
  <c r="M20" i="504"/>
  <c r="M21" i="504"/>
  <c r="M22" i="504"/>
  <c r="M23" i="504"/>
  <c r="M24" i="504"/>
  <c r="M25" i="504"/>
  <c r="M26" i="504"/>
  <c r="M27" i="504"/>
  <c r="M28" i="504"/>
  <c r="M29" i="504"/>
  <c r="M30" i="504"/>
  <c r="M31" i="504"/>
  <c r="M32" i="504"/>
  <c r="M33" i="504"/>
  <c r="M34" i="504"/>
  <c r="M35" i="504"/>
  <c r="M36" i="504"/>
  <c r="M37" i="504"/>
  <c r="M38" i="504"/>
  <c r="M39" i="504"/>
  <c r="M40" i="504"/>
  <c r="J8" i="504"/>
  <c r="J9" i="504"/>
  <c r="J10" i="504"/>
  <c r="J11" i="504"/>
  <c r="J12" i="504"/>
  <c r="J13" i="504"/>
  <c r="J14" i="504"/>
  <c r="J15" i="504"/>
  <c r="J16" i="504"/>
  <c r="J17" i="504"/>
  <c r="J18" i="504"/>
  <c r="J19" i="504"/>
  <c r="J20" i="504"/>
  <c r="J21" i="504"/>
  <c r="J22" i="504"/>
  <c r="J23" i="504"/>
  <c r="J24" i="504"/>
  <c r="J25" i="504"/>
  <c r="J26" i="504"/>
  <c r="J27" i="504"/>
  <c r="J28" i="504"/>
  <c r="J29" i="504"/>
  <c r="J30" i="504"/>
  <c r="J31" i="504"/>
  <c r="J32" i="504"/>
  <c r="J33" i="504"/>
  <c r="J34" i="504"/>
  <c r="J35" i="504"/>
  <c r="J36" i="504"/>
  <c r="J37" i="504"/>
  <c r="J38" i="504"/>
  <c r="J39" i="504"/>
  <c r="J40" i="504"/>
  <c r="I8" i="504"/>
  <c r="I9" i="504"/>
  <c r="I10" i="504"/>
  <c r="I11" i="504"/>
  <c r="I12" i="504"/>
  <c r="I13" i="504"/>
  <c r="I14" i="504"/>
  <c r="I15" i="504"/>
  <c r="I16" i="504"/>
  <c r="I17" i="504"/>
  <c r="I18" i="504"/>
  <c r="I19" i="504"/>
  <c r="I20" i="504"/>
  <c r="I21" i="504"/>
  <c r="I22" i="504"/>
  <c r="I23" i="504"/>
  <c r="I24" i="504"/>
  <c r="I25" i="504"/>
  <c r="I26" i="504"/>
  <c r="I27" i="504"/>
  <c r="I28" i="504"/>
  <c r="I29" i="504"/>
  <c r="I30" i="504"/>
  <c r="I31" i="504"/>
  <c r="I32" i="504"/>
  <c r="I33" i="504"/>
  <c r="I34" i="504"/>
  <c r="I35" i="504"/>
  <c r="I36" i="504"/>
  <c r="I37" i="504"/>
  <c r="I38" i="504"/>
  <c r="I39" i="504"/>
  <c r="I40" i="504"/>
  <c r="M19" i="481"/>
  <c r="I19" i="481"/>
  <c r="C11" i="535" l="1"/>
  <c r="AN20" i="528"/>
  <c r="AK20" i="528"/>
  <c r="AJ20" i="528"/>
  <c r="K8" i="520"/>
  <c r="K9" i="520"/>
  <c r="K11" i="520"/>
  <c r="AD8" i="528"/>
  <c r="AD9" i="528"/>
  <c r="AD10" i="528"/>
  <c r="AD11" i="528"/>
  <c r="AD12" i="528"/>
  <c r="AD13" i="528"/>
  <c r="AD14" i="528"/>
  <c r="AD15" i="528"/>
  <c r="AD16" i="528"/>
  <c r="AD17" i="528"/>
  <c r="AD18" i="528"/>
  <c r="AD19" i="528"/>
  <c r="M8" i="526" l="1"/>
  <c r="M10" i="526"/>
  <c r="M14" i="526"/>
  <c r="M22" i="526"/>
  <c r="S20" i="551" l="1"/>
  <c r="AK19" i="551"/>
  <c r="U19" i="551"/>
  <c r="T19" i="551"/>
  <c r="K18" i="530"/>
  <c r="V19" i="551" l="1"/>
  <c r="F18" i="528"/>
  <c r="V18" i="528" s="1"/>
  <c r="R15" i="558"/>
  <c r="S15" i="558" s="1"/>
  <c r="F17" i="528"/>
  <c r="F16" i="528"/>
  <c r="F15" i="528"/>
  <c r="F52" i="524"/>
  <c r="F51" i="524"/>
  <c r="F50" i="524"/>
  <c r="F15" i="510"/>
  <c r="F33" i="508"/>
  <c r="F32" i="508"/>
  <c r="F31" i="508"/>
  <c r="F13" i="506"/>
  <c r="F12" i="506"/>
  <c r="F26" i="504"/>
  <c r="F13" i="481"/>
  <c r="J31" i="508" l="1"/>
  <c r="I31" i="508"/>
  <c r="J32" i="508"/>
  <c r="I32" i="508"/>
  <c r="J33" i="508"/>
  <c r="I33" i="508"/>
  <c r="U15" i="510"/>
  <c r="V15" i="510" s="1"/>
  <c r="I15" i="510"/>
  <c r="J15" i="510"/>
  <c r="I13" i="506"/>
  <c r="I12" i="506"/>
  <c r="U13" i="481"/>
  <c r="L13" i="481"/>
  <c r="M13" i="481" s="1"/>
  <c r="J13" i="481"/>
  <c r="I13" i="481"/>
  <c r="AA18" i="528"/>
  <c r="AB18" i="528" s="1"/>
  <c r="I18" i="528"/>
  <c r="K18" i="528" s="1"/>
  <c r="M18" i="528"/>
  <c r="P18" i="528"/>
  <c r="Q18" i="528" s="1"/>
  <c r="S18" i="528"/>
  <c r="V11" i="518"/>
  <c r="AP11" i="519" s="1"/>
  <c r="AK10" i="553"/>
  <c r="U10" i="553"/>
  <c r="R10" i="553"/>
  <c r="S10" i="553" s="1"/>
  <c r="T10" i="553" s="1"/>
  <c r="K9" i="534"/>
  <c r="G10" i="533"/>
  <c r="AC9" i="533"/>
  <c r="U9" i="533"/>
  <c r="V9" i="533" s="1"/>
  <c r="R9" i="533"/>
  <c r="S9" i="533" s="1"/>
  <c r="O9" i="533"/>
  <c r="P9" i="533" s="1"/>
  <c r="L9" i="533"/>
  <c r="I9" i="533"/>
  <c r="F9" i="533"/>
  <c r="Z9" i="533" s="1"/>
  <c r="AA9" i="533" s="1"/>
  <c r="F8" i="481"/>
  <c r="G8" i="481"/>
  <c r="O8" i="481"/>
  <c r="P8" i="481" s="1"/>
  <c r="AC8" i="481"/>
  <c r="AF8" i="481"/>
  <c r="K8" i="502"/>
  <c r="S9" i="539"/>
  <c r="T9" i="539" s="1"/>
  <c r="U9" i="539"/>
  <c r="AK9" i="539"/>
  <c r="U8" i="481" l="1"/>
  <c r="L8" i="481"/>
  <c r="M8" i="481" s="1"/>
  <c r="J8" i="481"/>
  <c r="I8" i="481"/>
  <c r="R8" i="481"/>
  <c r="S8" i="481" s="1"/>
  <c r="V10" i="553"/>
  <c r="AL9" i="533"/>
  <c r="V9" i="539"/>
  <c r="AL18" i="528"/>
  <c r="T18" i="530" s="1"/>
  <c r="Z8" i="481"/>
  <c r="AA8" i="481" s="1"/>
  <c r="S19" i="557"/>
  <c r="R9" i="553"/>
  <c r="R11" i="553"/>
  <c r="S11" i="553" s="1"/>
  <c r="S8" i="545"/>
  <c r="R9" i="544"/>
  <c r="R10" i="544"/>
  <c r="R11" i="544"/>
  <c r="U8" i="502" l="1"/>
  <c r="V8" i="502" s="1"/>
  <c r="V18" i="530"/>
  <c r="W18" i="530" s="1"/>
  <c r="U18" i="530"/>
  <c r="AV9" i="533"/>
  <c r="T9" i="534"/>
  <c r="U9" i="534" s="1"/>
  <c r="AD39" i="506"/>
  <c r="AP8" i="481" l="1"/>
  <c r="F8" i="502"/>
  <c r="V9" i="534"/>
  <c r="F18" i="530" l="1"/>
  <c r="H18" i="530" s="1"/>
  <c r="L18" i="530" s="1"/>
  <c r="W9" i="534"/>
  <c r="H8" i="502"/>
  <c r="L8" i="502" s="1"/>
  <c r="F9" i="534"/>
  <c r="H9" i="534" s="1"/>
  <c r="L9" i="534" s="1"/>
  <c r="M9" i="534" s="1"/>
  <c r="N9" i="534" s="1"/>
  <c r="O9" i="534" s="1"/>
  <c r="M18" i="530" l="1"/>
  <c r="N18" i="530" s="1"/>
  <c r="P9" i="534"/>
  <c r="M8" i="502"/>
  <c r="N8" i="502" s="1"/>
  <c r="AQ9" i="533" l="1"/>
  <c r="O18" i="530"/>
  <c r="O8" i="502"/>
  <c r="P8" i="502" s="1"/>
  <c r="AO8" i="481" s="1"/>
  <c r="R8" i="553"/>
  <c r="S8" i="553" s="1"/>
  <c r="T8" i="553" s="1"/>
  <c r="U8" i="553"/>
  <c r="P18" i="530" l="1"/>
  <c r="AQ8" i="481"/>
  <c r="AF15" i="558"/>
  <c r="AS8" i="481" l="1"/>
  <c r="AR8" i="481" s="1"/>
  <c r="AN37" i="512"/>
  <c r="F23" i="504"/>
  <c r="AY8" i="481" l="1"/>
  <c r="AZ8" i="481" s="1"/>
  <c r="BB8" i="481"/>
  <c r="BC8" i="481" s="1"/>
  <c r="BD8" i="481" s="1"/>
  <c r="BA8" i="481"/>
  <c r="U15" i="542"/>
  <c r="S15" i="542"/>
  <c r="T15" i="542" s="1"/>
  <c r="V15" i="542" l="1"/>
  <c r="BE8" i="481"/>
  <c r="BF8" i="481" s="1"/>
  <c r="K14" i="509"/>
  <c r="AF14" i="508"/>
  <c r="AC14" i="508"/>
  <c r="G14" i="508"/>
  <c r="F14" i="508"/>
  <c r="U24" i="540"/>
  <c r="J14" i="508" l="1"/>
  <c r="I14" i="508"/>
  <c r="BG8" i="481"/>
  <c r="BH8" i="481" s="1"/>
  <c r="S24" i="540"/>
  <c r="T24" i="540" s="1"/>
  <c r="L14" i="508"/>
  <c r="M14" i="508" s="1"/>
  <c r="R14" i="508"/>
  <c r="S14" i="508" s="1"/>
  <c r="O14" i="508"/>
  <c r="P14" i="508" s="1"/>
  <c r="U14" i="508"/>
  <c r="Z14" i="508"/>
  <c r="AA14" i="508" s="1"/>
  <c r="V24" i="540" l="1"/>
  <c r="AL14" i="508"/>
  <c r="U14" i="509" s="1"/>
  <c r="K23" i="505"/>
  <c r="AF23" i="504"/>
  <c r="AC23" i="504"/>
  <c r="AA23" i="504"/>
  <c r="Z23" i="504"/>
  <c r="U23" i="504"/>
  <c r="R23" i="504"/>
  <c r="S23" i="504" s="1"/>
  <c r="O23" i="504"/>
  <c r="P23" i="504" s="1"/>
  <c r="L23" i="504"/>
  <c r="AL23" i="504" l="1"/>
  <c r="U23" i="505" s="1"/>
  <c r="V23" i="505" l="1"/>
  <c r="U26" i="545"/>
  <c r="K26" i="515"/>
  <c r="AD26" i="514"/>
  <c r="AK37" i="544"/>
  <c r="S37" i="544"/>
  <c r="K36" i="513"/>
  <c r="F36" i="512"/>
  <c r="Z36" i="512" s="1"/>
  <c r="AA36" i="512" s="1"/>
  <c r="U16" i="541"/>
  <c r="U15" i="541"/>
  <c r="K15" i="507"/>
  <c r="K14" i="507"/>
  <c r="AC15" i="506"/>
  <c r="Z15" i="506"/>
  <c r="AA15" i="506" s="1"/>
  <c r="U15" i="506"/>
  <c r="V15" i="506" s="1"/>
  <c r="R15" i="506"/>
  <c r="S15" i="506" s="1"/>
  <c r="O15" i="506"/>
  <c r="P15" i="506" s="1"/>
  <c r="L15" i="506"/>
  <c r="M15" i="506" s="1"/>
  <c r="AC14" i="506"/>
  <c r="Z14" i="506"/>
  <c r="AA14" i="506" s="1"/>
  <c r="U14" i="506"/>
  <c r="V14" i="506" s="1"/>
  <c r="R14" i="506"/>
  <c r="S14" i="506" s="1"/>
  <c r="O14" i="506"/>
  <c r="P14" i="506" s="1"/>
  <c r="L14" i="506"/>
  <c r="M14" i="506" s="1"/>
  <c r="F23" i="505" l="1"/>
  <c r="H23" i="505" s="1"/>
  <c r="L23" i="505" s="1"/>
  <c r="M23" i="505" s="1"/>
  <c r="N23" i="505" s="1"/>
  <c r="AP23" i="504"/>
  <c r="V26" i="514"/>
  <c r="I26" i="514"/>
  <c r="K26" i="514" s="1"/>
  <c r="AL14" i="506"/>
  <c r="V15" i="541"/>
  <c r="V16" i="541"/>
  <c r="AL15" i="506"/>
  <c r="O36" i="512"/>
  <c r="P36" i="512" s="1"/>
  <c r="U36" i="512"/>
  <c r="AA26" i="514"/>
  <c r="AB26" i="514" s="1"/>
  <c r="M26" i="514"/>
  <c r="N26" i="514" s="1"/>
  <c r="P26" i="514"/>
  <c r="Q26" i="514" s="1"/>
  <c r="S26" i="514"/>
  <c r="T26" i="514" s="1"/>
  <c r="L36" i="512"/>
  <c r="R36" i="512"/>
  <c r="S36" i="512" s="1"/>
  <c r="AL26" i="514" l="1"/>
  <c r="AL36" i="512"/>
  <c r="O23" i="505"/>
  <c r="P23" i="505" s="1"/>
  <c r="AV36" i="512"/>
  <c r="T26" i="515" l="1"/>
  <c r="U26" i="515" s="1"/>
  <c r="V26" i="515" s="1"/>
  <c r="W26" i="515" s="1"/>
  <c r="F26" i="515" s="1"/>
  <c r="H26" i="515" s="1"/>
  <c r="L26" i="515" s="1"/>
  <c r="M26" i="515" s="1"/>
  <c r="N26" i="515" s="1"/>
  <c r="AO23" i="504"/>
  <c r="AQ23" i="504" s="1"/>
  <c r="V36" i="513"/>
  <c r="U18" i="549"/>
  <c r="S18" i="549"/>
  <c r="K17" i="525"/>
  <c r="AP26" i="514" l="1"/>
  <c r="F36" i="513"/>
  <c r="H36" i="513" s="1"/>
  <c r="L36" i="513" s="1"/>
  <c r="M36" i="513" s="1"/>
  <c r="N36" i="513" s="1"/>
  <c r="AP36" i="512"/>
  <c r="O26" i="515"/>
  <c r="AD17" i="524"/>
  <c r="G17" i="524"/>
  <c r="F17" i="524"/>
  <c r="AA17" i="524" s="1"/>
  <c r="AB17" i="524" s="1"/>
  <c r="P26" i="515" l="1"/>
  <c r="AO26" i="514" s="1"/>
  <c r="AQ26" i="514" s="1"/>
  <c r="O36" i="513"/>
  <c r="P36" i="513" s="1"/>
  <c r="AO36" i="512" s="1"/>
  <c r="AQ36" i="512" s="1"/>
  <c r="I17" i="524"/>
  <c r="K17" i="524" s="1"/>
  <c r="M17" i="524"/>
  <c r="N17" i="524" s="1"/>
  <c r="P17" i="524"/>
  <c r="Q17" i="524" s="1"/>
  <c r="S17" i="524"/>
  <c r="T17" i="524" s="1"/>
  <c r="V17" i="524"/>
  <c r="W17" i="524" s="1"/>
  <c r="G22" i="526"/>
  <c r="AK23" i="550"/>
  <c r="U23" i="550"/>
  <c r="S23" i="550"/>
  <c r="T23" i="550" s="1"/>
  <c r="K22" i="527"/>
  <c r="AC22" i="526"/>
  <c r="F22" i="526"/>
  <c r="U22" i="526" s="1"/>
  <c r="S9" i="548"/>
  <c r="S10" i="548"/>
  <c r="S11" i="548"/>
  <c r="S12" i="548"/>
  <c r="AK9" i="548"/>
  <c r="U9" i="548"/>
  <c r="K8" i="523"/>
  <c r="G7" i="521"/>
  <c r="F7" i="521"/>
  <c r="J7" i="521"/>
  <c r="I7" i="521"/>
  <c r="L7" i="521"/>
  <c r="M7" i="521" s="1"/>
  <c r="O7" i="521"/>
  <c r="P7" i="521" s="1"/>
  <c r="R7" i="521"/>
  <c r="S7" i="521" s="1"/>
  <c r="U7" i="521"/>
  <c r="V7" i="521" s="1"/>
  <c r="AC7" i="521"/>
  <c r="AC8" i="521"/>
  <c r="G8" i="521"/>
  <c r="F8" i="521"/>
  <c r="Z8" i="521" s="1"/>
  <c r="AA8" i="521" s="1"/>
  <c r="F29" i="510"/>
  <c r="G29" i="510"/>
  <c r="U29" i="510" l="1"/>
  <c r="V29" i="510" s="1"/>
  <c r="I29" i="510"/>
  <c r="J29" i="510"/>
  <c r="AM17" i="524"/>
  <c r="T17" i="525" s="1"/>
  <c r="U17" i="525" s="1"/>
  <c r="V17" i="525" s="1"/>
  <c r="W17" i="525" s="1"/>
  <c r="Z22" i="526"/>
  <c r="AA22" i="526" s="1"/>
  <c r="I22" i="526"/>
  <c r="L22" i="526"/>
  <c r="O22" i="526"/>
  <c r="P22" i="526" s="1"/>
  <c r="R22" i="526"/>
  <c r="Z7" i="521"/>
  <c r="AA7" i="521" s="1"/>
  <c r="I8" i="521"/>
  <c r="L8" i="521"/>
  <c r="O8" i="521"/>
  <c r="P8" i="521" s="1"/>
  <c r="R8" i="521"/>
  <c r="S8" i="521" s="1"/>
  <c r="U8" i="521"/>
  <c r="AK8" i="521" l="1"/>
  <c r="AL22" i="526"/>
  <c r="AU7" i="521"/>
  <c r="AU8" i="521"/>
  <c r="R8" i="550"/>
  <c r="U11" i="506" l="1"/>
  <c r="V11" i="506" s="1"/>
  <c r="U12" i="506"/>
  <c r="V12" i="506" s="1"/>
  <c r="U13" i="506"/>
  <c r="V13" i="506" s="1"/>
  <c r="R11" i="506"/>
  <c r="R12" i="506"/>
  <c r="R13" i="506"/>
  <c r="O11" i="506"/>
  <c r="O12" i="506"/>
  <c r="O13" i="506"/>
  <c r="L11" i="506"/>
  <c r="M11" i="506" s="1"/>
  <c r="L12" i="506"/>
  <c r="M12" i="506" s="1"/>
  <c r="L13" i="506"/>
  <c r="M13" i="506" s="1"/>
  <c r="AE39" i="506" l="1"/>
  <c r="K8" i="525" l="1"/>
  <c r="K9" i="525"/>
  <c r="K10" i="525"/>
  <c r="K11" i="525"/>
  <c r="K12" i="525"/>
  <c r="K13" i="525"/>
  <c r="K14" i="525"/>
  <c r="K15" i="525"/>
  <c r="K16" i="525"/>
  <c r="K18" i="525"/>
  <c r="K19" i="525"/>
  <c r="K21" i="525"/>
  <c r="K22" i="525"/>
  <c r="K23" i="525"/>
  <c r="K24" i="525"/>
  <c r="K25" i="525"/>
  <c r="K26" i="525"/>
  <c r="K27" i="525"/>
  <c r="K28" i="525"/>
  <c r="K29" i="525"/>
  <c r="K30" i="525"/>
  <c r="K31" i="525"/>
  <c r="K32" i="525"/>
  <c r="K33" i="525"/>
  <c r="K34" i="525"/>
  <c r="K35" i="525"/>
  <c r="K36" i="525"/>
  <c r="K37" i="525"/>
  <c r="K38" i="525"/>
  <c r="K39" i="525"/>
  <c r="K40" i="525"/>
  <c r="K41" i="525"/>
  <c r="K42" i="525"/>
  <c r="K43" i="525"/>
  <c r="K44" i="525"/>
  <c r="K45" i="525"/>
  <c r="K46" i="525"/>
  <c r="K47" i="525"/>
  <c r="K48" i="525"/>
  <c r="K49" i="525"/>
  <c r="K50" i="525"/>
  <c r="K51" i="525"/>
  <c r="K52" i="525"/>
  <c r="S27" i="545"/>
  <c r="U14" i="549" l="1"/>
  <c r="U15" i="549"/>
  <c r="U16" i="549"/>
  <c r="U17" i="549"/>
  <c r="U19" i="549"/>
  <c r="U20" i="549"/>
  <c r="U22" i="549"/>
  <c r="U23" i="549"/>
  <c r="U24" i="549"/>
  <c r="U25" i="549"/>
  <c r="U26" i="549"/>
  <c r="U27" i="549"/>
  <c r="U28" i="549"/>
  <c r="U29" i="549"/>
  <c r="U30" i="549"/>
  <c r="U31" i="549"/>
  <c r="U32" i="549"/>
  <c r="U33" i="549"/>
  <c r="U34" i="549"/>
  <c r="U35" i="549"/>
  <c r="U36" i="549"/>
  <c r="U37" i="549"/>
  <c r="U38" i="549"/>
  <c r="U39" i="549"/>
  <c r="U40" i="549"/>
  <c r="U41" i="549"/>
  <c r="U42" i="549"/>
  <c r="U43" i="549"/>
  <c r="U44" i="549"/>
  <c r="U45" i="549"/>
  <c r="U46" i="549"/>
  <c r="U47" i="549"/>
  <c r="U48" i="549"/>
  <c r="U49" i="549"/>
  <c r="U50" i="549"/>
  <c r="U51" i="549"/>
  <c r="U52" i="549"/>
  <c r="U53" i="549"/>
  <c r="U9" i="540" l="1"/>
  <c r="U10" i="540"/>
  <c r="U11" i="540"/>
  <c r="U12" i="540"/>
  <c r="U13" i="540"/>
  <c r="U14" i="540"/>
  <c r="U15" i="540"/>
  <c r="U16" i="540"/>
  <c r="U17" i="540"/>
  <c r="U18" i="540"/>
  <c r="U19" i="540"/>
  <c r="U20" i="540"/>
  <c r="U21" i="540"/>
  <c r="U22" i="540"/>
  <c r="U23" i="540"/>
  <c r="U25" i="540"/>
  <c r="U26" i="540"/>
  <c r="U27" i="540"/>
  <c r="U28" i="540"/>
  <c r="U29" i="540"/>
  <c r="U30" i="540"/>
  <c r="U31" i="540"/>
  <c r="U32" i="540"/>
  <c r="U33" i="540"/>
  <c r="U34" i="540"/>
  <c r="U35" i="540"/>
  <c r="U36" i="540"/>
  <c r="U37" i="540"/>
  <c r="U38" i="540"/>
  <c r="U39" i="540"/>
  <c r="U40" i="540"/>
  <c r="U41" i="540"/>
  <c r="K14" i="505"/>
  <c r="S15" i="540"/>
  <c r="T15" i="540" s="1"/>
  <c r="AC14" i="504"/>
  <c r="G14" i="504"/>
  <c r="F14" i="504"/>
  <c r="Z14" i="504" s="1"/>
  <c r="AA14" i="504" s="1"/>
  <c r="V15" i="540" l="1"/>
  <c r="L14" i="504"/>
  <c r="O14" i="504"/>
  <c r="P14" i="504" s="1"/>
  <c r="R14" i="504"/>
  <c r="S14" i="504" s="1"/>
  <c r="U14" i="504"/>
  <c r="AL14" i="504" l="1"/>
  <c r="U14" i="505" s="1"/>
  <c r="AF27" i="506"/>
  <c r="V14" i="505" l="1"/>
  <c r="F48" i="524" l="1"/>
  <c r="K15" i="511"/>
  <c r="AC15" i="510"/>
  <c r="Z15" i="510"/>
  <c r="AA15" i="510" s="1"/>
  <c r="R15" i="510"/>
  <c r="S15" i="510" s="1"/>
  <c r="O15" i="510"/>
  <c r="P15" i="510" s="1"/>
  <c r="L15" i="510"/>
  <c r="M15" i="510" s="1"/>
  <c r="U32" i="542"/>
  <c r="U33" i="542"/>
  <c r="U34" i="542"/>
  <c r="U36" i="542"/>
  <c r="T32" i="542"/>
  <c r="T33" i="542"/>
  <c r="T34" i="542"/>
  <c r="K33" i="509"/>
  <c r="K32" i="509"/>
  <c r="K31" i="509"/>
  <c r="AC33" i="508"/>
  <c r="Z33" i="508"/>
  <c r="AA33" i="508" s="1"/>
  <c r="U33" i="508"/>
  <c r="R33" i="508"/>
  <c r="S33" i="508" s="1"/>
  <c r="O33" i="508"/>
  <c r="P33" i="508" s="1"/>
  <c r="L33" i="508"/>
  <c r="M33" i="508" s="1"/>
  <c r="AC32" i="508"/>
  <c r="Z32" i="508"/>
  <c r="AA32" i="508" s="1"/>
  <c r="U32" i="508"/>
  <c r="R32" i="508"/>
  <c r="S32" i="508" s="1"/>
  <c r="O32" i="508"/>
  <c r="P32" i="508" s="1"/>
  <c r="L32" i="508"/>
  <c r="M32" i="508" s="1"/>
  <c r="AC31" i="508"/>
  <c r="Z31" i="508"/>
  <c r="AA31" i="508" s="1"/>
  <c r="U31" i="508"/>
  <c r="R31" i="508"/>
  <c r="S31" i="508" s="1"/>
  <c r="O31" i="508"/>
  <c r="P31" i="508" s="1"/>
  <c r="L31" i="508"/>
  <c r="M31" i="508" s="1"/>
  <c r="U23" i="541"/>
  <c r="U13" i="541"/>
  <c r="U14" i="541"/>
  <c r="U17" i="541"/>
  <c r="U18" i="541"/>
  <c r="U19" i="541"/>
  <c r="U20" i="541"/>
  <c r="U21" i="541"/>
  <c r="U22" i="541"/>
  <c r="U24" i="541"/>
  <c r="U25" i="541"/>
  <c r="U26" i="541"/>
  <c r="U27" i="541"/>
  <c r="U28" i="541"/>
  <c r="U29" i="541"/>
  <c r="U30" i="541"/>
  <c r="U31" i="541"/>
  <c r="U32" i="541"/>
  <c r="U33" i="541"/>
  <c r="U34" i="541"/>
  <c r="U35" i="541"/>
  <c r="U36" i="541"/>
  <c r="U37" i="541"/>
  <c r="U38" i="541"/>
  <c r="U39" i="541"/>
  <c r="K13" i="507"/>
  <c r="K12" i="507"/>
  <c r="AC13" i="506"/>
  <c r="Z13" i="506"/>
  <c r="AA13" i="506" s="1"/>
  <c r="S13" i="506"/>
  <c r="P13" i="506"/>
  <c r="AC12" i="506"/>
  <c r="Z12" i="506"/>
  <c r="AA12" i="506" s="1"/>
  <c r="S12" i="506"/>
  <c r="P12" i="506"/>
  <c r="T27" i="540"/>
  <c r="K26" i="505"/>
  <c r="AC26" i="504"/>
  <c r="Z26" i="504"/>
  <c r="AA26" i="504" s="1"/>
  <c r="U26" i="504"/>
  <c r="R26" i="504"/>
  <c r="S26" i="504" s="1"/>
  <c r="O26" i="504"/>
  <c r="P26" i="504" s="1"/>
  <c r="L26" i="504"/>
  <c r="U14" i="539"/>
  <c r="T14" i="539"/>
  <c r="K13" i="502"/>
  <c r="AC13" i="481"/>
  <c r="Z13" i="481"/>
  <c r="AA13" i="481" s="1"/>
  <c r="R13" i="481"/>
  <c r="S13" i="481" s="1"/>
  <c r="O13" i="481"/>
  <c r="P13" i="481" s="1"/>
  <c r="AP14" i="504" l="1"/>
  <c r="F14" i="505"/>
  <c r="H14" i="505" s="1"/>
  <c r="L14" i="505" s="1"/>
  <c r="M14" i="505" s="1"/>
  <c r="N14" i="505" s="1"/>
  <c r="O14" i="505" s="1"/>
  <c r="P14" i="505" s="1"/>
  <c r="AL31" i="508"/>
  <c r="U31" i="509" s="1"/>
  <c r="AL33" i="508"/>
  <c r="U33" i="509" s="1"/>
  <c r="AL12" i="506"/>
  <c r="V34" i="542"/>
  <c r="V32" i="542"/>
  <c r="AL32" i="508"/>
  <c r="U32" i="509" s="1"/>
  <c r="V33" i="542"/>
  <c r="V14" i="541"/>
  <c r="V13" i="541"/>
  <c r="AL26" i="504"/>
  <c r="U26" i="505" s="1"/>
  <c r="V27" i="540"/>
  <c r="U13" i="502"/>
  <c r="V13" i="502" s="1"/>
  <c r="V14" i="539"/>
  <c r="AL13" i="506"/>
  <c r="T14" i="507"/>
  <c r="P15" i="528"/>
  <c r="P16" i="528"/>
  <c r="P17" i="528"/>
  <c r="P19" i="528"/>
  <c r="S15" i="528"/>
  <c r="S16" i="528"/>
  <c r="S17" i="528"/>
  <c r="S19" i="528"/>
  <c r="V15" i="528"/>
  <c r="V16" i="528"/>
  <c r="V17" i="528"/>
  <c r="V19" i="528"/>
  <c r="AA15" i="528"/>
  <c r="AA16" i="528"/>
  <c r="AA17" i="528"/>
  <c r="AA19" i="528"/>
  <c r="U9" i="551"/>
  <c r="U10" i="551"/>
  <c r="U11" i="551"/>
  <c r="U12" i="551"/>
  <c r="U13" i="551"/>
  <c r="U14" i="551"/>
  <c r="U15" i="551"/>
  <c r="U16" i="551"/>
  <c r="U17" i="551"/>
  <c r="U18" i="551"/>
  <c r="U20" i="551"/>
  <c r="T17" i="551"/>
  <c r="T18" i="551"/>
  <c r="T20" i="551"/>
  <c r="T16" i="551"/>
  <c r="AK15" i="551"/>
  <c r="S15" i="551"/>
  <c r="T15" i="551" s="1"/>
  <c r="AK14" i="551"/>
  <c r="S14" i="551"/>
  <c r="T14" i="551" s="1"/>
  <c r="AK13" i="551"/>
  <c r="S13" i="551"/>
  <c r="T13" i="551" s="1"/>
  <c r="AK12" i="551"/>
  <c r="S12" i="551"/>
  <c r="T12" i="551" s="1"/>
  <c r="AK11" i="551"/>
  <c r="S11" i="551"/>
  <c r="T11" i="551" s="1"/>
  <c r="K17" i="530"/>
  <c r="K14" i="530"/>
  <c r="K13" i="530"/>
  <c r="K12" i="530"/>
  <c r="K11" i="530"/>
  <c r="AO14" i="504" l="1"/>
  <c r="AQ14" i="504" s="1"/>
  <c r="AP13" i="481"/>
  <c r="F13" i="502"/>
  <c r="V14" i="507"/>
  <c r="V12" i="551"/>
  <c r="V14" i="551"/>
  <c r="V11" i="551"/>
  <c r="V13" i="551"/>
  <c r="V15" i="551"/>
  <c r="F14" i="528"/>
  <c r="F13" i="528"/>
  <c r="F12" i="528"/>
  <c r="G11" i="528"/>
  <c r="F11" i="528"/>
  <c r="G10" i="528"/>
  <c r="F10" i="528"/>
  <c r="S48" i="549"/>
  <c r="AP14" i="506" l="1"/>
  <c r="F14" i="507"/>
  <c r="H14" i="507" s="1"/>
  <c r="L14" i="507" s="1"/>
  <c r="M14" i="507" s="1"/>
  <c r="N14" i="507" s="1"/>
  <c r="P11" i="528"/>
  <c r="V11" i="528"/>
  <c r="S11" i="528"/>
  <c r="AA11" i="528"/>
  <c r="AB11" i="528" s="1"/>
  <c r="S10" i="528"/>
  <c r="AA10" i="528"/>
  <c r="AB10" i="528" s="1"/>
  <c r="P10" i="528"/>
  <c r="V10" i="528"/>
  <c r="S12" i="528"/>
  <c r="AA12" i="528"/>
  <c r="P12" i="528"/>
  <c r="V12" i="528"/>
  <c r="P13" i="528"/>
  <c r="Q13" i="528" s="1"/>
  <c r="V13" i="528"/>
  <c r="S13" i="528"/>
  <c r="AA13" i="528"/>
  <c r="AB13" i="528" s="1"/>
  <c r="S14" i="528"/>
  <c r="AA14" i="528"/>
  <c r="AB14" i="528" s="1"/>
  <c r="P14" i="528"/>
  <c r="V14" i="528"/>
  <c r="V33" i="509"/>
  <c r="V26" i="505"/>
  <c r="I13" i="528"/>
  <c r="K13" i="528" s="1"/>
  <c r="M13" i="528"/>
  <c r="I10" i="528"/>
  <c r="K10" i="528" s="1"/>
  <c r="M10" i="528"/>
  <c r="Q10" i="528"/>
  <c r="I11" i="528"/>
  <c r="K11" i="528" s="1"/>
  <c r="M11" i="528"/>
  <c r="Q11" i="528"/>
  <c r="AB12" i="528"/>
  <c r="I12" i="528"/>
  <c r="K12" i="528" s="1"/>
  <c r="M12" i="528"/>
  <c r="Q12" i="528"/>
  <c r="I14" i="528"/>
  <c r="K14" i="528" s="1"/>
  <c r="M14" i="528"/>
  <c r="Q14" i="528"/>
  <c r="AD48" i="524"/>
  <c r="AA48" i="524"/>
  <c r="AB48" i="524" s="1"/>
  <c r="AD47" i="524"/>
  <c r="F47" i="524"/>
  <c r="AA47" i="524" s="1"/>
  <c r="AB47" i="524" s="1"/>
  <c r="AP15" i="510" l="1"/>
  <c r="W33" i="509"/>
  <c r="AP33" i="508" s="1"/>
  <c r="AP26" i="504"/>
  <c r="F26" i="505"/>
  <c r="AL13" i="528"/>
  <c r="AL14" i="528"/>
  <c r="AL10" i="528"/>
  <c r="AL12" i="528"/>
  <c r="AL11" i="528"/>
  <c r="H13" i="502"/>
  <c r="L13" i="502" s="1"/>
  <c r="O14" i="507"/>
  <c r="S47" i="524"/>
  <c r="T47" i="524" s="1"/>
  <c r="M47" i="524"/>
  <c r="N47" i="524" s="1"/>
  <c r="I47" i="524"/>
  <c r="K47" i="524" s="1"/>
  <c r="P47" i="524"/>
  <c r="Q47" i="524" s="1"/>
  <c r="V47" i="524"/>
  <c r="W47" i="524" s="1"/>
  <c r="I48" i="524"/>
  <c r="K48" i="524" s="1"/>
  <c r="M48" i="524"/>
  <c r="N48" i="524" s="1"/>
  <c r="P48" i="524"/>
  <c r="Q48" i="524" s="1"/>
  <c r="S48" i="524"/>
  <c r="T48" i="524" s="1"/>
  <c r="V48" i="524"/>
  <c r="W48" i="524" s="1"/>
  <c r="T12" i="530" l="1"/>
  <c r="U12" i="530" s="1"/>
  <c r="T14" i="530"/>
  <c r="U14" i="530" s="1"/>
  <c r="T11" i="530"/>
  <c r="U11" i="530" s="1"/>
  <c r="T10" i="530"/>
  <c r="U10" i="530" s="1"/>
  <c r="T13" i="530"/>
  <c r="U13" i="530" s="1"/>
  <c r="F33" i="509"/>
  <c r="H33" i="509" s="1"/>
  <c r="L33" i="509" s="1"/>
  <c r="M33" i="509" s="1"/>
  <c r="N33" i="509" s="1"/>
  <c r="P14" i="507"/>
  <c r="AO14" i="506" s="1"/>
  <c r="AQ14" i="506" s="1"/>
  <c r="AM48" i="524"/>
  <c r="T48" i="525" s="1"/>
  <c r="U48" i="525" s="1"/>
  <c r="V48" i="525" s="1"/>
  <c r="W48" i="525" s="1"/>
  <c r="AM47" i="524"/>
  <c r="T47" i="525" s="1"/>
  <c r="U47" i="525" s="1"/>
  <c r="V47" i="525" s="1"/>
  <c r="W47" i="525" s="1"/>
  <c r="L15" i="511"/>
  <c r="H26" i="505"/>
  <c r="L26" i="505" s="1"/>
  <c r="M26" i="505" s="1"/>
  <c r="N26" i="505" s="1"/>
  <c r="O26" i="505" s="1"/>
  <c r="P26" i="505" s="1"/>
  <c r="M13" i="502"/>
  <c r="N13" i="502" s="1"/>
  <c r="V11" i="530" l="1"/>
  <c r="W11" i="530" s="1"/>
  <c r="O33" i="509"/>
  <c r="P33" i="509" s="1"/>
  <c r="AO33" i="508" s="1"/>
  <c r="V12" i="530"/>
  <c r="V10" i="530"/>
  <c r="O13" i="502"/>
  <c r="M15" i="511"/>
  <c r="N15" i="511" s="1"/>
  <c r="F12" i="530" l="1"/>
  <c r="W12" i="530"/>
  <c r="F10" i="530"/>
  <c r="W10" i="530"/>
  <c r="AO26" i="504"/>
  <c r="AQ26" i="504" s="1"/>
  <c r="AQ33" i="508"/>
  <c r="P13" i="502"/>
  <c r="AO13" i="481" s="1"/>
  <c r="O15" i="511"/>
  <c r="P15" i="511" s="1"/>
  <c r="F11" i="530" l="1"/>
  <c r="H11" i="530" s="1"/>
  <c r="L11" i="530" s="1"/>
  <c r="M11" i="530" s="1"/>
  <c r="N11" i="530" s="1"/>
  <c r="AO15" i="510"/>
  <c r="AQ15" i="510" s="1"/>
  <c r="AQ13" i="481"/>
  <c r="O11" i="530" l="1"/>
  <c r="P11" i="530" s="1"/>
  <c r="AS11" i="528" l="1"/>
  <c r="AV11" i="528" s="1"/>
  <c r="S15" i="557"/>
  <c r="S14" i="550"/>
  <c r="S35" i="543"/>
  <c r="S9" i="541"/>
  <c r="S10" i="541"/>
  <c r="S11" i="541"/>
  <c r="S17" i="541"/>
  <c r="S18" i="541"/>
  <c r="S19" i="541"/>
  <c r="S13" i="539"/>
  <c r="AR11" i="528" l="1"/>
  <c r="AY11" i="528" s="1"/>
  <c r="AZ11" i="528" s="1"/>
  <c r="BA11" i="528" s="1"/>
  <c r="AW11" i="528"/>
  <c r="AX11" i="528" s="1"/>
  <c r="BB11" i="528" l="1"/>
  <c r="BC11" i="528" s="1"/>
  <c r="BD11" i="528" s="1"/>
  <c r="BE11" i="528" l="1"/>
  <c r="AD19" i="558" l="1"/>
  <c r="G22" i="537" s="1"/>
  <c r="AE28" i="514" l="1"/>
  <c r="F27" i="514"/>
  <c r="I27" i="514" s="1"/>
  <c r="K27" i="514" s="1"/>
  <c r="U8" i="557" l="1"/>
  <c r="U9" i="553" l="1"/>
  <c r="U11" i="553"/>
  <c r="U10" i="539"/>
  <c r="U11" i="539"/>
  <c r="U12" i="539"/>
  <c r="U13" i="539"/>
  <c r="U20" i="539"/>
  <c r="U21" i="539"/>
  <c r="U22" i="539"/>
  <c r="U23" i="539"/>
  <c r="U24" i="539"/>
  <c r="U25" i="539"/>
  <c r="U26" i="539"/>
  <c r="U27" i="539"/>
  <c r="U28" i="539"/>
  <c r="U29" i="539"/>
  <c r="U30" i="539"/>
  <c r="U31" i="539"/>
  <c r="U32" i="539"/>
  <c r="U33" i="539"/>
  <c r="U34" i="539"/>
  <c r="U35" i="539"/>
  <c r="U36" i="539"/>
  <c r="U37" i="539"/>
  <c r="AC8" i="508" l="1"/>
  <c r="AC9" i="508"/>
  <c r="AC10" i="508"/>
  <c r="AC11" i="508"/>
  <c r="AC12" i="508"/>
  <c r="AC13" i="508"/>
  <c r="AC15" i="508"/>
  <c r="AC16" i="508"/>
  <c r="AC17" i="508"/>
  <c r="AC18" i="508"/>
  <c r="AC19" i="508"/>
  <c r="AC20" i="508"/>
  <c r="AC21" i="508"/>
  <c r="AC22" i="508"/>
  <c r="AC23" i="508"/>
  <c r="AC24" i="508"/>
  <c r="AC25" i="508"/>
  <c r="AC26" i="508"/>
  <c r="AC27" i="508"/>
  <c r="AC28" i="508"/>
  <c r="AC29" i="508"/>
  <c r="AC30" i="508"/>
  <c r="AC35" i="508"/>
  <c r="AC36" i="508"/>
  <c r="AC8" i="506" l="1"/>
  <c r="AC9" i="506"/>
  <c r="AC10" i="506"/>
  <c r="AC11" i="506"/>
  <c r="AC16" i="506"/>
  <c r="AC17" i="506"/>
  <c r="AC18" i="506"/>
  <c r="AC19" i="506"/>
  <c r="AC20" i="506"/>
  <c r="AC21" i="506"/>
  <c r="AC22" i="506"/>
  <c r="AC23" i="506"/>
  <c r="AC24" i="506"/>
  <c r="AC25" i="506"/>
  <c r="AC26" i="506"/>
  <c r="AC27" i="506"/>
  <c r="AC28" i="506"/>
  <c r="AC29" i="506"/>
  <c r="AC30" i="506"/>
  <c r="AC31" i="506"/>
  <c r="AC32" i="506"/>
  <c r="AC33" i="506"/>
  <c r="AC34" i="506"/>
  <c r="AC35" i="506"/>
  <c r="AC36" i="506"/>
  <c r="AC37" i="506"/>
  <c r="AC38" i="506"/>
  <c r="U9" i="541" l="1"/>
  <c r="U10" i="541"/>
  <c r="U11" i="541"/>
  <c r="U12" i="541"/>
  <c r="U8" i="541"/>
  <c r="K11" i="507"/>
  <c r="Z11" i="506"/>
  <c r="AA11" i="506" s="1"/>
  <c r="S11" i="506"/>
  <c r="P11" i="506"/>
  <c r="AC9" i="481"/>
  <c r="AC10" i="481"/>
  <c r="AC11" i="481"/>
  <c r="AC12" i="481"/>
  <c r="AC19" i="481"/>
  <c r="AC20" i="481"/>
  <c r="AC21" i="481"/>
  <c r="AC22" i="481"/>
  <c r="AC23" i="481"/>
  <c r="AC24" i="481"/>
  <c r="AC25" i="481"/>
  <c r="AC26" i="481"/>
  <c r="AC27" i="481"/>
  <c r="AC28" i="481"/>
  <c r="AC29" i="481"/>
  <c r="AC30" i="481"/>
  <c r="AC31" i="481"/>
  <c r="AC32" i="481"/>
  <c r="AC33" i="481"/>
  <c r="AC34" i="481"/>
  <c r="AC35" i="481"/>
  <c r="AC36" i="481"/>
  <c r="U25" i="545"/>
  <c r="K25" i="515"/>
  <c r="AD25" i="514"/>
  <c r="AA25" i="514"/>
  <c r="AB25" i="514" s="1"/>
  <c r="V25" i="514"/>
  <c r="S25" i="514"/>
  <c r="T25" i="514" s="1"/>
  <c r="P25" i="514"/>
  <c r="Q25" i="514" s="1"/>
  <c r="M25" i="514"/>
  <c r="N25" i="514" s="1"/>
  <c r="AL25" i="514" l="1"/>
  <c r="V12" i="541"/>
  <c r="AL11" i="506"/>
  <c r="AK33" i="539"/>
  <c r="AK34" i="539"/>
  <c r="AK35" i="539"/>
  <c r="AK36" i="539"/>
  <c r="AK37" i="539"/>
  <c r="T33" i="539"/>
  <c r="V33" i="539" s="1"/>
  <c r="K32" i="502"/>
  <c r="F32" i="481"/>
  <c r="T25" i="515" l="1"/>
  <c r="U25" i="515" s="1"/>
  <c r="V25" i="515" s="1"/>
  <c r="W25" i="515" s="1"/>
  <c r="F25" i="515" s="1"/>
  <c r="Z32" i="481"/>
  <c r="AA32" i="481" s="1"/>
  <c r="U32" i="481"/>
  <c r="L32" i="481"/>
  <c r="M32" i="481" s="1"/>
  <c r="J32" i="481"/>
  <c r="I32" i="481"/>
  <c r="R32" i="481"/>
  <c r="S32" i="481" s="1"/>
  <c r="O32" i="481"/>
  <c r="P32" i="481" s="1"/>
  <c r="S9" i="553"/>
  <c r="S24" i="545"/>
  <c r="S12" i="544"/>
  <c r="S33" i="544"/>
  <c r="T13" i="539"/>
  <c r="V13" i="539" s="1"/>
  <c r="U32" i="502" l="1"/>
  <c r="V32" i="502" s="1"/>
  <c r="W32" i="502" s="1"/>
  <c r="AI12" i="521"/>
  <c r="AP32" i="481" l="1"/>
  <c r="F32" i="502"/>
  <c r="AG41" i="504"/>
  <c r="H16" i="537" l="1"/>
  <c r="AN19" i="558" l="1"/>
  <c r="AG26" i="526"/>
  <c r="AO53" i="524"/>
  <c r="AN53" i="524"/>
  <c r="AL53" i="524"/>
  <c r="I17" i="537" s="1"/>
  <c r="AK53" i="524"/>
  <c r="H17" i="537" s="1"/>
  <c r="AD42" i="524"/>
  <c r="J53" i="524" l="1"/>
  <c r="U9" i="552" l="1"/>
  <c r="U10" i="552"/>
  <c r="U11" i="552"/>
  <c r="U12" i="552"/>
  <c r="U8" i="550"/>
  <c r="U9" i="550"/>
  <c r="U10" i="550"/>
  <c r="U11" i="550"/>
  <c r="U12" i="550"/>
  <c r="U13" i="550"/>
  <c r="U14" i="550"/>
  <c r="U15" i="550"/>
  <c r="U16" i="550"/>
  <c r="U17" i="550"/>
  <c r="U18" i="550"/>
  <c r="U19" i="550"/>
  <c r="U20" i="550"/>
  <c r="U21" i="550"/>
  <c r="U24" i="550"/>
  <c r="U25" i="550"/>
  <c r="U26" i="550"/>
  <c r="U10" i="548"/>
  <c r="U11" i="548"/>
  <c r="U12" i="548"/>
  <c r="U9" i="547"/>
  <c r="U10" i="547"/>
  <c r="U12" i="547"/>
  <c r="U9" i="546"/>
  <c r="U10" i="546"/>
  <c r="U11" i="546"/>
  <c r="U12" i="546"/>
  <c r="U13" i="546"/>
  <c r="U14" i="546"/>
  <c r="U8" i="545"/>
  <c r="U9" i="545"/>
  <c r="U10" i="545"/>
  <c r="U11" i="545"/>
  <c r="U12" i="545"/>
  <c r="U13" i="545"/>
  <c r="U14" i="545"/>
  <c r="U15" i="545"/>
  <c r="U16" i="545"/>
  <c r="U17" i="545"/>
  <c r="U18" i="545"/>
  <c r="U19" i="545"/>
  <c r="U20" i="545"/>
  <c r="U21" i="545"/>
  <c r="U22" i="545"/>
  <c r="U23" i="545"/>
  <c r="U27" i="545"/>
  <c r="U9" i="542"/>
  <c r="U10" i="542"/>
  <c r="U11" i="542"/>
  <c r="U12" i="542"/>
  <c r="U13" i="542"/>
  <c r="U14" i="542"/>
  <c r="U16" i="542"/>
  <c r="U17" i="542"/>
  <c r="U18" i="542"/>
  <c r="U19" i="542"/>
  <c r="U20" i="542"/>
  <c r="U21" i="542"/>
  <c r="U22" i="542"/>
  <c r="U23" i="542"/>
  <c r="U24" i="542"/>
  <c r="U25" i="542"/>
  <c r="U26" i="542"/>
  <c r="U27" i="542"/>
  <c r="U28" i="542"/>
  <c r="U29" i="542"/>
  <c r="U30" i="542"/>
  <c r="U31" i="542"/>
  <c r="U37" i="542"/>
  <c r="AK28" i="514" l="1"/>
  <c r="I13" i="537" s="1"/>
  <c r="AG27" i="514"/>
  <c r="AM12" i="531" l="1"/>
  <c r="AH53" i="524"/>
  <c r="AD50" i="524" l="1"/>
  <c r="V50" i="524"/>
  <c r="W50" i="524" s="1"/>
  <c r="AA50" i="524" l="1"/>
  <c r="AB50" i="524" s="1"/>
  <c r="I50" i="524"/>
  <c r="K50" i="524" s="1"/>
  <c r="M50" i="524"/>
  <c r="N50" i="524" s="1"/>
  <c r="P50" i="524"/>
  <c r="Q50" i="524" s="1"/>
  <c r="S50" i="524"/>
  <c r="T50" i="524" s="1"/>
  <c r="AM50" i="524" l="1"/>
  <c r="T50" i="525" s="1"/>
  <c r="U50" i="525" s="1"/>
  <c r="V50" i="525" s="1"/>
  <c r="W50" i="525" s="1"/>
  <c r="AG19" i="558"/>
  <c r="S15" i="550" l="1"/>
  <c r="S11" i="550"/>
  <c r="S24" i="549"/>
  <c r="S11" i="539"/>
  <c r="T11" i="539" s="1"/>
  <c r="V11" i="539" s="1"/>
  <c r="S12" i="539"/>
  <c r="T12" i="539" s="1"/>
  <c r="V12" i="539" s="1"/>
  <c r="T26" i="539"/>
  <c r="V26" i="539" s="1"/>
  <c r="AK8" i="550" l="1"/>
  <c r="AK9" i="550"/>
  <c r="AK10" i="550"/>
  <c r="AK11" i="550"/>
  <c r="AK12" i="550"/>
  <c r="AK13" i="550"/>
  <c r="AK14" i="550"/>
  <c r="AK15" i="550"/>
  <c r="AK16" i="550"/>
  <c r="AK17" i="550"/>
  <c r="AK18" i="550"/>
  <c r="AK19" i="550"/>
  <c r="AK20" i="550"/>
  <c r="AK21" i="550"/>
  <c r="AK24" i="550"/>
  <c r="AK25" i="550"/>
  <c r="AK26" i="550"/>
  <c r="T11" i="550"/>
  <c r="K10" i="527"/>
  <c r="AC10" i="526"/>
  <c r="F10" i="526"/>
  <c r="Z10" i="526" s="1"/>
  <c r="AA10" i="526" s="1"/>
  <c r="G10" i="526"/>
  <c r="F9" i="526"/>
  <c r="G9" i="526"/>
  <c r="AK21" i="541"/>
  <c r="S21" i="541"/>
  <c r="S22" i="541"/>
  <c r="AK22" i="541"/>
  <c r="K20" i="507"/>
  <c r="F20" i="506"/>
  <c r="G20" i="506"/>
  <c r="F27" i="506"/>
  <c r="AN35" i="510"/>
  <c r="I27" i="506" l="1"/>
  <c r="I20" i="506"/>
  <c r="V22" i="541"/>
  <c r="V21" i="541"/>
  <c r="R20" i="506"/>
  <c r="S20" i="506" s="1"/>
  <c r="L20" i="506"/>
  <c r="M20" i="506" s="1"/>
  <c r="U20" i="506"/>
  <c r="V20" i="506" s="1"/>
  <c r="O20" i="506"/>
  <c r="P20" i="506" s="1"/>
  <c r="U27" i="506"/>
  <c r="V27" i="506" s="1"/>
  <c r="O27" i="506"/>
  <c r="R27" i="506"/>
  <c r="L27" i="506"/>
  <c r="M27" i="506" s="1"/>
  <c r="Z20" i="506"/>
  <c r="AA20" i="506" s="1"/>
  <c r="I10" i="526"/>
  <c r="L10" i="526"/>
  <c r="O10" i="526"/>
  <c r="P10" i="526" s="1"/>
  <c r="R10" i="526"/>
  <c r="U10" i="526"/>
  <c r="AL10" i="526" l="1"/>
  <c r="AL20" i="506"/>
  <c r="T20" i="507" s="1"/>
  <c r="AF53" i="524"/>
  <c r="AE14" i="519"/>
  <c r="AE41" i="504"/>
  <c r="AE37" i="481"/>
  <c r="V20" i="507" l="1"/>
  <c r="AE53" i="524"/>
  <c r="G17" i="537" s="1"/>
  <c r="AP20" i="506" l="1"/>
  <c r="F20" i="507"/>
  <c r="H20" i="507" s="1"/>
  <c r="F30" i="508"/>
  <c r="F29" i="508"/>
  <c r="F28" i="508"/>
  <c r="F27" i="508"/>
  <c r="J28" i="508" l="1"/>
  <c r="I28" i="508"/>
  <c r="J27" i="508"/>
  <c r="I27" i="508"/>
  <c r="J29" i="508"/>
  <c r="I29" i="508"/>
  <c r="J30" i="508"/>
  <c r="I30" i="508"/>
  <c r="L20" i="507"/>
  <c r="M20" i="507" s="1"/>
  <c r="N20" i="507" s="1"/>
  <c r="U9" i="557"/>
  <c r="U10" i="557"/>
  <c r="U11" i="557"/>
  <c r="U12" i="557"/>
  <c r="U13" i="557"/>
  <c r="U14" i="557"/>
  <c r="U15" i="557"/>
  <c r="U17" i="557"/>
  <c r="U18" i="557"/>
  <c r="U19" i="557"/>
  <c r="S14" i="557"/>
  <c r="AC7" i="526"/>
  <c r="AC8" i="526"/>
  <c r="AC9" i="526"/>
  <c r="AC11" i="526"/>
  <c r="AC12" i="526"/>
  <c r="AC13" i="526"/>
  <c r="AC14" i="526"/>
  <c r="AC15" i="526"/>
  <c r="AC16" i="526"/>
  <c r="AC17" i="526"/>
  <c r="AC18" i="526"/>
  <c r="AC19" i="526"/>
  <c r="AC20" i="526"/>
  <c r="AC23" i="526"/>
  <c r="AC24" i="526"/>
  <c r="AC25" i="526"/>
  <c r="AD8" i="514"/>
  <c r="AD9" i="514"/>
  <c r="AD10" i="514"/>
  <c r="AD11" i="514"/>
  <c r="AD12" i="514"/>
  <c r="AD13" i="514"/>
  <c r="AD14" i="514"/>
  <c r="AD15" i="514"/>
  <c r="AD16" i="514"/>
  <c r="AD17" i="514"/>
  <c r="AD18" i="514"/>
  <c r="AD19" i="514"/>
  <c r="AD20" i="514"/>
  <c r="AD21" i="514"/>
  <c r="AD22" i="514"/>
  <c r="AD23" i="514"/>
  <c r="AD24" i="514"/>
  <c r="AD27" i="514"/>
  <c r="O20" i="507" l="1"/>
  <c r="P20" i="507" s="1"/>
  <c r="K12" i="559" l="1"/>
  <c r="AO20" i="506" l="1"/>
  <c r="AQ20" i="506" s="1"/>
  <c r="AD26" i="524" l="1"/>
  <c r="F26" i="524"/>
  <c r="AA26" i="524" s="1"/>
  <c r="AB26" i="524" s="1"/>
  <c r="I26" i="524" l="1"/>
  <c r="K26" i="524" s="1"/>
  <c r="M26" i="524"/>
  <c r="N26" i="524" s="1"/>
  <c r="P26" i="524"/>
  <c r="Q26" i="524" s="1"/>
  <c r="S26" i="524"/>
  <c r="T26" i="524" s="1"/>
  <c r="V26" i="524"/>
  <c r="W26" i="524" s="1"/>
  <c r="AM26" i="524" l="1"/>
  <c r="T26" i="525" s="1"/>
  <c r="U26" i="525" s="1"/>
  <c r="V26" i="525" s="1"/>
  <c r="W26" i="525" s="1"/>
  <c r="S19" i="550"/>
  <c r="S41" i="549"/>
  <c r="S42" i="549"/>
  <c r="S43" i="549"/>
  <c r="S44" i="549"/>
  <c r="S45" i="549"/>
  <c r="S46" i="549"/>
  <c r="S47" i="549"/>
  <c r="S14" i="544"/>
  <c r="S14" i="543"/>
  <c r="AN26" i="526"/>
  <c r="C16" i="535" l="1"/>
  <c r="F50" i="525" l="1"/>
  <c r="AQ50" i="524"/>
  <c r="AD52" i="524"/>
  <c r="AA52" i="524"/>
  <c r="AB52" i="524" s="1"/>
  <c r="V52" i="524"/>
  <c r="W52" i="524" s="1"/>
  <c r="S52" i="524"/>
  <c r="T52" i="524" s="1"/>
  <c r="P52" i="524"/>
  <c r="Q52" i="524" s="1"/>
  <c r="M52" i="524"/>
  <c r="N52" i="524" s="1"/>
  <c r="I52" i="524"/>
  <c r="K52" i="524" s="1"/>
  <c r="AD51" i="524"/>
  <c r="AA51" i="524"/>
  <c r="AB51" i="524" s="1"/>
  <c r="F48" i="525" l="1"/>
  <c r="AQ48" i="524"/>
  <c r="AM52" i="524"/>
  <c r="T52" i="525" s="1"/>
  <c r="U52" i="525" s="1"/>
  <c r="V52" i="525" s="1"/>
  <c r="W52" i="525" s="1"/>
  <c r="H50" i="525"/>
  <c r="L50" i="525" s="1"/>
  <c r="M50" i="525" s="1"/>
  <c r="I51" i="524"/>
  <c r="K51" i="524" s="1"/>
  <c r="M51" i="524"/>
  <c r="N51" i="524" s="1"/>
  <c r="P51" i="524"/>
  <c r="Q51" i="524" s="1"/>
  <c r="S51" i="524"/>
  <c r="T51" i="524" s="1"/>
  <c r="V51" i="524"/>
  <c r="W51" i="524" s="1"/>
  <c r="N50" i="525" l="1"/>
  <c r="O50" i="525" s="1"/>
  <c r="P50" i="525" s="1"/>
  <c r="AP50" i="524" s="1"/>
  <c r="AR50" i="524" s="1"/>
  <c r="AM51" i="524"/>
  <c r="T51" i="525" s="1"/>
  <c r="U51" i="525" s="1"/>
  <c r="V51" i="525" s="1"/>
  <c r="W51" i="525" s="1"/>
  <c r="H48" i="525"/>
  <c r="L48" i="525" s="1"/>
  <c r="M48" i="525" l="1"/>
  <c r="N48" i="525" s="1"/>
  <c r="F52" i="525" l="1"/>
  <c r="AQ52" i="524"/>
  <c r="O48" i="525"/>
  <c r="AQ51" i="524" l="1"/>
  <c r="F51" i="525"/>
  <c r="P48" i="525"/>
  <c r="AP48" i="524" s="1"/>
  <c r="AR48" i="524" s="1"/>
  <c r="H52" i="525"/>
  <c r="L52" i="525" s="1"/>
  <c r="M52" i="525" s="1"/>
  <c r="N52" i="525" s="1"/>
  <c r="H51" i="525" l="1"/>
  <c r="L51" i="525" s="1"/>
  <c r="M51" i="525" s="1"/>
  <c r="N51" i="525" s="1"/>
  <c r="O52" i="525"/>
  <c r="P52" i="525" s="1"/>
  <c r="O51" i="525" l="1"/>
  <c r="AP51" i="524" l="1"/>
  <c r="AR51" i="524" s="1"/>
  <c r="P51" i="525"/>
  <c r="AP52" i="524"/>
  <c r="AR52" i="524" s="1"/>
  <c r="AT52" i="524" s="1"/>
  <c r="AS52" i="524" s="1"/>
  <c r="BA52" i="524" s="1"/>
  <c r="BB52" i="524" s="1"/>
  <c r="BC52" i="524" s="1"/>
  <c r="AX52" i="524" l="1"/>
  <c r="AY52" i="524" s="1"/>
  <c r="AZ52" i="524" s="1"/>
  <c r="BD52" i="524"/>
  <c r="BE52" i="524" s="1"/>
  <c r="BF52" i="524" s="1"/>
  <c r="BG52" i="524" s="1"/>
  <c r="K7" i="511"/>
  <c r="S26" i="542" l="1"/>
  <c r="T15" i="550" l="1"/>
  <c r="K24" i="515"/>
  <c r="AK24" i="545"/>
  <c r="F24" i="514"/>
  <c r="K14" i="527"/>
  <c r="Z14" i="526"/>
  <c r="AA14" i="526" s="1"/>
  <c r="U14" i="526"/>
  <c r="R14" i="526"/>
  <c r="O14" i="526"/>
  <c r="P14" i="526" s="1"/>
  <c r="L14" i="526"/>
  <c r="I14" i="526"/>
  <c r="T14" i="550"/>
  <c r="T19" i="550"/>
  <c r="V24" i="514" l="1"/>
  <c r="I24" i="514"/>
  <c r="K24" i="514" s="1"/>
  <c r="AL14" i="526"/>
  <c r="AA24" i="514"/>
  <c r="AB24" i="514" s="1"/>
  <c r="M24" i="514"/>
  <c r="N24" i="514" s="1"/>
  <c r="P24" i="514"/>
  <c r="Q24" i="514" s="1"/>
  <c r="S24" i="514"/>
  <c r="T24" i="514" s="1"/>
  <c r="AE12" i="531"/>
  <c r="AE12" i="516"/>
  <c r="T14" i="527" l="1"/>
  <c r="U14" i="527" s="1"/>
  <c r="AL24" i="514"/>
  <c r="V14" i="527"/>
  <c r="AP14" i="526" l="1"/>
  <c r="W14" i="527"/>
  <c r="F14" i="527" s="1"/>
  <c r="T24" i="515"/>
  <c r="U24" i="515" s="1"/>
  <c r="V24" i="515" s="1"/>
  <c r="W24" i="515" s="1"/>
  <c r="F24" i="515" s="1"/>
  <c r="K34" i="513"/>
  <c r="F34" i="512"/>
  <c r="Z34" i="512" s="1"/>
  <c r="AA34" i="512" s="1"/>
  <c r="R34" i="512"/>
  <c r="S34" i="512" s="1"/>
  <c r="L34" i="512"/>
  <c r="G34" i="512"/>
  <c r="H14" i="527" l="1"/>
  <c r="L14" i="527" s="1"/>
  <c r="S35" i="544"/>
  <c r="O34" i="512"/>
  <c r="P34" i="512" s="1"/>
  <c r="U34" i="512"/>
  <c r="AL34" i="512" l="1"/>
  <c r="M14" i="527"/>
  <c r="N14" i="527" s="1"/>
  <c r="O14" i="527" l="1"/>
  <c r="P14" i="527" s="1"/>
  <c r="AO14" i="526" l="1"/>
  <c r="V34" i="513"/>
  <c r="AP34" i="512" s="1"/>
  <c r="AN14" i="519"/>
  <c r="AQ14" i="526" l="1"/>
  <c r="F34" i="513"/>
  <c r="H34" i="513" s="1"/>
  <c r="L34" i="513" s="1"/>
  <c r="M34" i="513" s="1"/>
  <c r="N34" i="513" s="1"/>
  <c r="O34" i="513" l="1"/>
  <c r="P34" i="513" s="1"/>
  <c r="AO34" i="512" s="1"/>
  <c r="AD49" i="524"/>
  <c r="AA49" i="524"/>
  <c r="AB49" i="524" s="1"/>
  <c r="AQ34" i="512" l="1"/>
  <c r="I49" i="524"/>
  <c r="K49" i="524" s="1"/>
  <c r="M49" i="524"/>
  <c r="N49" i="524" s="1"/>
  <c r="P49" i="524"/>
  <c r="Q49" i="524" s="1"/>
  <c r="S49" i="524"/>
  <c r="T49" i="524" s="1"/>
  <c r="V49" i="524"/>
  <c r="W49" i="524" s="1"/>
  <c r="AM49" i="524" l="1"/>
  <c r="T49" i="525" s="1"/>
  <c r="U49" i="525" s="1"/>
  <c r="V49" i="525" s="1"/>
  <c r="W49" i="525" s="1"/>
  <c r="K25" i="509" l="1"/>
  <c r="F25" i="508"/>
  <c r="AQ49" i="524" l="1"/>
  <c r="F49" i="525"/>
  <c r="Z25" i="508"/>
  <c r="AA25" i="508" s="1"/>
  <c r="J25" i="508"/>
  <c r="I25" i="508"/>
  <c r="O25" i="508"/>
  <c r="P25" i="508" s="1"/>
  <c r="U25" i="508"/>
  <c r="L25" i="508"/>
  <c r="M25" i="508" s="1"/>
  <c r="R25" i="508"/>
  <c r="S25" i="508" s="1"/>
  <c r="T26" i="542"/>
  <c r="K25" i="502"/>
  <c r="G25" i="481"/>
  <c r="F25" i="481"/>
  <c r="U25" i="481" l="1"/>
  <c r="L25" i="481"/>
  <c r="M25" i="481" s="1"/>
  <c r="J25" i="481"/>
  <c r="I25" i="481"/>
  <c r="AL25" i="508"/>
  <c r="V26" i="542"/>
  <c r="H49" i="525"/>
  <c r="L49" i="525" s="1"/>
  <c r="M49" i="525" s="1"/>
  <c r="N49" i="525" s="1"/>
  <c r="O25" i="481"/>
  <c r="P25" i="481" s="1"/>
  <c r="R25" i="481"/>
  <c r="S25" i="481" s="1"/>
  <c r="Z25" i="481"/>
  <c r="AA25" i="481" s="1"/>
  <c r="T25" i="509" l="1"/>
  <c r="U25" i="509" s="1"/>
  <c r="U25" i="502"/>
  <c r="V25" i="502" s="1"/>
  <c r="O49" i="525"/>
  <c r="P49" i="525" l="1"/>
  <c r="AP49" i="524" s="1"/>
  <c r="AR49" i="524" s="1"/>
  <c r="AP25" i="481"/>
  <c r="F25" i="502"/>
  <c r="F13" i="504" l="1"/>
  <c r="S14" i="540"/>
  <c r="T14" i="540" s="1"/>
  <c r="K13" i="505"/>
  <c r="AC13" i="504"/>
  <c r="Z13" i="504"/>
  <c r="AA13" i="504" s="1"/>
  <c r="U13" i="504"/>
  <c r="R13" i="504"/>
  <c r="S13" i="504" s="1"/>
  <c r="O13" i="504"/>
  <c r="P13" i="504" s="1"/>
  <c r="L13" i="504"/>
  <c r="K9" i="509"/>
  <c r="F9" i="508"/>
  <c r="G9" i="508"/>
  <c r="S10" i="542"/>
  <c r="T10" i="542" s="1"/>
  <c r="J9" i="508" l="1"/>
  <c r="I9" i="508"/>
  <c r="V10" i="542"/>
  <c r="V14" i="540"/>
  <c r="AL13" i="504"/>
  <c r="U13" i="505" s="1"/>
  <c r="L9" i="508"/>
  <c r="M9" i="508" s="1"/>
  <c r="Z9" i="508"/>
  <c r="AA9" i="508" s="1"/>
  <c r="U9" i="508"/>
  <c r="R9" i="508"/>
  <c r="S9" i="508" s="1"/>
  <c r="O9" i="508"/>
  <c r="P9" i="508" s="1"/>
  <c r="AL9" i="508" l="1"/>
  <c r="U9" i="509" s="1"/>
  <c r="AV9" i="508"/>
  <c r="H25" i="502" l="1"/>
  <c r="L25" i="502" s="1"/>
  <c r="M25" i="502" s="1"/>
  <c r="N25" i="502" s="1"/>
  <c r="V9" i="509"/>
  <c r="W9" i="509" s="1"/>
  <c r="AP9" i="508" s="1"/>
  <c r="V13" i="505"/>
  <c r="F13" i="505" l="1"/>
  <c r="H13" i="505" s="1"/>
  <c r="L13" i="505" s="1"/>
  <c r="M13" i="505" s="1"/>
  <c r="N13" i="505" s="1"/>
  <c r="AP13" i="504"/>
  <c r="O25" i="502"/>
  <c r="F9" i="509" l="1"/>
  <c r="H9" i="509" s="1"/>
  <c r="L9" i="509" s="1"/>
  <c r="M9" i="509" s="1"/>
  <c r="N9" i="509" s="1"/>
  <c r="P25" i="502"/>
  <c r="AO25" i="481" s="1"/>
  <c r="O13" i="505"/>
  <c r="P13" i="505" s="1"/>
  <c r="AQ25" i="481" l="1"/>
  <c r="O9" i="509"/>
  <c r="P9" i="509" s="1"/>
  <c r="AO9" i="508" s="1"/>
  <c r="AO13" i="504" l="1"/>
  <c r="AQ13" i="504" s="1"/>
  <c r="K8" i="527"/>
  <c r="S9" i="550"/>
  <c r="T9" i="550" s="1"/>
  <c r="Z8" i="526"/>
  <c r="AA8" i="526" s="1"/>
  <c r="U8" i="526"/>
  <c r="R8" i="526"/>
  <c r="O8" i="526"/>
  <c r="P8" i="526" s="1"/>
  <c r="L8" i="526"/>
  <c r="I8" i="526"/>
  <c r="G8" i="526"/>
  <c r="S18" i="557"/>
  <c r="T11" i="540"/>
  <c r="T33" i="540"/>
  <c r="AL8" i="526" l="1"/>
  <c r="V33" i="540"/>
  <c r="V11" i="540"/>
  <c r="AK9" i="551"/>
  <c r="AK10" i="551"/>
  <c r="AK16" i="551"/>
  <c r="AK17" i="551"/>
  <c r="AK18" i="551"/>
  <c r="AK20" i="551"/>
  <c r="AK8" i="551"/>
  <c r="AL9" i="547"/>
  <c r="AL10" i="547"/>
  <c r="AL12" i="547"/>
  <c r="AL8" i="547"/>
  <c r="AK9" i="541"/>
  <c r="AK10" i="541"/>
  <c r="AK11" i="541"/>
  <c r="AK17" i="541"/>
  <c r="AK18" i="541"/>
  <c r="AK19" i="541"/>
  <c r="AK20" i="541"/>
  <c r="AK23" i="541"/>
  <c r="AK24" i="541"/>
  <c r="AK25" i="541"/>
  <c r="AK26" i="541"/>
  <c r="AK27" i="541"/>
  <c r="AK28" i="541"/>
  <c r="AK29" i="541"/>
  <c r="AK30" i="541"/>
  <c r="AK31" i="541"/>
  <c r="AK32" i="541"/>
  <c r="AK33" i="541"/>
  <c r="AK34" i="541"/>
  <c r="AK35" i="541"/>
  <c r="AK36" i="541"/>
  <c r="AK37" i="541"/>
  <c r="AK38" i="541"/>
  <c r="AK39" i="541"/>
  <c r="AK8" i="541"/>
  <c r="AK8" i="553"/>
  <c r="AK9" i="553"/>
  <c r="AK11" i="553"/>
  <c r="AK8" i="552"/>
  <c r="AK9" i="552"/>
  <c r="AK10" i="552"/>
  <c r="AK11" i="552"/>
  <c r="AK12" i="552"/>
  <c r="AK8" i="549"/>
  <c r="AK10" i="548"/>
  <c r="AK11" i="548"/>
  <c r="AK12" i="548"/>
  <c r="AK9" i="546"/>
  <c r="AK10" i="546"/>
  <c r="AK11" i="546"/>
  <c r="AK12" i="546"/>
  <c r="AK13" i="546"/>
  <c r="AK14" i="546"/>
  <c r="AK8" i="546"/>
  <c r="AK8" i="545"/>
  <c r="AK9" i="545"/>
  <c r="AK10" i="545"/>
  <c r="AK11" i="545"/>
  <c r="AK12" i="545"/>
  <c r="AK13" i="545"/>
  <c r="AK14" i="545"/>
  <c r="AK15" i="545"/>
  <c r="AK16" i="545"/>
  <c r="AK17" i="545"/>
  <c r="AK18" i="545"/>
  <c r="AK19" i="545"/>
  <c r="AK20" i="545"/>
  <c r="AK21" i="545"/>
  <c r="AK22" i="545"/>
  <c r="AK23" i="545"/>
  <c r="AK27" i="545"/>
  <c r="AK7" i="545"/>
  <c r="AK9" i="544"/>
  <c r="AK10" i="544"/>
  <c r="AK11" i="544"/>
  <c r="AK12" i="544"/>
  <c r="AK13" i="544"/>
  <c r="AK14" i="544"/>
  <c r="AK15" i="544"/>
  <c r="AK16" i="544"/>
  <c r="AK17" i="544"/>
  <c r="AK18" i="544"/>
  <c r="AK19" i="544"/>
  <c r="AK20" i="544"/>
  <c r="AK21" i="544"/>
  <c r="AK22" i="544"/>
  <c r="AK23" i="544"/>
  <c r="AK24" i="544"/>
  <c r="AK25" i="544"/>
  <c r="AK26" i="544"/>
  <c r="AK27" i="544"/>
  <c r="AK28" i="544"/>
  <c r="AK29" i="544"/>
  <c r="AK30" i="544"/>
  <c r="AK31" i="544"/>
  <c r="AK32" i="544"/>
  <c r="AK33" i="544"/>
  <c r="AK34" i="544"/>
  <c r="AK36" i="544"/>
  <c r="AK8" i="544"/>
  <c r="AK9" i="543"/>
  <c r="AK10" i="543"/>
  <c r="AK11" i="543"/>
  <c r="AK12" i="543"/>
  <c r="AK13" i="543"/>
  <c r="AK14" i="543"/>
  <c r="AK15" i="543"/>
  <c r="AK18" i="543"/>
  <c r="AK19" i="543"/>
  <c r="AK20" i="543"/>
  <c r="AK21" i="543"/>
  <c r="AK22" i="543"/>
  <c r="AK23" i="543"/>
  <c r="AK24" i="543"/>
  <c r="AK25" i="543"/>
  <c r="AK26" i="543"/>
  <c r="AK27" i="543"/>
  <c r="AK28" i="543"/>
  <c r="AK29" i="543"/>
  <c r="AK30" i="543"/>
  <c r="AK31" i="543"/>
  <c r="AK32" i="543"/>
  <c r="AK33" i="543"/>
  <c r="AK34" i="543"/>
  <c r="AK35" i="543"/>
  <c r="AK8" i="543"/>
  <c r="AK9" i="540"/>
  <c r="AK10" i="540"/>
  <c r="AK11" i="540"/>
  <c r="AK12" i="540"/>
  <c r="AK13" i="540"/>
  <c r="AK16" i="540"/>
  <c r="AK17" i="540"/>
  <c r="AK18" i="540"/>
  <c r="AK19" i="540"/>
  <c r="AK20" i="540"/>
  <c r="AK21" i="540"/>
  <c r="AK22" i="540"/>
  <c r="AK23" i="540"/>
  <c r="AK25" i="540"/>
  <c r="AK26" i="540"/>
  <c r="AK28" i="540"/>
  <c r="AK29" i="540"/>
  <c r="AK30" i="540"/>
  <c r="AK31" i="540"/>
  <c r="AK32" i="540"/>
  <c r="AK33" i="540"/>
  <c r="AK34" i="540"/>
  <c r="AK35" i="540"/>
  <c r="AK36" i="540"/>
  <c r="AK37" i="540"/>
  <c r="AK38" i="540"/>
  <c r="AK39" i="540"/>
  <c r="AK40" i="540"/>
  <c r="AK41" i="540"/>
  <c r="AK8" i="540"/>
  <c r="AK10" i="539"/>
  <c r="AK11" i="539"/>
  <c r="AK12" i="539"/>
  <c r="AK13" i="539"/>
  <c r="AK20" i="539"/>
  <c r="AK21" i="539"/>
  <c r="AK22" i="539"/>
  <c r="AK23" i="539"/>
  <c r="AK24" i="539"/>
  <c r="AK25" i="539"/>
  <c r="AK27" i="539"/>
  <c r="AK28" i="539"/>
  <c r="AK29" i="539"/>
  <c r="AK30" i="539"/>
  <c r="AK32" i="539"/>
  <c r="AK8" i="539"/>
  <c r="T8" i="527" l="1"/>
  <c r="U8" i="527" s="1"/>
  <c r="AQ9" i="508"/>
  <c r="AC9" i="521"/>
  <c r="AC10" i="521"/>
  <c r="AC11" i="521"/>
  <c r="AS9" i="508" l="1"/>
  <c r="AW9" i="508" s="1"/>
  <c r="AX9" i="508" s="1"/>
  <c r="AY9" i="508" s="1"/>
  <c r="V8" i="527"/>
  <c r="W8" i="527" l="1"/>
  <c r="F8" i="527" s="1"/>
  <c r="AR9" i="508"/>
  <c r="AZ9" i="508" s="1"/>
  <c r="BA9" i="508" s="1"/>
  <c r="F7" i="526"/>
  <c r="AP8" i="526" l="1"/>
  <c r="BB9" i="508"/>
  <c r="BC9" i="508" s="1"/>
  <c r="BD9" i="508" s="1"/>
  <c r="AC7" i="504"/>
  <c r="AC8" i="504"/>
  <c r="AC9" i="504"/>
  <c r="AC10" i="504"/>
  <c r="AC11" i="504"/>
  <c r="AC12" i="504"/>
  <c r="AC15" i="504"/>
  <c r="AC16" i="504"/>
  <c r="AC17" i="504"/>
  <c r="AC18" i="504"/>
  <c r="AC19" i="504"/>
  <c r="AC20" i="504"/>
  <c r="AC21" i="504"/>
  <c r="AC22" i="504"/>
  <c r="AC24" i="504"/>
  <c r="AC25" i="504"/>
  <c r="AC27" i="504"/>
  <c r="AC28" i="504"/>
  <c r="AC29" i="504"/>
  <c r="AC30" i="504"/>
  <c r="AC31" i="504"/>
  <c r="AC32" i="504"/>
  <c r="AC33" i="504"/>
  <c r="AC34" i="504"/>
  <c r="AC35" i="504"/>
  <c r="AC36" i="504"/>
  <c r="AC37" i="504"/>
  <c r="AC38" i="504"/>
  <c r="AC39" i="504"/>
  <c r="AC40" i="504"/>
  <c r="S36" i="541"/>
  <c r="V36" i="541" l="1"/>
  <c r="BE9" i="508"/>
  <c r="BF9" i="508" s="1"/>
  <c r="F35" i="506"/>
  <c r="K35" i="507"/>
  <c r="I35" i="506" l="1"/>
  <c r="Z35" i="506"/>
  <c r="AA35" i="506" s="1"/>
  <c r="U35" i="506"/>
  <c r="V35" i="506" s="1"/>
  <c r="O35" i="506"/>
  <c r="P35" i="506" s="1"/>
  <c r="R35" i="506"/>
  <c r="S35" i="506" s="1"/>
  <c r="L35" i="506"/>
  <c r="M35" i="506" s="1"/>
  <c r="AL35" i="506" l="1"/>
  <c r="S10" i="547"/>
  <c r="T10" i="547" s="1"/>
  <c r="AC9" i="516"/>
  <c r="G9" i="516"/>
  <c r="F9" i="516"/>
  <c r="T35" i="507" l="1"/>
  <c r="U35" i="507" s="1"/>
  <c r="U9" i="516"/>
  <c r="Z9" i="516"/>
  <c r="AA9" i="516" s="1"/>
  <c r="I9" i="516"/>
  <c r="L9" i="516"/>
  <c r="O9" i="516"/>
  <c r="P9" i="516" s="1"/>
  <c r="R9" i="516"/>
  <c r="AK9" i="516" l="1"/>
  <c r="T9" i="520" l="1"/>
  <c r="U9" i="520" s="1"/>
  <c r="V9" i="520" s="1"/>
  <c r="W9" i="520" s="1"/>
  <c r="F9" i="520" s="1"/>
  <c r="T28" i="542"/>
  <c r="T29" i="542"/>
  <c r="T30" i="542"/>
  <c r="T31" i="542"/>
  <c r="K30" i="509"/>
  <c r="K29" i="509"/>
  <c r="K28" i="509"/>
  <c r="K27" i="509"/>
  <c r="Z30" i="508"/>
  <c r="AA30" i="508" s="1"/>
  <c r="U30" i="508"/>
  <c r="R30" i="508"/>
  <c r="S30" i="508" s="1"/>
  <c r="O30" i="508"/>
  <c r="P30" i="508" s="1"/>
  <c r="L30" i="508"/>
  <c r="M30" i="508" s="1"/>
  <c r="Z29" i="508"/>
  <c r="AA29" i="508" s="1"/>
  <c r="U29" i="508"/>
  <c r="R29" i="508"/>
  <c r="S29" i="508" s="1"/>
  <c r="O29" i="508"/>
  <c r="P29" i="508" s="1"/>
  <c r="L29" i="508"/>
  <c r="M29" i="508" s="1"/>
  <c r="Z28" i="508"/>
  <c r="AA28" i="508" s="1"/>
  <c r="U28" i="508"/>
  <c r="R28" i="508"/>
  <c r="S28" i="508" s="1"/>
  <c r="O28" i="508"/>
  <c r="P28" i="508" s="1"/>
  <c r="L28" i="508"/>
  <c r="M28" i="508" s="1"/>
  <c r="Z27" i="508"/>
  <c r="AA27" i="508" s="1"/>
  <c r="U27" i="508"/>
  <c r="R27" i="508"/>
  <c r="S27" i="508" s="1"/>
  <c r="O27" i="508"/>
  <c r="P27" i="508" s="1"/>
  <c r="L27" i="508"/>
  <c r="M27" i="508" s="1"/>
  <c r="AO9" i="516" l="1"/>
  <c r="AL29" i="508"/>
  <c r="V30" i="542"/>
  <c r="V28" i="542"/>
  <c r="AL30" i="508"/>
  <c r="V31" i="542"/>
  <c r="AL28" i="508"/>
  <c r="V29" i="542"/>
  <c r="AL27" i="508"/>
  <c r="T30" i="509" l="1"/>
  <c r="U30" i="509" s="1"/>
  <c r="T29" i="509"/>
  <c r="U29" i="509" s="1"/>
  <c r="T28" i="509"/>
  <c r="U28" i="509" s="1"/>
  <c r="U27" i="509"/>
  <c r="T27" i="509"/>
  <c r="H9" i="520"/>
  <c r="L9" i="520" l="1"/>
  <c r="V29" i="509"/>
  <c r="V30" i="509"/>
  <c r="V28" i="509"/>
  <c r="O9" i="520" l="1"/>
  <c r="M9" i="520"/>
  <c r="N9" i="520" s="1"/>
  <c r="W28" i="509"/>
  <c r="AP28" i="508" s="1"/>
  <c r="F29" i="509"/>
  <c r="W29" i="509"/>
  <c r="AP29" i="508" s="1"/>
  <c r="W30" i="509"/>
  <c r="AP30" i="508" s="1"/>
  <c r="F30" i="509" l="1"/>
  <c r="F28" i="509"/>
  <c r="H28" i="509" s="1"/>
  <c r="L28" i="509" s="1"/>
  <c r="M28" i="509" s="1"/>
  <c r="N28" i="509" s="1"/>
  <c r="P9" i="520"/>
  <c r="AN9" i="516" s="1"/>
  <c r="AP9" i="516" s="1"/>
  <c r="AP10" i="516"/>
  <c r="H30" i="509"/>
  <c r="L30" i="509" s="1"/>
  <c r="M30" i="509" s="1"/>
  <c r="N30" i="509" s="1"/>
  <c r="H29" i="509"/>
  <c r="L29" i="509" s="1"/>
  <c r="M29" i="509" s="1"/>
  <c r="N29" i="509" s="1"/>
  <c r="AR10" i="516" l="1"/>
  <c r="O28" i="509"/>
  <c r="P28" i="509" s="1"/>
  <c r="AO28" i="508" s="1"/>
  <c r="O30" i="509"/>
  <c r="P30" i="509" s="1"/>
  <c r="AO30" i="508" s="1"/>
  <c r="O29" i="509"/>
  <c r="P29" i="509" s="1"/>
  <c r="AO29" i="508" s="1"/>
  <c r="T12" i="542"/>
  <c r="S29" i="549"/>
  <c r="AU10" i="516" l="1"/>
  <c r="AV10" i="516" s="1"/>
  <c r="AW10" i="516" s="1"/>
  <c r="AQ10" i="516"/>
  <c r="AQ30" i="508"/>
  <c r="AQ28" i="508"/>
  <c r="V12" i="542"/>
  <c r="AD28" i="524"/>
  <c r="F28" i="524"/>
  <c r="AA28" i="524" s="1"/>
  <c r="AB28" i="524" s="1"/>
  <c r="AX10" i="516" l="1"/>
  <c r="AY10" i="516" s="1"/>
  <c r="AQ29" i="508"/>
  <c r="AS30" i="508"/>
  <c r="AR30" i="508" s="1"/>
  <c r="P28" i="524"/>
  <c r="Q28" i="524" s="1"/>
  <c r="I28" i="524"/>
  <c r="K28" i="524" s="1"/>
  <c r="V28" i="524"/>
  <c r="W28" i="524" s="1"/>
  <c r="M28" i="524"/>
  <c r="N28" i="524" s="1"/>
  <c r="S28" i="524"/>
  <c r="T28" i="524" s="1"/>
  <c r="AN28" i="514"/>
  <c r="AZ10" i="516" l="1"/>
  <c r="BA10" i="516" s="1"/>
  <c r="AM28" i="524"/>
  <c r="T28" i="525" s="1"/>
  <c r="U28" i="525" s="1"/>
  <c r="V28" i="525" s="1"/>
  <c r="W28" i="525" s="1"/>
  <c r="AS29" i="508"/>
  <c r="AR29" i="508" s="1"/>
  <c r="AZ29" i="508" s="1"/>
  <c r="BA29" i="508" s="1"/>
  <c r="BB29" i="508" s="1"/>
  <c r="BC29" i="508" s="1"/>
  <c r="BD29" i="508" s="1"/>
  <c r="BE29" i="508" s="1"/>
  <c r="BF29" i="508" s="1"/>
  <c r="AZ30" i="508"/>
  <c r="BA30" i="508" s="1"/>
  <c r="BB30" i="508" s="1"/>
  <c r="AW30" i="508"/>
  <c r="AX30" i="508" s="1"/>
  <c r="AY30" i="508" s="1"/>
  <c r="BB10" i="516" l="1"/>
  <c r="BC10" i="516" s="1"/>
  <c r="AW29" i="508"/>
  <c r="AX29" i="508" s="1"/>
  <c r="AY29" i="508" s="1"/>
  <c r="BC30" i="508"/>
  <c r="BD30" i="508" s="1"/>
  <c r="BE30" i="508" s="1"/>
  <c r="BF30" i="508" s="1"/>
  <c r="K12" i="513"/>
  <c r="AF12" i="512"/>
  <c r="F12" i="512"/>
  <c r="F28" i="525" l="1"/>
  <c r="AQ28" i="524"/>
  <c r="BD10" i="516"/>
  <c r="L12" i="512"/>
  <c r="R12" i="512"/>
  <c r="S12" i="512" s="1"/>
  <c r="Z12" i="512"/>
  <c r="AA12" i="512" s="1"/>
  <c r="O12" i="512"/>
  <c r="P12" i="512" s="1"/>
  <c r="U12" i="512"/>
  <c r="AL12" i="512" l="1"/>
  <c r="H28" i="525"/>
  <c r="AN37" i="508" l="1"/>
  <c r="F7" i="508"/>
  <c r="J7" i="508" s="1"/>
  <c r="G7" i="508"/>
  <c r="I7" i="508"/>
  <c r="AC7" i="508"/>
  <c r="AF7" i="508"/>
  <c r="K11" i="509"/>
  <c r="V12" i="513" l="1"/>
  <c r="AP12" i="512" s="1"/>
  <c r="U7" i="508"/>
  <c r="V7" i="508" s="1"/>
  <c r="O7" i="508"/>
  <c r="P7" i="508" s="1"/>
  <c r="R7" i="508"/>
  <c r="S7" i="508" s="1"/>
  <c r="L7" i="508"/>
  <c r="M7" i="508" s="1"/>
  <c r="Z7" i="508"/>
  <c r="AA7" i="508" s="1"/>
  <c r="AF11" i="508" l="1"/>
  <c r="G11" i="508"/>
  <c r="F11" i="508"/>
  <c r="J11" i="508" l="1"/>
  <c r="I11" i="508"/>
  <c r="F12" i="513"/>
  <c r="H12" i="513" s="1"/>
  <c r="L12" i="513" s="1"/>
  <c r="M12" i="513" s="1"/>
  <c r="N12" i="513" s="1"/>
  <c r="R11" i="508"/>
  <c r="S11" i="508" s="1"/>
  <c r="U11" i="508"/>
  <c r="Z11" i="508"/>
  <c r="AA11" i="508" s="1"/>
  <c r="O11" i="508"/>
  <c r="P11" i="508" s="1"/>
  <c r="L11" i="508"/>
  <c r="M11" i="508" s="1"/>
  <c r="AL11" i="508" l="1"/>
  <c r="U11" i="509" s="1"/>
  <c r="O12" i="513"/>
  <c r="P12" i="513" s="1"/>
  <c r="AO12" i="512" s="1"/>
  <c r="AN41" i="504"/>
  <c r="K10" i="505"/>
  <c r="AQ12" i="512" l="1"/>
  <c r="F10" i="504"/>
  <c r="U10" i="504" s="1"/>
  <c r="G10" i="504"/>
  <c r="L10" i="504" l="1"/>
  <c r="Z10" i="504"/>
  <c r="AA10" i="504" s="1"/>
  <c r="R10" i="504"/>
  <c r="S10" i="504" s="1"/>
  <c r="O10" i="504"/>
  <c r="P10" i="504" s="1"/>
  <c r="AF18" i="504"/>
  <c r="AL10" i="504" l="1"/>
  <c r="U10" i="505" s="1"/>
  <c r="G37" i="504" l="1"/>
  <c r="L37" i="504"/>
  <c r="O37" i="504"/>
  <c r="P37" i="504"/>
  <c r="R37" i="504"/>
  <c r="S37" i="504"/>
  <c r="U37" i="504"/>
  <c r="Z37" i="504"/>
  <c r="AA37" i="504" s="1"/>
  <c r="AF37" i="504"/>
  <c r="AG22" i="514"/>
  <c r="AG21" i="514"/>
  <c r="AG20" i="514"/>
  <c r="AG19" i="514"/>
  <c r="AG17" i="514"/>
  <c r="AG15" i="514"/>
  <c r="AG14" i="514"/>
  <c r="AG13" i="514"/>
  <c r="AG11" i="514"/>
  <c r="AG10" i="514"/>
  <c r="F21" i="512"/>
  <c r="F26" i="512"/>
  <c r="AF35" i="512"/>
  <c r="AF33" i="512"/>
  <c r="AF32" i="512"/>
  <c r="AF31" i="512"/>
  <c r="AF30" i="512"/>
  <c r="AF29" i="512"/>
  <c r="AF28" i="512"/>
  <c r="AF27" i="512"/>
  <c r="AF25" i="512"/>
  <c r="AF24" i="512"/>
  <c r="AF21" i="512"/>
  <c r="AF17" i="512" l="1"/>
  <c r="AF16" i="512"/>
  <c r="AF15" i="512"/>
  <c r="AF13" i="512"/>
  <c r="AF11" i="512"/>
  <c r="AF10" i="512"/>
  <c r="AF9" i="512"/>
  <c r="AF33" i="510"/>
  <c r="AF32" i="510"/>
  <c r="AF31" i="510"/>
  <c r="AF28" i="510"/>
  <c r="AF27" i="510"/>
  <c r="AF25" i="510"/>
  <c r="AF24" i="510"/>
  <c r="AF22" i="510"/>
  <c r="AF21" i="510"/>
  <c r="AF20" i="510"/>
  <c r="AF19" i="510"/>
  <c r="AF17" i="510"/>
  <c r="AF14" i="510"/>
  <c r="AF13" i="510"/>
  <c r="AF12" i="510"/>
  <c r="AF11" i="510"/>
  <c r="AF10" i="510"/>
  <c r="AF9" i="510"/>
  <c r="AF8" i="510"/>
  <c r="F17" i="508"/>
  <c r="AF36" i="508"/>
  <c r="AF35" i="508"/>
  <c r="AF26" i="508"/>
  <c r="AF24" i="508"/>
  <c r="AF23" i="508"/>
  <c r="AF21" i="508"/>
  <c r="AF19" i="508"/>
  <c r="AF18" i="508"/>
  <c r="AF17" i="508"/>
  <c r="AF15" i="508"/>
  <c r="AF13" i="508"/>
  <c r="AF10" i="508"/>
  <c r="AF38" i="506"/>
  <c r="AF37" i="506"/>
  <c r="AF36" i="506"/>
  <c r="AF34" i="506"/>
  <c r="AF32" i="506"/>
  <c r="AF31" i="506"/>
  <c r="AF30" i="506"/>
  <c r="AF29" i="506"/>
  <c r="AF28" i="506"/>
  <c r="AF26" i="506"/>
  <c r="AF23" i="506"/>
  <c r="AF22" i="506"/>
  <c r="AF21" i="506"/>
  <c r="AF18" i="506"/>
  <c r="AF17" i="506"/>
  <c r="AF16" i="506"/>
  <c r="AF7" i="506"/>
  <c r="AF12" i="504"/>
  <c r="AF40" i="504"/>
  <c r="AF39" i="504"/>
  <c r="AF38" i="504"/>
  <c r="AF36" i="504"/>
  <c r="AF35" i="504"/>
  <c r="AF34" i="504"/>
  <c r="AF32" i="504"/>
  <c r="AF31" i="504"/>
  <c r="AF30" i="504"/>
  <c r="AF29" i="504"/>
  <c r="AF28" i="504"/>
  <c r="AF27" i="504"/>
  <c r="AF25" i="504"/>
  <c r="AF24" i="504"/>
  <c r="AF22" i="504"/>
  <c r="AF21" i="504"/>
  <c r="AF19" i="504"/>
  <c r="AF17" i="504"/>
  <c r="AF16" i="504"/>
  <c r="AF15" i="504"/>
  <c r="AF11" i="504"/>
  <c r="AF9" i="504"/>
  <c r="AF8" i="504"/>
  <c r="AF34" i="481"/>
  <c r="AF29" i="481"/>
  <c r="AF28" i="481"/>
  <c r="AF27" i="481"/>
  <c r="AF26" i="481"/>
  <c r="AF24" i="481"/>
  <c r="AF23" i="481"/>
  <c r="AF21" i="481"/>
  <c r="AF20" i="481"/>
  <c r="AF19" i="481"/>
  <c r="AF9" i="481"/>
  <c r="AF7" i="481"/>
  <c r="J17" i="508" l="1"/>
  <c r="I17" i="508"/>
  <c r="AF14" i="558"/>
  <c r="AF10" i="558"/>
  <c r="AF9" i="558"/>
  <c r="AN11" i="533" l="1"/>
  <c r="F7" i="481" l="1"/>
  <c r="I7" i="481" s="1"/>
  <c r="F17" i="558"/>
  <c r="F8" i="533"/>
  <c r="F7" i="533"/>
  <c r="I19" i="528"/>
  <c r="K19" i="528" s="1"/>
  <c r="F40" i="524"/>
  <c r="F41" i="524"/>
  <c r="F42" i="524"/>
  <c r="F43" i="524"/>
  <c r="F44" i="524"/>
  <c r="F45" i="524"/>
  <c r="F46" i="524"/>
  <c r="F39" i="524"/>
  <c r="F38" i="524"/>
  <c r="F37" i="524"/>
  <c r="F36" i="524"/>
  <c r="F35" i="524"/>
  <c r="F34" i="524"/>
  <c r="F33" i="524"/>
  <c r="I33" i="524" s="1"/>
  <c r="K33" i="524" s="1"/>
  <c r="F32" i="524"/>
  <c r="F31" i="524"/>
  <c r="F30" i="524"/>
  <c r="F29" i="524"/>
  <c r="F27" i="524"/>
  <c r="F25" i="524"/>
  <c r="F24" i="524"/>
  <c r="F23" i="524"/>
  <c r="F22" i="524"/>
  <c r="F21" i="524"/>
  <c r="F19" i="524"/>
  <c r="F18" i="524"/>
  <c r="F16" i="524"/>
  <c r="F15" i="524"/>
  <c r="F14" i="524"/>
  <c r="F13" i="524"/>
  <c r="AA13" i="524" s="1"/>
  <c r="AB13" i="524" s="1"/>
  <c r="F12" i="524"/>
  <c r="F11" i="524"/>
  <c r="F10" i="524"/>
  <c r="F9" i="524"/>
  <c r="F8" i="524"/>
  <c r="F11" i="521"/>
  <c r="F10" i="521"/>
  <c r="F9" i="521"/>
  <c r="F13" i="519"/>
  <c r="F12" i="519"/>
  <c r="F11" i="519"/>
  <c r="F10" i="519"/>
  <c r="F9" i="519"/>
  <c r="F8" i="519"/>
  <c r="F7" i="519"/>
  <c r="F33" i="512"/>
  <c r="F32" i="512"/>
  <c r="F30" i="512"/>
  <c r="F23" i="512"/>
  <c r="F20" i="512"/>
  <c r="F19" i="512"/>
  <c r="F17" i="512"/>
  <c r="F15" i="512"/>
  <c r="F14" i="512"/>
  <c r="F10" i="512"/>
  <c r="F9" i="512"/>
  <c r="F8" i="512"/>
  <c r="F7" i="512"/>
  <c r="F34" i="510"/>
  <c r="F30" i="510"/>
  <c r="F27" i="510"/>
  <c r="F24" i="510"/>
  <c r="F23" i="510"/>
  <c r="F22" i="510"/>
  <c r="F21" i="510"/>
  <c r="F20" i="510"/>
  <c r="F19" i="510"/>
  <c r="F18" i="510"/>
  <c r="F17" i="510"/>
  <c r="F14" i="510"/>
  <c r="F13" i="510"/>
  <c r="F12" i="510"/>
  <c r="F10" i="510"/>
  <c r="F9" i="510"/>
  <c r="F8" i="510"/>
  <c r="F24" i="508"/>
  <c r="F23" i="508"/>
  <c r="F16" i="508"/>
  <c r="F13" i="508"/>
  <c r="F8" i="508"/>
  <c r="F37" i="506"/>
  <c r="F33" i="506"/>
  <c r="F31" i="506"/>
  <c r="F25" i="506"/>
  <c r="F24" i="506"/>
  <c r="F22" i="506"/>
  <c r="F21" i="506"/>
  <c r="F18" i="506"/>
  <c r="F10" i="506"/>
  <c r="F9" i="506"/>
  <c r="F8" i="506"/>
  <c r="F7" i="506"/>
  <c r="F38" i="504"/>
  <c r="F39" i="504"/>
  <c r="J13" i="508" l="1"/>
  <c r="I13" i="508"/>
  <c r="J23" i="508"/>
  <c r="I23" i="508"/>
  <c r="J8" i="508"/>
  <c r="I8" i="508"/>
  <c r="J16" i="508"/>
  <c r="I16" i="508"/>
  <c r="J24" i="508"/>
  <c r="I24" i="508"/>
  <c r="U9" i="510"/>
  <c r="V9" i="510" s="1"/>
  <c r="I9" i="510"/>
  <c r="J9" i="510"/>
  <c r="U12" i="510"/>
  <c r="V12" i="510" s="1"/>
  <c r="I12" i="510"/>
  <c r="J12" i="510"/>
  <c r="U14" i="510"/>
  <c r="V14" i="510" s="1"/>
  <c r="I14" i="510"/>
  <c r="J14" i="510"/>
  <c r="U18" i="510"/>
  <c r="V18" i="510" s="1"/>
  <c r="I18" i="510"/>
  <c r="J18" i="510"/>
  <c r="U20" i="510"/>
  <c r="V20" i="510" s="1"/>
  <c r="I20" i="510"/>
  <c r="J20" i="510"/>
  <c r="U22" i="510"/>
  <c r="V22" i="510" s="1"/>
  <c r="I22" i="510"/>
  <c r="J22" i="510"/>
  <c r="U24" i="510"/>
  <c r="V24" i="510" s="1"/>
  <c r="I24" i="510"/>
  <c r="J24" i="510"/>
  <c r="U30" i="510"/>
  <c r="V30" i="510" s="1"/>
  <c r="I30" i="510"/>
  <c r="J30" i="510"/>
  <c r="U8" i="510"/>
  <c r="V8" i="510" s="1"/>
  <c r="I8" i="510"/>
  <c r="J8" i="510"/>
  <c r="U10" i="510"/>
  <c r="V10" i="510" s="1"/>
  <c r="I10" i="510"/>
  <c r="J10" i="510"/>
  <c r="U13" i="510"/>
  <c r="V13" i="510" s="1"/>
  <c r="I13" i="510"/>
  <c r="J13" i="510"/>
  <c r="U17" i="510"/>
  <c r="V17" i="510" s="1"/>
  <c r="I17" i="510"/>
  <c r="J17" i="510"/>
  <c r="U19" i="510"/>
  <c r="V19" i="510" s="1"/>
  <c r="I19" i="510"/>
  <c r="J19" i="510"/>
  <c r="U21" i="510"/>
  <c r="V21" i="510" s="1"/>
  <c r="I21" i="510"/>
  <c r="J21" i="510"/>
  <c r="U23" i="510"/>
  <c r="V23" i="510" s="1"/>
  <c r="I23" i="510"/>
  <c r="J23" i="510"/>
  <c r="U27" i="510"/>
  <c r="V27" i="510" s="1"/>
  <c r="I27" i="510"/>
  <c r="J27" i="510"/>
  <c r="U34" i="510"/>
  <c r="V34" i="510" s="1"/>
  <c r="I34" i="510"/>
  <c r="J34" i="510"/>
  <c r="I8" i="506"/>
  <c r="I10" i="506"/>
  <c r="I21" i="506"/>
  <c r="I24" i="506"/>
  <c r="I31" i="506"/>
  <c r="I37" i="506"/>
  <c r="I9" i="506"/>
  <c r="I18" i="506"/>
  <c r="I22" i="506"/>
  <c r="I25" i="506"/>
  <c r="I33" i="506"/>
  <c r="U9" i="506"/>
  <c r="V9" i="506" s="1"/>
  <c r="O9" i="506"/>
  <c r="R9" i="506"/>
  <c r="L9" i="506"/>
  <c r="M9" i="506" s="1"/>
  <c r="R18" i="506"/>
  <c r="L18" i="506"/>
  <c r="M18" i="506" s="1"/>
  <c r="U18" i="506"/>
  <c r="V18" i="506" s="1"/>
  <c r="O18" i="506"/>
  <c r="R22" i="506"/>
  <c r="L22" i="506"/>
  <c r="M22" i="506" s="1"/>
  <c r="U22" i="506"/>
  <c r="V22" i="506" s="1"/>
  <c r="O22" i="506"/>
  <c r="U25" i="506"/>
  <c r="V25" i="506" s="1"/>
  <c r="O25" i="506"/>
  <c r="R25" i="506"/>
  <c r="L25" i="506"/>
  <c r="M25" i="506" s="1"/>
  <c r="U33" i="506"/>
  <c r="V33" i="506" s="1"/>
  <c r="O33" i="506"/>
  <c r="R33" i="506"/>
  <c r="L33" i="506"/>
  <c r="M33" i="506" s="1"/>
  <c r="R8" i="506"/>
  <c r="L8" i="506"/>
  <c r="M8" i="506" s="1"/>
  <c r="U8" i="506"/>
  <c r="V8" i="506" s="1"/>
  <c r="O8" i="506"/>
  <c r="R10" i="506"/>
  <c r="L10" i="506"/>
  <c r="M10" i="506" s="1"/>
  <c r="U10" i="506"/>
  <c r="V10" i="506" s="1"/>
  <c r="O10" i="506"/>
  <c r="U21" i="506"/>
  <c r="V21" i="506" s="1"/>
  <c r="O21" i="506"/>
  <c r="R21" i="506"/>
  <c r="L21" i="506"/>
  <c r="M21" i="506" s="1"/>
  <c r="R24" i="506"/>
  <c r="L24" i="506"/>
  <c r="M24" i="506" s="1"/>
  <c r="U24" i="506"/>
  <c r="V24" i="506" s="1"/>
  <c r="O24" i="506"/>
  <c r="U31" i="506"/>
  <c r="V31" i="506" s="1"/>
  <c r="O31" i="506"/>
  <c r="R31" i="506"/>
  <c r="L31" i="506"/>
  <c r="M31" i="506" s="1"/>
  <c r="U37" i="506"/>
  <c r="V37" i="506" s="1"/>
  <c r="O37" i="506"/>
  <c r="R37" i="506"/>
  <c r="L37" i="506"/>
  <c r="M37" i="506" s="1"/>
  <c r="I7" i="533"/>
  <c r="J7" i="533"/>
  <c r="I10" i="533"/>
  <c r="I8" i="533"/>
  <c r="Z19" i="510"/>
  <c r="F36" i="504"/>
  <c r="F35" i="504"/>
  <c r="F33" i="504"/>
  <c r="F31" i="504"/>
  <c r="F22" i="504"/>
  <c r="F20" i="504"/>
  <c r="F18" i="504"/>
  <c r="F12" i="504"/>
  <c r="F35" i="481"/>
  <c r="F34" i="481"/>
  <c r="F33" i="481"/>
  <c r="F30" i="481"/>
  <c r="F29" i="481"/>
  <c r="F27" i="481"/>
  <c r="F24" i="481"/>
  <c r="F23" i="481"/>
  <c r="F22" i="481"/>
  <c r="F21" i="481"/>
  <c r="F12" i="481"/>
  <c r="F11" i="481"/>
  <c r="F10" i="481"/>
  <c r="U11" i="481" l="1"/>
  <c r="L11" i="481"/>
  <c r="M11" i="481" s="1"/>
  <c r="J11" i="481"/>
  <c r="I11" i="481"/>
  <c r="U21" i="481"/>
  <c r="L21" i="481"/>
  <c r="M21" i="481" s="1"/>
  <c r="J21" i="481"/>
  <c r="I21" i="481"/>
  <c r="U23" i="481"/>
  <c r="L23" i="481"/>
  <c r="M23" i="481" s="1"/>
  <c r="J23" i="481"/>
  <c r="I23" i="481"/>
  <c r="U27" i="481"/>
  <c r="L27" i="481"/>
  <c r="M27" i="481" s="1"/>
  <c r="J27" i="481"/>
  <c r="I27" i="481"/>
  <c r="U30" i="481"/>
  <c r="L30" i="481"/>
  <c r="M30" i="481" s="1"/>
  <c r="J30" i="481"/>
  <c r="I30" i="481"/>
  <c r="U10" i="481"/>
  <c r="L10" i="481"/>
  <c r="M10" i="481" s="1"/>
  <c r="J10" i="481"/>
  <c r="I10" i="481"/>
  <c r="U12" i="481"/>
  <c r="L12" i="481"/>
  <c r="M12" i="481" s="1"/>
  <c r="J12" i="481"/>
  <c r="I12" i="481"/>
  <c r="U22" i="481"/>
  <c r="L22" i="481"/>
  <c r="M22" i="481" s="1"/>
  <c r="J22" i="481"/>
  <c r="I22" i="481"/>
  <c r="U24" i="481"/>
  <c r="L24" i="481"/>
  <c r="M24" i="481" s="1"/>
  <c r="AL24" i="481" s="1"/>
  <c r="T24" i="502" s="1"/>
  <c r="J24" i="481"/>
  <c r="I24" i="481"/>
  <c r="U29" i="481"/>
  <c r="L29" i="481"/>
  <c r="M29" i="481" s="1"/>
  <c r="J29" i="481"/>
  <c r="I29" i="481"/>
  <c r="U33" i="481"/>
  <c r="L33" i="481"/>
  <c r="M33" i="481" s="1"/>
  <c r="J33" i="481"/>
  <c r="I33" i="481"/>
  <c r="U35" i="481"/>
  <c r="L35" i="481"/>
  <c r="M35" i="481" s="1"/>
  <c r="J35" i="481"/>
  <c r="I35" i="481"/>
  <c r="U34" i="481"/>
  <c r="L34" i="481"/>
  <c r="M34" i="481" s="1"/>
  <c r="J34" i="481"/>
  <c r="I34" i="481"/>
  <c r="AD12" i="521"/>
  <c r="G16" i="537" s="1"/>
  <c r="F11" i="526" l="1"/>
  <c r="K32" i="505" l="1"/>
  <c r="G32" i="504" l="1"/>
  <c r="F32" i="504"/>
  <c r="Z32" i="504" s="1"/>
  <c r="AA32" i="504" s="1"/>
  <c r="L32" i="504" l="1"/>
  <c r="O32" i="504"/>
  <c r="P32" i="504" s="1"/>
  <c r="R32" i="504"/>
  <c r="S32" i="504" s="1"/>
  <c r="U32" i="504"/>
  <c r="T9" i="553"/>
  <c r="T11" i="553"/>
  <c r="X7" i="533"/>
  <c r="S12" i="543"/>
  <c r="S13" i="543"/>
  <c r="R8" i="539"/>
  <c r="S8" i="539" s="1"/>
  <c r="V11" i="553" l="1"/>
  <c r="V9" i="553"/>
  <c r="V11" i="541"/>
  <c r="V10" i="541"/>
  <c r="V9" i="541"/>
  <c r="AL32" i="504"/>
  <c r="U32" i="505" s="1"/>
  <c r="V8" i="553"/>
  <c r="V20" i="551"/>
  <c r="AC9" i="558" l="1"/>
  <c r="AQ47" i="524" l="1"/>
  <c r="F47" i="525"/>
  <c r="AP24" i="514"/>
  <c r="AP25" i="514"/>
  <c r="I18" i="558"/>
  <c r="U18" i="558"/>
  <c r="J18" i="558"/>
  <c r="H24" i="515" l="1"/>
  <c r="L24" i="515" s="1"/>
  <c r="M24" i="515" s="1"/>
  <c r="N24" i="515" s="1"/>
  <c r="H25" i="515"/>
  <c r="L25" i="515" s="1"/>
  <c r="M25" i="515" s="1"/>
  <c r="N25" i="515" s="1"/>
  <c r="H47" i="525"/>
  <c r="L47" i="525" s="1"/>
  <c r="M47" i="525" s="1"/>
  <c r="N47" i="525" s="1"/>
  <c r="U8" i="546"/>
  <c r="AC7" i="481"/>
  <c r="O25" i="515" l="1"/>
  <c r="P25" i="515" s="1"/>
  <c r="O24" i="515"/>
  <c r="P24" i="515" s="1"/>
  <c r="O47" i="525"/>
  <c r="U8" i="539"/>
  <c r="P47" i="525" l="1"/>
  <c r="AP47" i="524" s="1"/>
  <c r="AR47" i="524" s="1"/>
  <c r="K9" i="513"/>
  <c r="G9" i="512"/>
  <c r="Z9" i="512"/>
  <c r="AA9" i="512" s="1"/>
  <c r="AO24" i="514" l="1"/>
  <c r="AQ24" i="514" s="1"/>
  <c r="AO25" i="514"/>
  <c r="AQ25" i="514" s="1"/>
  <c r="AT50" i="524"/>
  <c r="AS50" i="524" s="1"/>
  <c r="L9" i="512"/>
  <c r="O9" i="512"/>
  <c r="P9" i="512" s="1"/>
  <c r="R9" i="512"/>
  <c r="S9" i="512" s="1"/>
  <c r="U9" i="512"/>
  <c r="F22" i="508"/>
  <c r="J22" i="508" l="1"/>
  <c r="I22" i="508"/>
  <c r="AL9" i="512"/>
  <c r="AX50" i="524"/>
  <c r="Z22" i="508"/>
  <c r="AA22" i="508" s="1"/>
  <c r="U22" i="508"/>
  <c r="R22" i="508"/>
  <c r="S22" i="508" s="1"/>
  <c r="O22" i="508"/>
  <c r="P22" i="508" s="1"/>
  <c r="L22" i="508"/>
  <c r="M22" i="508" s="1"/>
  <c r="BA50" i="524" l="1"/>
  <c r="AY50" i="524"/>
  <c r="AZ50" i="524" s="1"/>
  <c r="K24" i="513"/>
  <c r="F24" i="512"/>
  <c r="BB50" i="524" l="1"/>
  <c r="BC50" i="524" s="1"/>
  <c r="U24" i="512"/>
  <c r="Z24" i="512"/>
  <c r="AA24" i="512" s="1"/>
  <c r="L24" i="512"/>
  <c r="O24" i="512"/>
  <c r="P24" i="512" s="1"/>
  <c r="AL24" i="512" s="1"/>
  <c r="R24" i="512"/>
  <c r="S24" i="512" s="1"/>
  <c r="BD50" i="524" l="1"/>
  <c r="BE50" i="524" s="1"/>
  <c r="BF50" i="524" s="1"/>
  <c r="U7" i="533"/>
  <c r="V7" i="533" s="1"/>
  <c r="U8" i="533"/>
  <c r="V8" i="533" s="1"/>
  <c r="U10" i="533"/>
  <c r="V10" i="533" s="1"/>
  <c r="R7" i="533"/>
  <c r="S7" i="533" s="1"/>
  <c r="R8" i="533"/>
  <c r="S8" i="533" s="1"/>
  <c r="R10" i="533"/>
  <c r="S10" i="533" s="1"/>
  <c r="O7" i="533"/>
  <c r="O8" i="533"/>
  <c r="P8" i="533" s="1"/>
  <c r="O10" i="533"/>
  <c r="L7" i="533"/>
  <c r="M7" i="533" s="1"/>
  <c r="L8" i="533"/>
  <c r="L10" i="533"/>
  <c r="M10" i="533" s="1"/>
  <c r="AL10" i="533" s="1"/>
  <c r="Z7" i="533"/>
  <c r="AA7" i="533" s="1"/>
  <c r="Z8" i="533"/>
  <c r="AA8" i="533" s="1"/>
  <c r="Z10" i="533"/>
  <c r="AA10" i="533" s="1"/>
  <c r="P7" i="533"/>
  <c r="P10" i="533"/>
  <c r="AA40" i="524"/>
  <c r="AB40" i="524" s="1"/>
  <c r="AA41" i="524"/>
  <c r="AB41" i="524" s="1"/>
  <c r="AA42" i="524"/>
  <c r="AB42" i="524" s="1"/>
  <c r="AA43" i="524"/>
  <c r="AB43" i="524" s="1"/>
  <c r="AA44" i="524"/>
  <c r="AB44" i="524" s="1"/>
  <c r="AA45" i="524"/>
  <c r="AB45" i="524" s="1"/>
  <c r="AA46" i="524"/>
  <c r="AB46" i="524" s="1"/>
  <c r="V40" i="524"/>
  <c r="W40" i="524" s="1"/>
  <c r="V41" i="524"/>
  <c r="W41" i="524" s="1"/>
  <c r="V42" i="524"/>
  <c r="W42" i="524" s="1"/>
  <c r="V43" i="524"/>
  <c r="W43" i="524" s="1"/>
  <c r="V44" i="524"/>
  <c r="W44" i="524" s="1"/>
  <c r="V45" i="524"/>
  <c r="W45" i="524" s="1"/>
  <c r="V46" i="524"/>
  <c r="W46" i="524" s="1"/>
  <c r="S40" i="524"/>
  <c r="S41" i="524"/>
  <c r="S42" i="524"/>
  <c r="S43" i="524"/>
  <c r="S44" i="524"/>
  <c r="S45" i="524"/>
  <c r="S46" i="524"/>
  <c r="M40" i="524"/>
  <c r="N40" i="524" s="1"/>
  <c r="M41" i="524"/>
  <c r="N41" i="524" s="1"/>
  <c r="M42" i="524"/>
  <c r="N42" i="524" s="1"/>
  <c r="M43" i="524"/>
  <c r="N43" i="524" s="1"/>
  <c r="M44" i="524"/>
  <c r="N44" i="524" s="1"/>
  <c r="M45" i="524"/>
  <c r="N45" i="524" s="1"/>
  <c r="M46" i="524"/>
  <c r="N46" i="524" s="1"/>
  <c r="I40" i="524"/>
  <c r="K40" i="524" s="1"/>
  <c r="I41" i="524"/>
  <c r="K41" i="524" s="1"/>
  <c r="I42" i="524"/>
  <c r="K42" i="524" s="1"/>
  <c r="I43" i="524"/>
  <c r="K43" i="524" s="1"/>
  <c r="I44" i="524"/>
  <c r="K44" i="524" s="1"/>
  <c r="I45" i="524"/>
  <c r="K45" i="524" s="1"/>
  <c r="I46" i="524"/>
  <c r="K46" i="524" s="1"/>
  <c r="Z9" i="521"/>
  <c r="Z10" i="521"/>
  <c r="Z11" i="521"/>
  <c r="L9" i="521"/>
  <c r="L10" i="521"/>
  <c r="L11" i="521"/>
  <c r="I9" i="521"/>
  <c r="I10" i="521"/>
  <c r="I11" i="521"/>
  <c r="U8" i="519"/>
  <c r="U9" i="519"/>
  <c r="U10" i="519"/>
  <c r="U11" i="519"/>
  <c r="U12" i="519"/>
  <c r="U13" i="519"/>
  <c r="R8" i="519"/>
  <c r="R9" i="519"/>
  <c r="R10" i="519"/>
  <c r="R11" i="519"/>
  <c r="R12" i="519"/>
  <c r="R13" i="519"/>
  <c r="L8" i="519"/>
  <c r="L9" i="519"/>
  <c r="L10" i="519"/>
  <c r="L11" i="519"/>
  <c r="L12" i="519"/>
  <c r="L13" i="519"/>
  <c r="I8" i="519"/>
  <c r="I9" i="519"/>
  <c r="I10" i="519"/>
  <c r="I11" i="519"/>
  <c r="I12" i="519"/>
  <c r="I13" i="519"/>
  <c r="AL8" i="533" l="1"/>
  <c r="T8" i="534" s="1"/>
  <c r="U8" i="534" s="1"/>
  <c r="BG50" i="524"/>
  <c r="T10" i="534"/>
  <c r="U10" i="534" s="1"/>
  <c r="AL7" i="533"/>
  <c r="AA27" i="514"/>
  <c r="AB27" i="514" s="1"/>
  <c r="V27" i="514"/>
  <c r="S27" i="514"/>
  <c r="T27" i="514" s="1"/>
  <c r="P27" i="514"/>
  <c r="Q27" i="514" s="1"/>
  <c r="M27" i="514"/>
  <c r="N27" i="514" s="1"/>
  <c r="Z34" i="510"/>
  <c r="R34" i="510"/>
  <c r="S34" i="510" s="1"/>
  <c r="O34" i="510"/>
  <c r="L34" i="510"/>
  <c r="M34" i="510" s="1"/>
  <c r="Z8" i="506"/>
  <c r="AA8" i="506" s="1"/>
  <c r="Z9" i="506"/>
  <c r="AA9" i="506" s="1"/>
  <c r="Z10" i="506"/>
  <c r="AA10" i="506" s="1"/>
  <c r="S8" i="506"/>
  <c r="S9" i="506"/>
  <c r="S10" i="506"/>
  <c r="Z21" i="504"/>
  <c r="AA21" i="504" s="1"/>
  <c r="U21" i="504"/>
  <c r="R21" i="504"/>
  <c r="S21" i="504" s="1"/>
  <c r="L21" i="504"/>
  <c r="Z10" i="481"/>
  <c r="AA10" i="481" s="1"/>
  <c r="Z11" i="481"/>
  <c r="AA11" i="481" s="1"/>
  <c r="Z12" i="481"/>
  <c r="AA12" i="481" s="1"/>
  <c r="Z19" i="481"/>
  <c r="AA19" i="481" s="1"/>
  <c r="R10" i="481"/>
  <c r="S10" i="481" s="1"/>
  <c r="R11" i="481"/>
  <c r="S11" i="481" s="1"/>
  <c r="R12" i="481"/>
  <c r="S12" i="481" s="1"/>
  <c r="R19" i="481"/>
  <c r="S19" i="481" s="1"/>
  <c r="S8" i="550"/>
  <c r="T8" i="550" s="1"/>
  <c r="X7" i="526" s="1"/>
  <c r="R8" i="544"/>
  <c r="S9" i="544"/>
  <c r="S24" i="543"/>
  <c r="AL27" i="514" l="1"/>
  <c r="V8" i="550"/>
  <c r="T7" i="534"/>
  <c r="U7" i="534" s="1"/>
  <c r="S16" i="557"/>
  <c r="T27" i="515" l="1"/>
  <c r="U27" i="515" s="1"/>
  <c r="V27" i="515" s="1"/>
  <c r="W27" i="515" s="1"/>
  <c r="F27" i="515" s="1"/>
  <c r="AB19" i="528"/>
  <c r="M19" i="528"/>
  <c r="K8" i="515" l="1"/>
  <c r="F8" i="514"/>
  <c r="I8" i="514" s="1"/>
  <c r="K8" i="514" s="1"/>
  <c r="AA8" i="514" l="1"/>
  <c r="AB8" i="514" s="1"/>
  <c r="V8" i="514"/>
  <c r="S8" i="514"/>
  <c r="T8" i="514" s="1"/>
  <c r="P8" i="514"/>
  <c r="Q8" i="514" s="1"/>
  <c r="M8" i="514"/>
  <c r="N8" i="514" s="1"/>
  <c r="K17" i="559"/>
  <c r="AL8" i="514" l="1"/>
  <c r="AC17" i="558"/>
  <c r="U17" i="558"/>
  <c r="V17" i="558" s="1"/>
  <c r="R17" i="558"/>
  <c r="S17" i="558" s="1"/>
  <c r="O17" i="558"/>
  <c r="P17" i="558" s="1"/>
  <c r="L17" i="558"/>
  <c r="M17" i="558" s="1"/>
  <c r="I17" i="558"/>
  <c r="Z17" i="558"/>
  <c r="AA17" i="558" s="1"/>
  <c r="T8" i="515" l="1"/>
  <c r="U8" i="515" s="1"/>
  <c r="V8" i="515" s="1"/>
  <c r="W8" i="515" s="1"/>
  <c r="F8" i="515" s="1"/>
  <c r="J17" i="558"/>
  <c r="AL17" i="558" s="1"/>
  <c r="Z8" i="519" l="1"/>
  <c r="Z9" i="519"/>
  <c r="Z10" i="519"/>
  <c r="Z11" i="519"/>
  <c r="Z12" i="519"/>
  <c r="Z13" i="519"/>
  <c r="S14" i="546" l="1"/>
  <c r="V14" i="546" l="1"/>
  <c r="P40" i="524"/>
  <c r="P41" i="524"/>
  <c r="P42" i="524"/>
  <c r="P43" i="524"/>
  <c r="P44" i="524"/>
  <c r="P45" i="524"/>
  <c r="P46" i="524"/>
  <c r="O8" i="519"/>
  <c r="O9" i="519"/>
  <c r="O10" i="519"/>
  <c r="O11" i="519"/>
  <c r="O12" i="519"/>
  <c r="O13" i="519"/>
  <c r="O21" i="504"/>
  <c r="O10" i="481"/>
  <c r="O11" i="481"/>
  <c r="O19" i="481"/>
  <c r="F7" i="510" l="1"/>
  <c r="S12" i="552" l="1"/>
  <c r="T12" i="552" s="1"/>
  <c r="S40" i="549"/>
  <c r="F9" i="481" l="1"/>
  <c r="U9" i="521"/>
  <c r="U10" i="521"/>
  <c r="U11" i="521"/>
  <c r="U9" i="481" l="1"/>
  <c r="L9" i="481"/>
  <c r="M9" i="481" s="1"/>
  <c r="J9" i="481"/>
  <c r="I9" i="481"/>
  <c r="U7" i="526"/>
  <c r="V7" i="526" s="1"/>
  <c r="J7" i="526"/>
  <c r="R7" i="526"/>
  <c r="L7" i="526"/>
  <c r="M7" i="526" s="1"/>
  <c r="I7" i="526"/>
  <c r="R9" i="481"/>
  <c r="S9" i="481" s="1"/>
  <c r="Z9" i="481"/>
  <c r="AA9" i="481" s="1"/>
  <c r="O9" i="481"/>
  <c r="AJ37" i="512" l="1"/>
  <c r="H12" i="537" s="1"/>
  <c r="AK37" i="512"/>
  <c r="I12" i="537" s="1"/>
  <c r="AM37" i="512"/>
  <c r="AJ35" i="510"/>
  <c r="H11" i="537" s="1"/>
  <c r="AK35" i="510"/>
  <c r="I11" i="537" s="1"/>
  <c r="AM35" i="510"/>
  <c r="AJ37" i="508"/>
  <c r="H10" i="537" s="1"/>
  <c r="AK37" i="508"/>
  <c r="I10" i="537" s="1"/>
  <c r="AM37" i="508"/>
  <c r="AJ39" i="506"/>
  <c r="H9" i="537" s="1"/>
  <c r="AK39" i="506"/>
  <c r="I9" i="537" s="1"/>
  <c r="AM39" i="506"/>
  <c r="AN39" i="506"/>
  <c r="AJ41" i="504"/>
  <c r="H8" i="537" s="1"/>
  <c r="AK41" i="504"/>
  <c r="I8" i="537" s="1"/>
  <c r="AM41" i="504"/>
  <c r="AG37" i="481"/>
  <c r="AJ37" i="481"/>
  <c r="H7" i="537" s="1"/>
  <c r="AK37" i="481"/>
  <c r="I7" i="537" s="1"/>
  <c r="AM37" i="481"/>
  <c r="AN37" i="481"/>
  <c r="AJ19" i="558"/>
  <c r="H22" i="537" s="1"/>
  <c r="AK19" i="558"/>
  <c r="I22" i="537" s="1"/>
  <c r="AM19" i="558"/>
  <c r="AJ11" i="533"/>
  <c r="H21" i="537" s="1"/>
  <c r="AK11" i="533"/>
  <c r="I21" i="537" s="1"/>
  <c r="AM11" i="533"/>
  <c r="AI12" i="531"/>
  <c r="H20" i="537" s="1"/>
  <c r="AJ12" i="531"/>
  <c r="I20" i="537" s="1"/>
  <c r="AL12" i="531"/>
  <c r="H19" i="537"/>
  <c r="I19" i="537"/>
  <c r="AM20" i="528"/>
  <c r="AJ26" i="526"/>
  <c r="H18" i="537" s="1"/>
  <c r="AK26" i="526"/>
  <c r="I18" i="537" s="1"/>
  <c r="AM26" i="526"/>
  <c r="AJ12" i="521"/>
  <c r="I16" i="537" s="1"/>
  <c r="AL12" i="521"/>
  <c r="AG39" i="506" l="1"/>
  <c r="K14" i="559" l="1"/>
  <c r="AC14" i="558"/>
  <c r="F14" i="558"/>
  <c r="J14" i="558" l="1"/>
  <c r="I14" i="558"/>
  <c r="O14" i="558"/>
  <c r="P14" i="558" s="1"/>
  <c r="U14" i="558"/>
  <c r="V14" i="558" s="1"/>
  <c r="L14" i="558"/>
  <c r="M14" i="558" s="1"/>
  <c r="R14" i="558"/>
  <c r="S14" i="558" s="1"/>
  <c r="Z14" i="558"/>
  <c r="AA14" i="558" s="1"/>
  <c r="AL14" i="558" l="1"/>
  <c r="S36" i="544"/>
  <c r="K35" i="513"/>
  <c r="G35" i="512"/>
  <c r="F35" i="512"/>
  <c r="V14" i="559" l="1"/>
  <c r="Z35" i="512"/>
  <c r="AA35" i="512" s="1"/>
  <c r="U35" i="512"/>
  <c r="O35" i="512"/>
  <c r="P35" i="512" s="1"/>
  <c r="R35" i="512"/>
  <c r="S35" i="512" s="1"/>
  <c r="L35" i="512"/>
  <c r="F14" i="559" l="1"/>
  <c r="W14" i="559"/>
  <c r="AL35" i="512"/>
  <c r="AV35" i="512"/>
  <c r="H14" i="559" l="1"/>
  <c r="AP14" i="558"/>
  <c r="F19" i="506"/>
  <c r="K10" i="507"/>
  <c r="K8" i="534"/>
  <c r="K7" i="534"/>
  <c r="AC8" i="533"/>
  <c r="AC7" i="533"/>
  <c r="K13" i="527"/>
  <c r="O13" i="526"/>
  <c r="P13" i="526" s="1"/>
  <c r="K33" i="511"/>
  <c r="S34" i="543"/>
  <c r="I19" i="506" l="1"/>
  <c r="U19" i="506"/>
  <c r="V19" i="506" s="1"/>
  <c r="O19" i="506"/>
  <c r="R19" i="506"/>
  <c r="L19" i="506"/>
  <c r="M19" i="506" s="1"/>
  <c r="V35" i="513"/>
  <c r="AP35" i="512" s="1"/>
  <c r="Z19" i="506"/>
  <c r="AA19" i="506" s="1"/>
  <c r="S19" i="506"/>
  <c r="R13" i="526"/>
  <c r="S13" i="526" s="1"/>
  <c r="I13" i="526"/>
  <c r="U13" i="526"/>
  <c r="V13" i="526" s="1"/>
  <c r="L13" i="526"/>
  <c r="M13" i="526" s="1"/>
  <c r="Z13" i="526"/>
  <c r="AA13" i="526" s="1"/>
  <c r="P10" i="506"/>
  <c r="AL13" i="526" l="1"/>
  <c r="AL10" i="506"/>
  <c r="T10" i="507" s="1"/>
  <c r="AV7" i="533"/>
  <c r="AV8" i="533"/>
  <c r="T13" i="527" l="1"/>
  <c r="U13" i="527" s="1"/>
  <c r="F35" i="513"/>
  <c r="H35" i="513" s="1"/>
  <c r="L35" i="513" s="1"/>
  <c r="M35" i="513" s="1"/>
  <c r="N35" i="513" s="1"/>
  <c r="O35" i="513" s="1"/>
  <c r="V7" i="534"/>
  <c r="W7" i="534" s="1"/>
  <c r="P35" i="513" l="1"/>
  <c r="AP7" i="533"/>
  <c r="F7" i="534"/>
  <c r="V13" i="527"/>
  <c r="V8" i="534"/>
  <c r="W8" i="534" s="1"/>
  <c r="W13" i="527" l="1"/>
  <c r="F13" i="527" s="1"/>
  <c r="AO35" i="512"/>
  <c r="AQ35" i="512" s="1"/>
  <c r="H7" i="534"/>
  <c r="L7" i="534" s="1"/>
  <c r="M7" i="534" s="1"/>
  <c r="N7" i="534" s="1"/>
  <c r="AC33" i="510"/>
  <c r="G33" i="510"/>
  <c r="F33" i="510"/>
  <c r="AP13" i="526" l="1"/>
  <c r="U33" i="510"/>
  <c r="V33" i="510" s="1"/>
  <c r="I33" i="510"/>
  <c r="J33" i="510"/>
  <c r="H13" i="527"/>
  <c r="L13" i="527" s="1"/>
  <c r="F8" i="534"/>
  <c r="H8" i="534" s="1"/>
  <c r="L8" i="534" s="1"/>
  <c r="M8" i="534" s="1"/>
  <c r="N8" i="534" s="1"/>
  <c r="AS36" i="512"/>
  <c r="AR36" i="512" s="1"/>
  <c r="O7" i="534"/>
  <c r="P7" i="534" s="1"/>
  <c r="R33" i="510"/>
  <c r="S33" i="510" s="1"/>
  <c r="Z33" i="510"/>
  <c r="AA33" i="510" s="1"/>
  <c r="L33" i="510"/>
  <c r="M33" i="510" s="1"/>
  <c r="O33" i="510"/>
  <c r="P33" i="510" s="1"/>
  <c r="K9" i="507"/>
  <c r="K8" i="507"/>
  <c r="AW36" i="512" l="1"/>
  <c r="AO7" i="533"/>
  <c r="M13" i="527"/>
  <c r="N13" i="527" s="1"/>
  <c r="O8" i="534"/>
  <c r="P8" i="534" s="1"/>
  <c r="AV33" i="510"/>
  <c r="P8" i="506"/>
  <c r="P9" i="506"/>
  <c r="AL8" i="506" l="1"/>
  <c r="T8" i="507" s="1"/>
  <c r="AL9" i="506"/>
  <c r="T9" i="507" s="1"/>
  <c r="AX36" i="512"/>
  <c r="AY36" i="512" s="1"/>
  <c r="AZ36" i="512"/>
  <c r="BA36" i="512" s="1"/>
  <c r="AQ7" i="533"/>
  <c r="O13" i="527"/>
  <c r="K12" i="502"/>
  <c r="P13" i="527" l="1"/>
  <c r="AO13" i="526" s="1"/>
  <c r="AS9" i="533"/>
  <c r="AR9" i="533" s="1"/>
  <c r="AQ8" i="533"/>
  <c r="BB36" i="512"/>
  <c r="BC36" i="512" s="1"/>
  <c r="O12" i="481"/>
  <c r="P12" i="481" s="1"/>
  <c r="AQ13" i="526" l="1"/>
  <c r="AW9" i="533"/>
  <c r="AX9" i="533" s="1"/>
  <c r="AY9" i="533" s="1"/>
  <c r="AZ9" i="533"/>
  <c r="BD36" i="512"/>
  <c r="BE36" i="512" s="1"/>
  <c r="BF36" i="512" s="1"/>
  <c r="U12" i="502"/>
  <c r="V12" i="502" s="1"/>
  <c r="R8" i="557"/>
  <c r="S8" i="557" s="1"/>
  <c r="S23" i="543"/>
  <c r="AP12" i="481" l="1"/>
  <c r="F12" i="502"/>
  <c r="BA9" i="533"/>
  <c r="S9" i="540"/>
  <c r="T9" i="540" s="1"/>
  <c r="S10" i="540"/>
  <c r="T10" i="540" s="1"/>
  <c r="S12" i="540"/>
  <c r="T12" i="540" s="1"/>
  <c r="S13" i="540"/>
  <c r="T13" i="540" s="1"/>
  <c r="S16" i="540"/>
  <c r="T16" i="540" s="1"/>
  <c r="S17" i="540"/>
  <c r="T17" i="540" s="1"/>
  <c r="S18" i="540"/>
  <c r="T18" i="540" s="1"/>
  <c r="S19" i="540"/>
  <c r="T19" i="540" s="1"/>
  <c r="S20" i="540"/>
  <c r="T20" i="540" s="1"/>
  <c r="S21" i="540"/>
  <c r="T21" i="540" s="1"/>
  <c r="S22" i="540"/>
  <c r="T22" i="540" s="1"/>
  <c r="S23" i="540"/>
  <c r="T23" i="540" s="1"/>
  <c r="S25" i="540"/>
  <c r="T25" i="540" s="1"/>
  <c r="S26" i="540"/>
  <c r="T26" i="540" s="1"/>
  <c r="S28" i="540"/>
  <c r="T28" i="540" s="1"/>
  <c r="S29" i="540"/>
  <c r="T29" i="540" s="1"/>
  <c r="S30" i="540"/>
  <c r="T30" i="540" s="1"/>
  <c r="S31" i="540"/>
  <c r="T31" i="540" s="1"/>
  <c r="S32" i="540"/>
  <c r="T32" i="540" s="1"/>
  <c r="S34" i="540"/>
  <c r="T34" i="540" s="1"/>
  <c r="S35" i="540"/>
  <c r="T35" i="540" s="1"/>
  <c r="S36" i="540"/>
  <c r="T36" i="540" s="1"/>
  <c r="S37" i="540"/>
  <c r="T37" i="540" s="1"/>
  <c r="S38" i="540"/>
  <c r="T38" i="540" s="1"/>
  <c r="S39" i="540"/>
  <c r="T39" i="540" s="1"/>
  <c r="S40" i="540"/>
  <c r="T40" i="540" s="1"/>
  <c r="S41" i="540"/>
  <c r="T41" i="540" s="1"/>
  <c r="V39" i="540" l="1"/>
  <c r="V40" i="540"/>
  <c r="AL37" i="504"/>
  <c r="U37" i="505" s="1"/>
  <c r="V38" i="540"/>
  <c r="V36" i="540"/>
  <c r="V34" i="540"/>
  <c r="V31" i="540"/>
  <c r="V29" i="540"/>
  <c r="V26" i="540"/>
  <c r="V23" i="540"/>
  <c r="V21" i="540"/>
  <c r="V19" i="540"/>
  <c r="V17" i="540"/>
  <c r="V13" i="540"/>
  <c r="V10" i="540"/>
  <c r="V41" i="540"/>
  <c r="V37" i="540"/>
  <c r="V35" i="540"/>
  <c r="V32" i="540"/>
  <c r="V30" i="540"/>
  <c r="V28" i="540"/>
  <c r="V25" i="540"/>
  <c r="V22" i="540"/>
  <c r="V20" i="540"/>
  <c r="V18" i="540"/>
  <c r="V16" i="540"/>
  <c r="V12" i="540"/>
  <c r="V9" i="540"/>
  <c r="BB9" i="533"/>
  <c r="BC9" i="533" l="1"/>
  <c r="BD9" i="533" s="1"/>
  <c r="BE9" i="533" s="1"/>
  <c r="V10" i="505"/>
  <c r="K11" i="513"/>
  <c r="G11" i="512"/>
  <c r="F11" i="512"/>
  <c r="F10" i="505" l="1"/>
  <c r="AP10" i="504"/>
  <c r="H12" i="502"/>
  <c r="L12" i="502" s="1"/>
  <c r="BF9" i="533"/>
  <c r="Z11" i="512"/>
  <c r="AA11" i="512" s="1"/>
  <c r="U11" i="512"/>
  <c r="O11" i="512"/>
  <c r="R11" i="512"/>
  <c r="S11" i="512" s="1"/>
  <c r="L11" i="512"/>
  <c r="P11" i="512"/>
  <c r="AL11" i="512" s="1"/>
  <c r="M12" i="502" l="1"/>
  <c r="N12" i="502" s="1"/>
  <c r="H10" i="505"/>
  <c r="L10" i="505" s="1"/>
  <c r="M10" i="505" s="1"/>
  <c r="N10" i="505" s="1"/>
  <c r="O12" i="502" l="1"/>
  <c r="O10" i="505"/>
  <c r="P10" i="505" s="1"/>
  <c r="P12" i="502" l="1"/>
  <c r="AO12" i="481" s="1"/>
  <c r="V11" i="513"/>
  <c r="AP11" i="512" s="1"/>
  <c r="AO10" i="504" l="1"/>
  <c r="AQ10" i="504" s="1"/>
  <c r="AQ12" i="481"/>
  <c r="F11" i="513" l="1"/>
  <c r="H11" i="513" s="1"/>
  <c r="L11" i="513" s="1"/>
  <c r="M11" i="513" s="1"/>
  <c r="N11" i="513" s="1"/>
  <c r="O11" i="513" l="1"/>
  <c r="P11" i="513" l="1"/>
  <c r="K32" i="513"/>
  <c r="G32" i="512"/>
  <c r="AO11" i="512" l="1"/>
  <c r="AQ11" i="512" s="1"/>
  <c r="R32" i="512"/>
  <c r="S32" i="512" s="1"/>
  <c r="L32" i="512"/>
  <c r="Z32" i="512"/>
  <c r="U32" i="512"/>
  <c r="O32" i="512"/>
  <c r="AA32" i="512" l="1"/>
  <c r="P32" i="512"/>
  <c r="AL32" i="512" s="1"/>
  <c r="T32" i="513" s="1"/>
  <c r="U32" i="513" s="1"/>
  <c r="S31" i="539"/>
  <c r="T31" i="539" s="1"/>
  <c r="V31" i="539" s="1"/>
  <c r="S21" i="543"/>
  <c r="S22" i="543"/>
  <c r="S27" i="544"/>
  <c r="S13" i="546"/>
  <c r="S39" i="549"/>
  <c r="S9" i="551"/>
  <c r="T9" i="551" s="1"/>
  <c r="S10" i="551"/>
  <c r="T10" i="551" s="1"/>
  <c r="V13" i="546" l="1"/>
  <c r="V18" i="551"/>
  <c r="V16" i="551"/>
  <c r="V9" i="551"/>
  <c r="V17" i="551"/>
  <c r="V10" i="551"/>
  <c r="AV32" i="512"/>
  <c r="V14" i="530" l="1"/>
  <c r="V13" i="530"/>
  <c r="F13" i="530" l="1"/>
  <c r="W13" i="530"/>
  <c r="F14" i="530"/>
  <c r="W14" i="530"/>
  <c r="H12" i="530"/>
  <c r="L12" i="530" s="1"/>
  <c r="M12" i="530" s="1"/>
  <c r="N12" i="530" s="1"/>
  <c r="AD26" i="526"/>
  <c r="G18" i="537" s="1"/>
  <c r="H13" i="530" l="1"/>
  <c r="L13" i="530" s="1"/>
  <c r="M13" i="530" s="1"/>
  <c r="N13" i="530" s="1"/>
  <c r="O12" i="530"/>
  <c r="P12" i="530" s="1"/>
  <c r="U8" i="544"/>
  <c r="O13" i="530" l="1"/>
  <c r="P13" i="530" s="1"/>
  <c r="AS24" i="514"/>
  <c r="AR24" i="514" s="1"/>
  <c r="AZ24" i="514" l="1"/>
  <c r="BA24" i="514" s="1"/>
  <c r="AW24" i="514"/>
  <c r="AD23" i="524"/>
  <c r="G23" i="524"/>
  <c r="AX24" i="514" l="1"/>
  <c r="AY24" i="514" s="1"/>
  <c r="BB24" i="514"/>
  <c r="BC24" i="514" s="1"/>
  <c r="AA23" i="524"/>
  <c r="AB23" i="524" s="1"/>
  <c r="V23" i="524"/>
  <c r="W23" i="524" s="1"/>
  <c r="M23" i="524"/>
  <c r="N23" i="524" s="1"/>
  <c r="S23" i="524"/>
  <c r="I23" i="524"/>
  <c r="K23" i="524" s="1"/>
  <c r="T23" i="524"/>
  <c r="P23" i="524"/>
  <c r="Q23" i="524" s="1"/>
  <c r="AM23" i="524" l="1"/>
  <c r="T23" i="525" s="1"/>
  <c r="U23" i="525" s="1"/>
  <c r="V23" i="525" s="1"/>
  <c r="W23" i="525" s="1"/>
  <c r="BD24" i="514"/>
  <c r="F28" i="506"/>
  <c r="I28" i="506" l="1"/>
  <c r="R28" i="506"/>
  <c r="L28" i="506"/>
  <c r="M28" i="506" s="1"/>
  <c r="U28" i="506"/>
  <c r="V28" i="506" s="1"/>
  <c r="O28" i="506"/>
  <c r="BE24" i="514"/>
  <c r="BF24" i="514" s="1"/>
  <c r="Z28" i="506"/>
  <c r="AA28" i="506" s="1"/>
  <c r="S28" i="506"/>
  <c r="K11" i="502" l="1"/>
  <c r="K10" i="502"/>
  <c r="AQ23" i="524" l="1"/>
  <c r="F23" i="525"/>
  <c r="P10" i="481"/>
  <c r="P11" i="481"/>
  <c r="H23" i="525" l="1"/>
  <c r="L23" i="525" s="1"/>
  <c r="U11" i="502"/>
  <c r="V11" i="502" s="1"/>
  <c r="U10" i="502"/>
  <c r="V10" i="502" s="1"/>
  <c r="AP11" i="481" l="1"/>
  <c r="F11" i="502"/>
  <c r="AP10" i="481"/>
  <c r="F10" i="502"/>
  <c r="M23" i="525"/>
  <c r="N23" i="525" s="1"/>
  <c r="S38" i="549"/>
  <c r="S37" i="549"/>
  <c r="S36" i="549"/>
  <c r="S35" i="549"/>
  <c r="O23" i="525" l="1"/>
  <c r="S26" i="544"/>
  <c r="S37" i="541"/>
  <c r="P23" i="525" l="1"/>
  <c r="AP23" i="524" s="1"/>
  <c r="AR23" i="524" s="1"/>
  <c r="V37" i="541"/>
  <c r="H11" i="502" l="1"/>
  <c r="L11" i="502" s="1"/>
  <c r="H10" i="502"/>
  <c r="L10" i="502" s="1"/>
  <c r="M11" i="502" l="1"/>
  <c r="N11" i="502" s="1"/>
  <c r="M10" i="502"/>
  <c r="N10" i="502" s="1"/>
  <c r="V35" i="507"/>
  <c r="W35" i="507" s="1"/>
  <c r="V24" i="513"/>
  <c r="AP24" i="512" s="1"/>
  <c r="G13" i="537"/>
  <c r="AP35" i="506" l="1"/>
  <c r="F35" i="507"/>
  <c r="O10" i="502"/>
  <c r="O11" i="502"/>
  <c r="G26" i="510"/>
  <c r="P11" i="502" l="1"/>
  <c r="AO11" i="481" s="1"/>
  <c r="P10" i="502"/>
  <c r="AO10" i="481" s="1"/>
  <c r="H35" i="507"/>
  <c r="L35" i="507" s="1"/>
  <c r="F24" i="513"/>
  <c r="H24" i="513" s="1"/>
  <c r="L24" i="513" s="1"/>
  <c r="M24" i="513" s="1"/>
  <c r="N24" i="513" s="1"/>
  <c r="R14" i="512"/>
  <c r="S14" i="512" s="1"/>
  <c r="L14" i="512"/>
  <c r="Z14" i="512"/>
  <c r="U14" i="512"/>
  <c r="O14" i="512"/>
  <c r="AQ10" i="481" l="1"/>
  <c r="AQ11" i="481"/>
  <c r="M35" i="507"/>
  <c r="N35" i="507" s="1"/>
  <c r="O24" i="513"/>
  <c r="K18" i="527"/>
  <c r="G18" i="526"/>
  <c r="F18" i="526"/>
  <c r="Z18" i="526" s="1"/>
  <c r="AA18" i="526" s="1"/>
  <c r="P24" i="513" l="1"/>
  <c r="O18" i="526"/>
  <c r="P18" i="526" s="1"/>
  <c r="U18" i="526"/>
  <c r="V18" i="526" s="1"/>
  <c r="R18" i="526"/>
  <c r="S18" i="526" s="1"/>
  <c r="L18" i="526"/>
  <c r="M18" i="526" s="1"/>
  <c r="I18" i="526"/>
  <c r="AO24" i="512" l="1"/>
  <c r="AQ24" i="512" s="1"/>
  <c r="AL18" i="526"/>
  <c r="O35" i="507"/>
  <c r="P35" i="507" s="1"/>
  <c r="K13" i="513"/>
  <c r="F13" i="512"/>
  <c r="T18" i="527" l="1"/>
  <c r="U18" i="527" s="1"/>
  <c r="Z13" i="512"/>
  <c r="AA13" i="512" s="1"/>
  <c r="U13" i="512"/>
  <c r="O13" i="512"/>
  <c r="R13" i="512"/>
  <c r="S13" i="512" s="1"/>
  <c r="L13" i="512"/>
  <c r="P13" i="512"/>
  <c r="AO35" i="506" l="1"/>
  <c r="AQ35" i="506" s="1"/>
  <c r="AL13" i="512"/>
  <c r="V18" i="527"/>
  <c r="W18" i="527" l="1"/>
  <c r="F18" i="527" s="1"/>
  <c r="AD46" i="524"/>
  <c r="AD45" i="524"/>
  <c r="AD44" i="524"/>
  <c r="AD43" i="524"/>
  <c r="AD41" i="524"/>
  <c r="AD40" i="524"/>
  <c r="AP18" i="526" l="1"/>
  <c r="H18" i="527"/>
  <c r="L18" i="527" s="1"/>
  <c r="V13" i="513"/>
  <c r="AP13" i="512" s="1"/>
  <c r="T41" i="524"/>
  <c r="Q45" i="524"/>
  <c r="T45" i="524"/>
  <c r="Q40" i="524"/>
  <c r="T40" i="524"/>
  <c r="Q41" i="524"/>
  <c r="Q42" i="524"/>
  <c r="T42" i="524"/>
  <c r="Q43" i="524"/>
  <c r="AM43" i="524" s="1"/>
  <c r="T43" i="525" s="1"/>
  <c r="U43" i="525" s="1"/>
  <c r="V43" i="525" s="1"/>
  <c r="W43" i="525" s="1"/>
  <c r="T43" i="524"/>
  <c r="Q44" i="524"/>
  <c r="AM44" i="524" s="1"/>
  <c r="T44" i="525" s="1"/>
  <c r="U44" i="525" s="1"/>
  <c r="V44" i="525" s="1"/>
  <c r="W44" i="525" s="1"/>
  <c r="T44" i="524"/>
  <c r="Q46" i="524"/>
  <c r="AM46" i="524" s="1"/>
  <c r="T46" i="525" s="1"/>
  <c r="U46" i="525" s="1"/>
  <c r="V46" i="525" s="1"/>
  <c r="W46" i="525" s="1"/>
  <c r="T46" i="524"/>
  <c r="AM42" i="524" l="1"/>
  <c r="T42" i="525" s="1"/>
  <c r="U42" i="525" s="1"/>
  <c r="V42" i="525" s="1"/>
  <c r="W42" i="525" s="1"/>
  <c r="AM41" i="524"/>
  <c r="T41" i="525" s="1"/>
  <c r="U41" i="525" s="1"/>
  <c r="V41" i="525" s="1"/>
  <c r="W41" i="525" s="1"/>
  <c r="AM40" i="524"/>
  <c r="T40" i="525" s="1"/>
  <c r="U40" i="525" s="1"/>
  <c r="V40" i="525" s="1"/>
  <c r="W40" i="525" s="1"/>
  <c r="AM45" i="524"/>
  <c r="T45" i="525" s="1"/>
  <c r="U45" i="525" s="1"/>
  <c r="V45" i="525" s="1"/>
  <c r="W45" i="525" s="1"/>
  <c r="M18" i="527"/>
  <c r="N18" i="527" s="1"/>
  <c r="F13" i="513" l="1"/>
  <c r="H13" i="513" s="1"/>
  <c r="L13" i="513" s="1"/>
  <c r="M13" i="513" s="1"/>
  <c r="N13" i="513" s="1"/>
  <c r="O13" i="513" s="1"/>
  <c r="O18" i="527"/>
  <c r="AS8" i="533"/>
  <c r="AR8" i="533" s="1"/>
  <c r="S34" i="549"/>
  <c r="S11" i="545"/>
  <c r="S24" i="544"/>
  <c r="S27" i="542"/>
  <c r="T27" i="542" s="1"/>
  <c r="S30" i="539"/>
  <c r="T30" i="539" s="1"/>
  <c r="V30" i="539" s="1"/>
  <c r="P18" i="527" l="1"/>
  <c r="AO18" i="526" s="1"/>
  <c r="F40" i="525"/>
  <c r="AQ40" i="524"/>
  <c r="F44" i="525"/>
  <c r="AQ44" i="524"/>
  <c r="F46" i="525"/>
  <c r="AQ46" i="524"/>
  <c r="AQ41" i="524"/>
  <c r="F41" i="525"/>
  <c r="P13" i="513"/>
  <c r="V27" i="542"/>
  <c r="AZ8" i="533"/>
  <c r="AW8" i="533"/>
  <c r="AX8" i="533" s="1"/>
  <c r="AQ43" i="524" l="1"/>
  <c r="F43" i="525"/>
  <c r="AQ45" i="524"/>
  <c r="F45" i="525"/>
  <c r="F42" i="525"/>
  <c r="AQ42" i="524"/>
  <c r="AO13" i="512"/>
  <c r="AQ13" i="512" s="1"/>
  <c r="AQ18" i="526"/>
  <c r="H44" i="525"/>
  <c r="H40" i="525"/>
  <c r="H41" i="525"/>
  <c r="H46" i="525"/>
  <c r="L46" i="525" s="1"/>
  <c r="AS12" i="512"/>
  <c r="AR12" i="512" s="1"/>
  <c r="AY8" i="533"/>
  <c r="BA8" i="533"/>
  <c r="H42" i="525" l="1"/>
  <c r="L42" i="525" s="1"/>
  <c r="M42" i="525" s="1"/>
  <c r="H43" i="525"/>
  <c r="L43" i="525" s="1"/>
  <c r="M43" i="525" s="1"/>
  <c r="N43" i="525" s="1"/>
  <c r="H45" i="525"/>
  <c r="L45" i="525" s="1"/>
  <c r="M45" i="525" s="1"/>
  <c r="N45" i="525" s="1"/>
  <c r="V25" i="509"/>
  <c r="L41" i="525"/>
  <c r="M41" i="525" s="1"/>
  <c r="N41" i="525" s="1"/>
  <c r="L44" i="525"/>
  <c r="M44" i="525" s="1"/>
  <c r="N44" i="525" s="1"/>
  <c r="AW12" i="512"/>
  <c r="AX12" i="512" s="1"/>
  <c r="AY12" i="512" s="1"/>
  <c r="AZ12" i="512"/>
  <c r="BA12" i="512" s="1"/>
  <c r="BB12" i="512" s="1"/>
  <c r="BC12" i="512" s="1"/>
  <c r="AS7" i="533"/>
  <c r="AR7" i="533" s="1"/>
  <c r="BB8" i="533"/>
  <c r="M46" i="525"/>
  <c r="N46" i="525" s="1"/>
  <c r="N42" i="525" l="1"/>
  <c r="O42" i="525" s="1"/>
  <c r="P42" i="525" s="1"/>
  <c r="AP42" i="524" s="1"/>
  <c r="AR42" i="524" s="1"/>
  <c r="W25" i="509"/>
  <c r="AP25" i="508" s="1"/>
  <c r="O45" i="525"/>
  <c r="O43" i="525"/>
  <c r="O44" i="525"/>
  <c r="BD12" i="512"/>
  <c r="BE12" i="512" s="1"/>
  <c r="BF12" i="512" s="1"/>
  <c r="AW7" i="533"/>
  <c r="AX7" i="533" s="1"/>
  <c r="BC8" i="533"/>
  <c r="O46" i="525"/>
  <c r="O41" i="525"/>
  <c r="AC8" i="531"/>
  <c r="AC9" i="531"/>
  <c r="AC10" i="531"/>
  <c r="AC11" i="531"/>
  <c r="AD8" i="524"/>
  <c r="AD9" i="524"/>
  <c r="AD10" i="524"/>
  <c r="AD11" i="524"/>
  <c r="AD12" i="524"/>
  <c r="AD13" i="524"/>
  <c r="AD14" i="524"/>
  <c r="AD15" i="524"/>
  <c r="AD16" i="524"/>
  <c r="AD18" i="524"/>
  <c r="AD19" i="524"/>
  <c r="AD21" i="524"/>
  <c r="AD22" i="524"/>
  <c r="AD24" i="524"/>
  <c r="AD25" i="524"/>
  <c r="AD27" i="524"/>
  <c r="AD29" i="524"/>
  <c r="AD30" i="524"/>
  <c r="AD31" i="524"/>
  <c r="AD32" i="524"/>
  <c r="AD33" i="524"/>
  <c r="AD34" i="524"/>
  <c r="AD35" i="524"/>
  <c r="AD36" i="524"/>
  <c r="AD37" i="524"/>
  <c r="AD38" i="524"/>
  <c r="AD39" i="524"/>
  <c r="AC8" i="516"/>
  <c r="AC11" i="516"/>
  <c r="AC7" i="512"/>
  <c r="AC8" i="510"/>
  <c r="AC9" i="510"/>
  <c r="AC10" i="510"/>
  <c r="AC11" i="510"/>
  <c r="AC12" i="510"/>
  <c r="AC13" i="510"/>
  <c r="AC14" i="510"/>
  <c r="AC17" i="510"/>
  <c r="AC18" i="510"/>
  <c r="AC19" i="510"/>
  <c r="AC20" i="510"/>
  <c r="AC21" i="510"/>
  <c r="AC22" i="510"/>
  <c r="AC23" i="510"/>
  <c r="AC24" i="510"/>
  <c r="AC25" i="510"/>
  <c r="AC26" i="510"/>
  <c r="AC27" i="510"/>
  <c r="AC28" i="510"/>
  <c r="AC29" i="510"/>
  <c r="AC30" i="510"/>
  <c r="AC31" i="510"/>
  <c r="AC32" i="510"/>
  <c r="AC34" i="510"/>
  <c r="AD37" i="508"/>
  <c r="G10" i="537" s="1"/>
  <c r="F25" i="509" l="1"/>
  <c r="H25" i="509" s="1"/>
  <c r="L25" i="509" s="1"/>
  <c r="M25" i="509" s="1"/>
  <c r="N25" i="509" s="1"/>
  <c r="P41" i="525"/>
  <c r="AP41" i="524" s="1"/>
  <c r="AR41" i="524" s="1"/>
  <c r="P43" i="525"/>
  <c r="AP43" i="524" s="1"/>
  <c r="AR43" i="524" s="1"/>
  <c r="P46" i="525"/>
  <c r="AP46" i="524" s="1"/>
  <c r="AR46" i="524" s="1"/>
  <c r="P44" i="525"/>
  <c r="AP44" i="524" s="1"/>
  <c r="AR44" i="524" s="1"/>
  <c r="P45" i="525"/>
  <c r="AP45" i="524" s="1"/>
  <c r="AR45" i="524" s="1"/>
  <c r="BD8" i="533"/>
  <c r="AY7" i="533"/>
  <c r="AZ7" i="533"/>
  <c r="BA7" i="533" s="1"/>
  <c r="AT44" i="524" l="1"/>
  <c r="AS44" i="524" s="1"/>
  <c r="AT43" i="524"/>
  <c r="AS43" i="524" s="1"/>
  <c r="AT48" i="524"/>
  <c r="AS48" i="524" s="1"/>
  <c r="AT47" i="524"/>
  <c r="AS47" i="524" s="1"/>
  <c r="AT42" i="524"/>
  <c r="AS42" i="524" s="1"/>
  <c r="O25" i="509"/>
  <c r="P25" i="509" s="1"/>
  <c r="AO25" i="508" s="1"/>
  <c r="BB7" i="533"/>
  <c r="BE8" i="533"/>
  <c r="BF8" i="533" s="1"/>
  <c r="K10" i="518"/>
  <c r="K11" i="518"/>
  <c r="AQ25" i="508" l="1"/>
  <c r="BA47" i="524"/>
  <c r="BB47" i="524" s="1"/>
  <c r="BC47" i="524" s="1"/>
  <c r="BA48" i="524"/>
  <c r="BB48" i="524" s="1"/>
  <c r="AX47" i="524"/>
  <c r="AY47" i="524" s="1"/>
  <c r="AZ47" i="524" s="1"/>
  <c r="AX48" i="524"/>
  <c r="AY48" i="524" s="1"/>
  <c r="AZ48" i="524" s="1"/>
  <c r="BA42" i="524"/>
  <c r="BB42" i="524" s="1"/>
  <c r="BC42" i="524" s="1"/>
  <c r="AT45" i="524"/>
  <c r="AS45" i="524" s="1"/>
  <c r="AX42" i="524"/>
  <c r="AY42" i="524" s="1"/>
  <c r="AZ42" i="524" s="1"/>
  <c r="AX44" i="524"/>
  <c r="AY44" i="524" s="1"/>
  <c r="AZ44" i="524" s="1"/>
  <c r="BA44" i="524"/>
  <c r="BB44" i="524" s="1"/>
  <c r="BA43" i="524"/>
  <c r="BB43" i="524" s="1"/>
  <c r="BC43" i="524" s="1"/>
  <c r="AX43" i="524"/>
  <c r="AY43" i="524" s="1"/>
  <c r="AZ43" i="524" s="1"/>
  <c r="AT49" i="524"/>
  <c r="AS49" i="524" s="1"/>
  <c r="BC7" i="533"/>
  <c r="BD7" i="533" s="1"/>
  <c r="AX45" i="524" l="1"/>
  <c r="AY45" i="524" s="1"/>
  <c r="AZ45" i="524" s="1"/>
  <c r="BA45" i="524"/>
  <c r="BD47" i="524"/>
  <c r="BE47" i="524" s="1"/>
  <c r="BC48" i="524"/>
  <c r="BD48" i="524" s="1"/>
  <c r="BE48" i="524" s="1"/>
  <c r="BD42" i="524"/>
  <c r="BE42" i="524" s="1"/>
  <c r="BF42" i="524" s="1"/>
  <c r="BG42" i="524" s="1"/>
  <c r="BC44" i="524"/>
  <c r="BD44" i="524" s="1"/>
  <c r="BE44" i="524" s="1"/>
  <c r="BF44" i="524" s="1"/>
  <c r="BG44" i="524" s="1"/>
  <c r="BA49" i="524"/>
  <c r="BB49" i="524" s="1"/>
  <c r="AX49" i="524"/>
  <c r="AY49" i="524" s="1"/>
  <c r="AZ49" i="524" s="1"/>
  <c r="BD43" i="524"/>
  <c r="BE43" i="524" s="1"/>
  <c r="BF43" i="524" s="1"/>
  <c r="BG43" i="524" s="1"/>
  <c r="AT46" i="524"/>
  <c r="AS46" i="524" s="1"/>
  <c r="BE7" i="533"/>
  <c r="BF7" i="533" s="1"/>
  <c r="K13" i="511"/>
  <c r="BF47" i="524" l="1"/>
  <c r="BG47" i="524" s="1"/>
  <c r="BF48" i="524"/>
  <c r="BG48" i="524" s="1"/>
  <c r="BB45" i="524"/>
  <c r="BC45" i="524" s="1"/>
  <c r="BD45" i="524" s="1"/>
  <c r="BE45" i="524" s="1"/>
  <c r="BC49" i="524"/>
  <c r="BD49" i="524" s="1"/>
  <c r="BE49" i="524" s="1"/>
  <c r="BF49" i="524" s="1"/>
  <c r="R13" i="510"/>
  <c r="S13" i="510" s="1"/>
  <c r="O13" i="510"/>
  <c r="Z13" i="510"/>
  <c r="AA13" i="510" s="1"/>
  <c r="L13" i="510"/>
  <c r="M13" i="510" s="1"/>
  <c r="AX46" i="524"/>
  <c r="AY46" i="524" s="1"/>
  <c r="AZ46" i="524" s="1"/>
  <c r="BA46" i="524"/>
  <c r="BB46" i="524" s="1"/>
  <c r="BC46" i="524" s="1"/>
  <c r="BD46" i="524" s="1"/>
  <c r="BE46" i="524" s="1"/>
  <c r="P13" i="510"/>
  <c r="S17" i="557"/>
  <c r="S33" i="549"/>
  <c r="BG49" i="524" l="1"/>
  <c r="BF46" i="524"/>
  <c r="BG46" i="524" s="1"/>
  <c r="BF45" i="524"/>
  <c r="BG45" i="524" s="1"/>
  <c r="V17" i="559" l="1"/>
  <c r="S29" i="539"/>
  <c r="T29" i="539" s="1"/>
  <c r="V29" i="539" s="1"/>
  <c r="F17" i="559" l="1"/>
  <c r="H17" i="559" s="1"/>
  <c r="L17" i="559" s="1"/>
  <c r="M17" i="559" s="1"/>
  <c r="N17" i="559" s="1"/>
  <c r="W17" i="559"/>
  <c r="AP17" i="558"/>
  <c r="C8" i="535"/>
  <c r="AC8" i="519" l="1"/>
  <c r="O17" i="559" l="1"/>
  <c r="P17" i="559" s="1"/>
  <c r="G12" i="508"/>
  <c r="AO17" i="558" l="1"/>
  <c r="AQ17" i="558" s="1"/>
  <c r="F8" i="531"/>
  <c r="F9" i="531"/>
  <c r="Z9" i="531" l="1"/>
  <c r="AA9" i="531" s="1"/>
  <c r="L9" i="531"/>
  <c r="M9" i="531" s="1"/>
  <c r="U9" i="531"/>
  <c r="R9" i="531"/>
  <c r="S9" i="531" s="1"/>
  <c r="O9" i="531"/>
  <c r="P9" i="531" s="1"/>
  <c r="I9" i="531"/>
  <c r="U8" i="531"/>
  <c r="R8" i="531"/>
  <c r="S8" i="531" s="1"/>
  <c r="O8" i="531"/>
  <c r="P8" i="531" s="1"/>
  <c r="Z8" i="531"/>
  <c r="AA8" i="531" s="1"/>
  <c r="L8" i="531"/>
  <c r="M8" i="531" s="1"/>
  <c r="I8" i="531"/>
  <c r="F7" i="537"/>
  <c r="F8" i="537"/>
  <c r="F9" i="537"/>
  <c r="AG37" i="508"/>
  <c r="F10" i="537" s="1"/>
  <c r="AG35" i="510"/>
  <c r="F11" i="537" s="1"/>
  <c r="AG37" i="512"/>
  <c r="F12" i="537" s="1"/>
  <c r="AG14" i="519"/>
  <c r="F14" i="537" s="1"/>
  <c r="F22" i="537"/>
  <c r="AG11" i="533"/>
  <c r="F21" i="537" s="1"/>
  <c r="F18" i="537"/>
  <c r="F17" i="537"/>
  <c r="F27" i="537" l="1"/>
  <c r="C21" i="537" l="1"/>
  <c r="S20" i="539" l="1"/>
  <c r="T20" i="539" s="1"/>
  <c r="S21" i="539"/>
  <c r="T21" i="539" s="1"/>
  <c r="S22" i="539"/>
  <c r="T22" i="539" s="1"/>
  <c r="S20" i="542"/>
  <c r="T20" i="542" s="1"/>
  <c r="S23" i="542"/>
  <c r="T23" i="542" s="1"/>
  <c r="S24" i="542"/>
  <c r="T24" i="542" s="1"/>
  <c r="S25" i="542"/>
  <c r="T25" i="542" s="1"/>
  <c r="S15" i="543"/>
  <c r="S18" i="543"/>
  <c r="S20" i="543"/>
  <c r="S20" i="544"/>
  <c r="S21" i="544"/>
  <c r="S22" i="544"/>
  <c r="S30" i="549"/>
  <c r="S31" i="549"/>
  <c r="S32" i="549"/>
  <c r="S24" i="550"/>
  <c r="T24" i="550" s="1"/>
  <c r="AP16" i="510" l="1"/>
  <c r="L16" i="511"/>
  <c r="M16" i="511" s="1"/>
  <c r="N16" i="511" s="1"/>
  <c r="V22" i="539"/>
  <c r="U17" i="502"/>
  <c r="V17" i="502" s="1"/>
  <c r="V21" i="539"/>
  <c r="U16" i="502"/>
  <c r="V16" i="502" s="1"/>
  <c r="V20" i="539"/>
  <c r="V24" i="542"/>
  <c r="V20" i="542"/>
  <c r="V25" i="542"/>
  <c r="AL22" i="508"/>
  <c r="U22" i="509" s="1"/>
  <c r="V23" i="542"/>
  <c r="T22" i="527"/>
  <c r="U22" i="527" s="1"/>
  <c r="AP16" i="481" l="1"/>
  <c r="F16" i="502"/>
  <c r="H16" i="502" s="1"/>
  <c r="L16" i="502" s="1"/>
  <c r="M16" i="502" s="1"/>
  <c r="N16" i="502" s="1"/>
  <c r="AP17" i="481"/>
  <c r="F17" i="502"/>
  <c r="O16" i="511"/>
  <c r="P16" i="511" s="1"/>
  <c r="H17" i="502"/>
  <c r="L17" i="502" s="1"/>
  <c r="M17" i="502" s="1"/>
  <c r="N17" i="502" s="1"/>
  <c r="U14" i="502"/>
  <c r="V14" i="502" s="1"/>
  <c r="V22" i="527"/>
  <c r="Z24" i="506"/>
  <c r="AA24" i="506" s="1"/>
  <c r="S24" i="506"/>
  <c r="Z33" i="506"/>
  <c r="AA33" i="506" s="1"/>
  <c r="S33" i="506"/>
  <c r="Z25" i="506"/>
  <c r="AA25" i="506" s="1"/>
  <c r="S25" i="506"/>
  <c r="Z23" i="512"/>
  <c r="U23" i="512"/>
  <c r="O23" i="512"/>
  <c r="R23" i="512"/>
  <c r="S23" i="512" s="1"/>
  <c r="L23" i="512"/>
  <c r="R19" i="512"/>
  <c r="S19" i="512" s="1"/>
  <c r="L19" i="512"/>
  <c r="Z19" i="512"/>
  <c r="U19" i="512"/>
  <c r="O19" i="512"/>
  <c r="Z35" i="481"/>
  <c r="AA35" i="481" s="1"/>
  <c r="R35" i="481"/>
  <c r="S35" i="481" s="1"/>
  <c r="Z22" i="481"/>
  <c r="AA22" i="481" s="1"/>
  <c r="R22" i="481"/>
  <c r="S22" i="481" s="1"/>
  <c r="R30" i="481"/>
  <c r="S30" i="481" s="1"/>
  <c r="Z30" i="481"/>
  <c r="AA30" i="481" s="1"/>
  <c r="U20" i="504"/>
  <c r="Z20" i="504"/>
  <c r="AA20" i="504" s="1"/>
  <c r="R20" i="504"/>
  <c r="S20" i="504" s="1"/>
  <c r="L20" i="504"/>
  <c r="O20" i="504"/>
  <c r="Z33" i="504"/>
  <c r="AA33" i="504" s="1"/>
  <c r="U33" i="504"/>
  <c r="R33" i="504"/>
  <c r="S33" i="504" s="1"/>
  <c r="L33" i="504"/>
  <c r="O33" i="504"/>
  <c r="R18" i="510"/>
  <c r="S18" i="510" s="1"/>
  <c r="O18" i="510"/>
  <c r="Z18" i="510"/>
  <c r="L18" i="510"/>
  <c r="M18" i="510" s="1"/>
  <c r="R29" i="510"/>
  <c r="S29" i="510" s="1"/>
  <c r="O29" i="510"/>
  <c r="Z29" i="510"/>
  <c r="L29" i="510"/>
  <c r="M29" i="510" s="1"/>
  <c r="R23" i="510"/>
  <c r="S23" i="510" s="1"/>
  <c r="O23" i="510"/>
  <c r="Z23" i="510"/>
  <c r="L23" i="510"/>
  <c r="M23" i="510" s="1"/>
  <c r="Z30" i="510"/>
  <c r="R30" i="510"/>
  <c r="S30" i="510" s="1"/>
  <c r="O30" i="510"/>
  <c r="L30" i="510"/>
  <c r="M30" i="510" s="1"/>
  <c r="Z8" i="508"/>
  <c r="AA8" i="508" s="1"/>
  <c r="U8" i="508"/>
  <c r="R8" i="508"/>
  <c r="S8" i="508" s="1"/>
  <c r="O8" i="508"/>
  <c r="P8" i="508" s="1"/>
  <c r="L8" i="508"/>
  <c r="M8" i="508" s="1"/>
  <c r="Z16" i="508"/>
  <c r="AA16" i="508" s="1"/>
  <c r="U16" i="508"/>
  <c r="R16" i="508"/>
  <c r="S16" i="508" s="1"/>
  <c r="O16" i="508"/>
  <c r="P16" i="508" s="1"/>
  <c r="L16" i="508"/>
  <c r="M16" i="508" s="1"/>
  <c r="O30" i="481"/>
  <c r="O22" i="481"/>
  <c r="O35" i="481"/>
  <c r="C19" i="537"/>
  <c r="AM14" i="519"/>
  <c r="C14" i="537" s="1"/>
  <c r="AP22" i="526" l="1"/>
  <c r="W22" i="527"/>
  <c r="F22" i="527" s="1"/>
  <c r="AO16" i="510"/>
  <c r="AP14" i="481"/>
  <c r="F14" i="502"/>
  <c r="H14" i="502" s="1"/>
  <c r="L14" i="502" s="1"/>
  <c r="M14" i="502" s="1"/>
  <c r="N14" i="502" s="1"/>
  <c r="O16" i="502"/>
  <c r="P16" i="502" s="1"/>
  <c r="AO16" i="481" s="1"/>
  <c r="O17" i="502"/>
  <c r="P17" i="502" s="1"/>
  <c r="AO17" i="481" s="1"/>
  <c r="K17" i="513"/>
  <c r="O14" i="502" l="1"/>
  <c r="P14" i="502" s="1"/>
  <c r="AO14" i="481" s="1"/>
  <c r="H22" i="527"/>
  <c r="L22" i="527" s="1"/>
  <c r="M22" i="527" l="1"/>
  <c r="N22" i="527" s="1"/>
  <c r="O22" i="527" l="1"/>
  <c r="P22" i="527" s="1"/>
  <c r="AO22" i="526" l="1"/>
  <c r="S17" i="550"/>
  <c r="T17" i="550" s="1"/>
  <c r="S22" i="545"/>
  <c r="S23" i="545"/>
  <c r="S15" i="544"/>
  <c r="S16" i="544"/>
  <c r="S17" i="544"/>
  <c r="S18" i="544"/>
  <c r="S16" i="542"/>
  <c r="T16" i="542" s="1"/>
  <c r="S17" i="542"/>
  <c r="T17" i="542" s="1"/>
  <c r="S18" i="542"/>
  <c r="T18" i="542" s="1"/>
  <c r="T36" i="542"/>
  <c r="AL34" i="508" s="1"/>
  <c r="S34" i="541"/>
  <c r="S35" i="541"/>
  <c r="AQ22" i="526" l="1"/>
  <c r="AQ21" i="526"/>
  <c r="AS21" i="526" s="1"/>
  <c r="V36" i="542"/>
  <c r="V18" i="542"/>
  <c r="V16" i="542"/>
  <c r="AL16" i="508"/>
  <c r="U16" i="509" s="1"/>
  <c r="V17" i="542"/>
  <c r="V34" i="541"/>
  <c r="V35" i="541"/>
  <c r="V34" i="509" l="1"/>
  <c r="W34" i="509" s="1"/>
  <c r="U34" i="509"/>
  <c r="AR21" i="526"/>
  <c r="AX21" i="526"/>
  <c r="V22" i="509"/>
  <c r="F34" i="509" l="1"/>
  <c r="H34" i="509" s="1"/>
  <c r="L34" i="509" s="1"/>
  <c r="M34" i="509" s="1"/>
  <c r="N34" i="509" s="1"/>
  <c r="AP34" i="508"/>
  <c r="F22" i="509"/>
  <c r="W22" i="509"/>
  <c r="AP22" i="508" s="1"/>
  <c r="AY21" i="526"/>
  <c r="AZ21" i="526" s="1"/>
  <c r="BA21" i="526"/>
  <c r="BB21" i="526" s="1"/>
  <c r="O34" i="509"/>
  <c r="P34" i="509" s="1"/>
  <c r="AO34" i="508" s="1"/>
  <c r="V31" i="509"/>
  <c r="W31" i="509" s="1"/>
  <c r="AP31" i="508" s="1"/>
  <c r="S26" i="549"/>
  <c r="S28" i="549"/>
  <c r="AP13" i="510" l="1"/>
  <c r="BC21" i="526"/>
  <c r="F31" i="509" l="1"/>
  <c r="H31" i="509" s="1"/>
  <c r="L31" i="509" s="1"/>
  <c r="M31" i="509" s="1"/>
  <c r="N31" i="509" s="1"/>
  <c r="BD21" i="526"/>
  <c r="BE21" i="526" s="1"/>
  <c r="L13" i="511"/>
  <c r="BF21" i="526" l="1"/>
  <c r="BG21" i="526" s="1"/>
  <c r="O31" i="509"/>
  <c r="P31" i="509" s="1"/>
  <c r="AO31" i="508" s="1"/>
  <c r="M13" i="511"/>
  <c r="N13" i="511" s="1"/>
  <c r="L28" i="525"/>
  <c r="M28" i="525" s="1"/>
  <c r="N28" i="525" s="1"/>
  <c r="AA39" i="524"/>
  <c r="AB39" i="524" s="1"/>
  <c r="V39" i="524"/>
  <c r="W39" i="524" s="1"/>
  <c r="S39" i="524"/>
  <c r="I39" i="524"/>
  <c r="K39" i="524" s="1"/>
  <c r="M39" i="524"/>
  <c r="N39" i="524" s="1"/>
  <c r="P39" i="524"/>
  <c r="Q39" i="524" s="1"/>
  <c r="T39" i="524"/>
  <c r="AM39" i="524" l="1"/>
  <c r="T39" i="525" s="1"/>
  <c r="U39" i="525" s="1"/>
  <c r="V39" i="525" s="1"/>
  <c r="W39" i="525" s="1"/>
  <c r="O13" i="511"/>
  <c r="P13" i="511" s="1"/>
  <c r="O28" i="525"/>
  <c r="AW39" i="524"/>
  <c r="S11" i="542"/>
  <c r="T11" i="542" s="1"/>
  <c r="S10" i="539"/>
  <c r="T10" i="539" s="1"/>
  <c r="V10" i="539" s="1"/>
  <c r="P28" i="525" l="1"/>
  <c r="AP28" i="524" s="1"/>
  <c r="AR28" i="524" s="1"/>
  <c r="AO13" i="510"/>
  <c r="V11" i="542"/>
  <c r="AQ31" i="508"/>
  <c r="L40" i="525"/>
  <c r="M40" i="525" s="1"/>
  <c r="N40" i="525" s="1"/>
  <c r="P21" i="504"/>
  <c r="P19" i="481"/>
  <c r="U19" i="502" s="1"/>
  <c r="V19" i="502" s="1"/>
  <c r="AQ39" i="524" l="1"/>
  <c r="F39" i="525"/>
  <c r="AP19" i="481"/>
  <c r="F19" i="502"/>
  <c r="AL21" i="504"/>
  <c r="U21" i="505" s="1"/>
  <c r="AQ13" i="510"/>
  <c r="O40" i="525"/>
  <c r="P40" i="525" l="1"/>
  <c r="AP40" i="524" s="1"/>
  <c r="AR40" i="524" s="1"/>
  <c r="H39" i="525"/>
  <c r="O7" i="526"/>
  <c r="P7" i="526" s="1"/>
  <c r="Z7" i="526"/>
  <c r="AA7" i="526" s="1"/>
  <c r="S7" i="526"/>
  <c r="AL7" i="526" l="1"/>
  <c r="AD14" i="519"/>
  <c r="G14" i="537" s="1"/>
  <c r="T7" i="527" l="1"/>
  <c r="U7" i="527" s="1"/>
  <c r="J15" i="558" l="1"/>
  <c r="I15" i="558"/>
  <c r="Z15" i="558"/>
  <c r="K7" i="527"/>
  <c r="K23" i="511" l="1"/>
  <c r="K24" i="511"/>
  <c r="V7" i="527" l="1"/>
  <c r="W7" i="527" s="1"/>
  <c r="AP7" i="526" l="1"/>
  <c r="F7" i="527"/>
  <c r="AA23" i="510"/>
  <c r="P23" i="510"/>
  <c r="C18" i="535" l="1"/>
  <c r="S11" i="543" l="1"/>
  <c r="S31" i="541" l="1"/>
  <c r="S32" i="541"/>
  <c r="V32" i="541" l="1"/>
  <c r="V31" i="541"/>
  <c r="V14" i="509"/>
  <c r="U8" i="551"/>
  <c r="AE12" i="521"/>
  <c r="F14" i="509" l="1"/>
  <c r="W14" i="509"/>
  <c r="AP14" i="508" s="1"/>
  <c r="J22" i="537"/>
  <c r="J16" i="537"/>
  <c r="H14" i="509" l="1"/>
  <c r="L14" i="509" s="1"/>
  <c r="M14" i="509" s="1"/>
  <c r="N14" i="509" s="1"/>
  <c r="F11" i="514"/>
  <c r="I11" i="514" s="1"/>
  <c r="K11" i="514" s="1"/>
  <c r="O14" i="509" l="1"/>
  <c r="P14" i="509" s="1"/>
  <c r="AO14" i="508" s="1"/>
  <c r="AA11" i="514"/>
  <c r="AB11" i="514" s="1"/>
  <c r="V11" i="514"/>
  <c r="S11" i="514"/>
  <c r="T11" i="514" s="1"/>
  <c r="P11" i="514"/>
  <c r="Q11" i="514" s="1"/>
  <c r="M11" i="514"/>
  <c r="N11" i="514" s="1"/>
  <c r="F11" i="531"/>
  <c r="F25" i="504"/>
  <c r="AL11" i="514" l="1"/>
  <c r="AQ14" i="508"/>
  <c r="U11" i="531"/>
  <c r="R11" i="531"/>
  <c r="S11" i="531" s="1"/>
  <c r="O11" i="531"/>
  <c r="P11" i="531" s="1"/>
  <c r="Z11" i="531"/>
  <c r="AA11" i="531" s="1"/>
  <c r="L11" i="531"/>
  <c r="M11" i="531" s="1"/>
  <c r="I11" i="531"/>
  <c r="AA38" i="524"/>
  <c r="AB38" i="524" s="1"/>
  <c r="V38" i="524"/>
  <c r="W38" i="524" s="1"/>
  <c r="M38" i="524"/>
  <c r="N38" i="524" s="1"/>
  <c r="S38" i="524"/>
  <c r="I38" i="524"/>
  <c r="K38" i="524" s="1"/>
  <c r="U25" i="504"/>
  <c r="Z25" i="504"/>
  <c r="AA25" i="504" s="1"/>
  <c r="R25" i="504"/>
  <c r="S25" i="504" s="1"/>
  <c r="L25" i="504"/>
  <c r="O25" i="504"/>
  <c r="Z20" i="510"/>
  <c r="R20" i="510"/>
  <c r="S20" i="510" s="1"/>
  <c r="O20" i="510"/>
  <c r="P20" i="510" s="1"/>
  <c r="L20" i="510"/>
  <c r="M20" i="510" s="1"/>
  <c r="R21" i="510"/>
  <c r="S21" i="510" s="1"/>
  <c r="O21" i="510"/>
  <c r="Z21" i="510"/>
  <c r="L21" i="510"/>
  <c r="M21" i="510" s="1"/>
  <c r="Z22" i="510"/>
  <c r="R22" i="510"/>
  <c r="S22" i="510" s="1"/>
  <c r="O22" i="510"/>
  <c r="P22" i="510" s="1"/>
  <c r="L22" i="510"/>
  <c r="M22" i="510" s="1"/>
  <c r="P38" i="524"/>
  <c r="Q38" i="524" s="1"/>
  <c r="P21" i="510"/>
  <c r="P25" i="504"/>
  <c r="AL25" i="504" s="1"/>
  <c r="T25" i="505" s="1"/>
  <c r="T38" i="524"/>
  <c r="K12" i="518"/>
  <c r="AC12" i="519"/>
  <c r="S12" i="519"/>
  <c r="P12" i="519"/>
  <c r="K11" i="515"/>
  <c r="T11" i="515" l="1"/>
  <c r="U11" i="515" s="1"/>
  <c r="V11" i="515" s="1"/>
  <c r="W11" i="515" s="1"/>
  <c r="F11" i="515" s="1"/>
  <c r="AK11" i="531"/>
  <c r="T11" i="532" s="1"/>
  <c r="U11" i="532" s="1"/>
  <c r="AM38" i="524"/>
  <c r="T38" i="525" s="1"/>
  <c r="U38" i="525" s="1"/>
  <c r="V38" i="525" s="1"/>
  <c r="W38" i="525" s="1"/>
  <c r="AL12" i="519"/>
  <c r="U12" i="518" s="1"/>
  <c r="U25" i="505"/>
  <c r="AV12" i="519"/>
  <c r="V12" i="518" l="1"/>
  <c r="AP12" i="519" s="1"/>
  <c r="F38" i="525" l="1"/>
  <c r="AQ38" i="524"/>
  <c r="AP11" i="514"/>
  <c r="H11" i="515" l="1"/>
  <c r="L11" i="515" s="1"/>
  <c r="M11" i="515" s="1"/>
  <c r="N11" i="515" s="1"/>
  <c r="H38" i="525"/>
  <c r="S11" i="544"/>
  <c r="O11" i="515" l="1"/>
  <c r="P11" i="515" s="1"/>
  <c r="J20" i="537"/>
  <c r="J15" i="537"/>
  <c r="V9" i="513" l="1"/>
  <c r="AP9" i="512" s="1"/>
  <c r="AO11" i="514" l="1"/>
  <c r="AQ11" i="514" s="1"/>
  <c r="C20" i="535"/>
  <c r="F9" i="513" l="1"/>
  <c r="H9" i="513" s="1"/>
  <c r="L9" i="513" s="1"/>
  <c r="M9" i="513" s="1"/>
  <c r="N9" i="513" s="1"/>
  <c r="AC9" i="519"/>
  <c r="AC10" i="519"/>
  <c r="AC11" i="519"/>
  <c r="AC13" i="519"/>
  <c r="O9" i="513" l="1"/>
  <c r="F25" i="512"/>
  <c r="P9" i="513" l="1"/>
  <c r="AA36" i="524"/>
  <c r="AB36" i="524" s="1"/>
  <c r="V36" i="524"/>
  <c r="W36" i="524" s="1"/>
  <c r="M36" i="524"/>
  <c r="N36" i="524" s="1"/>
  <c r="S36" i="524"/>
  <c r="I36" i="524"/>
  <c r="K36" i="524" s="1"/>
  <c r="AA34" i="524"/>
  <c r="AB34" i="524" s="1"/>
  <c r="V34" i="524"/>
  <c r="W34" i="524" s="1"/>
  <c r="S34" i="524"/>
  <c r="I34" i="524"/>
  <c r="K34" i="524" s="1"/>
  <c r="M34" i="524"/>
  <c r="N34" i="524" s="1"/>
  <c r="AA35" i="524"/>
  <c r="AB35" i="524" s="1"/>
  <c r="V35" i="524"/>
  <c r="W35" i="524" s="1"/>
  <c r="S35" i="524"/>
  <c r="I35" i="524"/>
  <c r="K35" i="524" s="1"/>
  <c r="M35" i="524"/>
  <c r="N35" i="524" s="1"/>
  <c r="AA37" i="524"/>
  <c r="AB37" i="524" s="1"/>
  <c r="V37" i="524"/>
  <c r="W37" i="524" s="1"/>
  <c r="S37" i="524"/>
  <c r="I37" i="524"/>
  <c r="K37" i="524" s="1"/>
  <c r="M37" i="524"/>
  <c r="N37" i="524" s="1"/>
  <c r="R25" i="512"/>
  <c r="S25" i="512" s="1"/>
  <c r="L25" i="512"/>
  <c r="Z25" i="512"/>
  <c r="AA25" i="512" s="1"/>
  <c r="U25" i="512"/>
  <c r="O25" i="512"/>
  <c r="Z26" i="512"/>
  <c r="AA26" i="512" s="1"/>
  <c r="U26" i="512"/>
  <c r="O26" i="512"/>
  <c r="R26" i="512"/>
  <c r="S26" i="512" s="1"/>
  <c r="L26" i="512"/>
  <c r="P36" i="524"/>
  <c r="P34" i="524"/>
  <c r="Q34" i="524" s="1"/>
  <c r="P35" i="524"/>
  <c r="Q35" i="524" s="1"/>
  <c r="P37" i="524"/>
  <c r="Q37" i="524" s="1"/>
  <c r="T34" i="524"/>
  <c r="T36" i="524"/>
  <c r="Q36" i="524"/>
  <c r="T37" i="524"/>
  <c r="T35" i="524"/>
  <c r="K16" i="559"/>
  <c r="AC16" i="558"/>
  <c r="AO9" i="512" l="1"/>
  <c r="AQ9" i="512" s="1"/>
  <c r="AM34" i="524"/>
  <c r="T34" i="525" s="1"/>
  <c r="U34" i="525" s="1"/>
  <c r="V34" i="525" s="1"/>
  <c r="W34" i="525" s="1"/>
  <c r="AM37" i="524"/>
  <c r="T37" i="525" s="1"/>
  <c r="U37" i="525" s="1"/>
  <c r="V37" i="525" s="1"/>
  <c r="W37" i="525" s="1"/>
  <c r="AM35" i="524"/>
  <c r="T35" i="525" s="1"/>
  <c r="U35" i="525" s="1"/>
  <c r="V35" i="525" s="1"/>
  <c r="W35" i="525" s="1"/>
  <c r="AM36" i="524"/>
  <c r="T36" i="525" s="1"/>
  <c r="U36" i="525" s="1"/>
  <c r="V36" i="525" s="1"/>
  <c r="W36" i="525" s="1"/>
  <c r="Z16" i="558"/>
  <c r="AA16" i="558" s="1"/>
  <c r="J16" i="558"/>
  <c r="I16" i="558"/>
  <c r="O16" i="558"/>
  <c r="P16" i="558" s="1"/>
  <c r="U16" i="558"/>
  <c r="V16" i="558" s="1"/>
  <c r="L16" i="558"/>
  <c r="M16" i="558" s="1"/>
  <c r="R16" i="558"/>
  <c r="S16" i="558" s="1"/>
  <c r="AL16" i="558" l="1"/>
  <c r="Q19" i="528"/>
  <c r="AL19" i="528" s="1"/>
  <c r="T19" i="530" l="1"/>
  <c r="U19" i="530" s="1"/>
  <c r="F34" i="525"/>
  <c r="AQ34" i="524"/>
  <c r="F36" i="525"/>
  <c r="AQ36" i="524"/>
  <c r="AQ37" i="524"/>
  <c r="F37" i="525"/>
  <c r="AQ35" i="524"/>
  <c r="F35" i="525"/>
  <c r="H34" i="525" l="1"/>
  <c r="H36" i="525"/>
  <c r="H35" i="525"/>
  <c r="H37" i="525"/>
  <c r="V19" i="530"/>
  <c r="V16" i="559"/>
  <c r="L39" i="525"/>
  <c r="M39" i="525" s="1"/>
  <c r="N39" i="525" s="1"/>
  <c r="F16" i="559" l="1"/>
  <c r="W16" i="559"/>
  <c r="W19" i="530"/>
  <c r="AP19" i="528" s="1"/>
  <c r="O39" i="525"/>
  <c r="K8" i="530"/>
  <c r="K9" i="530"/>
  <c r="K10" i="530"/>
  <c r="K15" i="530"/>
  <c r="K16" i="530"/>
  <c r="K19" i="530"/>
  <c r="J19" i="537"/>
  <c r="J18" i="537"/>
  <c r="J17" i="537"/>
  <c r="J14" i="537"/>
  <c r="AF28" i="514"/>
  <c r="J13" i="537" s="1"/>
  <c r="J12" i="537"/>
  <c r="AE35" i="510"/>
  <c r="J11" i="537" s="1"/>
  <c r="AE37" i="508"/>
  <c r="J10" i="537" s="1"/>
  <c r="J9" i="537"/>
  <c r="J8" i="537"/>
  <c r="J7" i="537"/>
  <c r="F19" i="530" l="1"/>
  <c r="H19" i="530" s="1"/>
  <c r="L19" i="530" s="1"/>
  <c r="P39" i="525"/>
  <c r="AP39" i="524" s="1"/>
  <c r="AR39" i="524" s="1"/>
  <c r="J23" i="537"/>
  <c r="J27" i="537" s="1"/>
  <c r="H16" i="559"/>
  <c r="AP16" i="558"/>
  <c r="G13" i="558"/>
  <c r="G8" i="504" l="1"/>
  <c r="AT40" i="524" l="1"/>
  <c r="AS40" i="524" s="1"/>
  <c r="F26" i="508"/>
  <c r="F36" i="506"/>
  <c r="F24" i="504"/>
  <c r="J26" i="508" l="1"/>
  <c r="I26" i="508"/>
  <c r="I36" i="506"/>
  <c r="R36" i="506"/>
  <c r="S36" i="506" s="1"/>
  <c r="L36" i="506"/>
  <c r="M36" i="506" s="1"/>
  <c r="U36" i="506"/>
  <c r="V36" i="506" s="1"/>
  <c r="O36" i="506"/>
  <c r="Z36" i="506"/>
  <c r="AA36" i="506" s="1"/>
  <c r="AA33" i="524"/>
  <c r="AB33" i="524" s="1"/>
  <c r="V33" i="524"/>
  <c r="W33" i="524" s="1"/>
  <c r="M33" i="524"/>
  <c r="N33" i="524" s="1"/>
  <c r="S33" i="524"/>
  <c r="T33" i="524" s="1"/>
  <c r="Z24" i="504"/>
  <c r="AA24" i="504" s="1"/>
  <c r="U24" i="504"/>
  <c r="R24" i="504"/>
  <c r="S24" i="504" s="1"/>
  <c r="L24" i="504"/>
  <c r="O24" i="504"/>
  <c r="P24" i="504" s="1"/>
  <c r="AL24" i="504" s="1"/>
  <c r="Z26" i="508"/>
  <c r="AA26" i="508" s="1"/>
  <c r="U26" i="508"/>
  <c r="R26" i="508"/>
  <c r="S26" i="508" s="1"/>
  <c r="O26" i="508"/>
  <c r="P26" i="508" s="1"/>
  <c r="L26" i="508"/>
  <c r="M26" i="508" s="1"/>
  <c r="P33" i="524"/>
  <c r="AX40" i="524"/>
  <c r="AY40" i="524" s="1"/>
  <c r="AZ40" i="524" s="1"/>
  <c r="BA40" i="524"/>
  <c r="P30" i="481"/>
  <c r="U30" i="502" s="1"/>
  <c r="V30" i="502" s="1"/>
  <c r="P36" i="506"/>
  <c r="Q33" i="524"/>
  <c r="K22" i="511"/>
  <c r="C9" i="537"/>
  <c r="AP30" i="481" l="1"/>
  <c r="F30" i="502"/>
  <c r="AM33" i="524"/>
  <c r="T33" i="525" s="1"/>
  <c r="U33" i="525" s="1"/>
  <c r="V33" i="525" s="1"/>
  <c r="W33" i="525" s="1"/>
  <c r="AL26" i="508"/>
  <c r="U26" i="509" s="1"/>
  <c r="AL36" i="506"/>
  <c r="T36" i="507" s="1"/>
  <c r="U24" i="505"/>
  <c r="BB40" i="524"/>
  <c r="AA22" i="510"/>
  <c r="BC40" i="524" l="1"/>
  <c r="BD40" i="524" s="1"/>
  <c r="AW38" i="524"/>
  <c r="BE40" i="524" l="1"/>
  <c r="AQ33" i="524" l="1"/>
  <c r="F33" i="525"/>
  <c r="BF40" i="524"/>
  <c r="BG40" i="524" s="1"/>
  <c r="AP22" i="510" l="1"/>
  <c r="H33" i="525"/>
  <c r="K30" i="502"/>
  <c r="L38" i="525" l="1"/>
  <c r="AT39" i="524" l="1"/>
  <c r="AS39" i="524" s="1"/>
  <c r="P28" i="506"/>
  <c r="S25" i="550"/>
  <c r="T25" i="550" s="1"/>
  <c r="BA39" i="524" l="1"/>
  <c r="AX39" i="524"/>
  <c r="S23" i="544"/>
  <c r="S10" i="543"/>
  <c r="AY39" i="524" l="1"/>
  <c r="BB39" i="524"/>
  <c r="S13" i="519"/>
  <c r="AL13" i="519" s="1"/>
  <c r="P13" i="519"/>
  <c r="T13" i="518" l="1"/>
  <c r="U13" i="518" s="1"/>
  <c r="BC39" i="524"/>
  <c r="AZ39" i="524"/>
  <c r="AC10" i="533"/>
  <c r="V13" i="518" l="1"/>
  <c r="BD39" i="524"/>
  <c r="K16" i="507"/>
  <c r="K17" i="507"/>
  <c r="K18" i="507"/>
  <c r="K19" i="507"/>
  <c r="K21" i="507"/>
  <c r="K22" i="507"/>
  <c r="K23" i="507"/>
  <c r="K24" i="507"/>
  <c r="K25" i="507"/>
  <c r="K26" i="507"/>
  <c r="K27" i="507"/>
  <c r="K28" i="507"/>
  <c r="K29" i="507"/>
  <c r="K30" i="507"/>
  <c r="K31" i="507"/>
  <c r="K32" i="507"/>
  <c r="K33" i="507"/>
  <c r="K34" i="507"/>
  <c r="K36" i="507"/>
  <c r="K37" i="507"/>
  <c r="K38" i="507"/>
  <c r="W13" i="518" l="1"/>
  <c r="F13" i="518" s="1"/>
  <c r="BE39" i="524"/>
  <c r="AP13" i="519" l="1"/>
  <c r="BF39" i="524"/>
  <c r="K21" i="511"/>
  <c r="BG39" i="524" l="1"/>
  <c r="AA21" i="510"/>
  <c r="F28" i="481" l="1"/>
  <c r="U28" i="481" l="1"/>
  <c r="L28" i="481"/>
  <c r="M28" i="481" s="1"/>
  <c r="J28" i="481"/>
  <c r="I28" i="481"/>
  <c r="R28" i="481"/>
  <c r="S28" i="481" s="1"/>
  <c r="Z28" i="481"/>
  <c r="AA28" i="481" s="1"/>
  <c r="Z29" i="481"/>
  <c r="AA29" i="481" s="1"/>
  <c r="R29" i="481"/>
  <c r="S29" i="481" s="1"/>
  <c r="O29" i="481"/>
  <c r="O28" i="481"/>
  <c r="P28" i="481" s="1"/>
  <c r="P29" i="481"/>
  <c r="U29" i="502" s="1"/>
  <c r="V29" i="502" s="1"/>
  <c r="AA23" i="512"/>
  <c r="P23" i="512"/>
  <c r="AL23" i="512" s="1"/>
  <c r="K10" i="534"/>
  <c r="K10" i="523"/>
  <c r="AP29" i="481" l="1"/>
  <c r="F29" i="502"/>
  <c r="U28" i="502"/>
  <c r="V28" i="502" s="1"/>
  <c r="AA10" i="521"/>
  <c r="R10" i="521"/>
  <c r="S10" i="521" s="1"/>
  <c r="O10" i="521"/>
  <c r="P10" i="521" s="1"/>
  <c r="R11" i="521"/>
  <c r="S11" i="521" s="1"/>
  <c r="O11" i="521"/>
  <c r="P11" i="521" s="1"/>
  <c r="AP21" i="510" l="1"/>
  <c r="AP28" i="481"/>
  <c r="F28" i="502"/>
  <c r="AK10" i="521"/>
  <c r="T10" i="523" s="1"/>
  <c r="U10" i="523" s="1"/>
  <c r="AV10" i="533"/>
  <c r="AU10" i="521"/>
  <c r="U7" i="545" l="1"/>
  <c r="K25" i="505"/>
  <c r="K26" i="513"/>
  <c r="K20" i="511"/>
  <c r="V10" i="523" l="1"/>
  <c r="W10" i="523" s="1"/>
  <c r="V10" i="534"/>
  <c r="W10" i="534" s="1"/>
  <c r="P26" i="512"/>
  <c r="AL26" i="512" s="1"/>
  <c r="AA20" i="510"/>
  <c r="F10" i="523" l="1"/>
  <c r="AO10" i="521"/>
  <c r="F10" i="534"/>
  <c r="F11" i="534" s="1"/>
  <c r="H10" i="523" l="1"/>
  <c r="V25" i="505"/>
  <c r="W25" i="505" s="1"/>
  <c r="AP25" i="504" l="1"/>
  <c r="F25" i="505"/>
  <c r="V26" i="513"/>
  <c r="AP26" i="512" s="1"/>
  <c r="AP20" i="510" l="1"/>
  <c r="H25" i="505"/>
  <c r="L25" i="505" s="1"/>
  <c r="M25" i="505" s="1"/>
  <c r="N25" i="505" s="1"/>
  <c r="F26" i="513" l="1"/>
  <c r="O25" i="505"/>
  <c r="P25" i="505" s="1"/>
  <c r="K24" i="527"/>
  <c r="G24" i="526"/>
  <c r="F24" i="526"/>
  <c r="R21" i="481"/>
  <c r="S21" i="481" s="1"/>
  <c r="R24" i="526" l="1"/>
  <c r="S24" i="526" s="1"/>
  <c r="U24" i="526"/>
  <c r="V24" i="526" s="1"/>
  <c r="L24" i="526"/>
  <c r="M24" i="526" s="1"/>
  <c r="I24" i="526"/>
  <c r="AA32" i="524"/>
  <c r="AB32" i="524" s="1"/>
  <c r="V32" i="524"/>
  <c r="W32" i="524" s="1"/>
  <c r="S32" i="524"/>
  <c r="T32" i="524" s="1"/>
  <c r="I32" i="524"/>
  <c r="K32" i="524" s="1"/>
  <c r="M32" i="524"/>
  <c r="N32" i="524" s="1"/>
  <c r="Z21" i="481"/>
  <c r="AA21" i="481" s="1"/>
  <c r="Z24" i="508"/>
  <c r="AA24" i="508" s="1"/>
  <c r="U24" i="508"/>
  <c r="R24" i="508"/>
  <c r="S24" i="508" s="1"/>
  <c r="O24" i="508"/>
  <c r="P24" i="508" s="1"/>
  <c r="L24" i="508"/>
  <c r="M24" i="508" s="1"/>
  <c r="O21" i="481"/>
  <c r="P21" i="481" s="1"/>
  <c r="U21" i="502" s="1"/>
  <c r="V21" i="502" s="1"/>
  <c r="P32" i="524"/>
  <c r="Q32" i="524" s="1"/>
  <c r="Z24" i="526"/>
  <c r="AA24" i="526" s="1"/>
  <c r="O24" i="526"/>
  <c r="P24" i="526" s="1"/>
  <c r="AO25" i="504" l="1"/>
  <c r="AQ25" i="504" s="1"/>
  <c r="AP21" i="481"/>
  <c r="F21" i="502"/>
  <c r="AL24" i="526"/>
  <c r="AM32" i="524"/>
  <c r="T32" i="525" s="1"/>
  <c r="U32" i="525" s="1"/>
  <c r="V32" i="525" s="1"/>
  <c r="W32" i="525" s="1"/>
  <c r="AL24" i="508"/>
  <c r="U24" i="509" s="1"/>
  <c r="AW24" i="526"/>
  <c r="T24" i="527" l="1"/>
  <c r="U24" i="527" s="1"/>
  <c r="K25" i="513"/>
  <c r="G37" i="506"/>
  <c r="F32" i="525" l="1"/>
  <c r="AQ32" i="524"/>
  <c r="V24" i="527"/>
  <c r="P25" i="512"/>
  <c r="AL25" i="512" s="1"/>
  <c r="M38" i="525"/>
  <c r="N38" i="525" s="1"/>
  <c r="W24" i="527" l="1"/>
  <c r="F24" i="527" s="1"/>
  <c r="H32" i="525"/>
  <c r="O38" i="525"/>
  <c r="AW34" i="524"/>
  <c r="AW37" i="524"/>
  <c r="AW35" i="524"/>
  <c r="AP24" i="526" l="1"/>
  <c r="P38" i="525"/>
  <c r="AP38" i="524" s="1"/>
  <c r="AR38" i="524" s="1"/>
  <c r="AW36" i="524"/>
  <c r="V25" i="513" l="1"/>
  <c r="AP25" i="512" s="1"/>
  <c r="L33" i="525"/>
  <c r="L34" i="525" l="1"/>
  <c r="L36" i="525"/>
  <c r="F25" i="513" l="1"/>
  <c r="L35" i="525"/>
  <c r="M35" i="525" s="1"/>
  <c r="N35" i="525" s="1"/>
  <c r="L37" i="525"/>
  <c r="M36" i="525"/>
  <c r="N36" i="525" s="1"/>
  <c r="M33" i="525"/>
  <c r="N33" i="525" s="1"/>
  <c r="O33" i="525" l="1"/>
  <c r="O35" i="525"/>
  <c r="O36" i="525"/>
  <c r="U8" i="552"/>
  <c r="U8" i="548"/>
  <c r="U8" i="547"/>
  <c r="U8" i="543"/>
  <c r="U8" i="542"/>
  <c r="U8" i="540"/>
  <c r="G10" i="558"/>
  <c r="F10" i="558"/>
  <c r="I10" i="558" s="1"/>
  <c r="P36" i="525" l="1"/>
  <c r="AP36" i="524" s="1"/>
  <c r="AR36" i="524" s="1"/>
  <c r="AP35" i="524"/>
  <c r="AR35" i="524" s="1"/>
  <c r="P35" i="525"/>
  <c r="AP33" i="524"/>
  <c r="AR33" i="524" s="1"/>
  <c r="P33" i="525"/>
  <c r="U10" i="558"/>
  <c r="V10" i="558" s="1"/>
  <c r="O10" i="558"/>
  <c r="Z10" i="558"/>
  <c r="R10" i="558"/>
  <c r="L10" i="558"/>
  <c r="M10" i="558" s="1"/>
  <c r="R19" i="510" l="1"/>
  <c r="S19" i="510" s="1"/>
  <c r="AL19" i="510" s="1"/>
  <c r="T19" i="511" s="1"/>
  <c r="U19" i="511" s="1"/>
  <c r="V19" i="511" s="1"/>
  <c r="W19" i="511" s="1"/>
  <c r="F19" i="511" s="1"/>
  <c r="H19" i="511" s="1"/>
  <c r="O19" i="510"/>
  <c r="L19" i="510"/>
  <c r="M19" i="510" s="1"/>
  <c r="P19" i="510"/>
  <c r="C18" i="537"/>
  <c r="H30" i="502" l="1"/>
  <c r="K26" i="509"/>
  <c r="K24" i="505"/>
  <c r="AW32" i="524" l="1"/>
  <c r="I17" i="528"/>
  <c r="K17" i="528" s="1"/>
  <c r="F20" i="481"/>
  <c r="U20" i="481" l="1"/>
  <c r="L20" i="481"/>
  <c r="M20" i="481" s="1"/>
  <c r="J20" i="481"/>
  <c r="I20" i="481"/>
  <c r="V26" i="509"/>
  <c r="AA29" i="524"/>
  <c r="AB29" i="524" s="1"/>
  <c r="V29" i="524"/>
  <c r="W29" i="524" s="1"/>
  <c r="M29" i="524"/>
  <c r="N29" i="524" s="1"/>
  <c r="S29" i="524"/>
  <c r="T29" i="524" s="1"/>
  <c r="I29" i="524"/>
  <c r="K29" i="524" s="1"/>
  <c r="AA31" i="524"/>
  <c r="AB31" i="524" s="1"/>
  <c r="V31" i="524"/>
  <c r="W31" i="524" s="1"/>
  <c r="M31" i="524"/>
  <c r="N31" i="524" s="1"/>
  <c r="S31" i="524"/>
  <c r="I31" i="524"/>
  <c r="K31" i="524" s="1"/>
  <c r="AA30" i="524"/>
  <c r="AB30" i="524" s="1"/>
  <c r="V30" i="524"/>
  <c r="W30" i="524" s="1"/>
  <c r="S30" i="524"/>
  <c r="I30" i="524"/>
  <c r="K30" i="524" s="1"/>
  <c r="M30" i="524"/>
  <c r="N30" i="524" s="1"/>
  <c r="AB17" i="528"/>
  <c r="M17" i="528"/>
  <c r="R21" i="512"/>
  <c r="S21" i="512" s="1"/>
  <c r="L21" i="512"/>
  <c r="Z21" i="512"/>
  <c r="U21" i="512"/>
  <c r="O21" i="512"/>
  <c r="Z20" i="512"/>
  <c r="U20" i="512"/>
  <c r="O20" i="512"/>
  <c r="R20" i="512"/>
  <c r="S20" i="512" s="1"/>
  <c r="L20" i="512"/>
  <c r="Z20" i="481"/>
  <c r="AA20" i="481" s="1"/>
  <c r="R20" i="481"/>
  <c r="S20" i="481" s="1"/>
  <c r="U22" i="504"/>
  <c r="Z22" i="504"/>
  <c r="AA22" i="504" s="1"/>
  <c r="R22" i="504"/>
  <c r="S22" i="504" s="1"/>
  <c r="L22" i="504"/>
  <c r="O22" i="504"/>
  <c r="O20" i="481"/>
  <c r="P29" i="524"/>
  <c r="P31" i="524"/>
  <c r="P30" i="524"/>
  <c r="Q30" i="524" s="1"/>
  <c r="P20" i="481"/>
  <c r="AA19" i="512"/>
  <c r="AA21" i="512"/>
  <c r="AA20" i="512"/>
  <c r="P22" i="504"/>
  <c r="Q29" i="524"/>
  <c r="T31" i="524"/>
  <c r="Q31" i="524"/>
  <c r="T30" i="524"/>
  <c r="Q17" i="528"/>
  <c r="AL17" i="528" s="1"/>
  <c r="P19" i="512"/>
  <c r="AL19" i="512" s="1"/>
  <c r="T19" i="513" s="1"/>
  <c r="U19" i="513" s="1"/>
  <c r="P20" i="512"/>
  <c r="P21" i="512"/>
  <c r="T17" i="530" l="1"/>
  <c r="U17" i="530" s="1"/>
  <c r="F26" i="509"/>
  <c r="W26" i="509"/>
  <c r="AP26" i="508" s="1"/>
  <c r="AL21" i="512"/>
  <c r="U20" i="502"/>
  <c r="V20" i="502" s="1"/>
  <c r="AM29" i="524"/>
  <c r="T29" i="525" s="1"/>
  <c r="U29" i="525" s="1"/>
  <c r="V29" i="525" s="1"/>
  <c r="W29" i="525" s="1"/>
  <c r="AM30" i="524"/>
  <c r="T30" i="525" s="1"/>
  <c r="U30" i="525" s="1"/>
  <c r="V30" i="525" s="1"/>
  <c r="W30" i="525" s="1"/>
  <c r="AM31" i="524"/>
  <c r="T31" i="525" s="1"/>
  <c r="U31" i="525" s="1"/>
  <c r="V31" i="525" s="1"/>
  <c r="W31" i="525" s="1"/>
  <c r="AL20" i="512"/>
  <c r="AL22" i="504"/>
  <c r="V24" i="505"/>
  <c r="L32" i="525"/>
  <c r="K29" i="502"/>
  <c r="K23" i="513"/>
  <c r="K23" i="515"/>
  <c r="T22" i="505" l="1"/>
  <c r="U22" i="505" s="1"/>
  <c r="F24" i="505"/>
  <c r="AP24" i="504"/>
  <c r="AP20" i="481"/>
  <c r="F20" i="502"/>
  <c r="H26" i="509"/>
  <c r="L26" i="509" s="1"/>
  <c r="M26" i="509" s="1"/>
  <c r="N26" i="509" s="1"/>
  <c r="AT38" i="524"/>
  <c r="AS38" i="524" s="1"/>
  <c r="AQ31" i="524" l="1"/>
  <c r="F31" i="525"/>
  <c r="V17" i="530"/>
  <c r="H24" i="505"/>
  <c r="O26" i="509"/>
  <c r="P26" i="509" s="1"/>
  <c r="AO26" i="508" s="1"/>
  <c r="AX38" i="524"/>
  <c r="AY38" i="524" s="1"/>
  <c r="AZ38" i="524" s="1"/>
  <c r="BA38" i="524"/>
  <c r="BB38" i="524" s="1"/>
  <c r="F23" i="514"/>
  <c r="I23" i="514" s="1"/>
  <c r="K23" i="514" s="1"/>
  <c r="F17" i="530" l="1"/>
  <c r="W17" i="530"/>
  <c r="AQ29" i="524"/>
  <c r="F29" i="525"/>
  <c r="F30" i="525"/>
  <c r="AQ30" i="524"/>
  <c r="AQ26" i="508"/>
  <c r="H31" i="525"/>
  <c r="AA23" i="514"/>
  <c r="AB23" i="514" s="1"/>
  <c r="V23" i="514"/>
  <c r="S23" i="514"/>
  <c r="T23" i="514" s="1"/>
  <c r="P23" i="514"/>
  <c r="Q23" i="514" s="1"/>
  <c r="M23" i="514"/>
  <c r="N23" i="514" s="1"/>
  <c r="V23" i="513"/>
  <c r="AP23" i="512" s="1"/>
  <c r="M19" i="530"/>
  <c r="N19" i="530" s="1"/>
  <c r="BC38" i="524"/>
  <c r="AT33" i="524"/>
  <c r="AS33" i="524" s="1"/>
  <c r="AL23" i="514" l="1"/>
  <c r="H17" i="530"/>
  <c r="L17" i="530" s="1"/>
  <c r="M17" i="530" s="1"/>
  <c r="N17" i="530" s="1"/>
  <c r="H30" i="525"/>
  <c r="H29" i="525"/>
  <c r="O19" i="530"/>
  <c r="P19" i="530" s="1"/>
  <c r="AO19" i="528" s="1"/>
  <c r="AQ19" i="528" s="1"/>
  <c r="BD38" i="524"/>
  <c r="BE38" i="524" s="1"/>
  <c r="AX33" i="524"/>
  <c r="AY33" i="524" s="1"/>
  <c r="AZ33" i="524" s="1"/>
  <c r="BA33" i="524"/>
  <c r="G21" i="524"/>
  <c r="T23" i="515" l="1"/>
  <c r="U23" i="515" s="1"/>
  <c r="V23" i="515" s="1"/>
  <c r="W23" i="515" s="1"/>
  <c r="F23" i="515" s="1"/>
  <c r="F23" i="513"/>
  <c r="O17" i="530"/>
  <c r="P17" i="530" s="1"/>
  <c r="AA21" i="524"/>
  <c r="AB21" i="524" s="1"/>
  <c r="V21" i="524"/>
  <c r="W21" i="524" s="1"/>
  <c r="S21" i="524"/>
  <c r="T21" i="524" s="1"/>
  <c r="M21" i="524"/>
  <c r="N21" i="524" s="1"/>
  <c r="I21" i="524"/>
  <c r="K21" i="524" s="1"/>
  <c r="P21" i="524"/>
  <c r="Q21" i="524" s="1"/>
  <c r="BF38" i="524"/>
  <c r="BG38" i="524" s="1"/>
  <c r="BB33" i="524"/>
  <c r="H29" i="502" l="1"/>
  <c r="AS18" i="528"/>
  <c r="AR18" i="528" s="1"/>
  <c r="BC33" i="524"/>
  <c r="BD33" i="524" s="1"/>
  <c r="S23" i="539"/>
  <c r="T23" i="539" s="1"/>
  <c r="S25" i="539"/>
  <c r="T25" i="539" s="1"/>
  <c r="V25" i="539" s="1"/>
  <c r="S24" i="539"/>
  <c r="T24" i="539" s="1"/>
  <c r="V24" i="539" s="1"/>
  <c r="AP23" i="514" l="1"/>
  <c r="V23" i="539"/>
  <c r="U18" i="502"/>
  <c r="V18" i="502" s="1"/>
  <c r="AY18" i="528"/>
  <c r="AZ18" i="528" s="1"/>
  <c r="AV18" i="528"/>
  <c r="AW18" i="528" s="1"/>
  <c r="AX18" i="528" s="1"/>
  <c r="AS19" i="528"/>
  <c r="AR19" i="528" s="1"/>
  <c r="BE33" i="524"/>
  <c r="BF33" i="524" s="1"/>
  <c r="AP18" i="481" l="1"/>
  <c r="F18" i="502"/>
  <c r="H18" i="502" s="1"/>
  <c r="L18" i="502" s="1"/>
  <c r="M18" i="502" s="1"/>
  <c r="N18" i="502" s="1"/>
  <c r="BA18" i="528"/>
  <c r="BB18" i="528" s="1"/>
  <c r="AY19" i="528"/>
  <c r="AV19" i="528"/>
  <c r="AW19" i="528" s="1"/>
  <c r="AX19" i="528" s="1"/>
  <c r="BG33" i="524"/>
  <c r="O18" i="502" l="1"/>
  <c r="P18" i="502" s="1"/>
  <c r="AO18" i="481" s="1"/>
  <c r="BC18" i="528"/>
  <c r="BD18" i="528" s="1"/>
  <c r="AZ19" i="528"/>
  <c r="BA19" i="528" s="1"/>
  <c r="R8" i="541"/>
  <c r="S8" i="541" s="1"/>
  <c r="BE18" i="528" l="1"/>
  <c r="AS25" i="508"/>
  <c r="AR25" i="508" s="1"/>
  <c r="BB19" i="528"/>
  <c r="BC19" i="528" s="1"/>
  <c r="BD19" i="528" s="1"/>
  <c r="BE19" i="528" s="1"/>
  <c r="AW25" i="508" l="1"/>
  <c r="AX25" i="508" s="1"/>
  <c r="AY25" i="508" s="1"/>
  <c r="AZ25" i="508"/>
  <c r="BA25" i="508" s="1"/>
  <c r="T8" i="539"/>
  <c r="BB25" i="508" l="1"/>
  <c r="BC25" i="508" s="1"/>
  <c r="X7" i="481"/>
  <c r="V8" i="539"/>
  <c r="BD25" i="508" l="1"/>
  <c r="BE25" i="508" s="1"/>
  <c r="BF25" i="508" s="1"/>
  <c r="Z17" i="512"/>
  <c r="U17" i="512"/>
  <c r="O17" i="512"/>
  <c r="R17" i="512"/>
  <c r="S17" i="512" s="1"/>
  <c r="L17" i="512"/>
  <c r="AA17" i="512"/>
  <c r="P17" i="512"/>
  <c r="AL17" i="512" l="1"/>
  <c r="Z13" i="508"/>
  <c r="AA13" i="508" s="1"/>
  <c r="U13" i="508"/>
  <c r="R13" i="508"/>
  <c r="S13" i="508" s="1"/>
  <c r="O13" i="508"/>
  <c r="P13" i="508" s="1"/>
  <c r="L13" i="508"/>
  <c r="M13" i="508" s="1"/>
  <c r="C17" i="535"/>
  <c r="K8" i="559"/>
  <c r="K9" i="559"/>
  <c r="K10" i="559"/>
  <c r="K11" i="559"/>
  <c r="K13" i="559"/>
  <c r="K15" i="559"/>
  <c r="K18" i="559"/>
  <c r="G9" i="537" l="1"/>
  <c r="AD41" i="504"/>
  <c r="G8" i="537" s="1"/>
  <c r="K8" i="511" l="1"/>
  <c r="K9" i="511"/>
  <c r="K10" i="511"/>
  <c r="K11" i="511"/>
  <c r="K12" i="511"/>
  <c r="K14" i="511"/>
  <c r="K17" i="511"/>
  <c r="K18" i="511"/>
  <c r="K19" i="511"/>
  <c r="K25" i="511"/>
  <c r="K26" i="511"/>
  <c r="K27" i="511"/>
  <c r="K28" i="511"/>
  <c r="K29" i="511"/>
  <c r="K30" i="511"/>
  <c r="K31" i="511"/>
  <c r="K32" i="511"/>
  <c r="K34" i="511"/>
  <c r="K7" i="507"/>
  <c r="K8" i="505"/>
  <c r="K9" i="505"/>
  <c r="K11" i="505"/>
  <c r="K12" i="505"/>
  <c r="K15" i="505"/>
  <c r="K16" i="505"/>
  <c r="K17" i="505"/>
  <c r="K18" i="505"/>
  <c r="K19" i="505"/>
  <c r="K20" i="505"/>
  <c r="K21" i="505"/>
  <c r="K22" i="505"/>
  <c r="K27" i="505"/>
  <c r="K28" i="505"/>
  <c r="K29" i="505"/>
  <c r="K30" i="505"/>
  <c r="K31" i="505"/>
  <c r="K33" i="505"/>
  <c r="K34" i="505"/>
  <c r="K35" i="505"/>
  <c r="K36" i="505"/>
  <c r="K37" i="505"/>
  <c r="K38" i="505"/>
  <c r="K39" i="505"/>
  <c r="K40" i="505"/>
  <c r="K9" i="515"/>
  <c r="K10" i="515"/>
  <c r="K12" i="515"/>
  <c r="K13" i="515"/>
  <c r="K14" i="515"/>
  <c r="K15" i="515"/>
  <c r="K16" i="515"/>
  <c r="K17" i="515"/>
  <c r="K18" i="515"/>
  <c r="K19" i="515"/>
  <c r="K20" i="515"/>
  <c r="K21" i="515"/>
  <c r="K22" i="515"/>
  <c r="K27" i="515"/>
  <c r="F16" i="512"/>
  <c r="F19" i="508"/>
  <c r="F34" i="506"/>
  <c r="J19" i="508" l="1"/>
  <c r="I19" i="508"/>
  <c r="I34" i="506"/>
  <c r="R34" i="506"/>
  <c r="L34" i="506"/>
  <c r="M34" i="506" s="1"/>
  <c r="U34" i="506"/>
  <c r="V34" i="506" s="1"/>
  <c r="O34" i="506"/>
  <c r="Z34" i="506"/>
  <c r="AA34" i="506" s="1"/>
  <c r="S34" i="506"/>
  <c r="R16" i="512"/>
  <c r="S16" i="512" s="1"/>
  <c r="L16" i="512"/>
  <c r="Z16" i="512"/>
  <c r="U16" i="512"/>
  <c r="O16" i="512"/>
  <c r="Z14" i="510"/>
  <c r="R14" i="510"/>
  <c r="S14" i="510" s="1"/>
  <c r="O14" i="510"/>
  <c r="P14" i="510" s="1"/>
  <c r="L14" i="510"/>
  <c r="M14" i="510" s="1"/>
  <c r="Z19" i="508"/>
  <c r="AA19" i="508" s="1"/>
  <c r="U19" i="508"/>
  <c r="R19" i="508"/>
  <c r="S19" i="508" s="1"/>
  <c r="O19" i="508"/>
  <c r="P19" i="508" s="1"/>
  <c r="L19" i="508"/>
  <c r="M19" i="508" s="1"/>
  <c r="Z17" i="508"/>
  <c r="AA17" i="508" s="1"/>
  <c r="U17" i="508"/>
  <c r="R17" i="508"/>
  <c r="S17" i="508" s="1"/>
  <c r="O17" i="508"/>
  <c r="P17" i="508" s="1"/>
  <c r="L17" i="508"/>
  <c r="M17" i="508" s="1"/>
  <c r="AA16" i="512"/>
  <c r="P34" i="506"/>
  <c r="P33" i="506"/>
  <c r="Z18" i="558"/>
  <c r="V18" i="558"/>
  <c r="R18" i="558"/>
  <c r="O18" i="558"/>
  <c r="L18" i="558"/>
  <c r="M18" i="558" s="1"/>
  <c r="P16" i="512"/>
  <c r="AL16" i="512" l="1"/>
  <c r="AL19" i="508"/>
  <c r="U19" i="509" s="1"/>
  <c r="AL17" i="508"/>
  <c r="U17" i="509" s="1"/>
  <c r="AL34" i="506"/>
  <c r="T34" i="507" s="1"/>
  <c r="AL33" i="506"/>
  <c r="T33" i="507" s="1"/>
  <c r="U33" i="507" s="1"/>
  <c r="L16" i="559"/>
  <c r="M16" i="559" s="1"/>
  <c r="N16" i="559" s="1"/>
  <c r="F11" i="504" l="1"/>
  <c r="O16" i="559" l="1"/>
  <c r="P16" i="559" s="1"/>
  <c r="U11" i="504"/>
  <c r="R11" i="504"/>
  <c r="S11" i="504" s="1"/>
  <c r="Z11" i="504"/>
  <c r="AA11" i="504" s="1"/>
  <c r="L11" i="504"/>
  <c r="O11" i="504"/>
  <c r="P11" i="504"/>
  <c r="AL11" i="504" l="1"/>
  <c r="U11" i="505" s="1"/>
  <c r="AO16" i="558"/>
  <c r="AQ16" i="558" s="1"/>
  <c r="K28" i="502"/>
  <c r="S9" i="557" l="1"/>
  <c r="S10" i="557"/>
  <c r="S11" i="557"/>
  <c r="S12" i="557"/>
  <c r="S13" i="557"/>
  <c r="K7" i="559"/>
  <c r="AC18" i="558"/>
  <c r="AC15" i="558"/>
  <c r="G15" i="558"/>
  <c r="AC13" i="558"/>
  <c r="F13" i="558"/>
  <c r="AC12" i="558"/>
  <c r="F12" i="558"/>
  <c r="AC11" i="558"/>
  <c r="G11" i="558"/>
  <c r="I11" i="558"/>
  <c r="AC10" i="558"/>
  <c r="AA10" i="558"/>
  <c r="G9" i="558"/>
  <c r="F9" i="558"/>
  <c r="I9" i="558" s="1"/>
  <c r="AC8" i="558"/>
  <c r="G8" i="558"/>
  <c r="I8" i="558"/>
  <c r="AC7" i="558"/>
  <c r="G7" i="558"/>
  <c r="F7" i="558"/>
  <c r="T8" i="557"/>
  <c r="AS16" i="558" l="1"/>
  <c r="AR16" i="558" s="1"/>
  <c r="U12" i="558"/>
  <c r="O12" i="558"/>
  <c r="I13" i="558"/>
  <c r="J13" i="558"/>
  <c r="V11" i="505"/>
  <c r="U7" i="558"/>
  <c r="V7" i="558" s="1"/>
  <c r="L7" i="558"/>
  <c r="M7" i="558" s="1"/>
  <c r="U8" i="558"/>
  <c r="V8" i="558" s="1"/>
  <c r="O8" i="558"/>
  <c r="P8" i="558" s="1"/>
  <c r="Z8" i="558"/>
  <c r="AA8" i="558" s="1"/>
  <c r="R8" i="558"/>
  <c r="S8" i="558" s="1"/>
  <c r="L8" i="558"/>
  <c r="M8" i="558" s="1"/>
  <c r="Z11" i="558"/>
  <c r="AA11" i="558" s="1"/>
  <c r="R11" i="558"/>
  <c r="S11" i="558" s="1"/>
  <c r="L11" i="558"/>
  <c r="M11" i="558" s="1"/>
  <c r="U11" i="558"/>
  <c r="V11" i="558" s="1"/>
  <c r="O11" i="558"/>
  <c r="Z9" i="558"/>
  <c r="AA9" i="558" s="1"/>
  <c r="R9" i="558"/>
  <c r="S9" i="558" s="1"/>
  <c r="L9" i="558"/>
  <c r="M9" i="558" s="1"/>
  <c r="U9" i="558"/>
  <c r="V9" i="558" s="1"/>
  <c r="O9" i="558"/>
  <c r="P9" i="558" s="1"/>
  <c r="Z12" i="558"/>
  <c r="AA12" i="558" s="1"/>
  <c r="I12" i="558"/>
  <c r="P12" i="558"/>
  <c r="L12" i="558"/>
  <c r="M12" i="558" s="1"/>
  <c r="Z13" i="558"/>
  <c r="AA13" i="558" s="1"/>
  <c r="L13" i="558"/>
  <c r="M13" i="558" s="1"/>
  <c r="O13" i="558"/>
  <c r="P13" i="558" s="1"/>
  <c r="U15" i="558"/>
  <c r="V15" i="558" s="1"/>
  <c r="L15" i="558"/>
  <c r="M15" i="558" s="1"/>
  <c r="O15" i="558"/>
  <c r="P15" i="558" s="1"/>
  <c r="Z7" i="558"/>
  <c r="AA7" i="558" s="1"/>
  <c r="P10" i="558"/>
  <c r="AW31" i="524"/>
  <c r="V8" i="557"/>
  <c r="X7" i="558"/>
  <c r="X19" i="558" s="1"/>
  <c r="J7" i="558"/>
  <c r="J8" i="558"/>
  <c r="S10" i="558"/>
  <c r="J11" i="558"/>
  <c r="I7" i="558"/>
  <c r="O7" i="558"/>
  <c r="P7" i="558" s="1"/>
  <c r="R7" i="558"/>
  <c r="S7" i="558" s="1"/>
  <c r="J9" i="558"/>
  <c r="J10" i="558"/>
  <c r="AL10" i="558" s="1"/>
  <c r="P11" i="558"/>
  <c r="R12" i="558"/>
  <c r="S12" i="558" s="1"/>
  <c r="V12" i="558"/>
  <c r="R13" i="558"/>
  <c r="S13" i="558" s="1"/>
  <c r="U13" i="558"/>
  <c r="V13" i="558" s="1"/>
  <c r="J12" i="558"/>
  <c r="AA15" i="558"/>
  <c r="AA18" i="558"/>
  <c r="P18" i="558"/>
  <c r="S18" i="558"/>
  <c r="F11" i="505" l="1"/>
  <c r="AP11" i="504"/>
  <c r="AL12" i="558"/>
  <c r="AL18" i="558"/>
  <c r="AL11" i="558"/>
  <c r="T11" i="559" s="1"/>
  <c r="U11" i="559" s="1"/>
  <c r="AL15" i="558"/>
  <c r="AL13" i="558"/>
  <c r="AL9" i="558"/>
  <c r="AL8" i="558"/>
  <c r="T8" i="559" s="1"/>
  <c r="U8" i="559" s="1"/>
  <c r="V20" i="557"/>
  <c r="L14" i="559"/>
  <c r="M14" i="559" s="1"/>
  <c r="N14" i="559" s="1"/>
  <c r="V36" i="507"/>
  <c r="AL7" i="558"/>
  <c r="M37" i="525"/>
  <c r="N37" i="525" s="1"/>
  <c r="M32" i="525"/>
  <c r="N32" i="525" s="1"/>
  <c r="AP36" i="506" l="1"/>
  <c r="F36" i="507"/>
  <c r="H11" i="505"/>
  <c r="AL19" i="558"/>
  <c r="V12" i="559"/>
  <c r="T7" i="559"/>
  <c r="U7" i="559" s="1"/>
  <c r="L31" i="525"/>
  <c r="L30" i="525"/>
  <c r="O32" i="525"/>
  <c r="F12" i="559" l="1"/>
  <c r="W12" i="559"/>
  <c r="P32" i="525"/>
  <c r="AP32" i="524" s="1"/>
  <c r="AR32" i="524" s="1"/>
  <c r="V13" i="559"/>
  <c r="H36" i="507"/>
  <c r="L36" i="507" s="1"/>
  <c r="O14" i="559"/>
  <c r="P14" i="559" s="1"/>
  <c r="V18" i="559"/>
  <c r="V15" i="559"/>
  <c r="V11" i="559"/>
  <c r="V10" i="559"/>
  <c r="V9" i="559"/>
  <c r="V8" i="559"/>
  <c r="V7" i="559"/>
  <c r="W7" i="559" s="1"/>
  <c r="O37" i="525"/>
  <c r="W8" i="559" l="1"/>
  <c r="F8" i="559" s="1"/>
  <c r="F10" i="559"/>
  <c r="W10" i="559"/>
  <c r="F15" i="559"/>
  <c r="W15" i="559"/>
  <c r="F13" i="559"/>
  <c r="W13" i="559"/>
  <c r="F9" i="559"/>
  <c r="W9" i="559"/>
  <c r="W11" i="559"/>
  <c r="F11" i="559" s="1"/>
  <c r="F18" i="559"/>
  <c r="W18" i="559"/>
  <c r="AP37" i="524"/>
  <c r="AR37" i="524" s="1"/>
  <c r="P37" i="525"/>
  <c r="H13" i="559"/>
  <c r="AP13" i="558"/>
  <c r="H12" i="559"/>
  <c r="L12" i="559" s="1"/>
  <c r="M12" i="559" s="1"/>
  <c r="N12" i="559" s="1"/>
  <c r="AP12" i="558"/>
  <c r="H28" i="502"/>
  <c r="AO14" i="558"/>
  <c r="AQ14" i="558" s="1"/>
  <c r="M36" i="507"/>
  <c r="N36" i="507" s="1"/>
  <c r="V19" i="559"/>
  <c r="H11" i="559" l="1"/>
  <c r="AP11" i="558"/>
  <c r="H15" i="559"/>
  <c r="AP15" i="558"/>
  <c r="H8" i="559"/>
  <c r="AP8" i="558"/>
  <c r="H18" i="559"/>
  <c r="AP18" i="558"/>
  <c r="H9" i="559"/>
  <c r="AP9" i="558"/>
  <c r="H10" i="559"/>
  <c r="AP10" i="558"/>
  <c r="O36" i="507"/>
  <c r="P36" i="507" s="1"/>
  <c r="W19" i="559"/>
  <c r="AS35" i="506"/>
  <c r="AR35" i="506" s="1"/>
  <c r="F7" i="559"/>
  <c r="M31" i="525"/>
  <c r="N31" i="525" s="1"/>
  <c r="BA16" i="558"/>
  <c r="AV16" i="558"/>
  <c r="AT32" i="524"/>
  <c r="AS32" i="524" s="1"/>
  <c r="F19" i="559" l="1"/>
  <c r="E22" i="537" s="1"/>
  <c r="O12" i="559"/>
  <c r="P12" i="559" s="1"/>
  <c r="AW35" i="506"/>
  <c r="AW16" i="558"/>
  <c r="AX16" i="558" s="1"/>
  <c r="O31" i="525"/>
  <c r="BB16" i="558"/>
  <c r="BA32" i="524"/>
  <c r="BB32" i="524" s="1"/>
  <c r="AX32" i="524"/>
  <c r="P31" i="525" l="1"/>
  <c r="AP31" i="524" s="1"/>
  <c r="AR31" i="524" s="1"/>
  <c r="AO36" i="506"/>
  <c r="AQ36" i="506" s="1"/>
  <c r="AO12" i="558"/>
  <c r="AQ12" i="558" s="1"/>
  <c r="AX35" i="506"/>
  <c r="AY35" i="506" s="1"/>
  <c r="AZ35" i="506"/>
  <c r="BA35" i="506" s="1"/>
  <c r="BB35" i="506" s="1"/>
  <c r="AY16" i="558"/>
  <c r="BC16" i="558"/>
  <c r="BC32" i="524"/>
  <c r="BD32" i="524" s="1"/>
  <c r="BE32" i="524" s="1"/>
  <c r="BF32" i="524" s="1"/>
  <c r="BG32" i="524" s="1"/>
  <c r="AY32" i="524"/>
  <c r="AZ32" i="524" s="1"/>
  <c r="L18" i="559"/>
  <c r="M18" i="559" s="1"/>
  <c r="N18" i="559" s="1"/>
  <c r="BC35" i="506" l="1"/>
  <c r="BD35" i="506" s="1"/>
  <c r="AZ16" i="558"/>
  <c r="BD16" i="558"/>
  <c r="O18" i="559" l="1"/>
  <c r="P18" i="559" s="1"/>
  <c r="BE35" i="506"/>
  <c r="BF35" i="506" s="1"/>
  <c r="BE16" i="558"/>
  <c r="L9" i="559"/>
  <c r="M9" i="559" s="1"/>
  <c r="N9" i="559" s="1"/>
  <c r="AO18" i="558" l="1"/>
  <c r="AQ18" i="558" s="1"/>
  <c r="BF16" i="558"/>
  <c r="O9" i="559" l="1"/>
  <c r="P9" i="559" s="1"/>
  <c r="AS17" i="558"/>
  <c r="AR17" i="558" s="1"/>
  <c r="BG16" i="558"/>
  <c r="L15" i="559"/>
  <c r="M15" i="559" s="1"/>
  <c r="N15" i="559" s="1"/>
  <c r="L8" i="559"/>
  <c r="M8" i="559" s="1"/>
  <c r="N8" i="559" s="1"/>
  <c r="AO9" i="558" l="1"/>
  <c r="AQ9" i="558" s="1"/>
  <c r="AV17" i="558"/>
  <c r="AW17" i="558" s="1"/>
  <c r="AX17" i="558" s="1"/>
  <c r="AY17" i="558" s="1"/>
  <c r="BA17" i="558"/>
  <c r="BB17" i="558" s="1"/>
  <c r="L10" i="559"/>
  <c r="M10" i="559" s="1"/>
  <c r="N10" i="559" s="1"/>
  <c r="L13" i="559"/>
  <c r="M13" i="559" s="1"/>
  <c r="N13" i="559" s="1"/>
  <c r="L11" i="559"/>
  <c r="M11" i="559" s="1"/>
  <c r="N11" i="559" s="1"/>
  <c r="O15" i="559" l="1"/>
  <c r="P15" i="559" s="1"/>
  <c r="O8" i="559"/>
  <c r="P8" i="559" s="1"/>
  <c r="AZ17" i="558"/>
  <c r="BC17" i="558"/>
  <c r="BD17" i="558" s="1"/>
  <c r="BE17" i="558" s="1"/>
  <c r="BF17" i="558" s="1"/>
  <c r="BG17" i="558" s="1"/>
  <c r="AO15" i="558" l="1"/>
  <c r="AQ15" i="558" s="1"/>
  <c r="AO8" i="558"/>
  <c r="AQ8" i="558" s="1"/>
  <c r="O13" i="559"/>
  <c r="P13" i="559" s="1"/>
  <c r="O10" i="559"/>
  <c r="P10" i="559" s="1"/>
  <c r="O11" i="559"/>
  <c r="P11" i="559" s="1"/>
  <c r="AS9" i="558"/>
  <c r="AR9" i="558" s="1"/>
  <c r="AS14" i="558"/>
  <c r="AR14" i="558" s="1"/>
  <c r="AO13" i="558" l="1"/>
  <c r="AQ13" i="558" s="1"/>
  <c r="AO11" i="558"/>
  <c r="AQ11" i="558" s="1"/>
  <c r="AO10" i="558"/>
  <c r="AQ10" i="558" s="1"/>
  <c r="AV14" i="558"/>
  <c r="AW14" i="558" s="1"/>
  <c r="AX14" i="558" s="1"/>
  <c r="AY14" i="558" s="1"/>
  <c r="BA14" i="558"/>
  <c r="BB14" i="558" s="1"/>
  <c r="BC14" i="558" s="1"/>
  <c r="BD14" i="558" s="1"/>
  <c r="BA9" i="558"/>
  <c r="AV9" i="558"/>
  <c r="AW9" i="558" s="1"/>
  <c r="AX9" i="558" s="1"/>
  <c r="AY9" i="558" s="1"/>
  <c r="AZ9" i="558" s="1"/>
  <c r="AS11" i="558" l="1"/>
  <c r="AR11" i="558" s="1"/>
  <c r="AS15" i="558"/>
  <c r="AR15" i="558" s="1"/>
  <c r="AS8" i="558"/>
  <c r="AR8" i="558" s="1"/>
  <c r="AZ14" i="558"/>
  <c r="BE14" i="558"/>
  <c r="BF14" i="558" s="1"/>
  <c r="BG14" i="558" s="1"/>
  <c r="BB9" i="558"/>
  <c r="BC9" i="558" s="1"/>
  <c r="BD9" i="558" s="1"/>
  <c r="BE9" i="558" s="1"/>
  <c r="AS13" i="558" l="1"/>
  <c r="AR13" i="558" s="1"/>
  <c r="AS10" i="558"/>
  <c r="AR10" i="558" s="1"/>
  <c r="AS12" i="558"/>
  <c r="AR12" i="558" s="1"/>
  <c r="BF9" i="558"/>
  <c r="BG9" i="558" s="1"/>
  <c r="BA15" i="558"/>
  <c r="AV15" i="558"/>
  <c r="AW15" i="558" s="1"/>
  <c r="AX15" i="558" s="1"/>
  <c r="AY15" i="558" s="1"/>
  <c r="AV13" i="558" l="1"/>
  <c r="AW13" i="558" s="1"/>
  <c r="AX13" i="558" s="1"/>
  <c r="BA13" i="558"/>
  <c r="BB13" i="558" s="1"/>
  <c r="BC13" i="558" s="1"/>
  <c r="BA12" i="558"/>
  <c r="BB12" i="558" s="1"/>
  <c r="BC12" i="558" s="1"/>
  <c r="BD12" i="558" s="1"/>
  <c r="BE12" i="558" s="1"/>
  <c r="BF12" i="558" s="1"/>
  <c r="AV12" i="558"/>
  <c r="AW12" i="558" s="1"/>
  <c r="AV8" i="558"/>
  <c r="AW8" i="558" s="1"/>
  <c r="AV11" i="558"/>
  <c r="AW11" i="558" s="1"/>
  <c r="BA11" i="558"/>
  <c r="BA10" i="558"/>
  <c r="BB15" i="558"/>
  <c r="BC15" i="558" s="1"/>
  <c r="BD15" i="558" s="1"/>
  <c r="BE15" i="558" s="1"/>
  <c r="BF15" i="558" s="1"/>
  <c r="AV10" i="558"/>
  <c r="AY13" i="558"/>
  <c r="AZ13" i="558" s="1"/>
  <c r="AZ15" i="558"/>
  <c r="BD13" i="558" l="1"/>
  <c r="BE13" i="558" s="1"/>
  <c r="AX12" i="558"/>
  <c r="AY12" i="558" s="1"/>
  <c r="AZ12" i="558" s="1"/>
  <c r="AX8" i="558"/>
  <c r="AY8" i="558" s="1"/>
  <c r="BG15" i="558"/>
  <c r="BB11" i="558"/>
  <c r="BC11" i="558" s="1"/>
  <c r="BD11" i="558" s="1"/>
  <c r="BE11" i="558" s="1"/>
  <c r="BF11" i="558" s="1"/>
  <c r="BG12" i="558"/>
  <c r="AW10" i="558"/>
  <c r="BB10" i="558"/>
  <c r="AX11" i="558"/>
  <c r="AY11" i="558" s="1"/>
  <c r="AZ11" i="558" s="1"/>
  <c r="BA8" i="558"/>
  <c r="BF13" i="558" l="1"/>
  <c r="BG13" i="558" s="1"/>
  <c r="AZ8" i="558"/>
  <c r="BG11" i="558"/>
  <c r="BC10" i="558"/>
  <c r="AX10" i="558"/>
  <c r="BB8" i="558"/>
  <c r="BC8" i="558" s="1"/>
  <c r="AY10" i="558" l="1"/>
  <c r="BD10" i="558"/>
  <c r="BD8" i="558"/>
  <c r="BE8" i="558" s="1"/>
  <c r="BF8" i="558" s="1"/>
  <c r="K23" i="527"/>
  <c r="G23" i="526"/>
  <c r="F23" i="526"/>
  <c r="K17" i="527"/>
  <c r="G17" i="526"/>
  <c r="F17" i="526"/>
  <c r="R17" i="526" l="1"/>
  <c r="S17" i="526" s="1"/>
  <c r="I17" i="526"/>
  <c r="U17" i="526"/>
  <c r="V17" i="526" s="1"/>
  <c r="L17" i="526"/>
  <c r="M17" i="526" s="1"/>
  <c r="U23" i="526"/>
  <c r="V23" i="526" s="1"/>
  <c r="R23" i="526"/>
  <c r="S23" i="526" s="1"/>
  <c r="L23" i="526"/>
  <c r="M23" i="526" s="1"/>
  <c r="I23" i="526"/>
  <c r="O23" i="526"/>
  <c r="P23" i="526" s="1"/>
  <c r="Z23" i="526"/>
  <c r="AA23" i="526" s="1"/>
  <c r="O17" i="526"/>
  <c r="P17" i="526" s="1"/>
  <c r="Z17" i="526"/>
  <c r="AA17" i="526" s="1"/>
  <c r="BG8" i="558"/>
  <c r="AZ10" i="558"/>
  <c r="BE10" i="558"/>
  <c r="L24" i="505"/>
  <c r="M24" i="505" s="1"/>
  <c r="N24" i="505" s="1"/>
  <c r="S18" i="550"/>
  <c r="T18" i="550" s="1"/>
  <c r="G7" i="514"/>
  <c r="F7" i="514"/>
  <c r="I7" i="514" s="1"/>
  <c r="G9" i="514"/>
  <c r="F9" i="514"/>
  <c r="I9" i="514" s="1"/>
  <c r="K9" i="514" s="1"/>
  <c r="R7" i="545"/>
  <c r="S7" i="545" s="1"/>
  <c r="S22" i="549"/>
  <c r="S8" i="544"/>
  <c r="AL17" i="526" l="1"/>
  <c r="AL23" i="526"/>
  <c r="AM20" i="524"/>
  <c r="T20" i="525" s="1"/>
  <c r="U20" i="525" s="1"/>
  <c r="V20" i="525" s="1"/>
  <c r="W20" i="525" s="1"/>
  <c r="V32" i="505"/>
  <c r="AA9" i="514"/>
  <c r="AB9" i="514" s="1"/>
  <c r="V9" i="514"/>
  <c r="S9" i="514"/>
  <c r="T9" i="514" s="1"/>
  <c r="P9" i="514"/>
  <c r="Q9" i="514" s="1"/>
  <c r="M9" i="514"/>
  <c r="N9" i="514" s="1"/>
  <c r="T7" i="545"/>
  <c r="BF10" i="558"/>
  <c r="BG10" i="558" s="1"/>
  <c r="O24" i="505"/>
  <c r="S19" i="544"/>
  <c r="T23" i="527" l="1"/>
  <c r="U23" i="527" s="1"/>
  <c r="T17" i="527"/>
  <c r="U17" i="527" s="1"/>
  <c r="F20" i="525"/>
  <c r="H20" i="525" s="1"/>
  <c r="L20" i="525" s="1"/>
  <c r="M20" i="525" s="1"/>
  <c r="N20" i="525" s="1"/>
  <c r="AQ20" i="524"/>
  <c r="P24" i="505"/>
  <c r="AO24" i="504" s="1"/>
  <c r="F32" i="505"/>
  <c r="AP32" i="504"/>
  <c r="AM21" i="524"/>
  <c r="T21" i="525" s="1"/>
  <c r="U21" i="525" s="1"/>
  <c r="V21" i="525" s="1"/>
  <c r="W21" i="525" s="1"/>
  <c r="Y7" i="514"/>
  <c r="V7" i="545"/>
  <c r="AV9" i="514"/>
  <c r="O20" i="525" l="1"/>
  <c r="AQ24" i="504"/>
  <c r="AS23" i="504"/>
  <c r="AR23" i="504" s="1"/>
  <c r="H32" i="505"/>
  <c r="L32" i="505" s="1"/>
  <c r="M32" i="505" s="1"/>
  <c r="N32" i="505" s="1"/>
  <c r="O32" i="505" s="1"/>
  <c r="P32" i="505" s="1"/>
  <c r="V23" i="527"/>
  <c r="V17" i="527"/>
  <c r="H24" i="527"/>
  <c r="L24" i="527" s="1"/>
  <c r="H23" i="515"/>
  <c r="L23" i="515" s="1"/>
  <c r="M23" i="515" s="1"/>
  <c r="N23" i="515" s="1"/>
  <c r="R8" i="543"/>
  <c r="S8" i="543" s="1"/>
  <c r="AP17" i="526" l="1"/>
  <c r="W17" i="527"/>
  <c r="F17" i="527" s="1"/>
  <c r="W23" i="527"/>
  <c r="F23" i="527" s="1"/>
  <c r="AQ21" i="524"/>
  <c r="F21" i="525"/>
  <c r="P20" i="525"/>
  <c r="AP20" i="524" s="1"/>
  <c r="AW23" i="504"/>
  <c r="AX23" i="504" s="1"/>
  <c r="AY23" i="504" s="1"/>
  <c r="AZ23" i="504"/>
  <c r="BA23" i="504" s="1"/>
  <c r="BB23" i="504" s="1"/>
  <c r="M24" i="527"/>
  <c r="N24" i="527" s="1"/>
  <c r="V16" i="513"/>
  <c r="AP16" i="512" s="1"/>
  <c r="V20" i="513"/>
  <c r="AP20" i="512" s="1"/>
  <c r="V19" i="513"/>
  <c r="V17" i="513"/>
  <c r="AP17" i="512" s="1"/>
  <c r="O23" i="515"/>
  <c r="P23" i="515" s="1"/>
  <c r="W19" i="513" l="1"/>
  <c r="AP19" i="512" s="1"/>
  <c r="AP23" i="526"/>
  <c r="AO32" i="504"/>
  <c r="AQ32" i="504" s="1"/>
  <c r="H23" i="527"/>
  <c r="L23" i="527" s="1"/>
  <c r="H21" i="525"/>
  <c r="BC23" i="504"/>
  <c r="O24" i="527"/>
  <c r="P24" i="527" l="1"/>
  <c r="AO24" i="526" s="1"/>
  <c r="AO23" i="514"/>
  <c r="AQ23" i="514" s="1"/>
  <c r="F17" i="513"/>
  <c r="F19" i="513"/>
  <c r="F20" i="513"/>
  <c r="F16" i="513"/>
  <c r="BD23" i="504"/>
  <c r="M23" i="527"/>
  <c r="N23" i="527" s="1"/>
  <c r="AQ24" i="526" l="1"/>
  <c r="BE23" i="504"/>
  <c r="BF23" i="504" s="1"/>
  <c r="H17" i="527"/>
  <c r="L17" i="527" s="1"/>
  <c r="M17" i="527" l="1"/>
  <c r="N17" i="527" s="1"/>
  <c r="AJ14" i="519" l="1"/>
  <c r="H14" i="537" s="1"/>
  <c r="AK14" i="519"/>
  <c r="I14" i="537" s="1"/>
  <c r="AD37" i="512"/>
  <c r="G12" i="537" s="1"/>
  <c r="C11" i="537"/>
  <c r="Z12" i="510" l="1"/>
  <c r="R12" i="510"/>
  <c r="S12" i="510" s="1"/>
  <c r="O12" i="510"/>
  <c r="P12" i="510" s="1"/>
  <c r="L12" i="510"/>
  <c r="M12" i="510" s="1"/>
  <c r="K9" i="527"/>
  <c r="K11" i="527"/>
  <c r="K12" i="527"/>
  <c r="K15" i="527"/>
  <c r="K16" i="527"/>
  <c r="K19" i="527"/>
  <c r="K20" i="527"/>
  <c r="K25" i="527"/>
  <c r="K9" i="523"/>
  <c r="K11" i="523"/>
  <c r="K8" i="518" l="1"/>
  <c r="K9" i="518"/>
  <c r="K13" i="518"/>
  <c r="K7" i="513"/>
  <c r="K8" i="513"/>
  <c r="K10" i="513"/>
  <c r="K14" i="513"/>
  <c r="K15" i="513"/>
  <c r="K16" i="513"/>
  <c r="K18" i="513"/>
  <c r="K19" i="513"/>
  <c r="K20" i="513"/>
  <c r="K21" i="513"/>
  <c r="K22" i="513"/>
  <c r="K27" i="513"/>
  <c r="K28" i="513"/>
  <c r="K29" i="513"/>
  <c r="K30" i="513"/>
  <c r="K31" i="513"/>
  <c r="K33" i="513"/>
  <c r="K8" i="509"/>
  <c r="K10" i="509"/>
  <c r="K12" i="509"/>
  <c r="K13" i="509"/>
  <c r="K15" i="509"/>
  <c r="K16" i="509"/>
  <c r="K17" i="509"/>
  <c r="K18" i="509"/>
  <c r="K19" i="509"/>
  <c r="K20" i="509"/>
  <c r="K21" i="509"/>
  <c r="K22" i="509"/>
  <c r="K23" i="509"/>
  <c r="K24" i="509"/>
  <c r="K35" i="509"/>
  <c r="K36" i="509"/>
  <c r="F27" i="512"/>
  <c r="F22" i="514"/>
  <c r="I22" i="514" s="1"/>
  <c r="K22" i="514" s="1"/>
  <c r="F15" i="508"/>
  <c r="J15" i="508" l="1"/>
  <c r="I15" i="508"/>
  <c r="AA22" i="514"/>
  <c r="AB22" i="514" s="1"/>
  <c r="V22" i="514"/>
  <c r="S22" i="514"/>
  <c r="T22" i="514" s="1"/>
  <c r="P22" i="514"/>
  <c r="Q22" i="514" s="1"/>
  <c r="M22" i="514"/>
  <c r="N22" i="514" s="1"/>
  <c r="AA25" i="524"/>
  <c r="AB25" i="524" s="1"/>
  <c r="V25" i="524"/>
  <c r="W25" i="524" s="1"/>
  <c r="M25" i="524"/>
  <c r="N25" i="524" s="1"/>
  <c r="S25" i="524"/>
  <c r="T25" i="524" s="1"/>
  <c r="I25" i="524"/>
  <c r="K25" i="524" s="1"/>
  <c r="AA27" i="524"/>
  <c r="AB27" i="524" s="1"/>
  <c r="V27" i="524"/>
  <c r="W27" i="524" s="1"/>
  <c r="S27" i="524"/>
  <c r="T27" i="524" s="1"/>
  <c r="I27" i="524"/>
  <c r="K27" i="524" s="1"/>
  <c r="M27" i="524"/>
  <c r="N27" i="524" s="1"/>
  <c r="Z27" i="512"/>
  <c r="U27" i="512"/>
  <c r="O27" i="512"/>
  <c r="P27" i="512" s="1"/>
  <c r="R27" i="512"/>
  <c r="S27" i="512" s="1"/>
  <c r="L27" i="512"/>
  <c r="Z15" i="512"/>
  <c r="AA15" i="512" s="1"/>
  <c r="U15" i="512"/>
  <c r="O15" i="512"/>
  <c r="P15" i="512" s="1"/>
  <c r="R15" i="512"/>
  <c r="S15" i="512" s="1"/>
  <c r="L15" i="512"/>
  <c r="Z15" i="508"/>
  <c r="AA15" i="508" s="1"/>
  <c r="U15" i="508"/>
  <c r="R15" i="508"/>
  <c r="S15" i="508" s="1"/>
  <c r="O15" i="508"/>
  <c r="P15" i="508" s="1"/>
  <c r="L15" i="508"/>
  <c r="M15" i="508" s="1"/>
  <c r="P27" i="524"/>
  <c r="P25" i="524"/>
  <c r="Q25" i="524" s="1"/>
  <c r="P9" i="481"/>
  <c r="U9" i="502" s="1"/>
  <c r="V9" i="502" s="1"/>
  <c r="AA14" i="512"/>
  <c r="P14" i="512"/>
  <c r="AL14" i="512" s="1"/>
  <c r="AA27" i="512"/>
  <c r="P20" i="504"/>
  <c r="Q27" i="524"/>
  <c r="AP9" i="481" l="1"/>
  <c r="F9" i="502"/>
  <c r="AL22" i="514"/>
  <c r="AM27" i="524"/>
  <c r="T27" i="525" s="1"/>
  <c r="U27" i="525" s="1"/>
  <c r="V27" i="525" s="1"/>
  <c r="W27" i="525" s="1"/>
  <c r="AM25" i="524"/>
  <c r="T25" i="525" s="1"/>
  <c r="U25" i="525" s="1"/>
  <c r="V25" i="525" s="1"/>
  <c r="W25" i="525" s="1"/>
  <c r="AL15" i="512"/>
  <c r="AL15" i="508"/>
  <c r="U15" i="509" s="1"/>
  <c r="AL20" i="504"/>
  <c r="U20" i="505" s="1"/>
  <c r="T22" i="515" l="1"/>
  <c r="U22" i="515" s="1"/>
  <c r="V22" i="515" s="1"/>
  <c r="W22" i="515" s="1"/>
  <c r="F22" i="515" s="1"/>
  <c r="V21" i="513"/>
  <c r="AP21" i="512" s="1"/>
  <c r="AQ27" i="524" l="1"/>
  <c r="F27" i="525"/>
  <c r="V14" i="513"/>
  <c r="AP14" i="512" s="1"/>
  <c r="V15" i="513"/>
  <c r="AP15" i="512" s="1"/>
  <c r="K21" i="502"/>
  <c r="F26" i="525" l="1"/>
  <c r="AQ26" i="524"/>
  <c r="AQ25" i="524"/>
  <c r="F25" i="525"/>
  <c r="F21" i="513"/>
  <c r="H27" i="525"/>
  <c r="F14" i="513" l="1"/>
  <c r="F15" i="513"/>
  <c r="H26" i="525"/>
  <c r="H25" i="525"/>
  <c r="L25" i="525" s="1"/>
  <c r="M25" i="525" s="1"/>
  <c r="N25" i="525" l="1"/>
  <c r="O25" i="525" s="1"/>
  <c r="P25" i="525" s="1"/>
  <c r="R8" i="552"/>
  <c r="S8" i="552" s="1"/>
  <c r="T8" i="552" s="1"/>
  <c r="AP25" i="524" l="1"/>
  <c r="AR25" i="524" s="1"/>
  <c r="R8" i="549"/>
  <c r="L29" i="525" l="1"/>
  <c r="H21" i="502" l="1"/>
  <c r="G10" i="531"/>
  <c r="G9" i="531"/>
  <c r="G8" i="531"/>
  <c r="G7" i="531"/>
  <c r="G9" i="528"/>
  <c r="G8" i="528"/>
  <c r="G7" i="528"/>
  <c r="G25" i="526"/>
  <c r="G20" i="526"/>
  <c r="G19" i="526"/>
  <c r="G16" i="526"/>
  <c r="G15" i="526"/>
  <c r="G12" i="526"/>
  <c r="G11" i="526"/>
  <c r="G24" i="524"/>
  <c r="G22" i="524"/>
  <c r="G19" i="524"/>
  <c r="G18" i="524"/>
  <c r="G16" i="524"/>
  <c r="G15" i="524"/>
  <c r="G14" i="524"/>
  <c r="G13" i="524"/>
  <c r="G12" i="524"/>
  <c r="G11" i="524"/>
  <c r="G10" i="524"/>
  <c r="G9" i="524"/>
  <c r="G8" i="524"/>
  <c r="G7" i="524"/>
  <c r="G9" i="521"/>
  <c r="G8" i="516"/>
  <c r="G7" i="516"/>
  <c r="G21" i="514"/>
  <c r="G20" i="514"/>
  <c r="G19" i="514"/>
  <c r="G18" i="514"/>
  <c r="G17" i="514"/>
  <c r="G16" i="514"/>
  <c r="G15" i="514"/>
  <c r="G14" i="514"/>
  <c r="G13" i="514"/>
  <c r="G12" i="514"/>
  <c r="G10" i="514"/>
  <c r="G33" i="512"/>
  <c r="G31" i="512"/>
  <c r="G30" i="512"/>
  <c r="G29" i="512"/>
  <c r="G28" i="512"/>
  <c r="G27" i="512"/>
  <c r="G22" i="512"/>
  <c r="G18" i="512"/>
  <c r="G10" i="512"/>
  <c r="G8" i="512"/>
  <c r="G7" i="512"/>
  <c r="G32" i="510"/>
  <c r="G31" i="510"/>
  <c r="G30" i="510"/>
  <c r="G28" i="510"/>
  <c r="G27" i="510"/>
  <c r="G25" i="510"/>
  <c r="G24" i="510"/>
  <c r="G18" i="510"/>
  <c r="G17" i="510"/>
  <c r="G11" i="510"/>
  <c r="G10" i="510"/>
  <c r="G9" i="510"/>
  <c r="G8" i="510"/>
  <c r="G7" i="510"/>
  <c r="G36" i="508" l="1"/>
  <c r="G35" i="508"/>
  <c r="G21" i="508"/>
  <c r="G20" i="508"/>
  <c r="G18" i="508"/>
  <c r="G13" i="508"/>
  <c r="G10" i="508"/>
  <c r="G8" i="508"/>
  <c r="G38" i="506"/>
  <c r="G32" i="506"/>
  <c r="G31" i="506"/>
  <c r="G30" i="506"/>
  <c r="G29" i="506"/>
  <c r="G28" i="506"/>
  <c r="G27" i="506"/>
  <c r="G26" i="506"/>
  <c r="G25" i="506"/>
  <c r="G24" i="506"/>
  <c r="G23" i="506"/>
  <c r="G22" i="506"/>
  <c r="G21" i="506"/>
  <c r="G19" i="506"/>
  <c r="G18" i="506"/>
  <c r="G17" i="506"/>
  <c r="G16" i="506"/>
  <c r="G7" i="506"/>
  <c r="G40" i="504"/>
  <c r="G39" i="504"/>
  <c r="G38" i="504"/>
  <c r="G36" i="504"/>
  <c r="G35" i="504"/>
  <c r="G34" i="504"/>
  <c r="G33" i="504"/>
  <c r="G31" i="504"/>
  <c r="G30" i="504"/>
  <c r="G29" i="504"/>
  <c r="G28" i="504"/>
  <c r="G27" i="504"/>
  <c r="G19" i="504"/>
  <c r="G18" i="504"/>
  <c r="G17" i="504"/>
  <c r="G16" i="504"/>
  <c r="G15" i="504"/>
  <c r="G12" i="504"/>
  <c r="G9" i="504"/>
  <c r="G7" i="504"/>
  <c r="G33" i="481"/>
  <c r="G36" i="481"/>
  <c r="G35" i="481"/>
  <c r="G34" i="481"/>
  <c r="G31" i="481"/>
  <c r="G27" i="481"/>
  <c r="G26" i="481"/>
  <c r="G24" i="481"/>
  <c r="G23" i="481"/>
  <c r="G22" i="481"/>
  <c r="G7" i="481"/>
  <c r="AA19" i="510" l="1"/>
  <c r="Z23" i="508" l="1"/>
  <c r="AA23" i="508" s="1"/>
  <c r="U23" i="508"/>
  <c r="R23" i="508"/>
  <c r="S23" i="508" s="1"/>
  <c r="O23" i="508"/>
  <c r="P23" i="508" s="1"/>
  <c r="L23" i="508"/>
  <c r="M23" i="508" s="1"/>
  <c r="AL23" i="508" l="1"/>
  <c r="U23" i="509" s="1"/>
  <c r="V24" i="509"/>
  <c r="M34" i="525"/>
  <c r="N34" i="525" s="1"/>
  <c r="M29" i="525"/>
  <c r="N29" i="525" s="1"/>
  <c r="M30" i="525"/>
  <c r="N30" i="525" s="1"/>
  <c r="W24" i="509" l="1"/>
  <c r="AP19" i="510" l="1"/>
  <c r="F24" i="509"/>
  <c r="AP24" i="508"/>
  <c r="V23" i="509"/>
  <c r="O34" i="525"/>
  <c r="O30" i="525"/>
  <c r="P30" i="525" l="1"/>
  <c r="AP30" i="524" s="1"/>
  <c r="AR30" i="524" s="1"/>
  <c r="P34" i="525"/>
  <c r="AP34" i="524" s="1"/>
  <c r="AR34" i="524" s="1"/>
  <c r="W23" i="509"/>
  <c r="H24" i="509"/>
  <c r="L24" i="509" s="1"/>
  <c r="M24" i="509" s="1"/>
  <c r="N24" i="509" s="1"/>
  <c r="AD12" i="531"/>
  <c r="G20" i="537" s="1"/>
  <c r="AE20" i="528"/>
  <c r="G19" i="537" s="1"/>
  <c r="AD37" i="481"/>
  <c r="G7" i="537" s="1"/>
  <c r="F23" i="509" l="1"/>
  <c r="AP23" i="508"/>
  <c r="H23" i="509"/>
  <c r="L23" i="509" s="1"/>
  <c r="M23" i="509" s="1"/>
  <c r="N23" i="509" s="1"/>
  <c r="H22" i="509"/>
  <c r="L22" i="509" s="1"/>
  <c r="M22" i="509" s="1"/>
  <c r="N22" i="509" s="1"/>
  <c r="V22" i="505"/>
  <c r="W22" i="505" s="1"/>
  <c r="O24" i="509"/>
  <c r="P24" i="509" s="1"/>
  <c r="AO24" i="508" s="1"/>
  <c r="H10" i="534"/>
  <c r="L10" i="534" s="1"/>
  <c r="M10" i="534" s="1"/>
  <c r="N10" i="534" s="1"/>
  <c r="AP22" i="504" l="1"/>
  <c r="F22" i="505"/>
  <c r="AQ24" i="508"/>
  <c r="O23" i="509"/>
  <c r="P23" i="509" s="1"/>
  <c r="AO23" i="508" s="1"/>
  <c r="O22" i="509"/>
  <c r="P22" i="509" s="1"/>
  <c r="AO22" i="508" s="1"/>
  <c r="O10" i="534"/>
  <c r="P10" i="534" l="1"/>
  <c r="AQ23" i="508"/>
  <c r="AQ22" i="508"/>
  <c r="H22" i="505"/>
  <c r="K20" i="502"/>
  <c r="AQ10" i="533" l="1"/>
  <c r="AS22" i="508"/>
  <c r="AR22" i="508" s="1"/>
  <c r="AX20" i="481"/>
  <c r="AZ22" i="508" l="1"/>
  <c r="BA22" i="508" s="1"/>
  <c r="AW22" i="508"/>
  <c r="AX22" i="508" s="1"/>
  <c r="F11" i="510"/>
  <c r="F30" i="506"/>
  <c r="U11" i="510" l="1"/>
  <c r="V11" i="510" s="1"/>
  <c r="I11" i="510"/>
  <c r="J11" i="510"/>
  <c r="I30" i="506"/>
  <c r="R30" i="506"/>
  <c r="L30" i="506"/>
  <c r="M30" i="506" s="1"/>
  <c r="U30" i="506"/>
  <c r="V30" i="506" s="1"/>
  <c r="O30" i="506"/>
  <c r="AY22" i="508"/>
  <c r="BB22" i="508"/>
  <c r="Z31" i="506"/>
  <c r="AA31" i="506" s="1"/>
  <c r="S31" i="506"/>
  <c r="P31" i="506"/>
  <c r="Z30" i="506"/>
  <c r="AA30" i="506" s="1"/>
  <c r="S30" i="506"/>
  <c r="P30" i="506"/>
  <c r="Z10" i="512"/>
  <c r="U10" i="512"/>
  <c r="O10" i="512"/>
  <c r="R10" i="512"/>
  <c r="S10" i="512" s="1"/>
  <c r="L10" i="512"/>
  <c r="R11" i="510"/>
  <c r="S11" i="510" s="1"/>
  <c r="O11" i="510"/>
  <c r="P11" i="510" s="1"/>
  <c r="Z11" i="510"/>
  <c r="L11" i="510"/>
  <c r="M11" i="510" s="1"/>
  <c r="AA10" i="512"/>
  <c r="P10" i="512"/>
  <c r="AC7" i="531"/>
  <c r="S11" i="552"/>
  <c r="T11" i="552" s="1"/>
  <c r="S10" i="552"/>
  <c r="T10" i="552" s="1"/>
  <c r="S9" i="552"/>
  <c r="T9" i="552" s="1"/>
  <c r="X7" i="531"/>
  <c r="AD7" i="528"/>
  <c r="R8" i="551"/>
  <c r="S8" i="551" s="1"/>
  <c r="T8" i="551" s="1"/>
  <c r="T10" i="550"/>
  <c r="S21" i="550"/>
  <c r="T21" i="550" s="1"/>
  <c r="S26" i="550"/>
  <c r="T26" i="550" s="1"/>
  <c r="S20" i="550"/>
  <c r="T20" i="550" s="1"/>
  <c r="S16" i="550"/>
  <c r="T16" i="550" s="1"/>
  <c r="S13" i="550"/>
  <c r="T13" i="550" s="1"/>
  <c r="S12" i="550"/>
  <c r="T12" i="550" s="1"/>
  <c r="AD7" i="524"/>
  <c r="S25" i="549"/>
  <c r="S23" i="549"/>
  <c r="S20" i="549"/>
  <c r="S19" i="549"/>
  <c r="S17" i="549"/>
  <c r="S16" i="549"/>
  <c r="S15" i="549"/>
  <c r="S14" i="549"/>
  <c r="S13" i="549"/>
  <c r="S12" i="549"/>
  <c r="S11" i="549"/>
  <c r="S10" i="549"/>
  <c r="S9" i="549"/>
  <c r="S8" i="549"/>
  <c r="T8" i="549" s="1"/>
  <c r="Y7" i="524" s="1"/>
  <c r="R8" i="548"/>
  <c r="S8" i="548" s="1"/>
  <c r="T8" i="548" s="1"/>
  <c r="X7" i="521" s="1"/>
  <c r="AK7" i="521" s="1"/>
  <c r="T12" i="547"/>
  <c r="S9" i="547"/>
  <c r="T9" i="547" s="1"/>
  <c r="R8" i="547"/>
  <c r="AC7" i="519"/>
  <c r="S12" i="546"/>
  <c r="S11" i="546"/>
  <c r="S10" i="546"/>
  <c r="S9" i="546"/>
  <c r="R8" i="546"/>
  <c r="S8" i="546" s="1"/>
  <c r="T8" i="546" s="1"/>
  <c r="V8" i="546" s="1"/>
  <c r="AD7" i="514"/>
  <c r="S21" i="545"/>
  <c r="S20" i="545"/>
  <c r="S19" i="545"/>
  <c r="S18" i="545"/>
  <c r="S17" i="545"/>
  <c r="S16" i="545"/>
  <c r="S15" i="545"/>
  <c r="S14" i="545"/>
  <c r="S13" i="545"/>
  <c r="S12" i="545"/>
  <c r="S10" i="545"/>
  <c r="S9" i="545"/>
  <c r="S34" i="544"/>
  <c r="S32" i="544"/>
  <c r="S31" i="544"/>
  <c r="S30" i="544"/>
  <c r="S29" i="544"/>
  <c r="S28" i="544"/>
  <c r="T8" i="544"/>
  <c r="AC7" i="510"/>
  <c r="S33" i="543"/>
  <c r="S32" i="543"/>
  <c r="S31" i="543"/>
  <c r="S30" i="543"/>
  <c r="S29" i="543"/>
  <c r="S28" i="543"/>
  <c r="S27" i="543"/>
  <c r="S26" i="543"/>
  <c r="S25" i="543"/>
  <c r="S19" i="543"/>
  <c r="S9" i="543"/>
  <c r="T8" i="543"/>
  <c r="X7" i="510" s="1"/>
  <c r="T37" i="542"/>
  <c r="S22" i="542"/>
  <c r="T22" i="542" s="1"/>
  <c r="S21" i="542"/>
  <c r="T21" i="542" s="1"/>
  <c r="S14" i="542"/>
  <c r="T14" i="542" s="1"/>
  <c r="S13" i="542"/>
  <c r="S9" i="542"/>
  <c r="T9" i="542" s="1"/>
  <c r="R8" i="542"/>
  <c r="S8" i="542" s="1"/>
  <c r="T8" i="542" s="1"/>
  <c r="X7" i="508" s="1"/>
  <c r="AL30" i="506" l="1"/>
  <c r="AK8" i="531"/>
  <c r="T8" i="532" s="1"/>
  <c r="U8" i="532" s="1"/>
  <c r="AK9" i="531"/>
  <c r="T9" i="532" s="1"/>
  <c r="U9" i="532" s="1"/>
  <c r="V10" i="546"/>
  <c r="V12" i="546"/>
  <c r="V9" i="546"/>
  <c r="V11" i="546"/>
  <c r="AL9" i="514"/>
  <c r="AL27" i="512"/>
  <c r="V21" i="542"/>
  <c r="V37" i="542"/>
  <c r="AL8" i="508"/>
  <c r="U8" i="509" s="1"/>
  <c r="V9" i="542"/>
  <c r="AL13" i="508"/>
  <c r="U13" i="509" s="1"/>
  <c r="V14" i="542"/>
  <c r="V22" i="542"/>
  <c r="AL10" i="512"/>
  <c r="AL31" i="506"/>
  <c r="T31" i="507" s="1"/>
  <c r="AL7" i="508"/>
  <c r="T10" i="527"/>
  <c r="U10" i="527" s="1"/>
  <c r="T30" i="507"/>
  <c r="V11" i="509"/>
  <c r="T13" i="542"/>
  <c r="V27" i="509"/>
  <c r="BC22" i="508"/>
  <c r="BD22" i="508" s="1"/>
  <c r="X7" i="512"/>
  <c r="V8" i="544"/>
  <c r="X11" i="533"/>
  <c r="V8" i="551"/>
  <c r="V21" i="551" s="1"/>
  <c r="S8" i="547"/>
  <c r="T8" i="547" s="1"/>
  <c r="L10" i="523"/>
  <c r="M10" i="523" s="1"/>
  <c r="N10" i="523" s="1"/>
  <c r="H26" i="513"/>
  <c r="L26" i="513" s="1"/>
  <c r="M26" i="513" s="1"/>
  <c r="N26" i="513" s="1"/>
  <c r="Y7" i="528"/>
  <c r="Y20" i="528" s="1"/>
  <c r="S19" i="542"/>
  <c r="T19" i="542" s="1"/>
  <c r="V8" i="552"/>
  <c r="V8" i="548"/>
  <c r="X7" i="519"/>
  <c r="V8" i="542"/>
  <c r="V8" i="549"/>
  <c r="V8" i="543"/>
  <c r="V36" i="543" s="1"/>
  <c r="T9" i="515" l="1"/>
  <c r="U9" i="515" s="1"/>
  <c r="V9" i="515" s="1"/>
  <c r="W9" i="515" s="1"/>
  <c r="F9" i="515" s="1"/>
  <c r="F27" i="509"/>
  <c r="W27" i="509"/>
  <c r="AP27" i="508" s="1"/>
  <c r="F11" i="509"/>
  <c r="W11" i="509"/>
  <c r="AP11" i="508" s="1"/>
  <c r="H20" i="502"/>
  <c r="L20" i="502" s="1"/>
  <c r="M20" i="502" s="1"/>
  <c r="N20" i="502" s="1"/>
  <c r="V19" i="542"/>
  <c r="V13" i="542"/>
  <c r="X37" i="508"/>
  <c r="Y53" i="524"/>
  <c r="V54" i="549"/>
  <c r="X14" i="519"/>
  <c r="X35" i="510"/>
  <c r="BE22" i="508"/>
  <c r="BF22" i="508" s="1"/>
  <c r="V13" i="552"/>
  <c r="V13" i="548"/>
  <c r="V32" i="513"/>
  <c r="V28" i="545"/>
  <c r="V12" i="553"/>
  <c r="X26" i="526"/>
  <c r="V15" i="546"/>
  <c r="X12" i="531"/>
  <c r="X12" i="521"/>
  <c r="V27" i="550"/>
  <c r="X37" i="512"/>
  <c r="L22" i="511"/>
  <c r="L21" i="511"/>
  <c r="O26" i="513"/>
  <c r="O10" i="523"/>
  <c r="H23" i="513"/>
  <c r="L23" i="513" s="1"/>
  <c r="M23" i="513" s="1"/>
  <c r="N23" i="513" s="1"/>
  <c r="H25" i="513"/>
  <c r="L25" i="513" s="1"/>
  <c r="M25" i="513" s="1"/>
  <c r="N25" i="513" s="1"/>
  <c r="H21" i="513"/>
  <c r="L21" i="513" s="1"/>
  <c r="M21" i="513" s="1"/>
  <c r="N21" i="513" s="1"/>
  <c r="L19" i="511"/>
  <c r="W32" i="513" l="1"/>
  <c r="AP32" i="512" s="1"/>
  <c r="P10" i="523"/>
  <c r="AN10" i="521" s="1"/>
  <c r="P26" i="513"/>
  <c r="H27" i="509"/>
  <c r="L27" i="509" s="1"/>
  <c r="M27" i="509" s="1"/>
  <c r="N27" i="509" s="1"/>
  <c r="H11" i="509"/>
  <c r="L11" i="509" s="1"/>
  <c r="M11" i="509" s="1"/>
  <c r="N11" i="509" s="1"/>
  <c r="V8" i="523"/>
  <c r="W8" i="523" s="1"/>
  <c r="V10" i="527"/>
  <c r="O20" i="502"/>
  <c r="M22" i="511"/>
  <c r="N22" i="511" s="1"/>
  <c r="M19" i="511"/>
  <c r="N19" i="511" s="1"/>
  <c r="M21" i="511"/>
  <c r="N21" i="511" s="1"/>
  <c r="V11" i="532"/>
  <c r="W11" i="532" s="1"/>
  <c r="V38" i="542"/>
  <c r="V27" i="513"/>
  <c r="AP27" i="512" s="1"/>
  <c r="L21" i="525"/>
  <c r="L27" i="525"/>
  <c r="O25" i="513"/>
  <c r="L20" i="511"/>
  <c r="O21" i="513"/>
  <c r="W10" i="527" l="1"/>
  <c r="F10" i="527" s="1"/>
  <c r="AQ17" i="524"/>
  <c r="F17" i="525"/>
  <c r="H17" i="525" s="1"/>
  <c r="L17" i="525" s="1"/>
  <c r="M17" i="525" s="1"/>
  <c r="N17" i="525" s="1"/>
  <c r="F8" i="523"/>
  <c r="AO8" i="521"/>
  <c r="AP8" i="514"/>
  <c r="AO26" i="512"/>
  <c r="AQ26" i="512" s="1"/>
  <c r="AP23" i="510"/>
  <c r="P21" i="513"/>
  <c r="P25" i="513"/>
  <c r="P20" i="502"/>
  <c r="AO20" i="481" s="1"/>
  <c r="AP10" i="521"/>
  <c r="F32" i="513"/>
  <c r="H32" i="513" s="1"/>
  <c r="L32" i="513" s="1"/>
  <c r="M32" i="513" s="1"/>
  <c r="N32" i="513" s="1"/>
  <c r="V32" i="509"/>
  <c r="W32" i="509" s="1"/>
  <c r="AP32" i="508" s="1"/>
  <c r="M20" i="511"/>
  <c r="N20" i="511" s="1"/>
  <c r="O21" i="511"/>
  <c r="P21" i="511" s="1"/>
  <c r="O19" i="511"/>
  <c r="P19" i="511" s="1"/>
  <c r="O22" i="511"/>
  <c r="P22" i="511" s="1"/>
  <c r="O11" i="509"/>
  <c r="P11" i="509" s="1"/>
  <c r="AO11" i="508" s="1"/>
  <c r="O27" i="509"/>
  <c r="P27" i="509" s="1"/>
  <c r="AO27" i="508" s="1"/>
  <c r="O23" i="513"/>
  <c r="AP10" i="526" l="1"/>
  <c r="AP9" i="514"/>
  <c r="AO21" i="512"/>
  <c r="AQ21" i="512" s="1"/>
  <c r="AO25" i="512"/>
  <c r="AQ25" i="512" s="1"/>
  <c r="AP33" i="510"/>
  <c r="AO19" i="510"/>
  <c r="AQ19" i="510" s="1"/>
  <c r="AO22" i="510"/>
  <c r="AO21" i="510"/>
  <c r="AQ16" i="481"/>
  <c r="AS16" i="481" s="1"/>
  <c r="AR16" i="481" s="1"/>
  <c r="AQ20" i="481"/>
  <c r="H8" i="523"/>
  <c r="L8" i="523" s="1"/>
  <c r="M8" i="523" s="1"/>
  <c r="N8" i="523" s="1"/>
  <c r="P23" i="513"/>
  <c r="AQ11" i="508"/>
  <c r="AQ27" i="508"/>
  <c r="L23" i="511"/>
  <c r="F27" i="513"/>
  <c r="H8" i="515"/>
  <c r="L8" i="515" s="1"/>
  <c r="M8" i="515" s="1"/>
  <c r="N8" i="515" s="1"/>
  <c r="H10" i="527"/>
  <c r="L10" i="527" s="1"/>
  <c r="M10" i="527" s="1"/>
  <c r="N10" i="527" s="1"/>
  <c r="O17" i="525"/>
  <c r="P17" i="525" s="1"/>
  <c r="O20" i="511"/>
  <c r="P20" i="511" s="1"/>
  <c r="L26" i="525"/>
  <c r="AS24" i="512"/>
  <c r="AR24" i="512" s="1"/>
  <c r="O32" i="513"/>
  <c r="H7" i="527"/>
  <c r="L7" i="527" s="1"/>
  <c r="AS10" i="533"/>
  <c r="AR10" i="533" s="1"/>
  <c r="AO23" i="512" l="1"/>
  <c r="AQ23" i="512" s="1"/>
  <c r="AO20" i="510"/>
  <c r="AQ20" i="510" s="1"/>
  <c r="F32" i="509"/>
  <c r="H32" i="509" s="1"/>
  <c r="L32" i="509" s="1"/>
  <c r="AY16" i="481"/>
  <c r="AZ16" i="481" s="1"/>
  <c r="BA16" i="481"/>
  <c r="BB16" i="481"/>
  <c r="BC16" i="481" s="1"/>
  <c r="BD16" i="481" s="1"/>
  <c r="O8" i="523"/>
  <c r="P8" i="523" s="1"/>
  <c r="P32" i="513"/>
  <c r="AQ22" i="510"/>
  <c r="AQ21" i="510"/>
  <c r="L33" i="511"/>
  <c r="H9" i="515"/>
  <c r="L9" i="515" s="1"/>
  <c r="M9" i="515" s="1"/>
  <c r="N9" i="515" s="1"/>
  <c r="M7" i="527"/>
  <c r="N7" i="527" s="1"/>
  <c r="O7" i="527" s="1"/>
  <c r="P7" i="527" s="1"/>
  <c r="M23" i="511"/>
  <c r="N23" i="511" s="1"/>
  <c r="O10" i="527"/>
  <c r="O8" i="515"/>
  <c r="P8" i="515" s="1"/>
  <c r="AW24" i="512"/>
  <c r="AX24" i="512" s="1"/>
  <c r="AS20" i="481"/>
  <c r="AR20" i="481" s="1"/>
  <c r="AZ10" i="533"/>
  <c r="AW10" i="533"/>
  <c r="AX10" i="533" s="1"/>
  <c r="P10" i="527" l="1"/>
  <c r="AO10" i="526" s="1"/>
  <c r="AP17" i="524"/>
  <c r="AR17" i="524" s="1"/>
  <c r="AO32" i="512"/>
  <c r="AQ32" i="512" s="1"/>
  <c r="BE16" i="481"/>
  <c r="BF16" i="481" s="1"/>
  <c r="AS21" i="510"/>
  <c r="AR21" i="510" s="1"/>
  <c r="AZ21" i="510" s="1"/>
  <c r="BA21" i="510" s="1"/>
  <c r="BB21" i="510" s="1"/>
  <c r="M32" i="509"/>
  <c r="N32" i="509" s="1"/>
  <c r="AO7" i="526"/>
  <c r="AQ7" i="526" s="1"/>
  <c r="O23" i="511"/>
  <c r="P23" i="511" s="1"/>
  <c r="M33" i="511"/>
  <c r="N33" i="511" s="1"/>
  <c r="O9" i="515"/>
  <c r="P9" i="515" s="1"/>
  <c r="AY24" i="512"/>
  <c r="AZ24" i="512"/>
  <c r="BA10" i="533"/>
  <c r="AY10" i="533"/>
  <c r="AP8" i="521" l="1"/>
  <c r="AO8" i="514"/>
  <c r="AQ8" i="514" s="1"/>
  <c r="BG16" i="481"/>
  <c r="BH16" i="481" s="1"/>
  <c r="AW21" i="510"/>
  <c r="AX21" i="510" s="1"/>
  <c r="AQ10" i="526"/>
  <c r="O32" i="509"/>
  <c r="P32" i="509" s="1"/>
  <c r="AO32" i="508" s="1"/>
  <c r="O33" i="511"/>
  <c r="P33" i="511" s="1"/>
  <c r="BA24" i="512"/>
  <c r="BC21" i="510"/>
  <c r="BD21" i="510" s="1"/>
  <c r="BE21" i="510" s="1"/>
  <c r="BB10" i="533"/>
  <c r="BC10" i="533" s="1"/>
  <c r="AO9" i="514" l="1"/>
  <c r="AQ9" i="514" s="1"/>
  <c r="AO33" i="510"/>
  <c r="AO23" i="510"/>
  <c r="AQ23" i="510" s="1"/>
  <c r="AQ32" i="508"/>
  <c r="AY21" i="510"/>
  <c r="BB24" i="512"/>
  <c r="BC24" i="512" s="1"/>
  <c r="BD24" i="512" s="1"/>
  <c r="BF21" i="510"/>
  <c r="BD10" i="533"/>
  <c r="BE10" i="533" s="1"/>
  <c r="BF10" i="533" s="1"/>
  <c r="AQ33" i="510" l="1"/>
  <c r="AS14" i="526"/>
  <c r="AR14" i="526" s="1"/>
  <c r="AS8" i="514"/>
  <c r="AR8" i="514" s="1"/>
  <c r="BE24" i="512"/>
  <c r="BF24" i="512" s="1"/>
  <c r="AS13" i="526"/>
  <c r="AR13" i="526" s="1"/>
  <c r="AC7" i="506"/>
  <c r="S39" i="541"/>
  <c r="S38" i="541"/>
  <c r="S33" i="541"/>
  <c r="S30" i="541"/>
  <c r="S29" i="541"/>
  <c r="S28" i="541"/>
  <c r="S27" i="541"/>
  <c r="S26" i="541"/>
  <c r="S25" i="541"/>
  <c r="S24" i="541"/>
  <c r="S23" i="541"/>
  <c r="S20" i="541"/>
  <c r="T12" i="507"/>
  <c r="U12" i="507" s="1"/>
  <c r="T8" i="541"/>
  <c r="X7" i="506" s="1"/>
  <c r="R8" i="540"/>
  <c r="S8" i="540" s="1"/>
  <c r="V18" i="541" l="1"/>
  <c r="V24" i="541"/>
  <c r="V26" i="541"/>
  <c r="V28" i="541"/>
  <c r="V30" i="541"/>
  <c r="V38" i="541"/>
  <c r="V17" i="541"/>
  <c r="V19" i="541"/>
  <c r="V23" i="541"/>
  <c r="V25" i="541"/>
  <c r="V27" i="541"/>
  <c r="AL28" i="506"/>
  <c r="T28" i="507" s="1"/>
  <c r="V29" i="541"/>
  <c r="V33" i="541"/>
  <c r="V39" i="541"/>
  <c r="T15" i="507"/>
  <c r="T13" i="507"/>
  <c r="T11" i="507"/>
  <c r="U11" i="507" s="1"/>
  <c r="AX14" i="526"/>
  <c r="AY14" i="526" s="1"/>
  <c r="AZ14" i="526" s="1"/>
  <c r="BA14" i="526"/>
  <c r="BB14" i="526" s="1"/>
  <c r="AZ8" i="514"/>
  <c r="AW8" i="514"/>
  <c r="AX8" i="514" s="1"/>
  <c r="AY8" i="514" s="1"/>
  <c r="V10" i="507"/>
  <c r="V9" i="507"/>
  <c r="V8" i="507"/>
  <c r="BA13" i="526"/>
  <c r="BB13" i="526" s="1"/>
  <c r="AX13" i="526"/>
  <c r="AY13" i="526" s="1"/>
  <c r="T8" i="540"/>
  <c r="V8" i="540" s="1"/>
  <c r="V8" i="541"/>
  <c r="W4" i="541"/>
  <c r="W3" i="541"/>
  <c r="X3" i="541" s="1"/>
  <c r="AP8" i="506" l="1"/>
  <c r="F8" i="507"/>
  <c r="AP9" i="506"/>
  <c r="F9" i="507"/>
  <c r="AP10" i="506"/>
  <c r="F10" i="507"/>
  <c r="V20" i="541"/>
  <c r="V15" i="507"/>
  <c r="V13" i="507"/>
  <c r="V12" i="507"/>
  <c r="W12" i="507" s="1"/>
  <c r="V40" i="541"/>
  <c r="BC14" i="526"/>
  <c r="BD14" i="526" s="1"/>
  <c r="BA8" i="514"/>
  <c r="BB8" i="514" s="1"/>
  <c r="AZ13" i="526"/>
  <c r="BC13" i="526"/>
  <c r="BD13" i="526" s="1"/>
  <c r="V42" i="540"/>
  <c r="X7" i="504"/>
  <c r="X41" i="504" s="1"/>
  <c r="L22" i="505"/>
  <c r="M22" i="505" s="1"/>
  <c r="N22" i="505" s="1"/>
  <c r="L11" i="505"/>
  <c r="M11" i="505" s="1"/>
  <c r="N11" i="505" s="1"/>
  <c r="W2" i="541"/>
  <c r="X2" i="541" s="1"/>
  <c r="X4" i="541"/>
  <c r="AP15" i="506" l="1"/>
  <c r="F15" i="507"/>
  <c r="AP12" i="506"/>
  <c r="F12" i="507"/>
  <c r="H12" i="507" s="1"/>
  <c r="H15" i="507"/>
  <c r="L15" i="507" s="1"/>
  <c r="M15" i="507" s="1"/>
  <c r="N15" i="507" s="1"/>
  <c r="H9" i="507"/>
  <c r="L9" i="507" s="1"/>
  <c r="H8" i="507"/>
  <c r="L8" i="507" s="1"/>
  <c r="H10" i="507"/>
  <c r="L10" i="507" s="1"/>
  <c r="V11" i="507"/>
  <c r="W11" i="507" s="1"/>
  <c r="BE14" i="526"/>
  <c r="BF14" i="526" s="1"/>
  <c r="BG14" i="526" s="1"/>
  <c r="BC8" i="514"/>
  <c r="BD8" i="514" s="1"/>
  <c r="BE8" i="514" s="1"/>
  <c r="BF8" i="514" s="1"/>
  <c r="BE13" i="526"/>
  <c r="BF13" i="526" s="1"/>
  <c r="O11" i="505"/>
  <c r="P11" i="505" s="1"/>
  <c r="O22" i="505"/>
  <c r="P22" i="505" s="1"/>
  <c r="AP11" i="506" l="1"/>
  <c r="F11" i="507"/>
  <c r="H11" i="507" s="1"/>
  <c r="AP13" i="506"/>
  <c r="F13" i="507"/>
  <c r="H13" i="507" s="1"/>
  <c r="L13" i="507" s="1"/>
  <c r="M13" i="507" s="1"/>
  <c r="N13" i="507" s="1"/>
  <c r="O15" i="507"/>
  <c r="L12" i="507"/>
  <c r="M12" i="507" s="1"/>
  <c r="N12" i="507" s="1"/>
  <c r="M10" i="507"/>
  <c r="N10" i="507" s="1"/>
  <c r="M8" i="507"/>
  <c r="N8" i="507" s="1"/>
  <c r="M9" i="507"/>
  <c r="N9" i="507" s="1"/>
  <c r="BG13" i="526"/>
  <c r="O13" i="507" l="1"/>
  <c r="P13" i="507" s="1"/>
  <c r="P15" i="507"/>
  <c r="AO15" i="506" s="1"/>
  <c r="AQ15" i="506" s="1"/>
  <c r="AO22" i="504"/>
  <c r="AQ22" i="504" s="1"/>
  <c r="AO11" i="504"/>
  <c r="AQ11" i="504" s="1"/>
  <c r="L11" i="507"/>
  <c r="M11" i="507" s="1"/>
  <c r="N11" i="507" s="1"/>
  <c r="O12" i="507"/>
  <c r="P12" i="507" s="1"/>
  <c r="O9" i="507"/>
  <c r="P9" i="507" s="1"/>
  <c r="O8" i="507"/>
  <c r="P8" i="507" s="1"/>
  <c r="O10" i="507"/>
  <c r="P10" i="507" s="1"/>
  <c r="AO13" i="506" l="1"/>
  <c r="AQ13" i="506" s="1"/>
  <c r="O11" i="507"/>
  <c r="P11" i="507" s="1"/>
  <c r="AS10" i="504"/>
  <c r="AR10" i="504" s="1"/>
  <c r="S27" i="539"/>
  <c r="T27" i="539" s="1"/>
  <c r="V27" i="539" s="1"/>
  <c r="S28" i="539"/>
  <c r="T28" i="539" s="1"/>
  <c r="V28" i="539" s="1"/>
  <c r="S32" i="539"/>
  <c r="S34" i="539"/>
  <c r="T34" i="539" s="1"/>
  <c r="V34" i="539" s="1"/>
  <c r="S35" i="539"/>
  <c r="T35" i="539" s="1"/>
  <c r="V35" i="539" s="1"/>
  <c r="S36" i="539"/>
  <c r="T36" i="539" s="1"/>
  <c r="V36" i="539" s="1"/>
  <c r="S37" i="539"/>
  <c r="T37" i="539" s="1"/>
  <c r="V37" i="539" s="1"/>
  <c r="AO10" i="506" l="1"/>
  <c r="AQ10" i="506" s="1"/>
  <c r="AO9" i="506"/>
  <c r="AQ9" i="506" s="1"/>
  <c r="AO12" i="506"/>
  <c r="AQ12" i="506" s="1"/>
  <c r="AO8" i="506"/>
  <c r="AQ8" i="506" s="1"/>
  <c r="T32" i="539"/>
  <c r="V32" i="539" s="1"/>
  <c r="AZ10" i="504"/>
  <c r="BA10" i="504" s="1"/>
  <c r="AW10" i="504"/>
  <c r="AX10" i="504" s="1"/>
  <c r="L29" i="502"/>
  <c r="AO11" i="506" l="1"/>
  <c r="AQ11" i="506" s="1"/>
  <c r="M29" i="502"/>
  <c r="N29" i="502" s="1"/>
  <c r="X37" i="481"/>
  <c r="BB10" i="504"/>
  <c r="BC10" i="504" s="1"/>
  <c r="AY10" i="504"/>
  <c r="V38" i="539"/>
  <c r="L21" i="502"/>
  <c r="L28" i="502"/>
  <c r="M28" i="502" l="1"/>
  <c r="N28" i="502" s="1"/>
  <c r="M21" i="502"/>
  <c r="N21" i="502" s="1"/>
  <c r="O29" i="502"/>
  <c r="P29" i="502" s="1"/>
  <c r="AO29" i="481" s="1"/>
  <c r="BD10" i="504"/>
  <c r="BE10" i="504" s="1"/>
  <c r="BF10" i="504" s="1"/>
  <c r="O21" i="502" l="1"/>
  <c r="O28" i="502"/>
  <c r="P28" i="502" s="1"/>
  <c r="AO28" i="481" s="1"/>
  <c r="H32" i="502" l="1"/>
  <c r="L32" i="502" s="1"/>
  <c r="M32" i="502" s="1"/>
  <c r="N32" i="502" s="1"/>
  <c r="P21" i="502"/>
  <c r="AO21" i="481" s="1"/>
  <c r="AQ29" i="481"/>
  <c r="AA14" i="510"/>
  <c r="AQ17" i="481" l="1"/>
  <c r="AS17" i="481" s="1"/>
  <c r="AY17" i="481" s="1"/>
  <c r="AZ17" i="481" s="1"/>
  <c r="AQ21" i="481"/>
  <c r="AQ28" i="481"/>
  <c r="O32" i="502"/>
  <c r="H20" i="513"/>
  <c r="L20" i="513" s="1"/>
  <c r="M20" i="513" s="1"/>
  <c r="N20" i="513" s="1"/>
  <c r="H19" i="513"/>
  <c r="L19" i="513" s="1"/>
  <c r="M19" i="513" s="1"/>
  <c r="N19" i="513" s="1"/>
  <c r="AR17" i="481" l="1"/>
  <c r="BB17" i="481" s="1"/>
  <c r="BC17" i="481" s="1"/>
  <c r="BD17" i="481" s="1"/>
  <c r="BE17" i="481" s="1"/>
  <c r="BA17" i="481"/>
  <c r="P32" i="502"/>
  <c r="AO32" i="481" s="1"/>
  <c r="O19" i="513"/>
  <c r="K19" i="502"/>
  <c r="AQ32" i="481" l="1"/>
  <c r="BF17" i="481"/>
  <c r="BG17" i="481" s="1"/>
  <c r="P19" i="513"/>
  <c r="O20" i="513"/>
  <c r="AO19" i="512" l="1"/>
  <c r="AQ19" i="512" s="1"/>
  <c r="AP14" i="510"/>
  <c r="BH17" i="481"/>
  <c r="P20" i="513"/>
  <c r="AO20" i="512" l="1"/>
  <c r="AQ20" i="512" s="1"/>
  <c r="L14" i="511"/>
  <c r="V19" i="509"/>
  <c r="AS13" i="510"/>
  <c r="AR13" i="510" s="1"/>
  <c r="F10" i="531"/>
  <c r="F7" i="531"/>
  <c r="I16" i="528"/>
  <c r="K16" i="528" s="1"/>
  <c r="I15" i="528"/>
  <c r="K15" i="528" s="1"/>
  <c r="F9" i="528"/>
  <c r="F8" i="528"/>
  <c r="F7" i="528"/>
  <c r="I7" i="528" s="1"/>
  <c r="F25" i="526"/>
  <c r="F20" i="526"/>
  <c r="F19" i="526"/>
  <c r="F16" i="526"/>
  <c r="F15" i="526"/>
  <c r="F12" i="526"/>
  <c r="F7" i="524"/>
  <c r="F8" i="516"/>
  <c r="F7" i="516"/>
  <c r="F21" i="514"/>
  <c r="I21" i="514" s="1"/>
  <c r="K21" i="514" s="1"/>
  <c r="F20" i="514"/>
  <c r="I20" i="514" s="1"/>
  <c r="K20" i="514" s="1"/>
  <c r="F19" i="514"/>
  <c r="I19" i="514" s="1"/>
  <c r="K19" i="514" s="1"/>
  <c r="F18" i="514"/>
  <c r="I18" i="514" s="1"/>
  <c r="K18" i="514" s="1"/>
  <c r="F17" i="514"/>
  <c r="I17" i="514" s="1"/>
  <c r="K17" i="514" s="1"/>
  <c r="F16" i="514"/>
  <c r="I16" i="514" s="1"/>
  <c r="K16" i="514" s="1"/>
  <c r="F15" i="514"/>
  <c r="I15" i="514" s="1"/>
  <c r="K15" i="514" s="1"/>
  <c r="F14" i="514"/>
  <c r="I14" i="514" s="1"/>
  <c r="K14" i="514" s="1"/>
  <c r="F13" i="514"/>
  <c r="I13" i="514" s="1"/>
  <c r="K13" i="514" s="1"/>
  <c r="F12" i="514"/>
  <c r="I12" i="514" s="1"/>
  <c r="K12" i="514" s="1"/>
  <c r="F10" i="514"/>
  <c r="I10" i="514" s="1"/>
  <c r="K10" i="514" s="1"/>
  <c r="F31" i="512"/>
  <c r="F29" i="512"/>
  <c r="F28" i="512"/>
  <c r="F22" i="512"/>
  <c r="F18" i="512"/>
  <c r="F32" i="510"/>
  <c r="F31" i="510"/>
  <c r="F28" i="510"/>
  <c r="F26" i="510"/>
  <c r="F25" i="510"/>
  <c r="I7" i="510"/>
  <c r="F36" i="508"/>
  <c r="F35" i="508"/>
  <c r="F21" i="508"/>
  <c r="F20" i="508"/>
  <c r="F18" i="508"/>
  <c r="F12" i="508"/>
  <c r="F10" i="508"/>
  <c r="F38" i="506"/>
  <c r="F32" i="506"/>
  <c r="F29" i="506"/>
  <c r="F26" i="506"/>
  <c r="F23" i="506"/>
  <c r="F17" i="506"/>
  <c r="F16" i="506"/>
  <c r="F40" i="504"/>
  <c r="F34" i="504"/>
  <c r="F30" i="504"/>
  <c r="F29" i="504"/>
  <c r="F28" i="504"/>
  <c r="F27" i="504"/>
  <c r="F19" i="504"/>
  <c r="F17" i="504"/>
  <c r="F16" i="504"/>
  <c r="F15" i="504"/>
  <c r="F9" i="504"/>
  <c r="F8" i="504"/>
  <c r="F7" i="504"/>
  <c r="F36" i="481"/>
  <c r="F31" i="481"/>
  <c r="F26" i="481"/>
  <c r="F19" i="509" l="1"/>
  <c r="W19" i="509"/>
  <c r="AP19" i="508" s="1"/>
  <c r="J18" i="508"/>
  <c r="I18" i="508"/>
  <c r="J36" i="508"/>
  <c r="I36" i="508"/>
  <c r="J10" i="508"/>
  <c r="I10" i="508"/>
  <c r="J21" i="508"/>
  <c r="I21" i="508"/>
  <c r="J12" i="508"/>
  <c r="I12" i="508"/>
  <c r="J20" i="508"/>
  <c r="I20" i="508"/>
  <c r="J35" i="508"/>
  <c r="I35" i="508"/>
  <c r="U26" i="510"/>
  <c r="V26" i="510" s="1"/>
  <c r="I26" i="510"/>
  <c r="J26" i="510"/>
  <c r="U25" i="510"/>
  <c r="V25" i="510" s="1"/>
  <c r="I25" i="510"/>
  <c r="J25" i="510"/>
  <c r="U28" i="510"/>
  <c r="V28" i="510" s="1"/>
  <c r="I28" i="510"/>
  <c r="J28" i="510"/>
  <c r="U32" i="510"/>
  <c r="V32" i="510" s="1"/>
  <c r="I32" i="510"/>
  <c r="J32" i="510"/>
  <c r="U31" i="510"/>
  <c r="V31" i="510" s="1"/>
  <c r="I31" i="510"/>
  <c r="J31" i="510"/>
  <c r="I17" i="506"/>
  <c r="I26" i="506"/>
  <c r="I32" i="506"/>
  <c r="I16" i="506"/>
  <c r="I23" i="506"/>
  <c r="I29" i="506"/>
  <c r="I38" i="506"/>
  <c r="U26" i="481"/>
  <c r="L26" i="481"/>
  <c r="M26" i="481" s="1"/>
  <c r="J26" i="481"/>
  <c r="I26" i="481"/>
  <c r="U31" i="481"/>
  <c r="L31" i="481"/>
  <c r="M31" i="481" s="1"/>
  <c r="J31" i="481"/>
  <c r="I31" i="481"/>
  <c r="U36" i="481"/>
  <c r="L36" i="481"/>
  <c r="M36" i="481" s="1"/>
  <c r="J36" i="481"/>
  <c r="I36" i="481"/>
  <c r="U17" i="506"/>
  <c r="V17" i="506" s="1"/>
  <c r="O17" i="506"/>
  <c r="R17" i="506"/>
  <c r="L17" i="506"/>
  <c r="M17" i="506" s="1"/>
  <c r="R26" i="506"/>
  <c r="L26" i="506"/>
  <c r="M26" i="506" s="1"/>
  <c r="U26" i="506"/>
  <c r="V26" i="506" s="1"/>
  <c r="O26" i="506"/>
  <c r="R32" i="506"/>
  <c r="L32" i="506"/>
  <c r="M32" i="506" s="1"/>
  <c r="U32" i="506"/>
  <c r="V32" i="506" s="1"/>
  <c r="O32" i="506"/>
  <c r="R16" i="506"/>
  <c r="L16" i="506"/>
  <c r="M16" i="506" s="1"/>
  <c r="U16" i="506"/>
  <c r="V16" i="506" s="1"/>
  <c r="O16" i="506"/>
  <c r="U23" i="506"/>
  <c r="V23" i="506" s="1"/>
  <c r="O23" i="506"/>
  <c r="R23" i="506"/>
  <c r="L23" i="506"/>
  <c r="M23" i="506" s="1"/>
  <c r="U29" i="506"/>
  <c r="V29" i="506" s="1"/>
  <c r="O29" i="506"/>
  <c r="R29" i="506"/>
  <c r="L29" i="506"/>
  <c r="M29" i="506" s="1"/>
  <c r="R38" i="506"/>
  <c r="L38" i="506"/>
  <c r="M38" i="506" s="1"/>
  <c r="U38" i="506"/>
  <c r="V38" i="506" s="1"/>
  <c r="O38" i="506"/>
  <c r="I9" i="528"/>
  <c r="K9" i="528" s="1"/>
  <c r="P9" i="528"/>
  <c r="V9" i="528"/>
  <c r="S9" i="528"/>
  <c r="AA9" i="528"/>
  <c r="I8" i="528"/>
  <c r="K8" i="528" s="1"/>
  <c r="S8" i="528"/>
  <c r="AA8" i="528"/>
  <c r="P8" i="528"/>
  <c r="V8" i="528"/>
  <c r="I7" i="504"/>
  <c r="L7" i="504"/>
  <c r="M7" i="504" s="1"/>
  <c r="U10" i="531"/>
  <c r="R10" i="531"/>
  <c r="S10" i="531" s="1"/>
  <c r="O10" i="531"/>
  <c r="P10" i="531" s="1"/>
  <c r="Z10" i="531"/>
  <c r="AA10" i="531" s="1"/>
  <c r="L10" i="531"/>
  <c r="M10" i="531" s="1"/>
  <c r="I10" i="531"/>
  <c r="I7" i="516"/>
  <c r="J7" i="516"/>
  <c r="Z11" i="516"/>
  <c r="AA11" i="516" s="1"/>
  <c r="U11" i="516"/>
  <c r="V11" i="516" s="1"/>
  <c r="R11" i="516"/>
  <c r="S11" i="516" s="1"/>
  <c r="L11" i="516"/>
  <c r="M11" i="516" s="1"/>
  <c r="I11" i="516"/>
  <c r="Z8" i="516"/>
  <c r="AA8" i="516" s="1"/>
  <c r="U8" i="516"/>
  <c r="V8" i="516" s="1"/>
  <c r="R8" i="516"/>
  <c r="S8" i="516" s="1"/>
  <c r="L8" i="516"/>
  <c r="M8" i="516" s="1"/>
  <c r="I8" i="516"/>
  <c r="AA10" i="514"/>
  <c r="AB10" i="514" s="1"/>
  <c r="V10" i="514"/>
  <c r="S10" i="514"/>
  <c r="T10" i="514" s="1"/>
  <c r="P10" i="514"/>
  <c r="Q10" i="514" s="1"/>
  <c r="M10" i="514"/>
  <c r="N10" i="514" s="1"/>
  <c r="AL10" i="514" s="1"/>
  <c r="AA14" i="514"/>
  <c r="AB14" i="514" s="1"/>
  <c r="V14" i="514"/>
  <c r="S14" i="514"/>
  <c r="T14" i="514" s="1"/>
  <c r="P14" i="514"/>
  <c r="Q14" i="514" s="1"/>
  <c r="M14" i="514"/>
  <c r="N14" i="514" s="1"/>
  <c r="AA16" i="514"/>
  <c r="AB16" i="514" s="1"/>
  <c r="V16" i="514"/>
  <c r="S16" i="514"/>
  <c r="T16" i="514" s="1"/>
  <c r="P16" i="514"/>
  <c r="Q16" i="514" s="1"/>
  <c r="M16" i="514"/>
  <c r="N16" i="514" s="1"/>
  <c r="AL16" i="514" s="1"/>
  <c r="AA18" i="514"/>
  <c r="AB18" i="514" s="1"/>
  <c r="V18" i="514"/>
  <c r="S18" i="514"/>
  <c r="T18" i="514" s="1"/>
  <c r="P18" i="514"/>
  <c r="Q18" i="514" s="1"/>
  <c r="M18" i="514"/>
  <c r="N18" i="514" s="1"/>
  <c r="AA20" i="514"/>
  <c r="AB20" i="514" s="1"/>
  <c r="V20" i="514"/>
  <c r="S20" i="514"/>
  <c r="T20" i="514" s="1"/>
  <c r="P20" i="514"/>
  <c r="Q20" i="514" s="1"/>
  <c r="M20" i="514"/>
  <c r="N20" i="514" s="1"/>
  <c r="AL20" i="514" s="1"/>
  <c r="AA12" i="514"/>
  <c r="AB12" i="514" s="1"/>
  <c r="V12" i="514"/>
  <c r="S12" i="514"/>
  <c r="T12" i="514" s="1"/>
  <c r="P12" i="514"/>
  <c r="Q12" i="514" s="1"/>
  <c r="M12" i="514"/>
  <c r="N12" i="514" s="1"/>
  <c r="AA13" i="514"/>
  <c r="AB13" i="514" s="1"/>
  <c r="V13" i="514"/>
  <c r="S13" i="514"/>
  <c r="T13" i="514" s="1"/>
  <c r="P13" i="514"/>
  <c r="Q13" i="514" s="1"/>
  <c r="M13" i="514"/>
  <c r="N13" i="514" s="1"/>
  <c r="AL13" i="514" s="1"/>
  <c r="AA15" i="514"/>
  <c r="AB15" i="514" s="1"/>
  <c r="V15" i="514"/>
  <c r="S15" i="514"/>
  <c r="T15" i="514" s="1"/>
  <c r="P15" i="514"/>
  <c r="Q15" i="514" s="1"/>
  <c r="M15" i="514"/>
  <c r="N15" i="514" s="1"/>
  <c r="AA17" i="514"/>
  <c r="AB17" i="514" s="1"/>
  <c r="V17" i="514"/>
  <c r="S17" i="514"/>
  <c r="T17" i="514" s="1"/>
  <c r="P17" i="514"/>
  <c r="Q17" i="514" s="1"/>
  <c r="M17" i="514"/>
  <c r="N17" i="514" s="1"/>
  <c r="AA19" i="514"/>
  <c r="AB19" i="514" s="1"/>
  <c r="V19" i="514"/>
  <c r="S19" i="514"/>
  <c r="T19" i="514" s="1"/>
  <c r="P19" i="514"/>
  <c r="Q19" i="514" s="1"/>
  <c r="M19" i="514"/>
  <c r="N19" i="514" s="1"/>
  <c r="AA21" i="514"/>
  <c r="AB21" i="514" s="1"/>
  <c r="V21" i="514"/>
  <c r="S21" i="514"/>
  <c r="T21" i="514" s="1"/>
  <c r="P21" i="514"/>
  <c r="Q21" i="514" s="1"/>
  <c r="M21" i="514"/>
  <c r="N21" i="514" s="1"/>
  <c r="Z17" i="506"/>
  <c r="AA17" i="506" s="1"/>
  <c r="S17" i="506"/>
  <c r="Z21" i="506"/>
  <c r="AA21" i="506" s="1"/>
  <c r="S21" i="506"/>
  <c r="P21" i="506"/>
  <c r="Z23" i="506"/>
  <c r="AA23" i="506" s="1"/>
  <c r="S23" i="506"/>
  <c r="Z27" i="506"/>
  <c r="AA27" i="506" s="1"/>
  <c r="S27" i="506"/>
  <c r="Z32" i="506"/>
  <c r="AA32" i="506" s="1"/>
  <c r="S32" i="506"/>
  <c r="Z38" i="506"/>
  <c r="AA38" i="506" s="1"/>
  <c r="S38" i="506"/>
  <c r="Z16" i="506"/>
  <c r="AA16" i="506" s="1"/>
  <c r="S16" i="506"/>
  <c r="P16" i="506"/>
  <c r="Z18" i="506"/>
  <c r="AA18" i="506" s="1"/>
  <c r="S18" i="506"/>
  <c r="Z22" i="506"/>
  <c r="AA22" i="506" s="1"/>
  <c r="S22" i="506"/>
  <c r="Z26" i="506"/>
  <c r="AA26" i="506" s="1"/>
  <c r="S26" i="506"/>
  <c r="Z29" i="506"/>
  <c r="AA29" i="506" s="1"/>
  <c r="S29" i="506"/>
  <c r="P29" i="506"/>
  <c r="Z37" i="506"/>
  <c r="AA37" i="506" s="1"/>
  <c r="S37" i="506"/>
  <c r="R11" i="526"/>
  <c r="S11" i="526" s="1"/>
  <c r="U11" i="526"/>
  <c r="V11" i="526" s="1"/>
  <c r="L11" i="526"/>
  <c r="M11" i="526" s="1"/>
  <c r="I11" i="526"/>
  <c r="R15" i="526"/>
  <c r="S15" i="526" s="1"/>
  <c r="L15" i="526"/>
  <c r="M15" i="526" s="1"/>
  <c r="U15" i="526"/>
  <c r="V15" i="526" s="1"/>
  <c r="I15" i="526"/>
  <c r="U20" i="526"/>
  <c r="V20" i="526" s="1"/>
  <c r="R20" i="526"/>
  <c r="S20" i="526" s="1"/>
  <c r="L20" i="526"/>
  <c r="M20" i="526" s="1"/>
  <c r="I20" i="526"/>
  <c r="U25" i="526"/>
  <c r="V25" i="526" s="1"/>
  <c r="R25" i="526"/>
  <c r="S25" i="526" s="1"/>
  <c r="L25" i="526"/>
  <c r="M25" i="526" s="1"/>
  <c r="I25" i="526"/>
  <c r="U9" i="526"/>
  <c r="V9" i="526" s="1"/>
  <c r="R9" i="526"/>
  <c r="S9" i="526" s="1"/>
  <c r="L9" i="526"/>
  <c r="M9" i="526" s="1"/>
  <c r="I9" i="526"/>
  <c r="U12" i="526"/>
  <c r="V12" i="526" s="1"/>
  <c r="R12" i="526"/>
  <c r="S12" i="526" s="1"/>
  <c r="L12" i="526"/>
  <c r="M12" i="526" s="1"/>
  <c r="I12" i="526"/>
  <c r="U16" i="526"/>
  <c r="V16" i="526" s="1"/>
  <c r="R16" i="526"/>
  <c r="S16" i="526" s="1"/>
  <c r="L16" i="526"/>
  <c r="M16" i="526" s="1"/>
  <c r="I16" i="526"/>
  <c r="U19" i="526"/>
  <c r="V19" i="526" s="1"/>
  <c r="R19" i="526"/>
  <c r="S19" i="526" s="1"/>
  <c r="L19" i="526"/>
  <c r="M19" i="526" s="1"/>
  <c r="I19" i="526"/>
  <c r="AA9" i="524"/>
  <c r="AB9" i="524" s="1"/>
  <c r="V9" i="524"/>
  <c r="W9" i="524" s="1"/>
  <c r="S9" i="524"/>
  <c r="T9" i="524" s="1"/>
  <c r="I9" i="524"/>
  <c r="K9" i="524" s="1"/>
  <c r="M9" i="524"/>
  <c r="N9" i="524" s="1"/>
  <c r="AA11" i="524"/>
  <c r="AB11" i="524" s="1"/>
  <c r="V11" i="524"/>
  <c r="W11" i="524" s="1"/>
  <c r="S11" i="524"/>
  <c r="T11" i="524" s="1"/>
  <c r="I11" i="524"/>
  <c r="K11" i="524" s="1"/>
  <c r="M11" i="524"/>
  <c r="N11" i="524" s="1"/>
  <c r="V13" i="524"/>
  <c r="W13" i="524" s="1"/>
  <c r="S13" i="524"/>
  <c r="T13" i="524" s="1"/>
  <c r="I13" i="524"/>
  <c r="K13" i="524" s="1"/>
  <c r="M13" i="524"/>
  <c r="N13" i="524" s="1"/>
  <c r="AA15" i="524"/>
  <c r="AB15" i="524" s="1"/>
  <c r="V15" i="524"/>
  <c r="W15" i="524" s="1"/>
  <c r="S15" i="524"/>
  <c r="T15" i="524" s="1"/>
  <c r="I15" i="524"/>
  <c r="K15" i="524" s="1"/>
  <c r="M15" i="524"/>
  <c r="N15" i="524" s="1"/>
  <c r="AA18" i="524"/>
  <c r="AB18" i="524" s="1"/>
  <c r="V18" i="524"/>
  <c r="W18" i="524" s="1"/>
  <c r="S18" i="524"/>
  <c r="T18" i="524" s="1"/>
  <c r="M18" i="524"/>
  <c r="N18" i="524" s="1"/>
  <c r="I18" i="524"/>
  <c r="K18" i="524" s="1"/>
  <c r="AA19" i="524"/>
  <c r="AB19" i="524" s="1"/>
  <c r="V19" i="524"/>
  <c r="W19" i="524" s="1"/>
  <c r="S19" i="524"/>
  <c r="T19" i="524" s="1"/>
  <c r="M19" i="524"/>
  <c r="N19" i="524" s="1"/>
  <c r="I19" i="524"/>
  <c r="K19" i="524" s="1"/>
  <c r="AA22" i="524"/>
  <c r="AB22" i="524" s="1"/>
  <c r="V22" i="524"/>
  <c r="W22" i="524" s="1"/>
  <c r="S22" i="524"/>
  <c r="T22" i="524" s="1"/>
  <c r="I22" i="524"/>
  <c r="K22" i="524" s="1"/>
  <c r="M22" i="524"/>
  <c r="N22" i="524" s="1"/>
  <c r="AA8" i="524"/>
  <c r="AB8" i="524" s="1"/>
  <c r="V8" i="524"/>
  <c r="W8" i="524" s="1"/>
  <c r="S8" i="524"/>
  <c r="M8" i="524"/>
  <c r="N8" i="524" s="1"/>
  <c r="I8" i="524"/>
  <c r="K8" i="524" s="1"/>
  <c r="AA10" i="524"/>
  <c r="AB10" i="524" s="1"/>
  <c r="V10" i="524"/>
  <c r="W10" i="524" s="1"/>
  <c r="S10" i="524"/>
  <c r="T10" i="524" s="1"/>
  <c r="M10" i="524"/>
  <c r="N10" i="524" s="1"/>
  <c r="I10" i="524"/>
  <c r="K10" i="524" s="1"/>
  <c r="AA12" i="524"/>
  <c r="AB12" i="524" s="1"/>
  <c r="V12" i="524"/>
  <c r="W12" i="524" s="1"/>
  <c r="S12" i="524"/>
  <c r="T12" i="524" s="1"/>
  <c r="M12" i="524"/>
  <c r="N12" i="524" s="1"/>
  <c r="I12" i="524"/>
  <c r="K12" i="524" s="1"/>
  <c r="AA14" i="524"/>
  <c r="AB14" i="524" s="1"/>
  <c r="V14" i="524"/>
  <c r="W14" i="524" s="1"/>
  <c r="S14" i="524"/>
  <c r="T14" i="524" s="1"/>
  <c r="M14" i="524"/>
  <c r="N14" i="524" s="1"/>
  <c r="I14" i="524"/>
  <c r="K14" i="524" s="1"/>
  <c r="AA16" i="524"/>
  <c r="AB16" i="524" s="1"/>
  <c r="V16" i="524"/>
  <c r="W16" i="524" s="1"/>
  <c r="S16" i="524"/>
  <c r="I16" i="524"/>
  <c r="K16" i="524" s="1"/>
  <c r="M16" i="524"/>
  <c r="N16" i="524" s="1"/>
  <c r="AA24" i="524"/>
  <c r="AB24" i="524" s="1"/>
  <c r="V24" i="524"/>
  <c r="W24" i="524" s="1"/>
  <c r="M24" i="524"/>
  <c r="N24" i="524" s="1"/>
  <c r="S24" i="524"/>
  <c r="T24" i="524" s="1"/>
  <c r="I24" i="524"/>
  <c r="K24" i="524" s="1"/>
  <c r="AB8" i="528"/>
  <c r="M8" i="528"/>
  <c r="AB15" i="528"/>
  <c r="M15" i="528"/>
  <c r="AB9" i="528"/>
  <c r="M9" i="528"/>
  <c r="AB16" i="528"/>
  <c r="M16" i="528"/>
  <c r="R18" i="512"/>
  <c r="S18" i="512" s="1"/>
  <c r="L18" i="512"/>
  <c r="Z18" i="512"/>
  <c r="U18" i="512"/>
  <c r="O18" i="512"/>
  <c r="Z29" i="512"/>
  <c r="U29" i="512"/>
  <c r="O29" i="512"/>
  <c r="R29" i="512"/>
  <c r="S29" i="512" s="1"/>
  <c r="L29" i="512"/>
  <c r="Z31" i="512"/>
  <c r="U31" i="512"/>
  <c r="O31" i="512"/>
  <c r="R31" i="512"/>
  <c r="S31" i="512" s="1"/>
  <c r="L31" i="512"/>
  <c r="R8" i="512"/>
  <c r="S8" i="512" s="1"/>
  <c r="L8" i="512"/>
  <c r="Z8" i="512"/>
  <c r="AA8" i="512" s="1"/>
  <c r="U8" i="512"/>
  <c r="O8" i="512"/>
  <c r="Z22" i="512"/>
  <c r="U22" i="512"/>
  <c r="O22" i="512"/>
  <c r="R22" i="512"/>
  <c r="S22" i="512" s="1"/>
  <c r="L22" i="512"/>
  <c r="R28" i="512"/>
  <c r="S28" i="512" s="1"/>
  <c r="L28" i="512"/>
  <c r="Z28" i="512"/>
  <c r="U28" i="512"/>
  <c r="O28" i="512"/>
  <c r="R30" i="512"/>
  <c r="S30" i="512" s="1"/>
  <c r="L30" i="512"/>
  <c r="Z30" i="512"/>
  <c r="U30" i="512"/>
  <c r="O30" i="512"/>
  <c r="Z33" i="512"/>
  <c r="U33" i="512"/>
  <c r="O33" i="512"/>
  <c r="R33" i="512"/>
  <c r="S33" i="512" s="1"/>
  <c r="L33" i="512"/>
  <c r="R23" i="481"/>
  <c r="S23" i="481" s="1"/>
  <c r="Z23" i="481"/>
  <c r="AA23" i="481" s="1"/>
  <c r="Z26" i="481"/>
  <c r="AA26" i="481" s="1"/>
  <c r="R26" i="481"/>
  <c r="S26" i="481" s="1"/>
  <c r="R31" i="481"/>
  <c r="S31" i="481" s="1"/>
  <c r="Z31" i="481"/>
  <c r="AA31" i="481" s="1"/>
  <c r="R34" i="481"/>
  <c r="S34" i="481" s="1"/>
  <c r="Z34" i="481"/>
  <c r="AA34" i="481" s="1"/>
  <c r="R7" i="481"/>
  <c r="S7" i="481" s="1"/>
  <c r="Z7" i="481"/>
  <c r="U7" i="481"/>
  <c r="V7" i="481" s="1"/>
  <c r="R24" i="481"/>
  <c r="S24" i="481" s="1"/>
  <c r="Z24" i="481"/>
  <c r="AA24" i="481" s="1"/>
  <c r="R27" i="481"/>
  <c r="S27" i="481" s="1"/>
  <c r="Z27" i="481"/>
  <c r="AA27" i="481" s="1"/>
  <c r="Z33" i="481"/>
  <c r="AA33" i="481" s="1"/>
  <c r="R33" i="481"/>
  <c r="S33" i="481" s="1"/>
  <c r="R36" i="481"/>
  <c r="S36" i="481" s="1"/>
  <c r="Z36" i="481"/>
  <c r="AA36" i="481" s="1"/>
  <c r="Z9" i="504"/>
  <c r="AA9" i="504" s="1"/>
  <c r="U9" i="504"/>
  <c r="R9" i="504"/>
  <c r="S9" i="504" s="1"/>
  <c r="L9" i="504"/>
  <c r="O9" i="504"/>
  <c r="U16" i="504"/>
  <c r="R16" i="504"/>
  <c r="S16" i="504" s="1"/>
  <c r="Z16" i="504"/>
  <c r="AA16" i="504" s="1"/>
  <c r="L16" i="504"/>
  <c r="O16" i="504"/>
  <c r="U18" i="504"/>
  <c r="R18" i="504"/>
  <c r="S18" i="504" s="1"/>
  <c r="Z18" i="504"/>
  <c r="AA18" i="504" s="1"/>
  <c r="L18" i="504"/>
  <c r="O18" i="504"/>
  <c r="Z27" i="504"/>
  <c r="AA27" i="504" s="1"/>
  <c r="U27" i="504"/>
  <c r="R27" i="504"/>
  <c r="S27" i="504" s="1"/>
  <c r="L27" i="504"/>
  <c r="O27" i="504"/>
  <c r="Z29" i="504"/>
  <c r="AA29" i="504" s="1"/>
  <c r="U29" i="504"/>
  <c r="R29" i="504"/>
  <c r="S29" i="504" s="1"/>
  <c r="L29" i="504"/>
  <c r="O29" i="504"/>
  <c r="U34" i="504"/>
  <c r="Z34" i="504"/>
  <c r="AA34" i="504" s="1"/>
  <c r="R34" i="504"/>
  <c r="S34" i="504" s="1"/>
  <c r="L34" i="504"/>
  <c r="O34" i="504"/>
  <c r="U36" i="504"/>
  <c r="Z36" i="504"/>
  <c r="AA36" i="504" s="1"/>
  <c r="R36" i="504"/>
  <c r="S36" i="504" s="1"/>
  <c r="L36" i="504"/>
  <c r="O36" i="504"/>
  <c r="Z39" i="504"/>
  <c r="AA39" i="504" s="1"/>
  <c r="U39" i="504"/>
  <c r="R39" i="504"/>
  <c r="S39" i="504" s="1"/>
  <c r="L39" i="504"/>
  <c r="O39" i="504"/>
  <c r="U8" i="504"/>
  <c r="R8" i="504"/>
  <c r="S8" i="504" s="1"/>
  <c r="Z8" i="504"/>
  <c r="AA8" i="504" s="1"/>
  <c r="L8" i="504"/>
  <c r="O8" i="504"/>
  <c r="Z12" i="504"/>
  <c r="AA12" i="504" s="1"/>
  <c r="U12" i="504"/>
  <c r="R12" i="504"/>
  <c r="S12" i="504" s="1"/>
  <c r="L12" i="504"/>
  <c r="O12" i="504"/>
  <c r="P12" i="504" s="1"/>
  <c r="AL12" i="504" s="1"/>
  <c r="Z15" i="504"/>
  <c r="AA15" i="504" s="1"/>
  <c r="U15" i="504"/>
  <c r="R15" i="504"/>
  <c r="S15" i="504" s="1"/>
  <c r="L15" i="504"/>
  <c r="O15" i="504"/>
  <c r="P15" i="504" s="1"/>
  <c r="AL15" i="504" s="1"/>
  <c r="T15" i="505" s="1"/>
  <c r="Z17" i="504"/>
  <c r="AA17" i="504" s="1"/>
  <c r="U17" i="504"/>
  <c r="R17" i="504"/>
  <c r="S17" i="504" s="1"/>
  <c r="L17" i="504"/>
  <c r="O17" i="504"/>
  <c r="Z19" i="504"/>
  <c r="AA19" i="504" s="1"/>
  <c r="U19" i="504"/>
  <c r="R19" i="504"/>
  <c r="S19" i="504" s="1"/>
  <c r="L19" i="504"/>
  <c r="O19" i="504"/>
  <c r="P19" i="504" s="1"/>
  <c r="AL19" i="504" s="1"/>
  <c r="U28" i="504"/>
  <c r="Z28" i="504"/>
  <c r="AA28" i="504" s="1"/>
  <c r="R28" i="504"/>
  <c r="S28" i="504" s="1"/>
  <c r="L28" i="504"/>
  <c r="O28" i="504"/>
  <c r="P28" i="504" s="1"/>
  <c r="AL28" i="504" s="1"/>
  <c r="U30" i="504"/>
  <c r="Z30" i="504"/>
  <c r="AA30" i="504" s="1"/>
  <c r="R30" i="504"/>
  <c r="S30" i="504" s="1"/>
  <c r="L30" i="504"/>
  <c r="O30" i="504"/>
  <c r="P30" i="504" s="1"/>
  <c r="AL30" i="504" s="1"/>
  <c r="U31" i="504"/>
  <c r="Z31" i="504"/>
  <c r="AA31" i="504" s="1"/>
  <c r="R31" i="504"/>
  <c r="S31" i="504" s="1"/>
  <c r="L31" i="504"/>
  <c r="O31" i="504"/>
  <c r="Z35" i="504"/>
  <c r="AA35" i="504" s="1"/>
  <c r="U35" i="504"/>
  <c r="R35" i="504"/>
  <c r="S35" i="504" s="1"/>
  <c r="L35" i="504"/>
  <c r="O35" i="504"/>
  <c r="U38" i="504"/>
  <c r="Z38" i="504"/>
  <c r="AA38" i="504" s="1"/>
  <c r="R38" i="504"/>
  <c r="S38" i="504" s="1"/>
  <c r="L38" i="504"/>
  <c r="O38" i="504"/>
  <c r="P38" i="504" s="1"/>
  <c r="AL38" i="504" s="1"/>
  <c r="U40" i="504"/>
  <c r="Z40" i="504"/>
  <c r="AA40" i="504" s="1"/>
  <c r="R40" i="504"/>
  <c r="S40" i="504" s="1"/>
  <c r="L40" i="504"/>
  <c r="O40" i="504"/>
  <c r="P40" i="504" s="1"/>
  <c r="AL40" i="504" s="1"/>
  <c r="Z8" i="510"/>
  <c r="R8" i="510"/>
  <c r="S8" i="510" s="1"/>
  <c r="O8" i="510"/>
  <c r="L8" i="510"/>
  <c r="M8" i="510" s="1"/>
  <c r="Z10" i="510"/>
  <c r="R10" i="510"/>
  <c r="S10" i="510" s="1"/>
  <c r="O10" i="510"/>
  <c r="L10" i="510"/>
  <c r="M10" i="510" s="1"/>
  <c r="Z24" i="510"/>
  <c r="R24" i="510"/>
  <c r="S24" i="510" s="1"/>
  <c r="O24" i="510"/>
  <c r="L24" i="510"/>
  <c r="M24" i="510" s="1"/>
  <c r="R26" i="510"/>
  <c r="S26" i="510" s="1"/>
  <c r="O26" i="510"/>
  <c r="Z26" i="510"/>
  <c r="L26" i="510"/>
  <c r="M26" i="510" s="1"/>
  <c r="R27" i="510"/>
  <c r="S27" i="510" s="1"/>
  <c r="O27" i="510"/>
  <c r="Z27" i="510"/>
  <c r="AA27" i="510" s="1"/>
  <c r="L27" i="510"/>
  <c r="M27" i="510" s="1"/>
  <c r="R31" i="510"/>
  <c r="S31" i="510" s="1"/>
  <c r="Z31" i="510"/>
  <c r="L31" i="510"/>
  <c r="M31" i="510" s="1"/>
  <c r="O31" i="510"/>
  <c r="R9" i="510"/>
  <c r="S9" i="510" s="1"/>
  <c r="O9" i="510"/>
  <c r="Z9" i="510"/>
  <c r="L9" i="510"/>
  <c r="M9" i="510" s="1"/>
  <c r="Z17" i="510"/>
  <c r="R17" i="510"/>
  <c r="S17" i="510" s="1"/>
  <c r="O17" i="510"/>
  <c r="L17" i="510"/>
  <c r="M17" i="510" s="1"/>
  <c r="Z25" i="510"/>
  <c r="R25" i="510"/>
  <c r="S25" i="510" s="1"/>
  <c r="O25" i="510"/>
  <c r="L25" i="510"/>
  <c r="M25" i="510" s="1"/>
  <c r="Z28" i="510"/>
  <c r="R28" i="510"/>
  <c r="S28" i="510" s="1"/>
  <c r="O28" i="510"/>
  <c r="L28" i="510"/>
  <c r="M28" i="510" s="1"/>
  <c r="Z32" i="510"/>
  <c r="R32" i="510"/>
  <c r="S32" i="510" s="1"/>
  <c r="O32" i="510"/>
  <c r="L32" i="510"/>
  <c r="M32" i="510" s="1"/>
  <c r="Z10" i="508"/>
  <c r="AA10" i="508" s="1"/>
  <c r="U10" i="508"/>
  <c r="R10" i="508"/>
  <c r="S10" i="508" s="1"/>
  <c r="O10" i="508"/>
  <c r="P10" i="508" s="1"/>
  <c r="L10" i="508"/>
  <c r="M10" i="508" s="1"/>
  <c r="Z20" i="508"/>
  <c r="AA20" i="508" s="1"/>
  <c r="U20" i="508"/>
  <c r="R20" i="508"/>
  <c r="S20" i="508" s="1"/>
  <c r="O20" i="508"/>
  <c r="P20" i="508" s="1"/>
  <c r="L20" i="508"/>
  <c r="M20" i="508" s="1"/>
  <c r="Z35" i="508"/>
  <c r="AA35" i="508" s="1"/>
  <c r="U35" i="508"/>
  <c r="R35" i="508"/>
  <c r="S35" i="508" s="1"/>
  <c r="O35" i="508"/>
  <c r="P35" i="508" s="1"/>
  <c r="L35" i="508"/>
  <c r="M35" i="508" s="1"/>
  <c r="Z12" i="508"/>
  <c r="AA12" i="508" s="1"/>
  <c r="U12" i="508"/>
  <c r="R12" i="508"/>
  <c r="S12" i="508" s="1"/>
  <c r="O12" i="508"/>
  <c r="P12" i="508" s="1"/>
  <c r="L12" i="508"/>
  <c r="M12" i="508" s="1"/>
  <c r="Z18" i="508"/>
  <c r="AA18" i="508" s="1"/>
  <c r="U18" i="508"/>
  <c r="R18" i="508"/>
  <c r="S18" i="508" s="1"/>
  <c r="O18" i="508"/>
  <c r="P18" i="508" s="1"/>
  <c r="L18" i="508"/>
  <c r="M18" i="508" s="1"/>
  <c r="Z21" i="508"/>
  <c r="AA21" i="508" s="1"/>
  <c r="U21" i="508"/>
  <c r="R21" i="508"/>
  <c r="S21" i="508" s="1"/>
  <c r="O21" i="508"/>
  <c r="P21" i="508" s="1"/>
  <c r="L21" i="508"/>
  <c r="M21" i="508" s="1"/>
  <c r="Z36" i="508"/>
  <c r="AA36" i="508" s="1"/>
  <c r="U36" i="508"/>
  <c r="R36" i="508"/>
  <c r="S36" i="508" s="1"/>
  <c r="O36" i="508"/>
  <c r="P36" i="508" s="1"/>
  <c r="L36" i="508"/>
  <c r="M36" i="508" s="1"/>
  <c r="O7" i="481"/>
  <c r="P7" i="481" s="1"/>
  <c r="L7" i="481"/>
  <c r="M7" i="481" s="1"/>
  <c r="J7" i="481"/>
  <c r="O24" i="481"/>
  <c r="O27" i="481"/>
  <c r="P27" i="481" s="1"/>
  <c r="U27" i="502" s="1"/>
  <c r="V27" i="502" s="1"/>
  <c r="O33" i="481"/>
  <c r="P33" i="481" s="1"/>
  <c r="O36" i="481"/>
  <c r="P36" i="481" s="1"/>
  <c r="U36" i="502" s="1"/>
  <c r="V36" i="502" s="1"/>
  <c r="O23" i="481"/>
  <c r="O26" i="481"/>
  <c r="P26" i="481" s="1"/>
  <c r="U26" i="502" s="1"/>
  <c r="V26" i="502" s="1"/>
  <c r="O31" i="481"/>
  <c r="O34" i="481"/>
  <c r="P34" i="481" s="1"/>
  <c r="U34" i="502" s="1"/>
  <c r="V34" i="502" s="1"/>
  <c r="P9" i="524"/>
  <c r="Q9" i="524" s="1"/>
  <c r="P11" i="524"/>
  <c r="Q11" i="524" s="1"/>
  <c r="P13" i="524"/>
  <c r="Q13" i="524" s="1"/>
  <c r="P15" i="524"/>
  <c r="Q15" i="524" s="1"/>
  <c r="P18" i="524"/>
  <c r="Q18" i="524" s="1"/>
  <c r="P19" i="524"/>
  <c r="Q19" i="524" s="1"/>
  <c r="P22" i="524"/>
  <c r="P8" i="524"/>
  <c r="Q8" i="524" s="1"/>
  <c r="P10" i="524"/>
  <c r="Q10" i="524" s="1"/>
  <c r="P12" i="524"/>
  <c r="Q12" i="524" s="1"/>
  <c r="P14" i="524"/>
  <c r="Q14" i="524" s="1"/>
  <c r="P16" i="524"/>
  <c r="Q16" i="524" s="1"/>
  <c r="P24" i="524"/>
  <c r="Q24" i="524" s="1"/>
  <c r="M14" i="511"/>
  <c r="N14" i="511" s="1"/>
  <c r="AW13" i="510"/>
  <c r="AX13" i="510" s="1"/>
  <c r="AZ13" i="510"/>
  <c r="BA13" i="510" s="1"/>
  <c r="BB13" i="510" s="1"/>
  <c r="Z9" i="526"/>
  <c r="AA9" i="526" s="1"/>
  <c r="O9" i="526"/>
  <c r="P9" i="526" s="1"/>
  <c r="Z12" i="526"/>
  <c r="AA12" i="526" s="1"/>
  <c r="O12" i="526"/>
  <c r="P12" i="526" s="1"/>
  <c r="Z16" i="526"/>
  <c r="AA16" i="526" s="1"/>
  <c r="O16" i="526"/>
  <c r="P16" i="526" s="1"/>
  <c r="O19" i="526"/>
  <c r="P19" i="526" s="1"/>
  <c r="Z19" i="526"/>
  <c r="AA19" i="526" s="1"/>
  <c r="O11" i="526"/>
  <c r="P11" i="526" s="1"/>
  <c r="Z11" i="526"/>
  <c r="AA11" i="526" s="1"/>
  <c r="O15" i="526"/>
  <c r="P15" i="526" s="1"/>
  <c r="Z15" i="526"/>
  <c r="AA15" i="526" s="1"/>
  <c r="O20" i="526"/>
  <c r="P20" i="526" s="1"/>
  <c r="AL20" i="526" s="1"/>
  <c r="Z20" i="526"/>
  <c r="AA20" i="526" s="1"/>
  <c r="O25" i="526"/>
  <c r="P25" i="526" s="1"/>
  <c r="AL25" i="526" s="1"/>
  <c r="Z25" i="526"/>
  <c r="AA25" i="526" s="1"/>
  <c r="V21" i="505"/>
  <c r="O8" i="516"/>
  <c r="P8" i="516" s="1"/>
  <c r="AK8" i="516" s="1"/>
  <c r="O11" i="516"/>
  <c r="P11" i="516" s="1"/>
  <c r="AK11" i="516" s="1"/>
  <c r="P22" i="481"/>
  <c r="U22" i="502" s="1"/>
  <c r="V22" i="502" s="1"/>
  <c r="P24" i="481"/>
  <c r="U24" i="502" s="1"/>
  <c r="V24" i="502" s="1"/>
  <c r="W24" i="502" s="1"/>
  <c r="P31" i="481"/>
  <c r="U31" i="502" s="1"/>
  <c r="V31" i="502" s="1"/>
  <c r="P23" i="481"/>
  <c r="U23" i="502" s="1"/>
  <c r="V23" i="502" s="1"/>
  <c r="P35" i="481"/>
  <c r="U35" i="502" s="1"/>
  <c r="V35" i="502" s="1"/>
  <c r="O7" i="512"/>
  <c r="L7" i="512"/>
  <c r="M7" i="512" s="1"/>
  <c r="J7" i="512"/>
  <c r="I7" i="512"/>
  <c r="Z7" i="512"/>
  <c r="AA7" i="512" s="1"/>
  <c r="U7" i="512"/>
  <c r="V7" i="512" s="1"/>
  <c r="R7" i="512"/>
  <c r="AA22" i="512"/>
  <c r="AA28" i="512"/>
  <c r="AA30" i="512"/>
  <c r="AA18" i="512"/>
  <c r="AA29" i="512"/>
  <c r="AA31" i="512"/>
  <c r="AA33" i="512"/>
  <c r="P9" i="510"/>
  <c r="P17" i="510"/>
  <c r="P24" i="510"/>
  <c r="P26" i="510"/>
  <c r="P27" i="510"/>
  <c r="P29" i="510"/>
  <c r="P31" i="510"/>
  <c r="P34" i="510"/>
  <c r="P8" i="510"/>
  <c r="P10" i="510"/>
  <c r="P18" i="510"/>
  <c r="P25" i="510"/>
  <c r="P28" i="510"/>
  <c r="P30" i="510"/>
  <c r="P32" i="510"/>
  <c r="P9" i="504"/>
  <c r="AL9" i="504" s="1"/>
  <c r="P16" i="504"/>
  <c r="AL16" i="504" s="1"/>
  <c r="T16" i="505" s="1"/>
  <c r="P18" i="504"/>
  <c r="AL18" i="504" s="1"/>
  <c r="P27" i="504"/>
  <c r="AL27" i="504" s="1"/>
  <c r="P29" i="504"/>
  <c r="AL29" i="504" s="1"/>
  <c r="P34" i="504"/>
  <c r="AL34" i="504" s="1"/>
  <c r="P36" i="504"/>
  <c r="AL36" i="504" s="1"/>
  <c r="P39" i="504"/>
  <c r="AL39" i="504" s="1"/>
  <c r="P8" i="504"/>
  <c r="AL8" i="504" s="1"/>
  <c r="T8" i="505" s="1"/>
  <c r="P17" i="504"/>
  <c r="AL17" i="504" s="1"/>
  <c r="P31" i="504"/>
  <c r="AL31" i="504" s="1"/>
  <c r="P33" i="504"/>
  <c r="P35" i="504"/>
  <c r="AL35" i="504" s="1"/>
  <c r="P18" i="506"/>
  <c r="AL18" i="506" s="1"/>
  <c r="P19" i="506"/>
  <c r="P22" i="506"/>
  <c r="AL22" i="506" s="1"/>
  <c r="P24" i="506"/>
  <c r="P26" i="506"/>
  <c r="AL26" i="506" s="1"/>
  <c r="P32" i="506"/>
  <c r="AL32" i="506" s="1"/>
  <c r="P38" i="506"/>
  <c r="AL38" i="506" s="1"/>
  <c r="P17" i="506"/>
  <c r="AL17" i="506" s="1"/>
  <c r="P23" i="506"/>
  <c r="AL23" i="506" s="1"/>
  <c r="P25" i="506"/>
  <c r="P27" i="506"/>
  <c r="AL27" i="506" s="1"/>
  <c r="P37" i="506"/>
  <c r="AL37" i="506" s="1"/>
  <c r="Q22" i="524"/>
  <c r="T8" i="524"/>
  <c r="T16" i="524"/>
  <c r="Q9" i="528"/>
  <c r="Q8" i="528"/>
  <c r="Q15" i="528"/>
  <c r="AL15" i="528" s="1"/>
  <c r="Q16" i="528"/>
  <c r="AL16" i="528" s="1"/>
  <c r="R9" i="521"/>
  <c r="S9" i="521" s="1"/>
  <c r="O9" i="521"/>
  <c r="P9" i="521" s="1"/>
  <c r="P7" i="512"/>
  <c r="S7" i="512"/>
  <c r="P22" i="512"/>
  <c r="AL22" i="512" s="1"/>
  <c r="P28" i="512"/>
  <c r="AL28" i="512" s="1"/>
  <c r="P30" i="512"/>
  <c r="AL30" i="512" s="1"/>
  <c r="P8" i="512"/>
  <c r="AL8" i="512" s="1"/>
  <c r="P18" i="512"/>
  <c r="AL18" i="512" s="1"/>
  <c r="P29" i="512"/>
  <c r="AL29" i="512" s="1"/>
  <c r="P31" i="512"/>
  <c r="AL31" i="512" s="1"/>
  <c r="P33" i="512"/>
  <c r="AL33" i="512" s="1"/>
  <c r="J7" i="506"/>
  <c r="Z7" i="506"/>
  <c r="R7" i="506"/>
  <c r="L7" i="506"/>
  <c r="U7" i="506"/>
  <c r="O7" i="506"/>
  <c r="P7" i="506" s="1"/>
  <c r="T15" i="530" l="1"/>
  <c r="U15" i="530" s="1"/>
  <c r="T16" i="530"/>
  <c r="U16" i="530" s="1"/>
  <c r="T8" i="520"/>
  <c r="U8" i="520" s="1"/>
  <c r="V8" i="520" s="1"/>
  <c r="W8" i="520" s="1"/>
  <c r="F8" i="520" s="1"/>
  <c r="T11" i="520"/>
  <c r="U11" i="520" s="1"/>
  <c r="V11" i="520" s="1"/>
  <c r="W11" i="520" s="1"/>
  <c r="F11" i="520" s="1"/>
  <c r="T20" i="515"/>
  <c r="U20" i="515" s="1"/>
  <c r="V20" i="515" s="1"/>
  <c r="W20" i="515" s="1"/>
  <c r="F20" i="515" s="1"/>
  <c r="T16" i="515"/>
  <c r="U16" i="515" s="1"/>
  <c r="V16" i="515" s="1"/>
  <c r="W16" i="515" s="1"/>
  <c r="F16" i="515" s="1"/>
  <c r="T10" i="515"/>
  <c r="U10" i="515" s="1"/>
  <c r="V10" i="515" s="1"/>
  <c r="W10" i="515" s="1"/>
  <c r="F10" i="515" s="1"/>
  <c r="T13" i="515"/>
  <c r="U13" i="515" s="1"/>
  <c r="V13" i="515" s="1"/>
  <c r="W13" i="515" s="1"/>
  <c r="F13" i="515" s="1"/>
  <c r="F21" i="505"/>
  <c r="AP21" i="504"/>
  <c r="AP31" i="481"/>
  <c r="F31" i="502"/>
  <c r="AP34" i="481"/>
  <c r="F34" i="502"/>
  <c r="AP26" i="481"/>
  <c r="F26" i="502"/>
  <c r="AP36" i="481"/>
  <c r="F36" i="502"/>
  <c r="AP27" i="481"/>
  <c r="F27" i="502"/>
  <c r="AP35" i="481"/>
  <c r="F35" i="502"/>
  <c r="AP22" i="481"/>
  <c r="F22" i="502"/>
  <c r="AP23" i="481"/>
  <c r="F23" i="502"/>
  <c r="AP24" i="481"/>
  <c r="F24" i="502"/>
  <c r="AL29" i="506"/>
  <c r="T29" i="507" s="1"/>
  <c r="AL36" i="508"/>
  <c r="U36" i="509" s="1"/>
  <c r="AL21" i="514"/>
  <c r="AL17" i="514"/>
  <c r="AL15" i="526"/>
  <c r="AL11" i="526"/>
  <c r="AL19" i="526"/>
  <c r="AL19" i="514"/>
  <c r="AL15" i="514"/>
  <c r="AL12" i="514"/>
  <c r="AL18" i="514"/>
  <c r="AL14" i="514"/>
  <c r="AL18" i="508"/>
  <c r="U18" i="509" s="1"/>
  <c r="AL35" i="508"/>
  <c r="U35" i="509" s="1"/>
  <c r="AL10" i="508"/>
  <c r="U10" i="509" s="1"/>
  <c r="U33" i="502"/>
  <c r="V33" i="502" s="1"/>
  <c r="AK10" i="531"/>
  <c r="T10" i="532" s="1"/>
  <c r="U10" i="532" s="1"/>
  <c r="AL9" i="528"/>
  <c r="AL8" i="528"/>
  <c r="AL16" i="526"/>
  <c r="AL12" i="526"/>
  <c r="AL9" i="526"/>
  <c r="AM16" i="524"/>
  <c r="T16" i="525" s="1"/>
  <c r="U16" i="525" s="1"/>
  <c r="V16" i="525" s="1"/>
  <c r="W16" i="525" s="1"/>
  <c r="AM14" i="524"/>
  <c r="T14" i="525" s="1"/>
  <c r="U14" i="525" s="1"/>
  <c r="V14" i="525" s="1"/>
  <c r="W14" i="525" s="1"/>
  <c r="AM10" i="524"/>
  <c r="T10" i="525" s="1"/>
  <c r="U10" i="525" s="1"/>
  <c r="V10" i="525" s="1"/>
  <c r="W10" i="525" s="1"/>
  <c r="AM18" i="524"/>
  <c r="T18" i="525" s="1"/>
  <c r="U18" i="525" s="1"/>
  <c r="V18" i="525" s="1"/>
  <c r="W18" i="525" s="1"/>
  <c r="AM15" i="524"/>
  <c r="T15" i="525" s="1"/>
  <c r="U15" i="525" s="1"/>
  <c r="V15" i="525" s="1"/>
  <c r="W15" i="525" s="1"/>
  <c r="AM9" i="524"/>
  <c r="T9" i="525" s="1"/>
  <c r="U9" i="525" s="1"/>
  <c r="V9" i="525" s="1"/>
  <c r="W9" i="525" s="1"/>
  <c r="AM24" i="524"/>
  <c r="T24" i="525" s="1"/>
  <c r="U24" i="525" s="1"/>
  <c r="V24" i="525" s="1"/>
  <c r="W24" i="525" s="1"/>
  <c r="AM12" i="524"/>
  <c r="T12" i="525" s="1"/>
  <c r="U12" i="525" s="1"/>
  <c r="V12" i="525" s="1"/>
  <c r="W12" i="525" s="1"/>
  <c r="AM8" i="524"/>
  <c r="T8" i="525" s="1"/>
  <c r="U8" i="525" s="1"/>
  <c r="V8" i="525" s="1"/>
  <c r="W8" i="525" s="1"/>
  <c r="AM22" i="524"/>
  <c r="T22" i="525" s="1"/>
  <c r="U22" i="525" s="1"/>
  <c r="V22" i="525" s="1"/>
  <c r="W22" i="525" s="1"/>
  <c r="AM19" i="524"/>
  <c r="T19" i="525" s="1"/>
  <c r="U19" i="525" s="1"/>
  <c r="V19" i="525" s="1"/>
  <c r="W19" i="525" s="1"/>
  <c r="AM13" i="524"/>
  <c r="T13" i="525" s="1"/>
  <c r="U13" i="525" s="1"/>
  <c r="V13" i="525" s="1"/>
  <c r="W13" i="525" s="1"/>
  <c r="AM11" i="524"/>
  <c r="T11" i="525" s="1"/>
  <c r="U11" i="525" s="1"/>
  <c r="V11" i="525" s="1"/>
  <c r="W11" i="525" s="1"/>
  <c r="AL21" i="508"/>
  <c r="U21" i="509" s="1"/>
  <c r="AL12" i="508"/>
  <c r="U12" i="509" s="1"/>
  <c r="AL20" i="508"/>
  <c r="U20" i="509" s="1"/>
  <c r="AL21" i="506"/>
  <c r="T21" i="507" s="1"/>
  <c r="AL16" i="506"/>
  <c r="AL25" i="506"/>
  <c r="T25" i="507" s="1"/>
  <c r="AL24" i="506"/>
  <c r="T24" i="507" s="1"/>
  <c r="AL19" i="506"/>
  <c r="T19" i="507" s="1"/>
  <c r="AL33" i="504"/>
  <c r="U33" i="505" s="1"/>
  <c r="O14" i="511"/>
  <c r="P14" i="511" s="1"/>
  <c r="U18" i="505"/>
  <c r="U16" i="505"/>
  <c r="U40" i="505"/>
  <c r="U39" i="505"/>
  <c r="U38" i="505"/>
  <c r="U36" i="505"/>
  <c r="U35" i="505"/>
  <c r="U34" i="505"/>
  <c r="U31" i="505"/>
  <c r="U30" i="505"/>
  <c r="U29" i="505"/>
  <c r="U28" i="505"/>
  <c r="U27" i="505"/>
  <c r="U19" i="505"/>
  <c r="U17" i="505"/>
  <c r="U15" i="505"/>
  <c r="U12" i="505"/>
  <c r="U9" i="505"/>
  <c r="U8" i="505"/>
  <c r="T20" i="527"/>
  <c r="U20" i="527" s="1"/>
  <c r="T38" i="507"/>
  <c r="T37" i="507"/>
  <c r="T32" i="507"/>
  <c r="T27" i="507"/>
  <c r="T26" i="507"/>
  <c r="T23" i="507"/>
  <c r="T22" i="507"/>
  <c r="T18" i="507"/>
  <c r="T17" i="507"/>
  <c r="T16" i="507"/>
  <c r="AY13" i="510"/>
  <c r="BC13" i="510"/>
  <c r="BD13" i="510" s="1"/>
  <c r="BE13" i="510" s="1"/>
  <c r="BF13" i="510" s="1"/>
  <c r="AL7" i="512"/>
  <c r="T9" i="530" l="1"/>
  <c r="U9" i="530" s="1"/>
  <c r="T8" i="530"/>
  <c r="U8" i="530" s="1"/>
  <c r="V8" i="530" s="1"/>
  <c r="T9" i="527"/>
  <c r="U9" i="527" s="1"/>
  <c r="T16" i="527"/>
  <c r="U16" i="527" s="1"/>
  <c r="T11" i="527"/>
  <c r="U11" i="527" s="1"/>
  <c r="T12" i="527"/>
  <c r="U12" i="527" s="1"/>
  <c r="T19" i="527"/>
  <c r="U19" i="527" s="1"/>
  <c r="T15" i="527"/>
  <c r="U15" i="527" s="1"/>
  <c r="T14" i="515"/>
  <c r="U14" i="515" s="1"/>
  <c r="V14" i="515" s="1"/>
  <c r="W14" i="515" s="1"/>
  <c r="F14" i="515" s="1"/>
  <c r="T12" i="515"/>
  <c r="U12" i="515" s="1"/>
  <c r="V12" i="515" s="1"/>
  <c r="W12" i="515" s="1"/>
  <c r="F12" i="515" s="1"/>
  <c r="T19" i="515"/>
  <c r="U19" i="515" s="1"/>
  <c r="V19" i="515" s="1"/>
  <c r="W19" i="515" s="1"/>
  <c r="F19" i="515" s="1"/>
  <c r="T17" i="515"/>
  <c r="U17" i="515" s="1"/>
  <c r="V17" i="515" s="1"/>
  <c r="W17" i="515" s="1"/>
  <c r="F17" i="515" s="1"/>
  <c r="T18" i="515"/>
  <c r="U18" i="515" s="1"/>
  <c r="V18" i="515" s="1"/>
  <c r="W18" i="515" s="1"/>
  <c r="F18" i="515" s="1"/>
  <c r="T15" i="515"/>
  <c r="U15" i="515" s="1"/>
  <c r="V15" i="515" s="1"/>
  <c r="W15" i="515" s="1"/>
  <c r="F15" i="515" s="1"/>
  <c r="T21" i="515"/>
  <c r="U21" i="515" s="1"/>
  <c r="V21" i="515" s="1"/>
  <c r="W21" i="515" s="1"/>
  <c r="F21" i="515" s="1"/>
  <c r="AO14" i="510"/>
  <c r="AQ14" i="510" s="1"/>
  <c r="AP33" i="481"/>
  <c r="F33" i="502"/>
  <c r="H19" i="502"/>
  <c r="L19" i="502" s="1"/>
  <c r="V15" i="530"/>
  <c r="H21" i="505"/>
  <c r="L21" i="505" s="1"/>
  <c r="M21" i="505" s="1"/>
  <c r="N21" i="505" s="1"/>
  <c r="V13" i="509"/>
  <c r="H8" i="527"/>
  <c r="L8" i="527" s="1"/>
  <c r="M8" i="527" s="1"/>
  <c r="N8" i="527" s="1"/>
  <c r="V8" i="509"/>
  <c r="H19" i="509"/>
  <c r="L19" i="509" s="1"/>
  <c r="M19" i="509" s="1"/>
  <c r="N19" i="509" s="1"/>
  <c r="T7" i="513"/>
  <c r="U7" i="513" s="1"/>
  <c r="AL37" i="512"/>
  <c r="P10" i="519"/>
  <c r="P9" i="519"/>
  <c r="S9" i="519"/>
  <c r="S11" i="519"/>
  <c r="P11" i="519"/>
  <c r="P8" i="519"/>
  <c r="S8" i="519"/>
  <c r="S10" i="519"/>
  <c r="AY20" i="481"/>
  <c r="AZ20" i="481" s="1"/>
  <c r="BA20" i="481" s="1"/>
  <c r="BB20" i="481"/>
  <c r="BC20" i="481" s="1"/>
  <c r="F8" i="530" l="1"/>
  <c r="W8" i="530"/>
  <c r="F15" i="530"/>
  <c r="W15" i="530"/>
  <c r="F18" i="525"/>
  <c r="AQ18" i="524"/>
  <c r="AQ9" i="524"/>
  <c r="F9" i="525"/>
  <c r="F14" i="525"/>
  <c r="AQ14" i="524"/>
  <c r="F8" i="525"/>
  <c r="AQ8" i="524"/>
  <c r="AQ13" i="524"/>
  <c r="F13" i="525"/>
  <c r="AQ15" i="524"/>
  <c r="F15" i="525"/>
  <c r="F10" i="525"/>
  <c r="AQ10" i="524"/>
  <c r="F24" i="525"/>
  <c r="AQ24" i="524"/>
  <c r="F8" i="509"/>
  <c r="W8" i="509"/>
  <c r="AP8" i="508" s="1"/>
  <c r="F13" i="509"/>
  <c r="W13" i="509"/>
  <c r="AP13" i="508" s="1"/>
  <c r="AL11" i="519"/>
  <c r="AL8" i="519"/>
  <c r="AL9" i="519"/>
  <c r="AL10" i="519"/>
  <c r="U10" i="518" s="1"/>
  <c r="V9" i="530"/>
  <c r="W9" i="530" s="1"/>
  <c r="M19" i="502"/>
  <c r="N19" i="502" s="1"/>
  <c r="V16" i="530"/>
  <c r="H14" i="530"/>
  <c r="L14" i="530" s="1"/>
  <c r="M14" i="530" s="1"/>
  <c r="N14" i="530" s="1"/>
  <c r="AO11" i="516"/>
  <c r="V21" i="509"/>
  <c r="V36" i="509"/>
  <c r="V12" i="509"/>
  <c r="V15" i="509"/>
  <c r="V35" i="509"/>
  <c r="W35" i="509" s="1"/>
  <c r="AP35" i="508" s="1"/>
  <c r="V18" i="509"/>
  <c r="V10" i="509"/>
  <c r="V20" i="509"/>
  <c r="V16" i="509"/>
  <c r="V17" i="509"/>
  <c r="V20" i="527"/>
  <c r="V19" i="527"/>
  <c r="V16" i="527"/>
  <c r="V15" i="527"/>
  <c r="V12" i="527"/>
  <c r="V11" i="527"/>
  <c r="V9" i="527"/>
  <c r="V10" i="532"/>
  <c r="W10" i="532" s="1"/>
  <c r="V9" i="532"/>
  <c r="W9" i="532" s="1"/>
  <c r="V8" i="532"/>
  <c r="W8" i="532" s="1"/>
  <c r="V31" i="513"/>
  <c r="AP31" i="512" s="1"/>
  <c r="V33" i="513"/>
  <c r="AP33" i="512" s="1"/>
  <c r="V28" i="513"/>
  <c r="AP28" i="512" s="1"/>
  <c r="V22" i="513"/>
  <c r="AP22" i="512" s="1"/>
  <c r="V30" i="513"/>
  <c r="AP30" i="512" s="1"/>
  <c r="V29" i="513"/>
  <c r="AP29" i="512" s="1"/>
  <c r="V18" i="513"/>
  <c r="AP18" i="512" s="1"/>
  <c r="O19" i="509"/>
  <c r="P19" i="509" s="1"/>
  <c r="AO19" i="508" s="1"/>
  <c r="O21" i="505"/>
  <c r="P21" i="505" s="1"/>
  <c r="BD20" i="481"/>
  <c r="BE20" i="481" s="1"/>
  <c r="BF20" i="481" s="1"/>
  <c r="BG20" i="481" s="1"/>
  <c r="BH20" i="481" s="1"/>
  <c r="K9" i="502"/>
  <c r="F16" i="530" l="1"/>
  <c r="W16" i="530"/>
  <c r="W9" i="527"/>
  <c r="F9" i="527" s="1"/>
  <c r="W12" i="527"/>
  <c r="F12" i="527" s="1"/>
  <c r="W16" i="527"/>
  <c r="F16" i="527" s="1"/>
  <c r="W20" i="527"/>
  <c r="F20" i="527" s="1"/>
  <c r="W11" i="527"/>
  <c r="F11" i="527" s="1"/>
  <c r="W15" i="527"/>
  <c r="F15" i="527" s="1"/>
  <c r="W19" i="527"/>
  <c r="F19" i="527" s="1"/>
  <c r="F22" i="525"/>
  <c r="AQ22" i="524"/>
  <c r="AQ11" i="524"/>
  <c r="F11" i="525"/>
  <c r="AQ19" i="524"/>
  <c r="F19" i="525"/>
  <c r="F12" i="525"/>
  <c r="AQ12" i="524"/>
  <c r="F16" i="525"/>
  <c r="AQ16" i="524"/>
  <c r="W16" i="509"/>
  <c r="AP16" i="508" s="1"/>
  <c r="W10" i="509"/>
  <c r="AP10" i="508" s="1"/>
  <c r="W12" i="509"/>
  <c r="AP12" i="508" s="1"/>
  <c r="F21" i="509"/>
  <c r="W21" i="509"/>
  <c r="AP21" i="508" s="1"/>
  <c r="F17" i="509"/>
  <c r="W17" i="509"/>
  <c r="AP17" i="508" s="1"/>
  <c r="F20" i="509"/>
  <c r="W20" i="509"/>
  <c r="AP20" i="508" s="1"/>
  <c r="F18" i="509"/>
  <c r="W18" i="509"/>
  <c r="AP18" i="508" s="1"/>
  <c r="F15" i="509"/>
  <c r="W15" i="509"/>
  <c r="AP15" i="508" s="1"/>
  <c r="F36" i="509"/>
  <c r="W36" i="509"/>
  <c r="AP36" i="508" s="1"/>
  <c r="F35" i="509"/>
  <c r="U9" i="518"/>
  <c r="V9" i="518" s="1"/>
  <c r="AP9" i="519" s="1"/>
  <c r="U8" i="518"/>
  <c r="V8" i="518" s="1"/>
  <c r="AP8" i="519" s="1"/>
  <c r="AQ19" i="508"/>
  <c r="H13" i="509"/>
  <c r="L13" i="509" s="1"/>
  <c r="M13" i="509" s="1"/>
  <c r="N13" i="509" s="1"/>
  <c r="U11" i="518"/>
  <c r="H11" i="518"/>
  <c r="L11" i="518" s="1"/>
  <c r="H24" i="525"/>
  <c r="L24" i="525" s="1"/>
  <c r="H15" i="525"/>
  <c r="H14" i="525"/>
  <c r="H18" i="525"/>
  <c r="H10" i="525"/>
  <c r="H13" i="525"/>
  <c r="H8" i="525"/>
  <c r="H9" i="525"/>
  <c r="O19" i="502"/>
  <c r="H15" i="530"/>
  <c r="L15" i="530" s="1"/>
  <c r="H8" i="530"/>
  <c r="L8" i="530" s="1"/>
  <c r="H10" i="530"/>
  <c r="L10" i="530" s="1"/>
  <c r="O14" i="530"/>
  <c r="P14" i="530" s="1"/>
  <c r="V10" i="518"/>
  <c r="AP10" i="519" s="1"/>
  <c r="O8" i="527"/>
  <c r="F9" i="530" l="1"/>
  <c r="H9" i="530" s="1"/>
  <c r="L9" i="530" s="1"/>
  <c r="M9" i="530" s="1"/>
  <c r="N9" i="530" s="1"/>
  <c r="AP19" i="526"/>
  <c r="AP15" i="526"/>
  <c r="AP11" i="526"/>
  <c r="AP20" i="526"/>
  <c r="AP16" i="526"/>
  <c r="AP12" i="526"/>
  <c r="AP9" i="526"/>
  <c r="P8" i="527"/>
  <c r="AO8" i="526" s="1"/>
  <c r="W12" i="520"/>
  <c r="AO8" i="516"/>
  <c r="F12" i="509"/>
  <c r="F10" i="509"/>
  <c r="F16" i="509"/>
  <c r="AO21" i="504"/>
  <c r="AQ21" i="504" s="1"/>
  <c r="P19" i="502"/>
  <c r="AO19" i="481" s="1"/>
  <c r="H12" i="509"/>
  <c r="L12" i="509" s="1"/>
  <c r="M12" i="509" s="1"/>
  <c r="N12" i="509" s="1"/>
  <c r="H21" i="509"/>
  <c r="L21" i="509" s="1"/>
  <c r="M21" i="509" s="1"/>
  <c r="N21" i="509" s="1"/>
  <c r="H10" i="509"/>
  <c r="L10" i="509" s="1"/>
  <c r="M10" i="509" s="1"/>
  <c r="N10" i="509" s="1"/>
  <c r="H36" i="509"/>
  <c r="L36" i="509" s="1"/>
  <c r="M36" i="509" s="1"/>
  <c r="N36" i="509" s="1"/>
  <c r="H18" i="509"/>
  <c r="L18" i="509" s="1"/>
  <c r="M18" i="509" s="1"/>
  <c r="N18" i="509" s="1"/>
  <c r="H17" i="509"/>
  <c r="L17" i="509" s="1"/>
  <c r="M17" i="509" s="1"/>
  <c r="N17" i="509" s="1"/>
  <c r="H35" i="509"/>
  <c r="L35" i="509" s="1"/>
  <c r="M35" i="509" s="1"/>
  <c r="N35" i="509" s="1"/>
  <c r="F28" i="513"/>
  <c r="F18" i="513"/>
  <c r="F22" i="513"/>
  <c r="F31" i="513"/>
  <c r="F30" i="513"/>
  <c r="F33" i="513"/>
  <c r="F29" i="513"/>
  <c r="H11" i="520"/>
  <c r="L11" i="520" s="1"/>
  <c r="H8" i="520"/>
  <c r="L8" i="520" s="1"/>
  <c r="H16" i="530"/>
  <c r="L16" i="530" s="1"/>
  <c r="M16" i="530" s="1"/>
  <c r="N16" i="530" s="1"/>
  <c r="O16" i="530" s="1"/>
  <c r="P16" i="530" s="1"/>
  <c r="H16" i="525"/>
  <c r="L16" i="525" s="1"/>
  <c r="H19" i="525"/>
  <c r="L19" i="525" s="1"/>
  <c r="H22" i="525"/>
  <c r="L22" i="525" s="1"/>
  <c r="H12" i="525"/>
  <c r="L12" i="525" s="1"/>
  <c r="H11" i="525"/>
  <c r="L11" i="525" s="1"/>
  <c r="M8" i="530"/>
  <c r="N8" i="530" s="1"/>
  <c r="M10" i="530"/>
  <c r="N10" i="530" s="1"/>
  <c r="M15" i="530"/>
  <c r="N15" i="530" s="1"/>
  <c r="H20" i="509"/>
  <c r="L20" i="509" s="1"/>
  <c r="M20" i="509" s="1"/>
  <c r="N20" i="509" s="1"/>
  <c r="L8" i="525"/>
  <c r="L13" i="525"/>
  <c r="L9" i="525"/>
  <c r="L18" i="525"/>
  <c r="L14" i="525"/>
  <c r="L10" i="525"/>
  <c r="H8" i="509"/>
  <c r="L8" i="509" s="1"/>
  <c r="M8" i="509" s="1"/>
  <c r="N8" i="509" s="1"/>
  <c r="L15" i="525"/>
  <c r="M11" i="518"/>
  <c r="N11" i="518" s="1"/>
  <c r="O13" i="509"/>
  <c r="P13" i="509" s="1"/>
  <c r="AO13" i="508" s="1"/>
  <c r="M11" i="520" l="1"/>
  <c r="N11" i="520" s="1"/>
  <c r="M8" i="520"/>
  <c r="N8" i="520" s="1"/>
  <c r="AQ19" i="481"/>
  <c r="AQ14" i="481"/>
  <c r="AQ15" i="481"/>
  <c r="AS15" i="481" s="1"/>
  <c r="AQ13" i="508"/>
  <c r="AQ8" i="526"/>
  <c r="O8" i="509"/>
  <c r="P8" i="509" s="1"/>
  <c r="AO8" i="508" s="1"/>
  <c r="H16" i="509"/>
  <c r="L16" i="509" s="1"/>
  <c r="M16" i="509" s="1"/>
  <c r="N16" i="509" s="1"/>
  <c r="H15" i="509"/>
  <c r="L15" i="509" s="1"/>
  <c r="M15" i="509" s="1"/>
  <c r="N15" i="509" s="1"/>
  <c r="O20" i="509"/>
  <c r="P20" i="509" s="1"/>
  <c r="AO20" i="508" s="1"/>
  <c r="O35" i="509"/>
  <c r="P35" i="509" s="1"/>
  <c r="AO35" i="508" s="1"/>
  <c r="O12" i="509"/>
  <c r="P12" i="509" s="1"/>
  <c r="AO12" i="508" s="1"/>
  <c r="O21" i="509"/>
  <c r="P21" i="509" s="1"/>
  <c r="AO21" i="508" s="1"/>
  <c r="O10" i="509"/>
  <c r="P10" i="509" s="1"/>
  <c r="AO10" i="508" s="1"/>
  <c r="O36" i="509"/>
  <c r="P36" i="509" s="1"/>
  <c r="AO36" i="508" s="1"/>
  <c r="AS11" i="481"/>
  <c r="AR11" i="481" s="1"/>
  <c r="O11" i="518"/>
  <c r="P11" i="518" s="1"/>
  <c r="AO11" i="519" s="1"/>
  <c r="O8" i="530"/>
  <c r="P8" i="530" s="1"/>
  <c r="H12" i="518"/>
  <c r="L12" i="518" s="1"/>
  <c r="O10" i="530"/>
  <c r="P10" i="530" s="1"/>
  <c r="O18" i="509"/>
  <c r="P18" i="509" s="1"/>
  <c r="AO18" i="508" s="1"/>
  <c r="O15" i="530"/>
  <c r="P15" i="530" s="1"/>
  <c r="O9" i="530"/>
  <c r="P9" i="530" s="1"/>
  <c r="O8" i="520" l="1"/>
  <c r="O11" i="520"/>
  <c r="AR15" i="481"/>
  <c r="AY15" i="481"/>
  <c r="AZ15" i="481" s="1"/>
  <c r="AS14" i="481"/>
  <c r="AQ18" i="508"/>
  <c r="AQ36" i="508"/>
  <c r="AQ21" i="508"/>
  <c r="AQ10" i="508"/>
  <c r="AQ12" i="508"/>
  <c r="AQ20" i="508"/>
  <c r="AQ8" i="508"/>
  <c r="H10" i="518"/>
  <c r="L10" i="518" s="1"/>
  <c r="M10" i="518" s="1"/>
  <c r="N10" i="518" s="1"/>
  <c r="AS27" i="508"/>
  <c r="AR27" i="508" s="1"/>
  <c r="BB11" i="481"/>
  <c r="BC11" i="481" s="1"/>
  <c r="AY11" i="481"/>
  <c r="AZ11" i="481" s="1"/>
  <c r="M12" i="518"/>
  <c r="N12" i="518" s="1"/>
  <c r="O16" i="509"/>
  <c r="P16" i="509" s="1"/>
  <c r="AO16" i="508" s="1"/>
  <c r="O15" i="509"/>
  <c r="P15" i="509" s="1"/>
  <c r="AO15" i="508" s="1"/>
  <c r="O17" i="509"/>
  <c r="P17" i="509" s="1"/>
  <c r="AO17" i="508" s="1"/>
  <c r="AQ35" i="508" l="1"/>
  <c r="AQ34" i="508"/>
  <c r="AS34" i="508" s="1"/>
  <c r="AY14" i="481"/>
  <c r="AZ14" i="481" s="1"/>
  <c r="AR14" i="481"/>
  <c r="BA15" i="481"/>
  <c r="BB15" i="481"/>
  <c r="BC15" i="481" s="1"/>
  <c r="AQ17" i="508"/>
  <c r="AQ16" i="508"/>
  <c r="AQ15" i="508"/>
  <c r="AQ11" i="519"/>
  <c r="H9" i="502"/>
  <c r="L9" i="502" s="1"/>
  <c r="AS31" i="508"/>
  <c r="AR31" i="508" s="1"/>
  <c r="AS32" i="508"/>
  <c r="AR32" i="508" s="1"/>
  <c r="AS14" i="528"/>
  <c r="AR14" i="528" s="1"/>
  <c r="AS13" i="528"/>
  <c r="AR13" i="528" s="1"/>
  <c r="O10" i="518"/>
  <c r="P10" i="518" s="1"/>
  <c r="AO10" i="519" s="1"/>
  <c r="AW27" i="508"/>
  <c r="AX27" i="508" s="1"/>
  <c r="AY27" i="508" s="1"/>
  <c r="AZ27" i="508"/>
  <c r="BA27" i="508" s="1"/>
  <c r="AS11" i="508"/>
  <c r="AR11" i="508" s="1"/>
  <c r="BD11" i="481"/>
  <c r="BE11" i="481" s="1"/>
  <c r="BF11" i="481" s="1"/>
  <c r="BA11" i="481"/>
  <c r="O12" i="518"/>
  <c r="P12" i="518" s="1"/>
  <c r="AO12" i="519" s="1"/>
  <c r="AR34" i="508" l="1"/>
  <c r="AW34" i="508"/>
  <c r="AX34" i="508" s="1"/>
  <c r="BD15" i="481"/>
  <c r="BE15" i="481" s="1"/>
  <c r="BB14" i="481"/>
  <c r="BC14" i="481" s="1"/>
  <c r="BD14" i="481" s="1"/>
  <c r="BA14" i="481"/>
  <c r="AS10" i="528"/>
  <c r="AS14" i="508"/>
  <c r="AR14" i="508" s="1"/>
  <c r="M9" i="502"/>
  <c r="N9" i="502" s="1"/>
  <c r="AW32" i="508"/>
  <c r="AW31" i="508"/>
  <c r="AX31" i="508" s="1"/>
  <c r="AY14" i="528"/>
  <c r="AZ14" i="528" s="1"/>
  <c r="AY13" i="528"/>
  <c r="AZ13" i="528" s="1"/>
  <c r="AV14" i="528"/>
  <c r="AV13" i="528"/>
  <c r="AW13" i="528" s="1"/>
  <c r="AX13" i="528" s="1"/>
  <c r="BB27" i="508"/>
  <c r="BC27" i="508" s="1"/>
  <c r="BD27" i="508" s="1"/>
  <c r="AW11" i="508"/>
  <c r="BG11" i="481"/>
  <c r="BH11" i="481" s="1"/>
  <c r="AY34" i="508" l="1"/>
  <c r="AZ34" i="508"/>
  <c r="BA34" i="508" s="1"/>
  <c r="BB34" i="508" s="1"/>
  <c r="BC34" i="508" s="1"/>
  <c r="BF15" i="481"/>
  <c r="BE14" i="481"/>
  <c r="BF14" i="481" s="1"/>
  <c r="BG14" i="481" s="1"/>
  <c r="BH14" i="481" s="1"/>
  <c r="AV10" i="528"/>
  <c r="AW10" i="528" s="1"/>
  <c r="AX10" i="528" s="1"/>
  <c r="AR10" i="528"/>
  <c r="AY10" i="528" s="1"/>
  <c r="AZ10" i="528" s="1"/>
  <c r="AQ10" i="519"/>
  <c r="AQ12" i="519"/>
  <c r="AZ14" i="508"/>
  <c r="BA14" i="508" s="1"/>
  <c r="AW14" i="508"/>
  <c r="AX14" i="508" s="1"/>
  <c r="O9" i="502"/>
  <c r="AX32" i="508"/>
  <c r="AY32" i="508" s="1"/>
  <c r="AY31" i="508"/>
  <c r="AZ31" i="508"/>
  <c r="BA31" i="508" s="1"/>
  <c r="AZ32" i="508"/>
  <c r="BA32" i="508" s="1"/>
  <c r="BA14" i="528"/>
  <c r="BB14" i="528" s="1"/>
  <c r="BC14" i="528" s="1"/>
  <c r="AW14" i="528"/>
  <c r="AX14" i="528" s="1"/>
  <c r="BA13" i="528"/>
  <c r="BB13" i="528" s="1"/>
  <c r="BC13" i="528" s="1"/>
  <c r="BE27" i="508"/>
  <c r="BF27" i="508" s="1"/>
  <c r="AZ11" i="508"/>
  <c r="BA11" i="508" s="1"/>
  <c r="AX11" i="508"/>
  <c r="AY11" i="508" s="1"/>
  <c r="K10" i="532"/>
  <c r="K9" i="532"/>
  <c r="BD34" i="508" l="1"/>
  <c r="BE34" i="508" s="1"/>
  <c r="BF34" i="508" s="1"/>
  <c r="BG15" i="481"/>
  <c r="BH15" i="481" s="1"/>
  <c r="P9" i="502"/>
  <c r="AO9" i="481" s="1"/>
  <c r="BB14" i="508"/>
  <c r="BC14" i="508" s="1"/>
  <c r="AY14" i="508"/>
  <c r="BB32" i="508"/>
  <c r="BC32" i="508" s="1"/>
  <c r="BD32" i="508" s="1"/>
  <c r="BB31" i="508"/>
  <c r="BC31" i="508" s="1"/>
  <c r="BA10" i="528"/>
  <c r="BB10" i="528" s="1"/>
  <c r="BC10" i="528" s="1"/>
  <c r="BD14" i="528"/>
  <c r="BE14" i="528" s="1"/>
  <c r="BD13" i="528"/>
  <c r="BE13" i="528" s="1"/>
  <c r="BB11" i="508"/>
  <c r="BC11" i="508" s="1"/>
  <c r="AU10" i="531"/>
  <c r="AU9" i="531"/>
  <c r="Z7" i="531"/>
  <c r="U7" i="531"/>
  <c r="R7" i="531"/>
  <c r="O7" i="531"/>
  <c r="L7" i="531"/>
  <c r="I7" i="531"/>
  <c r="AQ9" i="481" l="1"/>
  <c r="BD14" i="508"/>
  <c r="BE14" i="508" s="1"/>
  <c r="BF14" i="508" s="1"/>
  <c r="BE32" i="508"/>
  <c r="BF32" i="508" s="1"/>
  <c r="BD31" i="508"/>
  <c r="BD10" i="528"/>
  <c r="BE10" i="528" s="1"/>
  <c r="BD11" i="508"/>
  <c r="BE11" i="508" s="1"/>
  <c r="BF11" i="508" s="1"/>
  <c r="H10" i="532"/>
  <c r="L10" i="532" s="1"/>
  <c r="M10" i="532" s="1"/>
  <c r="N10" i="532" s="1"/>
  <c r="H9" i="532"/>
  <c r="L9" i="532" s="1"/>
  <c r="M9" i="532" s="1"/>
  <c r="N9" i="532" s="1"/>
  <c r="BE31" i="508" l="1"/>
  <c r="BF31" i="508" s="1"/>
  <c r="O10" i="532"/>
  <c r="P10" i="532" l="1"/>
  <c r="AN10" i="531" s="1"/>
  <c r="AP10" i="531" s="1"/>
  <c r="O9" i="532"/>
  <c r="P9" i="532" l="1"/>
  <c r="AN9" i="531" s="1"/>
  <c r="AP9" i="531" s="1"/>
  <c r="AW27" i="524"/>
  <c r="AW25" i="524"/>
  <c r="H16" i="527" l="1"/>
  <c r="L16" i="527" s="1"/>
  <c r="V10" i="513"/>
  <c r="AP10" i="512" s="1"/>
  <c r="M27" i="525"/>
  <c r="N27" i="525" s="1"/>
  <c r="M26" i="525"/>
  <c r="N26" i="525" s="1"/>
  <c r="AW24" i="524"/>
  <c r="M16" i="527" l="1"/>
  <c r="N16" i="527" s="1"/>
  <c r="AS13" i="481"/>
  <c r="AR13" i="481" s="1"/>
  <c r="AS12" i="481"/>
  <c r="AR12" i="481" s="1"/>
  <c r="AS10" i="481"/>
  <c r="AR10" i="481" s="1"/>
  <c r="V33" i="507"/>
  <c r="W33" i="507" s="1"/>
  <c r="V34" i="507"/>
  <c r="M24" i="525"/>
  <c r="N24" i="525" s="1"/>
  <c r="AP33" i="506" l="1"/>
  <c r="F33" i="507"/>
  <c r="AP34" i="506"/>
  <c r="F34" i="507"/>
  <c r="F10" i="513"/>
  <c r="BB13" i="481"/>
  <c r="AY13" i="481"/>
  <c r="AZ13" i="481" s="1"/>
  <c r="AY12" i="481"/>
  <c r="AZ12" i="481" s="1"/>
  <c r="BA12" i="481" s="1"/>
  <c r="BB12" i="481"/>
  <c r="BC12" i="481" s="1"/>
  <c r="AY10" i="481"/>
  <c r="H16" i="513"/>
  <c r="L16" i="513" s="1"/>
  <c r="M16" i="513" s="1"/>
  <c r="N16" i="513" s="1"/>
  <c r="O16" i="527"/>
  <c r="AT36" i="524"/>
  <c r="AS36" i="524" s="1"/>
  <c r="AT37" i="524"/>
  <c r="AS37" i="524" s="1"/>
  <c r="O29" i="525"/>
  <c r="O24" i="525"/>
  <c r="O26" i="525"/>
  <c r="O27" i="525"/>
  <c r="V7" i="506"/>
  <c r="S7" i="506"/>
  <c r="M7" i="506"/>
  <c r="AA7" i="481"/>
  <c r="AL7" i="481" s="1"/>
  <c r="P16" i="527" l="1"/>
  <c r="AO16" i="526" s="1"/>
  <c r="P27" i="525"/>
  <c r="AP27" i="524" s="1"/>
  <c r="AR27" i="524" s="1"/>
  <c r="P24" i="525"/>
  <c r="AP24" i="524" s="1"/>
  <c r="AR24" i="524" s="1"/>
  <c r="P26" i="525"/>
  <c r="AP26" i="524" s="1"/>
  <c r="AR26" i="524" s="1"/>
  <c r="P29" i="525"/>
  <c r="AP29" i="524" s="1"/>
  <c r="AR29" i="524" s="1"/>
  <c r="H34" i="507"/>
  <c r="L34" i="507" s="1"/>
  <c r="H33" i="507"/>
  <c r="L33" i="507" s="1"/>
  <c r="BC13" i="481"/>
  <c r="BD13" i="481" s="1"/>
  <c r="BE13" i="481" s="1"/>
  <c r="BA13" i="481"/>
  <c r="T7" i="502"/>
  <c r="U7" i="502" s="1"/>
  <c r="AZ10" i="481"/>
  <c r="BB10" i="481"/>
  <c r="BD12" i="481"/>
  <c r="BE12" i="481" s="1"/>
  <c r="H15" i="513"/>
  <c r="L15" i="513" s="1"/>
  <c r="M15" i="513" s="1"/>
  <c r="N15" i="513" s="1"/>
  <c r="H14" i="513"/>
  <c r="L14" i="513" s="1"/>
  <c r="M14" i="513" s="1"/>
  <c r="N14" i="513" s="1"/>
  <c r="BA36" i="524"/>
  <c r="BB36" i="524" s="1"/>
  <c r="AX36" i="524"/>
  <c r="AY36" i="524" s="1"/>
  <c r="BA37" i="524"/>
  <c r="BB37" i="524" s="1"/>
  <c r="AX37" i="524"/>
  <c r="AY37" i="524" s="1"/>
  <c r="AP21" i="514" l="1"/>
  <c r="AP20" i="514"/>
  <c r="AQ16" i="526"/>
  <c r="BF13" i="481"/>
  <c r="BG13" i="481" s="1"/>
  <c r="BH13" i="481" s="1"/>
  <c r="AT28" i="524"/>
  <c r="AS28" i="524" s="1"/>
  <c r="BC10" i="481"/>
  <c r="BA10" i="481"/>
  <c r="BF12" i="481"/>
  <c r="BG12" i="481" s="1"/>
  <c r="BH12" i="481" s="1"/>
  <c r="V31" i="505"/>
  <c r="M34" i="507"/>
  <c r="N34" i="507" s="1"/>
  <c r="M33" i="507"/>
  <c r="N33" i="507" s="1"/>
  <c r="H17" i="513"/>
  <c r="L17" i="513" s="1"/>
  <c r="M17" i="513" s="1"/>
  <c r="N17" i="513" s="1"/>
  <c r="O15" i="513"/>
  <c r="V22" i="507"/>
  <c r="V38" i="507"/>
  <c r="BC36" i="524"/>
  <c r="BD36" i="524" s="1"/>
  <c r="AZ36" i="524"/>
  <c r="AT35" i="524"/>
  <c r="AS35" i="524" s="1"/>
  <c r="BC37" i="524"/>
  <c r="BD37" i="524" s="1"/>
  <c r="BE37" i="524" s="1"/>
  <c r="AZ37" i="524"/>
  <c r="AT30" i="524"/>
  <c r="AS30" i="524" s="1"/>
  <c r="AT31" i="524"/>
  <c r="AS31" i="524" s="1"/>
  <c r="O14" i="513"/>
  <c r="O16" i="513"/>
  <c r="AP22" i="506" l="1"/>
  <c r="F22" i="507"/>
  <c r="AP38" i="506"/>
  <c r="F38" i="507"/>
  <c r="F31" i="505"/>
  <c r="AP31" i="504"/>
  <c r="P16" i="513"/>
  <c r="P14" i="513"/>
  <c r="P15" i="513"/>
  <c r="H20" i="515"/>
  <c r="L20" i="515" s="1"/>
  <c r="M20" i="515" s="1"/>
  <c r="N20" i="515" s="1"/>
  <c r="H21" i="515"/>
  <c r="L21" i="515" s="1"/>
  <c r="M21" i="515" s="1"/>
  <c r="N21" i="515" s="1"/>
  <c r="O33" i="507"/>
  <c r="P33" i="507" s="1"/>
  <c r="O34" i="507"/>
  <c r="P34" i="507" s="1"/>
  <c r="AT26" i="524"/>
  <c r="AS26" i="524" s="1"/>
  <c r="AX28" i="524"/>
  <c r="AY28" i="524" s="1"/>
  <c r="BA28" i="524"/>
  <c r="BB28" i="524" s="1"/>
  <c r="BD10" i="481"/>
  <c r="V40" i="505"/>
  <c r="V38" i="505"/>
  <c r="V37" i="505"/>
  <c r="V36" i="505"/>
  <c r="V34" i="505"/>
  <c r="V29" i="505"/>
  <c r="V27" i="505"/>
  <c r="V18" i="505"/>
  <c r="V16" i="505"/>
  <c r="W16" i="505" s="1"/>
  <c r="V12" i="505"/>
  <c r="V9" i="505"/>
  <c r="O17" i="513"/>
  <c r="V30" i="507"/>
  <c r="V32" i="507"/>
  <c r="V29" i="507"/>
  <c r="V25" i="507"/>
  <c r="V23" i="507"/>
  <c r="V19" i="507"/>
  <c r="V17" i="507"/>
  <c r="V17" i="505"/>
  <c r="V15" i="505"/>
  <c r="W15" i="505" s="1"/>
  <c r="V7" i="502"/>
  <c r="W7" i="502" s="1"/>
  <c r="V37" i="507"/>
  <c r="V31" i="507"/>
  <c r="V28" i="507"/>
  <c r="V27" i="507"/>
  <c r="V26" i="507"/>
  <c r="V24" i="507"/>
  <c r="V21" i="507"/>
  <c r="V18" i="507"/>
  <c r="V16" i="507"/>
  <c r="V30" i="505"/>
  <c r="V19" i="505"/>
  <c r="V20" i="505"/>
  <c r="V28" i="505"/>
  <c r="V35" i="505"/>
  <c r="V8" i="505"/>
  <c r="W8" i="505" s="1"/>
  <c r="V39" i="505"/>
  <c r="V33" i="505"/>
  <c r="AX30" i="524"/>
  <c r="AY30" i="524" s="1"/>
  <c r="AZ30" i="524" s="1"/>
  <c r="BA30" i="524"/>
  <c r="BB30" i="524" s="1"/>
  <c r="BC30" i="524" s="1"/>
  <c r="BE36" i="524"/>
  <c r="BF36" i="524" s="1"/>
  <c r="BG36" i="524" s="1"/>
  <c r="BA35" i="524"/>
  <c r="BB35" i="524" s="1"/>
  <c r="BC35" i="524" s="1"/>
  <c r="AX35" i="524"/>
  <c r="AY35" i="524" s="1"/>
  <c r="BF37" i="524"/>
  <c r="BG37" i="524" s="1"/>
  <c r="AT29" i="524"/>
  <c r="AS29" i="524" s="1"/>
  <c r="AX31" i="524"/>
  <c r="AY31" i="524" s="1"/>
  <c r="AO14" i="512" l="1"/>
  <c r="AQ14" i="512" s="1"/>
  <c r="AO15" i="512"/>
  <c r="AQ15" i="512" s="1"/>
  <c r="AO16" i="512"/>
  <c r="AQ16" i="512" s="1"/>
  <c r="AP21" i="506"/>
  <c r="F21" i="507"/>
  <c r="AP28" i="506"/>
  <c r="F28" i="507"/>
  <c r="AP37" i="506"/>
  <c r="F37" i="507"/>
  <c r="AP17" i="506"/>
  <c r="F17" i="507"/>
  <c r="AP23" i="506"/>
  <c r="F23" i="507"/>
  <c r="AP29" i="506"/>
  <c r="F29" i="507"/>
  <c r="AP30" i="506"/>
  <c r="F30" i="507"/>
  <c r="AP16" i="506"/>
  <c r="F16" i="507"/>
  <c r="AP26" i="506"/>
  <c r="F26" i="507"/>
  <c r="AP18" i="506"/>
  <c r="F18" i="507"/>
  <c r="AP24" i="506"/>
  <c r="F24" i="507"/>
  <c r="AP27" i="506"/>
  <c r="F27" i="507"/>
  <c r="AP31" i="506"/>
  <c r="F31" i="507"/>
  <c r="AP19" i="506"/>
  <c r="F19" i="507"/>
  <c r="AP25" i="506"/>
  <c r="F25" i="507"/>
  <c r="AP32" i="506"/>
  <c r="F32" i="507"/>
  <c r="AP33" i="504"/>
  <c r="F33" i="505"/>
  <c r="AP8" i="504"/>
  <c r="F8" i="505"/>
  <c r="F28" i="505"/>
  <c r="AP28" i="504"/>
  <c r="F19" i="505"/>
  <c r="AP19" i="504"/>
  <c r="F15" i="505"/>
  <c r="AP15" i="504"/>
  <c r="F9" i="505"/>
  <c r="AP9" i="504"/>
  <c r="F16" i="505"/>
  <c r="AP16" i="504"/>
  <c r="F27" i="505"/>
  <c r="AP27" i="504"/>
  <c r="AP34" i="504"/>
  <c r="F34" i="505"/>
  <c r="F37" i="505"/>
  <c r="AP37" i="504"/>
  <c r="F40" i="505"/>
  <c r="AP40" i="504"/>
  <c r="AP39" i="504"/>
  <c r="F39" i="505"/>
  <c r="F35" i="505"/>
  <c r="AP35" i="504"/>
  <c r="F20" i="505"/>
  <c r="AP20" i="504"/>
  <c r="AP30" i="504"/>
  <c r="F30" i="505"/>
  <c r="AP17" i="504"/>
  <c r="F17" i="505"/>
  <c r="F12" i="505"/>
  <c r="AP12" i="504"/>
  <c r="AP18" i="504"/>
  <c r="F18" i="505"/>
  <c r="F29" i="505"/>
  <c r="AP29" i="504"/>
  <c r="F36" i="505"/>
  <c r="AP36" i="504"/>
  <c r="AP38" i="504"/>
  <c r="F38" i="505"/>
  <c r="P17" i="513"/>
  <c r="H22" i="507"/>
  <c r="L22" i="507" s="1"/>
  <c r="H38" i="507"/>
  <c r="L38" i="507" s="1"/>
  <c r="H31" i="505"/>
  <c r="BA26" i="524"/>
  <c r="BB26" i="524" s="1"/>
  <c r="AX26" i="524"/>
  <c r="AY26" i="524" s="1"/>
  <c r="AZ28" i="524"/>
  <c r="BC28" i="524"/>
  <c r="BD28" i="524" s="1"/>
  <c r="BE28" i="524" s="1"/>
  <c r="O21" i="515"/>
  <c r="P21" i="515" s="1"/>
  <c r="AP7" i="481"/>
  <c r="F7" i="502"/>
  <c r="BE10" i="481"/>
  <c r="AS13" i="512"/>
  <c r="AR13" i="512" s="1"/>
  <c r="O20" i="515"/>
  <c r="P20" i="515" s="1"/>
  <c r="AX29" i="524"/>
  <c r="AY29" i="524" s="1"/>
  <c r="AZ29" i="524" s="1"/>
  <c r="BA29" i="524"/>
  <c r="AZ35" i="524"/>
  <c r="BD35" i="524"/>
  <c r="BE35" i="524" s="1"/>
  <c r="BD30" i="524"/>
  <c r="BE30" i="524" s="1"/>
  <c r="BF30" i="524" s="1"/>
  <c r="BG30" i="524" s="1"/>
  <c r="BA31" i="524"/>
  <c r="AZ31" i="524"/>
  <c r="C20" i="537"/>
  <c r="C17" i="537"/>
  <c r="C16" i="537"/>
  <c r="AI12" i="516"/>
  <c r="H15" i="537" s="1"/>
  <c r="AJ12" i="516"/>
  <c r="I15" i="537" s="1"/>
  <c r="AL12" i="516"/>
  <c r="C15" i="537" s="1"/>
  <c r="AJ28" i="514"/>
  <c r="H13" i="537" s="1"/>
  <c r="AM28" i="514"/>
  <c r="C13" i="537" s="1"/>
  <c r="C12" i="537"/>
  <c r="C10" i="537"/>
  <c r="AO17" i="512" l="1"/>
  <c r="AQ17" i="512" s="1"/>
  <c r="AO33" i="506"/>
  <c r="AQ33" i="506" s="1"/>
  <c r="AO34" i="506"/>
  <c r="AQ34" i="506" s="1"/>
  <c r="H30" i="507"/>
  <c r="L30" i="507" s="1"/>
  <c r="H23" i="507"/>
  <c r="L23" i="507" s="1"/>
  <c r="H37" i="507"/>
  <c r="L37" i="507" s="1"/>
  <c r="H26" i="507"/>
  <c r="L26" i="507" s="1"/>
  <c r="H16" i="507"/>
  <c r="L16" i="507" s="1"/>
  <c r="H25" i="507"/>
  <c r="L25" i="507" s="1"/>
  <c r="H31" i="507"/>
  <c r="L31" i="507" s="1"/>
  <c r="H24" i="507"/>
  <c r="L24" i="507" s="1"/>
  <c r="H29" i="507"/>
  <c r="L29" i="507" s="1"/>
  <c r="H17" i="507"/>
  <c r="L17" i="507" s="1"/>
  <c r="H28" i="507"/>
  <c r="L28" i="507" s="1"/>
  <c r="H21" i="507"/>
  <c r="L21" i="507" s="1"/>
  <c r="H32" i="507"/>
  <c r="L32" i="507" s="1"/>
  <c r="H19" i="507"/>
  <c r="L19" i="507" s="1"/>
  <c r="H27" i="507"/>
  <c r="L27" i="507" s="1"/>
  <c r="H18" i="507"/>
  <c r="L18" i="507" s="1"/>
  <c r="H27" i="505"/>
  <c r="H8" i="505"/>
  <c r="H12" i="505"/>
  <c r="H16" i="505"/>
  <c r="H18" i="505"/>
  <c r="H20" i="505"/>
  <c r="L20" i="505" s="1"/>
  <c r="M20" i="505" s="1"/>
  <c r="N20" i="505" s="1"/>
  <c r="H37" i="505"/>
  <c r="H39" i="505"/>
  <c r="H36" i="505"/>
  <c r="H30" i="505"/>
  <c r="H33" i="505"/>
  <c r="H9" i="505"/>
  <c r="H15" i="505"/>
  <c r="H17" i="505"/>
  <c r="H19" i="505"/>
  <c r="H40" i="505"/>
  <c r="H34" i="505"/>
  <c r="H35" i="505"/>
  <c r="H38" i="505"/>
  <c r="H29" i="505"/>
  <c r="H28" i="505"/>
  <c r="M22" i="507"/>
  <c r="N22" i="507" s="1"/>
  <c r="BC26" i="524"/>
  <c r="BD26" i="524" s="1"/>
  <c r="AZ26" i="524"/>
  <c r="BF28" i="524"/>
  <c r="BG28" i="524" s="1"/>
  <c r="BF10" i="481"/>
  <c r="M38" i="507"/>
  <c r="N38" i="507" s="1"/>
  <c r="AW13" i="512"/>
  <c r="AS9" i="481"/>
  <c r="AR9" i="481" s="1"/>
  <c r="BF35" i="524"/>
  <c r="BG35" i="524" s="1"/>
  <c r="BB31" i="524"/>
  <c r="BB29" i="524"/>
  <c r="BC29" i="524" s="1"/>
  <c r="BD29" i="524" s="1"/>
  <c r="BE29" i="524" s="1"/>
  <c r="AO21" i="514" l="1"/>
  <c r="AQ21" i="514" s="1"/>
  <c r="AO20" i="514"/>
  <c r="AQ20" i="514" s="1"/>
  <c r="AS34" i="506"/>
  <c r="AR34" i="506" s="1"/>
  <c r="AS33" i="506"/>
  <c r="AR33" i="506" s="1"/>
  <c r="O22" i="507"/>
  <c r="P22" i="507" s="1"/>
  <c r="M26" i="507"/>
  <c r="N26" i="507" s="1"/>
  <c r="M24" i="507"/>
  <c r="N24" i="507" s="1"/>
  <c r="M31" i="507"/>
  <c r="N31" i="507" s="1"/>
  <c r="O38" i="507"/>
  <c r="P38" i="507" s="1"/>
  <c r="BE26" i="524"/>
  <c r="BF26" i="524" s="1"/>
  <c r="BG26" i="524" s="1"/>
  <c r="BG10" i="481"/>
  <c r="M37" i="507"/>
  <c r="N37" i="507" s="1"/>
  <c r="M27" i="507"/>
  <c r="N27" i="507" s="1"/>
  <c r="M21" i="507"/>
  <c r="N21" i="507" s="1"/>
  <c r="M29" i="507"/>
  <c r="N29" i="507" s="1"/>
  <c r="M32" i="507"/>
  <c r="N32" i="507" s="1"/>
  <c r="M30" i="507"/>
  <c r="N30" i="507" s="1"/>
  <c r="M16" i="507"/>
  <c r="N16" i="507" s="1"/>
  <c r="M18" i="507"/>
  <c r="N18" i="507" s="1"/>
  <c r="M17" i="507"/>
  <c r="N17" i="507" s="1"/>
  <c r="M19" i="507"/>
  <c r="N19" i="507" s="1"/>
  <c r="M23" i="507"/>
  <c r="N23" i="507" s="1"/>
  <c r="M25" i="507"/>
  <c r="N25" i="507" s="1"/>
  <c r="M28" i="507"/>
  <c r="N28" i="507" s="1"/>
  <c r="AX13" i="512"/>
  <c r="AY13" i="512" s="1"/>
  <c r="AZ13" i="512"/>
  <c r="O20" i="505"/>
  <c r="P20" i="505" s="1"/>
  <c r="BC31" i="524"/>
  <c r="BD31" i="524" s="1"/>
  <c r="BF29" i="524"/>
  <c r="BG29" i="524" s="1"/>
  <c r="BB9" i="481"/>
  <c r="BC9" i="481" s="1"/>
  <c r="AY9" i="481"/>
  <c r="AZ9" i="481" s="1"/>
  <c r="BA9" i="481" s="1"/>
  <c r="C8" i="537"/>
  <c r="AZ34" i="506" l="1"/>
  <c r="BA34" i="506" s="1"/>
  <c r="BB34" i="506" s="1"/>
  <c r="BC34" i="506" s="1"/>
  <c r="BD34" i="506" s="1"/>
  <c r="BE34" i="506" s="1"/>
  <c r="BF34" i="506" s="1"/>
  <c r="AZ33" i="506"/>
  <c r="AW34" i="506"/>
  <c r="AX34" i="506" s="1"/>
  <c r="AW33" i="506"/>
  <c r="AX33" i="506" s="1"/>
  <c r="AY33" i="506" s="1"/>
  <c r="O31" i="507"/>
  <c r="P31" i="507" s="1"/>
  <c r="O26" i="507"/>
  <c r="P26" i="507" s="1"/>
  <c r="O24" i="507"/>
  <c r="P24" i="507" s="1"/>
  <c r="O25" i="507"/>
  <c r="P25" i="507" s="1"/>
  <c r="O19" i="507"/>
  <c r="P19" i="507" s="1"/>
  <c r="O18" i="507"/>
  <c r="P18" i="507" s="1"/>
  <c r="O30" i="507"/>
  <c r="P30" i="507" s="1"/>
  <c r="O29" i="507"/>
  <c r="P29" i="507" s="1"/>
  <c r="O21" i="507"/>
  <c r="P21" i="507" s="1"/>
  <c r="O28" i="507"/>
  <c r="P28" i="507" s="1"/>
  <c r="O23" i="507"/>
  <c r="P23" i="507" s="1"/>
  <c r="O17" i="507"/>
  <c r="P17" i="507" s="1"/>
  <c r="O16" i="507"/>
  <c r="P16" i="507" s="1"/>
  <c r="O32" i="507"/>
  <c r="P32" i="507" s="1"/>
  <c r="O27" i="507"/>
  <c r="P27" i="507" s="1"/>
  <c r="BH10" i="481"/>
  <c r="BA13" i="512"/>
  <c r="BB13" i="512" s="1"/>
  <c r="BE31" i="524"/>
  <c r="BF31" i="524" s="1"/>
  <c r="BD9" i="481"/>
  <c r="C7" i="537"/>
  <c r="C23" i="537" s="1"/>
  <c r="AO22" i="506" l="1"/>
  <c r="AQ22" i="506" s="1"/>
  <c r="AO38" i="506"/>
  <c r="AQ38" i="506" s="1"/>
  <c r="AO20" i="504"/>
  <c r="AQ20" i="504" s="1"/>
  <c r="BA33" i="506"/>
  <c r="BB33" i="506" s="1"/>
  <c r="BC33" i="506" s="1"/>
  <c r="BD33" i="506" s="1"/>
  <c r="AY34" i="506"/>
  <c r="AS11" i="506"/>
  <c r="AR11" i="506" s="1"/>
  <c r="O37" i="507"/>
  <c r="P37" i="507" s="1"/>
  <c r="AS20" i="506"/>
  <c r="AR20" i="506" s="1"/>
  <c r="AS8" i="506"/>
  <c r="AR8" i="506" s="1"/>
  <c r="AS36" i="506"/>
  <c r="AR36" i="506" s="1"/>
  <c r="BC13" i="512"/>
  <c r="BG31" i="524"/>
  <c r="BE9" i="481"/>
  <c r="BF9" i="481" s="1"/>
  <c r="BG9" i="481" s="1"/>
  <c r="AO31" i="506" l="1"/>
  <c r="AQ31" i="506" s="1"/>
  <c r="AO19" i="506"/>
  <c r="AQ19" i="506" s="1"/>
  <c r="AO21" i="506"/>
  <c r="AQ21" i="506" s="1"/>
  <c r="AO26" i="506"/>
  <c r="AQ26" i="506" s="1"/>
  <c r="AO18" i="506"/>
  <c r="AQ18" i="506" s="1"/>
  <c r="AO23" i="506"/>
  <c r="AQ23" i="506" s="1"/>
  <c r="AO27" i="506"/>
  <c r="AQ27" i="506" s="1"/>
  <c r="AO32" i="506"/>
  <c r="AQ32" i="506" s="1"/>
  <c r="AO24" i="506"/>
  <c r="AQ24" i="506" s="1"/>
  <c r="AO30" i="506"/>
  <c r="AQ30" i="506" s="1"/>
  <c r="AO17" i="506"/>
  <c r="AQ17" i="506" s="1"/>
  <c r="AO25" i="506"/>
  <c r="AQ25" i="506" s="1"/>
  <c r="AO29" i="506"/>
  <c r="AQ29" i="506" s="1"/>
  <c r="AO16" i="506"/>
  <c r="AQ16" i="506" s="1"/>
  <c r="AO28" i="506"/>
  <c r="AQ28" i="506" s="1"/>
  <c r="AS14" i="506"/>
  <c r="AR14" i="506" s="1"/>
  <c r="AS15" i="506"/>
  <c r="AR15" i="506" s="1"/>
  <c r="BE33" i="506"/>
  <c r="BF33" i="506" s="1"/>
  <c r="AW20" i="506"/>
  <c r="AX20" i="506" s="1"/>
  <c r="AY20" i="506" s="1"/>
  <c r="AW11" i="506"/>
  <c r="AX11" i="506" s="1"/>
  <c r="AZ11" i="506"/>
  <c r="BA11" i="506" s="1"/>
  <c r="BB11" i="506" s="1"/>
  <c r="AS12" i="506"/>
  <c r="AR12" i="506" s="1"/>
  <c r="AW36" i="506"/>
  <c r="AX36" i="506" s="1"/>
  <c r="AY36" i="506" s="1"/>
  <c r="AZ36" i="506"/>
  <c r="BA36" i="506" s="1"/>
  <c r="AS10" i="506"/>
  <c r="AR10" i="506" s="1"/>
  <c r="AW8" i="506"/>
  <c r="AS9" i="506"/>
  <c r="AR9" i="506" s="1"/>
  <c r="BD13" i="512"/>
  <c r="BE13" i="512" s="1"/>
  <c r="BF13" i="512" s="1"/>
  <c r="BH9" i="481"/>
  <c r="AV27" i="504"/>
  <c r="AO37" i="506" l="1"/>
  <c r="AQ37" i="506" s="1"/>
  <c r="AW15" i="506"/>
  <c r="AX15" i="506" s="1"/>
  <c r="AY15" i="506" s="1"/>
  <c r="AZ15" i="506"/>
  <c r="BA15" i="506" s="1"/>
  <c r="AZ14" i="506"/>
  <c r="AW14" i="506"/>
  <c r="AX14" i="506" s="1"/>
  <c r="AY14" i="506" s="1"/>
  <c r="AY11" i="506"/>
  <c r="AW12" i="506"/>
  <c r="AX12" i="506" s="1"/>
  <c r="AY12" i="506" s="1"/>
  <c r="AS13" i="506"/>
  <c r="AR13" i="506" s="1"/>
  <c r="BC11" i="506"/>
  <c r="BD11" i="506" s="1"/>
  <c r="AZ20" i="506"/>
  <c r="BA20" i="506" s="1"/>
  <c r="AW10" i="506"/>
  <c r="AW9" i="506"/>
  <c r="AX9" i="506" s="1"/>
  <c r="AZ8" i="506"/>
  <c r="BA8" i="506" s="1"/>
  <c r="BB8" i="506" s="1"/>
  <c r="AX8" i="506"/>
  <c r="AY8" i="506" s="1"/>
  <c r="BB36" i="506"/>
  <c r="BC36" i="506" s="1"/>
  <c r="BD36" i="506" s="1"/>
  <c r="L27" i="505"/>
  <c r="M27" i="505" s="1"/>
  <c r="N27" i="505" s="1"/>
  <c r="C13" i="535"/>
  <c r="BA14" i="506" l="1"/>
  <c r="BB14" i="506" s="1"/>
  <c r="BB15" i="506"/>
  <c r="BC15" i="506" s="1"/>
  <c r="AZ12" i="506"/>
  <c r="AW13" i="506"/>
  <c r="AX13" i="506" s="1"/>
  <c r="BE11" i="506"/>
  <c r="BF11" i="506" s="1"/>
  <c r="BB20" i="506"/>
  <c r="BC20" i="506" s="1"/>
  <c r="AZ10" i="506"/>
  <c r="BA10" i="506" s="1"/>
  <c r="BB10" i="506" s="1"/>
  <c r="BC10" i="506" s="1"/>
  <c r="AX10" i="506"/>
  <c r="AY10" i="506" s="1"/>
  <c r="AZ9" i="506"/>
  <c r="BA9" i="506" s="1"/>
  <c r="BB9" i="506" s="1"/>
  <c r="BC8" i="506"/>
  <c r="AY9" i="506"/>
  <c r="BE36" i="506"/>
  <c r="BF36" i="506" s="1"/>
  <c r="O27" i="505"/>
  <c r="P27" i="505" s="1"/>
  <c r="AS21" i="504"/>
  <c r="AR21" i="504" s="1"/>
  <c r="BC14" i="506" l="1"/>
  <c r="BD14" i="506" s="1"/>
  <c r="BD15" i="506"/>
  <c r="BE15" i="506" s="1"/>
  <c r="BF15" i="506" s="1"/>
  <c r="BA12" i="506"/>
  <c r="AZ13" i="506"/>
  <c r="BA13" i="506" s="1"/>
  <c r="BB13" i="506" s="1"/>
  <c r="AY13" i="506"/>
  <c r="AS26" i="504"/>
  <c r="AR26" i="504" s="1"/>
  <c r="BD20" i="506"/>
  <c r="BD10" i="506"/>
  <c r="BE10" i="506" s="1"/>
  <c r="BF10" i="506" s="1"/>
  <c r="BC9" i="506"/>
  <c r="BD9" i="506" s="1"/>
  <c r="BD8" i="506"/>
  <c r="AW21" i="504"/>
  <c r="AV7" i="512"/>
  <c r="AO27" i="504" l="1"/>
  <c r="AQ27" i="504" s="1"/>
  <c r="BE14" i="506"/>
  <c r="BF14" i="506" s="1"/>
  <c r="BB12" i="506"/>
  <c r="BC13" i="506"/>
  <c r="BD13" i="506" s="1"/>
  <c r="AW26" i="504"/>
  <c r="AX26" i="504" s="1"/>
  <c r="BE20" i="506"/>
  <c r="BF20" i="506" s="1"/>
  <c r="BE9" i="506"/>
  <c r="BF9" i="506" s="1"/>
  <c r="BE8" i="506"/>
  <c r="BF8" i="506" s="1"/>
  <c r="V7" i="513"/>
  <c r="W7" i="513" s="1"/>
  <c r="AS25" i="504"/>
  <c r="AR25" i="504" s="1"/>
  <c r="AX21" i="504"/>
  <c r="AY21" i="504" s="1"/>
  <c r="AZ21" i="504"/>
  <c r="BA21" i="504" s="1"/>
  <c r="AA12" i="510"/>
  <c r="BC12" i="506" l="1"/>
  <c r="BD12" i="506" s="1"/>
  <c r="BE13" i="506"/>
  <c r="BF13" i="506" s="1"/>
  <c r="AY26" i="504"/>
  <c r="AZ26" i="504"/>
  <c r="BA26" i="504" s="1"/>
  <c r="BB26" i="504" s="1"/>
  <c r="BC26" i="504" s="1"/>
  <c r="F7" i="513"/>
  <c r="AP7" i="512"/>
  <c r="AW25" i="504"/>
  <c r="AX25" i="504" s="1"/>
  <c r="AY25" i="504" s="1"/>
  <c r="AZ25" i="504"/>
  <c r="AS24" i="504"/>
  <c r="AR24" i="504" s="1"/>
  <c r="BB21" i="504"/>
  <c r="BC21" i="504" s="1"/>
  <c r="AV10" i="508"/>
  <c r="BE12" i="506" l="1"/>
  <c r="BF12" i="506" s="1"/>
  <c r="BD26" i="504"/>
  <c r="BE26" i="504" s="1"/>
  <c r="BF26" i="504" s="1"/>
  <c r="H7" i="513"/>
  <c r="L7" i="513" s="1"/>
  <c r="M7" i="513" s="1"/>
  <c r="N7" i="513" s="1"/>
  <c r="BA25" i="504"/>
  <c r="BB25" i="504" s="1"/>
  <c r="AW24" i="504"/>
  <c r="AX24" i="504" s="1"/>
  <c r="AY24" i="504" s="1"/>
  <c r="AZ24" i="504"/>
  <c r="BD21" i="504"/>
  <c r="BE21" i="504" s="1"/>
  <c r="O7" i="513" l="1"/>
  <c r="P7" i="513" s="1"/>
  <c r="BC25" i="504"/>
  <c r="BD25" i="504" s="1"/>
  <c r="BE25" i="504" s="1"/>
  <c r="BA24" i="504"/>
  <c r="BF21" i="504"/>
  <c r="AO7" i="512" l="1"/>
  <c r="AQ7" i="512" s="1"/>
  <c r="BF25" i="504"/>
  <c r="BB24" i="504"/>
  <c r="BC24" i="504" s="1"/>
  <c r="AP12" i="510" l="1"/>
  <c r="BD24" i="504"/>
  <c r="BE24" i="504" s="1"/>
  <c r="BF24" i="504" s="1"/>
  <c r="L12" i="511" l="1"/>
  <c r="AS11" i="512"/>
  <c r="AR11" i="512" s="1"/>
  <c r="M12" i="511" l="1"/>
  <c r="N12" i="511" s="1"/>
  <c r="AW11" i="512"/>
  <c r="AA11" i="510"/>
  <c r="AA10" i="510"/>
  <c r="O12" i="511" l="1"/>
  <c r="P12" i="511" s="1"/>
  <c r="AZ11" i="512"/>
  <c r="BA11" i="512" s="1"/>
  <c r="BB11" i="512" s="1"/>
  <c r="AX11" i="512"/>
  <c r="AY11" i="512" s="1"/>
  <c r="AV31" i="506"/>
  <c r="AV30" i="506"/>
  <c r="AV19" i="504"/>
  <c r="AO12" i="510" l="1"/>
  <c r="BC11" i="512"/>
  <c r="BD11" i="512" s="1"/>
  <c r="H10" i="513"/>
  <c r="L10" i="513" s="1"/>
  <c r="M10" i="513" s="1"/>
  <c r="N10" i="513" s="1"/>
  <c r="L19" i="505"/>
  <c r="M19" i="505" s="1"/>
  <c r="N19" i="505" s="1"/>
  <c r="AQ12" i="510" l="1"/>
  <c r="BE11" i="512"/>
  <c r="BF11" i="512" s="1"/>
  <c r="O19" i="505"/>
  <c r="P19" i="505" s="1"/>
  <c r="O10" i="513" l="1"/>
  <c r="AP10" i="510" l="1"/>
  <c r="AO19" i="504"/>
  <c r="AQ19" i="504" s="1"/>
  <c r="P10" i="513"/>
  <c r="AS27" i="504"/>
  <c r="AR27" i="504" s="1"/>
  <c r="AO10" i="512" l="1"/>
  <c r="AQ10" i="512" s="1"/>
  <c r="L10" i="511"/>
  <c r="AZ27" i="504"/>
  <c r="BA27" i="504" s="1"/>
  <c r="BB27" i="504" s="1"/>
  <c r="BC27" i="504" s="1"/>
  <c r="BD27" i="504" s="1"/>
  <c r="BE27" i="504" s="1"/>
  <c r="AW27" i="504"/>
  <c r="AX27" i="504" s="1"/>
  <c r="AY27" i="504" s="1"/>
  <c r="M10" i="511" l="1"/>
  <c r="N10" i="511" s="1"/>
  <c r="AS9" i="512"/>
  <c r="AR9" i="512" s="1"/>
  <c r="BF27" i="504"/>
  <c r="O10" i="511" l="1"/>
  <c r="P10" i="511" s="1"/>
  <c r="AW9" i="512"/>
  <c r="AX9" i="512" s="1"/>
  <c r="AW20" i="526"/>
  <c r="AO10" i="510" l="1"/>
  <c r="AY9" i="512"/>
  <c r="AZ9" i="512"/>
  <c r="BA9" i="512" s="1"/>
  <c r="BB9" i="512" s="1"/>
  <c r="BC9" i="512" l="1"/>
  <c r="AQ10" i="510" l="1"/>
  <c r="BD9" i="512"/>
  <c r="BE9" i="512" s="1"/>
  <c r="H20" i="527"/>
  <c r="L20" i="527" s="1"/>
  <c r="AS10" i="510" l="1"/>
  <c r="AR10" i="510" s="1"/>
  <c r="AZ10" i="510" s="1"/>
  <c r="BA10" i="510" s="1"/>
  <c r="BB10" i="510" s="1"/>
  <c r="BC10" i="510" s="1"/>
  <c r="BD10" i="510" s="1"/>
  <c r="BE10" i="510" s="1"/>
  <c r="M20" i="527"/>
  <c r="N20" i="527" s="1"/>
  <c r="BF9" i="512"/>
  <c r="AD11" i="533"/>
  <c r="G21" i="537" s="1"/>
  <c r="K7" i="502"/>
  <c r="AW10" i="510" l="1"/>
  <c r="AX10" i="510" s="1"/>
  <c r="AY10" i="510" s="1"/>
  <c r="BF10" i="510"/>
  <c r="O20" i="527"/>
  <c r="AA9" i="510"/>
  <c r="P20" i="527" l="1"/>
  <c r="AO20" i="526" s="1"/>
  <c r="AQ20" i="526" s="1"/>
  <c r="K7" i="525" l="1"/>
  <c r="AP9" i="510" l="1"/>
  <c r="H7" i="502"/>
  <c r="L7" i="502" s="1"/>
  <c r="M7" i="502" s="1"/>
  <c r="N7" i="502" s="1"/>
  <c r="L9" i="511" l="1"/>
  <c r="M9" i="511" s="1"/>
  <c r="N9" i="511" s="1"/>
  <c r="O7" i="502"/>
  <c r="P7" i="502" s="1"/>
  <c r="AO7" i="481" l="1"/>
  <c r="O9" i="511"/>
  <c r="P9" i="511" s="1"/>
  <c r="AO9" i="510" l="1"/>
  <c r="H11" i="527"/>
  <c r="L11" i="527" s="1"/>
  <c r="AQ7" i="481"/>
  <c r="AV13" i="519"/>
  <c r="AQ9" i="510" l="1"/>
  <c r="M11" i="527"/>
  <c r="N11" i="527" s="1"/>
  <c r="H13" i="518"/>
  <c r="L13" i="518" s="1"/>
  <c r="M13" i="518" s="1"/>
  <c r="N13" i="518" s="1"/>
  <c r="O11" i="527" l="1"/>
  <c r="O13" i="518"/>
  <c r="P13" i="518" s="1"/>
  <c r="AO13" i="519" s="1"/>
  <c r="L37" i="505"/>
  <c r="M37" i="505" s="1"/>
  <c r="N37" i="505" s="1"/>
  <c r="L38" i="505"/>
  <c r="M38" i="505" s="1"/>
  <c r="N38" i="505" s="1"/>
  <c r="P11" i="527" l="1"/>
  <c r="AO11" i="526" s="1"/>
  <c r="O38" i="505"/>
  <c r="P38" i="505" s="1"/>
  <c r="O37" i="505"/>
  <c r="P37" i="505" s="1"/>
  <c r="AQ13" i="519" l="1"/>
  <c r="AQ11" i="526"/>
  <c r="AS10" i="526"/>
  <c r="AR10" i="526" s="1"/>
  <c r="AO38" i="504" l="1"/>
  <c r="AQ38" i="504" s="1"/>
  <c r="AO37" i="504"/>
  <c r="AQ37" i="504" s="1"/>
  <c r="BA10" i="526"/>
  <c r="BB10" i="526" s="1"/>
  <c r="AX10" i="526"/>
  <c r="AY10" i="526" s="1"/>
  <c r="AS38" i="504" l="1"/>
  <c r="AR38" i="504" s="1"/>
  <c r="AS37" i="504"/>
  <c r="AR37" i="504" s="1"/>
  <c r="BC10" i="526"/>
  <c r="BD10" i="526" s="1"/>
  <c r="AZ10" i="526"/>
  <c r="AZ38" i="504" l="1"/>
  <c r="AZ37" i="504"/>
  <c r="AW38" i="504"/>
  <c r="AX38" i="504" s="1"/>
  <c r="AY38" i="504" s="1"/>
  <c r="AW37" i="504"/>
  <c r="AX37" i="504" s="1"/>
  <c r="BE10" i="526"/>
  <c r="BF10" i="526" s="1"/>
  <c r="BG10" i="526" s="1"/>
  <c r="H31" i="502" l="1"/>
  <c r="BA38" i="504"/>
  <c r="BB38" i="504" s="1"/>
  <c r="BA37" i="504"/>
  <c r="BB37" i="504" s="1"/>
  <c r="BC37" i="504" s="1"/>
  <c r="AY37" i="504"/>
  <c r="L34" i="505"/>
  <c r="M34" i="505" s="1"/>
  <c r="N34" i="505" s="1"/>
  <c r="BC38" i="504" l="1"/>
  <c r="BD38" i="504" s="1"/>
  <c r="BE38" i="504" s="1"/>
  <c r="BF38" i="504" s="1"/>
  <c r="BD37" i="504"/>
  <c r="O34" i="505"/>
  <c r="P34" i="505" s="1"/>
  <c r="BE37" i="504" l="1"/>
  <c r="BF37" i="504" s="1"/>
  <c r="AO34" i="504" l="1"/>
  <c r="AQ34" i="504" s="1"/>
  <c r="C6" i="535"/>
  <c r="AA32" i="510" l="1"/>
  <c r="AV32" i="510" l="1"/>
  <c r="C7" i="535"/>
  <c r="AP32" i="510" l="1"/>
  <c r="S7" i="524"/>
  <c r="AA7" i="524"/>
  <c r="AA9" i="521"/>
  <c r="AK9" i="521" s="1"/>
  <c r="AA11" i="521"/>
  <c r="AK11" i="521" s="1"/>
  <c r="L32" i="511" l="1"/>
  <c r="V7" i="524"/>
  <c r="W7" i="524" s="1"/>
  <c r="M7" i="524"/>
  <c r="P7" i="524"/>
  <c r="AP12" i="514" l="1"/>
  <c r="M32" i="511"/>
  <c r="N32" i="511" s="1"/>
  <c r="T25" i="527"/>
  <c r="U25" i="527" s="1"/>
  <c r="AL37" i="481"/>
  <c r="V11" i="523" l="1"/>
  <c r="W11" i="523" s="1"/>
  <c r="H12" i="515"/>
  <c r="L12" i="515" s="1"/>
  <c r="M12" i="515" s="1"/>
  <c r="N12" i="515" s="1"/>
  <c r="O32" i="511"/>
  <c r="P32" i="511" s="1"/>
  <c r="AL26" i="526"/>
  <c r="V9" i="523"/>
  <c r="W9" i="523" s="1"/>
  <c r="AS33" i="510"/>
  <c r="AR33" i="510" s="1"/>
  <c r="V8" i="513"/>
  <c r="AP8" i="512" s="1"/>
  <c r="AS11" i="514"/>
  <c r="AR11" i="514" s="1"/>
  <c r="L30" i="502"/>
  <c r="F11" i="523" l="1"/>
  <c r="AO11" i="521"/>
  <c r="F9" i="523"/>
  <c r="AO9" i="521"/>
  <c r="AP22" i="514"/>
  <c r="AO32" i="510"/>
  <c r="H11" i="523"/>
  <c r="M30" i="502"/>
  <c r="N30" i="502" s="1"/>
  <c r="V25" i="527"/>
  <c r="O12" i="515"/>
  <c r="P12" i="515" s="1"/>
  <c r="AZ33" i="510"/>
  <c r="BA33" i="510" s="1"/>
  <c r="AW33" i="510"/>
  <c r="AX33" i="510" s="1"/>
  <c r="AW11" i="514"/>
  <c r="AS23" i="514"/>
  <c r="AR23" i="514" s="1"/>
  <c r="W25" i="527" l="1"/>
  <c r="F25" i="527" s="1"/>
  <c r="H9" i="523"/>
  <c r="L9" i="523" s="1"/>
  <c r="M9" i="523" s="1"/>
  <c r="N9" i="523" s="1"/>
  <c r="AQ32" i="510"/>
  <c r="F8" i="513"/>
  <c r="F37" i="513" s="1"/>
  <c r="E12" i="537" s="1"/>
  <c r="H22" i="515"/>
  <c r="L22" i="515" s="1"/>
  <c r="M22" i="515" s="1"/>
  <c r="N22" i="515" s="1"/>
  <c r="O30" i="502"/>
  <c r="P30" i="502" s="1"/>
  <c r="AO30" i="481" s="1"/>
  <c r="AP37" i="512"/>
  <c r="BB33" i="510"/>
  <c r="BC33" i="510" s="1"/>
  <c r="AY33" i="510"/>
  <c r="V37" i="502"/>
  <c r="AZ11" i="514"/>
  <c r="BA11" i="514" s="1"/>
  <c r="BB11" i="514" s="1"/>
  <c r="AX11" i="514"/>
  <c r="AY11" i="514" s="1"/>
  <c r="AZ23" i="514"/>
  <c r="BA23" i="514" s="1"/>
  <c r="AW23" i="514"/>
  <c r="AX23" i="514" s="1"/>
  <c r="AY23" i="514" s="1"/>
  <c r="AU9" i="521"/>
  <c r="AP25" i="526" l="1"/>
  <c r="AO12" i="514"/>
  <c r="AQ12" i="514" s="1"/>
  <c r="H33" i="502"/>
  <c r="H36" i="502"/>
  <c r="H24" i="502"/>
  <c r="H23" i="502"/>
  <c r="H26" i="502"/>
  <c r="H27" i="502"/>
  <c r="H35" i="502"/>
  <c r="H22" i="502"/>
  <c r="H34" i="502"/>
  <c r="F26" i="527"/>
  <c r="E18" i="537" s="1"/>
  <c r="W26" i="527"/>
  <c r="W37" i="502"/>
  <c r="O22" i="515"/>
  <c r="P22" i="515" s="1"/>
  <c r="BD33" i="510"/>
  <c r="BC11" i="514"/>
  <c r="BD11" i="514" s="1"/>
  <c r="BB23" i="514"/>
  <c r="BC23" i="514" s="1"/>
  <c r="BD23" i="514" s="1"/>
  <c r="BE23" i="514" s="1"/>
  <c r="C10" i="535"/>
  <c r="AQ30" i="481" l="1"/>
  <c r="AP37" i="481"/>
  <c r="K7" i="537" s="1"/>
  <c r="BE33" i="510"/>
  <c r="BF33" i="510" s="1"/>
  <c r="F37" i="502"/>
  <c r="E7" i="537" s="1"/>
  <c r="BE11" i="514"/>
  <c r="BF11" i="514" s="1"/>
  <c r="BF23" i="514"/>
  <c r="AO22" i="514" l="1"/>
  <c r="AQ22" i="514" s="1"/>
  <c r="AS18" i="526"/>
  <c r="AR18" i="526" s="1"/>
  <c r="O9" i="523"/>
  <c r="P9" i="523" s="1"/>
  <c r="AX18" i="526" l="1"/>
  <c r="AS7" i="526"/>
  <c r="AR7" i="526" s="1"/>
  <c r="AR10" i="521"/>
  <c r="AQ10" i="521" s="1"/>
  <c r="AP9" i="521" l="1"/>
  <c r="BA7" i="526"/>
  <c r="AY18" i="526"/>
  <c r="AZ18" i="526" s="1"/>
  <c r="BA18" i="526"/>
  <c r="BB18" i="526" s="1"/>
  <c r="AX7" i="526"/>
  <c r="AV10" i="521"/>
  <c r="AW10" i="521" s="1"/>
  <c r="AX10" i="521" s="1"/>
  <c r="AY10" i="521"/>
  <c r="AZ10" i="521" s="1"/>
  <c r="BA10" i="521" s="1"/>
  <c r="L31" i="505"/>
  <c r="M31" i="505" s="1"/>
  <c r="N31" i="505" s="1"/>
  <c r="AS22" i="514"/>
  <c r="AR22" i="514" s="1"/>
  <c r="AR8" i="521" l="1"/>
  <c r="AY7" i="526"/>
  <c r="BC18" i="526"/>
  <c r="BB7" i="526"/>
  <c r="BB10" i="521"/>
  <c r="BC10" i="521" s="1"/>
  <c r="BD10" i="521" s="1"/>
  <c r="O31" i="505"/>
  <c r="P31" i="505" s="1"/>
  <c r="AZ22" i="514"/>
  <c r="BA22" i="514" s="1"/>
  <c r="AW22" i="514"/>
  <c r="AX22" i="514" s="1"/>
  <c r="AV8" i="521" l="1"/>
  <c r="AW8" i="521" s="1"/>
  <c r="AX8" i="521" s="1"/>
  <c r="AQ8" i="521"/>
  <c r="AZ7" i="526"/>
  <c r="BD18" i="526"/>
  <c r="BC7" i="526"/>
  <c r="BE10" i="521"/>
  <c r="BB22" i="514"/>
  <c r="BC22" i="514" s="1"/>
  <c r="BD22" i="514" s="1"/>
  <c r="AY22" i="514"/>
  <c r="AA29" i="510"/>
  <c r="AO31" i="504" l="1"/>
  <c r="AQ31" i="504" s="1"/>
  <c r="AY8" i="521"/>
  <c r="AZ8" i="521" s="1"/>
  <c r="BA8" i="521" s="1"/>
  <c r="BE18" i="526"/>
  <c r="BD7" i="526"/>
  <c r="BE22" i="514"/>
  <c r="BF22" i="514" s="1"/>
  <c r="BB8" i="521" l="1"/>
  <c r="BC8" i="521" s="1"/>
  <c r="BD8" i="521" s="1"/>
  <c r="BE7" i="526"/>
  <c r="BF7" i="526" s="1"/>
  <c r="BF18" i="526"/>
  <c r="BG18" i="526" s="1"/>
  <c r="BE8" i="521" l="1"/>
  <c r="BG7" i="526"/>
  <c r="L29" i="511" l="1"/>
  <c r="M29" i="511" s="1"/>
  <c r="N29" i="511" s="1"/>
  <c r="AP29" i="510"/>
  <c r="H22" i="513"/>
  <c r="L22" i="513" s="1"/>
  <c r="M22" i="513" s="1"/>
  <c r="N22" i="513" s="1"/>
  <c r="AA8" i="510"/>
  <c r="O29" i="511" l="1"/>
  <c r="P29" i="511" s="1"/>
  <c r="AS17" i="512"/>
  <c r="AR17" i="512" s="1"/>
  <c r="AO29" i="510" l="1"/>
  <c r="H8" i="513"/>
  <c r="L8" i="513" s="1"/>
  <c r="M8" i="513" s="1"/>
  <c r="N8" i="513" s="1"/>
  <c r="O22" i="513"/>
  <c r="AW17" i="512"/>
  <c r="C12" i="535"/>
  <c r="P22" i="513" l="1"/>
  <c r="AQ29" i="510"/>
  <c r="AX17" i="512"/>
  <c r="AY17" i="512" s="1"/>
  <c r="AZ17" i="512"/>
  <c r="BA17" i="512" s="1"/>
  <c r="AS14" i="512"/>
  <c r="AR14" i="512" s="1"/>
  <c r="AO22" i="512" l="1"/>
  <c r="AQ22" i="512" s="1"/>
  <c r="AP8" i="510"/>
  <c r="O8" i="513"/>
  <c r="AS21" i="512"/>
  <c r="AR21" i="512" s="1"/>
  <c r="BB17" i="512"/>
  <c r="BC17" i="512" s="1"/>
  <c r="AW14" i="512"/>
  <c r="AS10" i="512"/>
  <c r="AR10" i="512" s="1"/>
  <c r="P8" i="513" l="1"/>
  <c r="L8" i="511"/>
  <c r="AX14" i="512"/>
  <c r="AZ10" i="512"/>
  <c r="AS22" i="512"/>
  <c r="AR22" i="512" s="1"/>
  <c r="AW21" i="512"/>
  <c r="AX21" i="512" s="1"/>
  <c r="AS7" i="512"/>
  <c r="AR7" i="512" s="1"/>
  <c r="BD17" i="512"/>
  <c r="BE17" i="512" s="1"/>
  <c r="AZ14" i="512"/>
  <c r="AW10" i="512"/>
  <c r="AX10" i="512" s="1"/>
  <c r="AD12" i="516"/>
  <c r="G15" i="537" s="1"/>
  <c r="AO8" i="512" l="1"/>
  <c r="AQ8" i="512" s="1"/>
  <c r="M8" i="511"/>
  <c r="N8" i="511" s="1"/>
  <c r="BA14" i="512"/>
  <c r="AY14" i="512"/>
  <c r="AW22" i="512"/>
  <c r="AX22" i="512" s="1"/>
  <c r="AY22" i="512" s="1"/>
  <c r="AZ22" i="512"/>
  <c r="BA22" i="512" s="1"/>
  <c r="AY21" i="512"/>
  <c r="AZ21" i="512"/>
  <c r="BA21" i="512" s="1"/>
  <c r="AW7" i="512"/>
  <c r="BF17" i="512"/>
  <c r="BA10" i="512"/>
  <c r="BB10" i="512" s="1"/>
  <c r="BC10" i="512" s="1"/>
  <c r="AY10" i="512"/>
  <c r="O8" i="511" l="1"/>
  <c r="P8" i="511" s="1"/>
  <c r="BB14" i="512"/>
  <c r="BB21" i="512"/>
  <c r="BC21" i="512" s="1"/>
  <c r="BD21" i="512" s="1"/>
  <c r="BB22" i="512"/>
  <c r="BC22" i="512" s="1"/>
  <c r="BD22" i="512" s="1"/>
  <c r="AX7" i="512"/>
  <c r="AZ7" i="512"/>
  <c r="BD10" i="512"/>
  <c r="BE10" i="512" s="1"/>
  <c r="BF10" i="512" s="1"/>
  <c r="AO8" i="510" l="1"/>
  <c r="AY7" i="512"/>
  <c r="BA7" i="512"/>
  <c r="BB7" i="512" s="1"/>
  <c r="BC7" i="512" s="1"/>
  <c r="BD7" i="512" s="1"/>
  <c r="BE7" i="512" s="1"/>
  <c r="BC14" i="512"/>
  <c r="BE21" i="512"/>
  <c r="BF21" i="512" s="1"/>
  <c r="BE22" i="512"/>
  <c r="BF22" i="512" s="1"/>
  <c r="J7" i="504"/>
  <c r="K7" i="505"/>
  <c r="K34" i="502"/>
  <c r="K31" i="502"/>
  <c r="K7" i="530"/>
  <c r="K7" i="515"/>
  <c r="I7" i="524"/>
  <c r="K7" i="524" s="1"/>
  <c r="K7" i="514"/>
  <c r="V7" i="514"/>
  <c r="W7" i="514" s="1"/>
  <c r="M7" i="514"/>
  <c r="N7" i="514" s="1"/>
  <c r="P7" i="514"/>
  <c r="Q7" i="514" s="1"/>
  <c r="S7" i="514"/>
  <c r="T7" i="514" s="1"/>
  <c r="AA7" i="514"/>
  <c r="AB7" i="514" s="1"/>
  <c r="K22" i="502"/>
  <c r="K23" i="502"/>
  <c r="K24" i="502"/>
  <c r="K26" i="502"/>
  <c r="K27" i="502"/>
  <c r="K33" i="502"/>
  <c r="K35" i="502"/>
  <c r="K36" i="502"/>
  <c r="AA7" i="506"/>
  <c r="AL7" i="506" s="1"/>
  <c r="K7" i="509"/>
  <c r="J7" i="510"/>
  <c r="AA18" i="510"/>
  <c r="AA25" i="510"/>
  <c r="N7" i="524"/>
  <c r="Q7" i="524"/>
  <c r="T7" i="524"/>
  <c r="AB7" i="524"/>
  <c r="M7" i="528"/>
  <c r="N7" i="528" s="1"/>
  <c r="C9" i="535"/>
  <c r="C19" i="535"/>
  <c r="J7" i="519"/>
  <c r="L7" i="516"/>
  <c r="M7" i="516" s="1"/>
  <c r="C15" i="535"/>
  <c r="R7" i="519"/>
  <c r="S7" i="519" s="1"/>
  <c r="C14" i="535"/>
  <c r="K11" i="532"/>
  <c r="K8" i="532"/>
  <c r="K7" i="532"/>
  <c r="P7" i="531"/>
  <c r="K7" i="523"/>
  <c r="K7" i="520"/>
  <c r="K7" i="518"/>
  <c r="U7" i="516"/>
  <c r="V7" i="516" s="1"/>
  <c r="O7" i="516"/>
  <c r="P7" i="516" s="1"/>
  <c r="M7" i="531"/>
  <c r="S7" i="528"/>
  <c r="T7" i="528" s="1"/>
  <c r="U25" i="380"/>
  <c r="N25" i="380"/>
  <c r="M25" i="380"/>
  <c r="L25" i="380"/>
  <c r="U24" i="380"/>
  <c r="N24" i="380"/>
  <c r="M24" i="380"/>
  <c r="L24" i="380"/>
  <c r="U23" i="380"/>
  <c r="N23" i="380"/>
  <c r="M23" i="380"/>
  <c r="L23" i="380"/>
  <c r="U22" i="380"/>
  <c r="N22" i="380"/>
  <c r="M22" i="380"/>
  <c r="L22" i="380"/>
  <c r="AX21" i="380"/>
  <c r="AT21" i="380"/>
  <c r="AS21" i="380"/>
  <c r="AL21" i="380"/>
  <c r="U21" i="380"/>
  <c r="N21" i="380"/>
  <c r="M21" i="380"/>
  <c r="L21" i="380"/>
  <c r="AX20" i="380"/>
  <c r="AT20" i="380"/>
  <c r="AS20" i="380"/>
  <c r="AL20" i="380"/>
  <c r="U20" i="380"/>
  <c r="N20" i="380"/>
  <c r="M20" i="380"/>
  <c r="L20" i="380"/>
  <c r="AX19" i="380"/>
  <c r="AT19" i="380"/>
  <c r="AS19" i="380"/>
  <c r="AL19" i="380"/>
  <c r="U19" i="380"/>
  <c r="N19" i="380"/>
  <c r="M19" i="380"/>
  <c r="L19" i="380"/>
  <c r="U18" i="380"/>
  <c r="N18" i="380"/>
  <c r="M18" i="380"/>
  <c r="L18" i="380"/>
  <c r="U17" i="380"/>
  <c r="N17" i="380"/>
  <c r="M17" i="380"/>
  <c r="L17" i="380"/>
  <c r="U16" i="380"/>
  <c r="N16" i="380"/>
  <c r="M16" i="380"/>
  <c r="L16" i="380"/>
  <c r="U15" i="380"/>
  <c r="N15" i="380"/>
  <c r="M15" i="380"/>
  <c r="L15" i="380"/>
  <c r="U30" i="380"/>
  <c r="N30" i="380"/>
  <c r="M30" i="380"/>
  <c r="L30" i="380"/>
  <c r="U29" i="380"/>
  <c r="N29" i="380"/>
  <c r="Q29" i="380" s="1"/>
  <c r="P29" i="380" s="1"/>
  <c r="M29" i="380"/>
  <c r="L29" i="380"/>
  <c r="U28" i="380"/>
  <c r="N28" i="380"/>
  <c r="M28" i="380"/>
  <c r="L28" i="380"/>
  <c r="U27" i="380"/>
  <c r="N27" i="380"/>
  <c r="Q27" i="380" s="1"/>
  <c r="P27" i="380" s="1"/>
  <c r="M27" i="380"/>
  <c r="L27" i="380"/>
  <c r="AX26" i="380"/>
  <c r="AT26" i="380"/>
  <c r="AS26" i="380"/>
  <c r="AL26" i="380"/>
  <c r="U26" i="380"/>
  <c r="N26" i="380"/>
  <c r="M26" i="380"/>
  <c r="L26" i="380"/>
  <c r="AX14" i="380"/>
  <c r="AT14" i="380"/>
  <c r="AS14" i="380"/>
  <c r="AL14" i="380"/>
  <c r="U14" i="380"/>
  <c r="N14" i="380"/>
  <c r="Q14" i="380" s="1"/>
  <c r="P14" i="380" s="1"/>
  <c r="M14" i="380"/>
  <c r="L14" i="380"/>
  <c r="Q18" i="380"/>
  <c r="P18" i="380"/>
  <c r="Q20" i="380"/>
  <c r="P20" i="380"/>
  <c r="R20" i="380" s="1"/>
  <c r="Q22" i="380"/>
  <c r="P22" i="380"/>
  <c r="R22" i="380" s="1"/>
  <c r="Q24" i="380"/>
  <c r="P24" i="380" s="1"/>
  <c r="R24" i="380" s="1"/>
  <c r="R18" i="380"/>
  <c r="Y18" i="380" s="1"/>
  <c r="Q16" i="380"/>
  <c r="P16" i="380" s="1"/>
  <c r="R16" i="380" s="1"/>
  <c r="Q15" i="380"/>
  <c r="P15" i="380"/>
  <c r="R15" i="380" s="1"/>
  <c r="Q17" i="380"/>
  <c r="P17" i="380" s="1"/>
  <c r="R17" i="380" s="1"/>
  <c r="Q19" i="380"/>
  <c r="P19" i="380"/>
  <c r="R19" i="380" s="1"/>
  <c r="Q26" i="380"/>
  <c r="P26" i="380" s="1"/>
  <c r="R26" i="380" s="1"/>
  <c r="Q21" i="380"/>
  <c r="P21" i="380"/>
  <c r="R21" i="380" s="1"/>
  <c r="Q23" i="380"/>
  <c r="P23" i="380" s="1"/>
  <c r="R23" i="380" s="1"/>
  <c r="Q25" i="380"/>
  <c r="P25" i="380"/>
  <c r="R25" i="380" s="1"/>
  <c r="Y25" i="380" s="1"/>
  <c r="Q28" i="380"/>
  <c r="P28" i="380" s="1"/>
  <c r="R28" i="380" s="1"/>
  <c r="Q30" i="380"/>
  <c r="P30" i="380"/>
  <c r="R30" i="380" s="1"/>
  <c r="L10" i="380"/>
  <c r="M10" i="380"/>
  <c r="N10" i="380"/>
  <c r="U10" i="380"/>
  <c r="AL10" i="380"/>
  <c r="AS10" i="380"/>
  <c r="AT10" i="380"/>
  <c r="AX10" i="380"/>
  <c r="L11" i="380"/>
  <c r="M11" i="380"/>
  <c r="N11" i="380"/>
  <c r="U11" i="380"/>
  <c r="AL11" i="380"/>
  <c r="AS11" i="380"/>
  <c r="AT11" i="380"/>
  <c r="AX11" i="380"/>
  <c r="L12" i="380"/>
  <c r="M12" i="380"/>
  <c r="N12" i="380"/>
  <c r="U12" i="380"/>
  <c r="AL12" i="380"/>
  <c r="AS12" i="380"/>
  <c r="AT12" i="380"/>
  <c r="AX12" i="380"/>
  <c r="L13" i="380"/>
  <c r="M13" i="380"/>
  <c r="N13" i="380"/>
  <c r="U13" i="380"/>
  <c r="AL13" i="380"/>
  <c r="AS13" i="380"/>
  <c r="AT13" i="380"/>
  <c r="AX13" i="380"/>
  <c r="L31" i="380"/>
  <c r="M31" i="380"/>
  <c r="N31" i="380"/>
  <c r="U31" i="380"/>
  <c r="AL31" i="380"/>
  <c r="AS31" i="380"/>
  <c r="AT31" i="380"/>
  <c r="AX31" i="380"/>
  <c r="L32" i="380"/>
  <c r="M32" i="380"/>
  <c r="N32" i="380"/>
  <c r="U32" i="380"/>
  <c r="AL32" i="380"/>
  <c r="AS32" i="380"/>
  <c r="AT32" i="380"/>
  <c r="AX32" i="380"/>
  <c r="L33" i="380"/>
  <c r="M33" i="380"/>
  <c r="N33" i="380"/>
  <c r="U33" i="380"/>
  <c r="AL33" i="380"/>
  <c r="AS33" i="380"/>
  <c r="AT33" i="380"/>
  <c r="AX33" i="380"/>
  <c r="L34" i="380"/>
  <c r="M34" i="380"/>
  <c r="N34" i="380"/>
  <c r="U34" i="380"/>
  <c r="L35" i="380"/>
  <c r="M35" i="380"/>
  <c r="N35" i="380"/>
  <c r="U35" i="380"/>
  <c r="L36" i="380"/>
  <c r="M36" i="380"/>
  <c r="N36" i="380"/>
  <c r="U36" i="380"/>
  <c r="L37" i="380"/>
  <c r="M37" i="380"/>
  <c r="N37" i="380"/>
  <c r="U37" i="380"/>
  <c r="O38" i="380"/>
  <c r="AK42" i="380"/>
  <c r="AL42" i="380"/>
  <c r="AM42" i="380"/>
  <c r="AN42" i="380"/>
  <c r="AO42" i="380"/>
  <c r="AP42" i="380"/>
  <c r="AQ42" i="380"/>
  <c r="AR42" i="380"/>
  <c r="AS42" i="380"/>
  <c r="AT42" i="380"/>
  <c r="AU42" i="380"/>
  <c r="AV42" i="380"/>
  <c r="AW42" i="380"/>
  <c r="AX42" i="380"/>
  <c r="AY42" i="380"/>
  <c r="AZ42" i="380"/>
  <c r="BA42" i="380"/>
  <c r="BB42" i="380"/>
  <c r="BC44" i="380" s="1"/>
  <c r="BC42" i="380"/>
  <c r="BD42" i="380"/>
  <c r="BE42" i="380"/>
  <c r="BF42" i="380"/>
  <c r="BG42" i="380"/>
  <c r="BH42" i="380"/>
  <c r="BI42" i="380"/>
  <c r="BJ42" i="380"/>
  <c r="BK42" i="380"/>
  <c r="BL42" i="380"/>
  <c r="BM42" i="380"/>
  <c r="BN42" i="380"/>
  <c r="Z25" i="380"/>
  <c r="Q37" i="380"/>
  <c r="P37" i="380" s="1"/>
  <c r="R37" i="380" s="1"/>
  <c r="BJ44" i="380"/>
  <c r="BM45" i="380" s="1"/>
  <c r="Q34" i="380"/>
  <c r="P34" i="380" s="1"/>
  <c r="R34" i="380"/>
  <c r="Y34" i="380" s="1"/>
  <c r="Q33" i="380"/>
  <c r="P33" i="380" s="1"/>
  <c r="R33" i="380"/>
  <c r="Q31" i="380"/>
  <c r="P31" i="380"/>
  <c r="R31" i="380" s="1"/>
  <c r="Q11" i="380"/>
  <c r="P11" i="380" s="1"/>
  <c r="R11" i="380"/>
  <c r="Q32" i="380"/>
  <c r="P32" i="380"/>
  <c r="R32" i="380" s="1"/>
  <c r="AU32" i="380" s="1"/>
  <c r="N38" i="380"/>
  <c r="M38" i="380"/>
  <c r="Q13" i="380"/>
  <c r="P13" i="380" s="1"/>
  <c r="R13" i="380"/>
  <c r="Q10" i="380"/>
  <c r="Q36" i="380"/>
  <c r="P36" i="380" s="1"/>
  <c r="R36" i="380" s="1"/>
  <c r="Q35" i="380"/>
  <c r="P35" i="380"/>
  <c r="R35" i="380" s="1"/>
  <c r="Q12" i="380"/>
  <c r="P12" i="380" s="1"/>
  <c r="R12" i="380" s="1"/>
  <c r="AA25" i="380"/>
  <c r="AB25" i="380"/>
  <c r="BG46" i="380"/>
  <c r="Y32" i="380"/>
  <c r="Z32" i="380"/>
  <c r="Y13" i="380"/>
  <c r="AU13" i="380"/>
  <c r="Y35" i="380"/>
  <c r="P10" i="380"/>
  <c r="Q38" i="380"/>
  <c r="AU31" i="380"/>
  <c r="Y31" i="380"/>
  <c r="Z34" i="380"/>
  <c r="AA34" i="380"/>
  <c r="AU33" i="380"/>
  <c r="Y33" i="380"/>
  <c r="Y11" i="380"/>
  <c r="AU11" i="380"/>
  <c r="AC25" i="380"/>
  <c r="AD25" i="380"/>
  <c r="X25" i="380" s="1"/>
  <c r="AA32" i="380"/>
  <c r="AB32" i="380" s="1"/>
  <c r="P38" i="380"/>
  <c r="R10" i="380"/>
  <c r="Z31" i="380"/>
  <c r="BB33" i="380"/>
  <c r="BB31" i="380"/>
  <c r="BC31" i="380" s="1"/>
  <c r="BB13" i="380"/>
  <c r="Z33" i="380"/>
  <c r="Z11" i="380"/>
  <c r="AB34" i="380"/>
  <c r="Z13" i="380"/>
  <c r="BB11" i="380"/>
  <c r="BC11" i="380" s="1"/>
  <c r="Z35" i="380"/>
  <c r="AU10" i="380"/>
  <c r="Y10" i="380"/>
  <c r="AA35" i="380"/>
  <c r="AA33" i="380"/>
  <c r="AB33" i="380"/>
  <c r="BC13" i="380"/>
  <c r="AA11" i="380"/>
  <c r="AB11" i="380" s="1"/>
  <c r="AA13" i="380"/>
  <c r="AB13" i="380" s="1"/>
  <c r="AA31" i="380"/>
  <c r="AB31" i="380" s="1"/>
  <c r="AC34" i="380"/>
  <c r="AD34" i="380" s="1"/>
  <c r="X34" i="380" s="1"/>
  <c r="T34" i="380" s="1"/>
  <c r="BC33" i="380"/>
  <c r="BD33" i="380"/>
  <c r="BE33" i="380"/>
  <c r="Z10" i="380"/>
  <c r="BB10" i="380"/>
  <c r="BC10" i="380" s="1"/>
  <c r="AC33" i="380"/>
  <c r="AD33" i="380" s="1"/>
  <c r="AB35" i="380"/>
  <c r="AC35" i="380"/>
  <c r="AD35" i="380" s="1"/>
  <c r="X35" i="380" s="1"/>
  <c r="BD13" i="380"/>
  <c r="BE13" i="380"/>
  <c r="S34" i="380"/>
  <c r="BD10" i="380"/>
  <c r="BF13" i="380"/>
  <c r="BF33" i="380"/>
  <c r="BG33" i="380"/>
  <c r="AA10" i="380"/>
  <c r="BE10" i="380"/>
  <c r="BA33" i="380"/>
  <c r="AB10" i="380"/>
  <c r="AE34" i="380"/>
  <c r="AC10" i="380"/>
  <c r="AF34" i="380"/>
  <c r="AG34" i="380" s="1"/>
  <c r="AW33" i="380"/>
  <c r="AV33" i="380"/>
  <c r="BF10" i="380"/>
  <c r="AD10" i="380"/>
  <c r="BH33" i="380"/>
  <c r="BG10" i="380"/>
  <c r="BA10" i="380" s="1"/>
  <c r="X10" i="380"/>
  <c r="BI33" i="380"/>
  <c r="BJ33" i="380"/>
  <c r="BK33" i="380" s="1"/>
  <c r="BL33" i="380" s="1"/>
  <c r="T10" i="380"/>
  <c r="AE10" i="380" s="1"/>
  <c r="S10" i="380"/>
  <c r="AN177" i="58"/>
  <c r="AK177" i="58"/>
  <c r="AH177" i="58"/>
  <c r="AF177" i="58"/>
  <c r="AE177" i="58"/>
  <c r="U177" i="58"/>
  <c r="AN176" i="58"/>
  <c r="AK176" i="58"/>
  <c r="AH176" i="58"/>
  <c r="AF176" i="58"/>
  <c r="AE176" i="58"/>
  <c r="U176" i="58"/>
  <c r="AA176" i="58"/>
  <c r="AN175" i="58"/>
  <c r="AK175" i="58"/>
  <c r="AH175" i="58"/>
  <c r="AF175" i="58"/>
  <c r="AE175" i="58"/>
  <c r="U175" i="58"/>
  <c r="AN174" i="58"/>
  <c r="AK174" i="58"/>
  <c r="AH174" i="58"/>
  <c r="AF174" i="58"/>
  <c r="AE174" i="58"/>
  <c r="U174" i="58"/>
  <c r="AA174" i="58" s="1"/>
  <c r="AN173" i="58"/>
  <c r="AK173" i="58"/>
  <c r="AH173" i="58"/>
  <c r="AF173" i="58"/>
  <c r="AE173" i="58"/>
  <c r="U173" i="58"/>
  <c r="AN172" i="58"/>
  <c r="AK172" i="58"/>
  <c r="AH172" i="58"/>
  <c r="AF172" i="58"/>
  <c r="AE172" i="58"/>
  <c r="U172" i="58"/>
  <c r="AA172" i="58"/>
  <c r="AN171" i="58"/>
  <c r="AK171" i="58"/>
  <c r="AH171" i="58"/>
  <c r="AF171" i="58"/>
  <c r="AE171" i="58"/>
  <c r="U171" i="58"/>
  <c r="AN170" i="58"/>
  <c r="AK170" i="58"/>
  <c r="AH170" i="58"/>
  <c r="AF170" i="58"/>
  <c r="AE170" i="58"/>
  <c r="U170" i="58"/>
  <c r="AN169" i="58"/>
  <c r="AK169" i="58"/>
  <c r="AH169" i="58"/>
  <c r="AF169" i="58"/>
  <c r="AE169" i="58"/>
  <c r="U169" i="58"/>
  <c r="AA169" i="58" s="1"/>
  <c r="AN168" i="58"/>
  <c r="AK168" i="58"/>
  <c r="AH168" i="58"/>
  <c r="AF168" i="58"/>
  <c r="AE168" i="58"/>
  <c r="U168" i="58"/>
  <c r="AN167" i="58"/>
  <c r="AK167" i="58"/>
  <c r="AH167" i="58"/>
  <c r="AF167" i="58"/>
  <c r="AE167" i="58"/>
  <c r="U167" i="58"/>
  <c r="AA167" i="58"/>
  <c r="AN166" i="58"/>
  <c r="AK166" i="58"/>
  <c r="AH166" i="58"/>
  <c r="AF166" i="58"/>
  <c r="AE166" i="58"/>
  <c r="U166" i="58"/>
  <c r="AN165" i="58"/>
  <c r="AK165" i="58"/>
  <c r="AH165" i="58"/>
  <c r="AF165" i="58"/>
  <c r="AE165" i="58"/>
  <c r="U165" i="58"/>
  <c r="AN164" i="58"/>
  <c r="AK164" i="58"/>
  <c r="AH164" i="58"/>
  <c r="AF164" i="58"/>
  <c r="AE164" i="58"/>
  <c r="U164" i="58"/>
  <c r="AA164" i="58" s="1"/>
  <c r="AN163" i="58"/>
  <c r="AK163" i="58"/>
  <c r="AH163" i="58"/>
  <c r="AF163" i="58"/>
  <c r="AE163" i="58"/>
  <c r="U163" i="58"/>
  <c r="AN162" i="58"/>
  <c r="AK162" i="58"/>
  <c r="AH162" i="58"/>
  <c r="AF162" i="58"/>
  <c r="AE162" i="58"/>
  <c r="U162" i="58"/>
  <c r="AA162" i="58"/>
  <c r="AN161" i="58"/>
  <c r="AK161" i="58"/>
  <c r="AH161" i="58"/>
  <c r="AF161" i="58"/>
  <c r="AE161" i="58"/>
  <c r="U161" i="58"/>
  <c r="AN160" i="58"/>
  <c r="AK160" i="58"/>
  <c r="AH160" i="58"/>
  <c r="AF160" i="58"/>
  <c r="AE160" i="58"/>
  <c r="U160" i="58"/>
  <c r="AA160" i="58"/>
  <c r="AN159" i="58"/>
  <c r="AK159" i="58"/>
  <c r="AH159" i="58"/>
  <c r="AF159" i="58"/>
  <c r="AE159" i="58"/>
  <c r="U159" i="58"/>
  <c r="AN158" i="58"/>
  <c r="AK158" i="58"/>
  <c r="AH158" i="58"/>
  <c r="AF158" i="58"/>
  <c r="AE158" i="58"/>
  <c r="U158" i="58"/>
  <c r="AA158" i="58" s="1"/>
  <c r="AN157" i="58"/>
  <c r="AK157" i="58"/>
  <c r="AH157" i="58"/>
  <c r="AF157" i="58"/>
  <c r="AE157" i="58"/>
  <c r="U157" i="58"/>
  <c r="AN156" i="58"/>
  <c r="AK156" i="58"/>
  <c r="AH156" i="58"/>
  <c r="AF156" i="58"/>
  <c r="AE156" i="58"/>
  <c r="U156" i="58"/>
  <c r="AA156" i="58" s="1"/>
  <c r="AN155" i="58"/>
  <c r="AK155" i="58"/>
  <c r="AH155" i="58"/>
  <c r="AF155" i="58"/>
  <c r="AE155" i="58"/>
  <c r="U155" i="58"/>
  <c r="AN154" i="58"/>
  <c r="AK154" i="58"/>
  <c r="AH154" i="58"/>
  <c r="AF154" i="58"/>
  <c r="AE154" i="58"/>
  <c r="U154" i="58"/>
  <c r="AA154" i="58" s="1"/>
  <c r="AN153" i="58"/>
  <c r="AK153" i="58"/>
  <c r="AH153" i="58"/>
  <c r="AF153" i="58"/>
  <c r="AE153" i="58"/>
  <c r="U153" i="58"/>
  <c r="AN152" i="58"/>
  <c r="AK152" i="58"/>
  <c r="AH152" i="58"/>
  <c r="AF152" i="58"/>
  <c r="AE152" i="58"/>
  <c r="U152" i="58"/>
  <c r="AA152" i="58" s="1"/>
  <c r="AN151" i="58"/>
  <c r="AK151" i="58"/>
  <c r="AH151" i="58"/>
  <c r="AF151" i="58"/>
  <c r="AE151" i="58"/>
  <c r="U151" i="58"/>
  <c r="AA151" i="58" s="1"/>
  <c r="AN150" i="58"/>
  <c r="AK150" i="58"/>
  <c r="AH150" i="58"/>
  <c r="AF150" i="58"/>
  <c r="AE150" i="58"/>
  <c r="U150" i="58"/>
  <c r="AD150" i="58"/>
  <c r="AN149" i="58"/>
  <c r="AK149" i="58"/>
  <c r="AH149" i="58"/>
  <c r="AF149" i="58"/>
  <c r="AE149" i="58"/>
  <c r="U149" i="58"/>
  <c r="AD149" i="58" s="1"/>
  <c r="AO149" i="58" s="1"/>
  <c r="AN148" i="58"/>
  <c r="AK148" i="58"/>
  <c r="AH148" i="58"/>
  <c r="AF148" i="58"/>
  <c r="AE148" i="58"/>
  <c r="U148" i="58"/>
  <c r="AD148" i="58" s="1"/>
  <c r="AO148" i="58" s="1"/>
  <c r="AN147" i="58"/>
  <c r="AK147" i="58"/>
  <c r="AH147" i="58"/>
  <c r="AF147" i="58"/>
  <c r="AE147" i="58"/>
  <c r="U147" i="58"/>
  <c r="AD147" i="58" s="1"/>
  <c r="AO147" i="58" s="1"/>
  <c r="AN146" i="58"/>
  <c r="AK146" i="58"/>
  <c r="AH146" i="58"/>
  <c r="AF146" i="58"/>
  <c r="AE146" i="58"/>
  <c r="U146" i="58"/>
  <c r="AD146" i="58"/>
  <c r="AN145" i="58"/>
  <c r="AK145" i="58"/>
  <c r="AH145" i="58"/>
  <c r="AF145" i="58"/>
  <c r="AE145" i="58"/>
  <c r="U145" i="58"/>
  <c r="AD145" i="58" s="1"/>
  <c r="AO145" i="58" s="1"/>
  <c r="AN144" i="58"/>
  <c r="AK144" i="58"/>
  <c r="AH144" i="58"/>
  <c r="AF144" i="58"/>
  <c r="AE144" i="58"/>
  <c r="U144" i="58"/>
  <c r="AD144" i="58"/>
  <c r="AN143" i="58"/>
  <c r="AK143" i="58"/>
  <c r="AH143" i="58"/>
  <c r="AF143" i="58"/>
  <c r="AE143" i="58"/>
  <c r="U143" i="58"/>
  <c r="AD143" i="58" s="1"/>
  <c r="AO143" i="58" s="1"/>
  <c r="AN142" i="58"/>
  <c r="AK142" i="58"/>
  <c r="AH142" i="58"/>
  <c r="AF142" i="58"/>
  <c r="AE142" i="58"/>
  <c r="U142" i="58"/>
  <c r="AD142" i="58"/>
  <c r="AN141" i="58"/>
  <c r="AK141" i="58"/>
  <c r="AH141" i="58"/>
  <c r="AF141" i="58"/>
  <c r="AE141" i="58"/>
  <c r="U141" i="58"/>
  <c r="AD141" i="58" s="1"/>
  <c r="AO141" i="58" s="1"/>
  <c r="AN140" i="58"/>
  <c r="AK140" i="58"/>
  <c r="AH140" i="58"/>
  <c r="AF140" i="58"/>
  <c r="AE140" i="58"/>
  <c r="U140" i="58"/>
  <c r="AD140" i="58"/>
  <c r="AN139" i="58"/>
  <c r="AK139" i="58"/>
  <c r="AH139" i="58"/>
  <c r="AF139" i="58"/>
  <c r="AE139" i="58"/>
  <c r="U139" i="58"/>
  <c r="AD139" i="58" s="1"/>
  <c r="AO139" i="58" s="1"/>
  <c r="AN138" i="58"/>
  <c r="AK138" i="58"/>
  <c r="AH138" i="58"/>
  <c r="AF138" i="58"/>
  <c r="AE138" i="58"/>
  <c r="U138" i="58"/>
  <c r="AD138" i="58" s="1"/>
  <c r="AN137" i="58"/>
  <c r="AK137" i="58"/>
  <c r="AH137" i="58"/>
  <c r="AF137" i="58"/>
  <c r="AE137" i="58"/>
  <c r="U137" i="58"/>
  <c r="AD137" i="58"/>
  <c r="AN136" i="58"/>
  <c r="AK136" i="58"/>
  <c r="AH136" i="58"/>
  <c r="AF136" i="58"/>
  <c r="AE136" i="58"/>
  <c r="U136" i="58"/>
  <c r="AD136" i="58"/>
  <c r="AN135" i="58"/>
  <c r="AK135" i="58"/>
  <c r="AH135" i="58"/>
  <c r="AF135" i="58"/>
  <c r="AE135" i="58"/>
  <c r="U135" i="58"/>
  <c r="AD135" i="58" s="1"/>
  <c r="AO135" i="58" s="1"/>
  <c r="AN134" i="58"/>
  <c r="AK134" i="58"/>
  <c r="AH134" i="58"/>
  <c r="AF134" i="58"/>
  <c r="AE134" i="58"/>
  <c r="U134" i="58"/>
  <c r="AD134" i="58"/>
  <c r="AN133" i="58"/>
  <c r="AK133" i="58"/>
  <c r="AH133" i="58"/>
  <c r="AF133" i="58"/>
  <c r="AE133" i="58"/>
  <c r="U133" i="58"/>
  <c r="AD133" i="58" s="1"/>
  <c r="AO133" i="58" s="1"/>
  <c r="AN132" i="58"/>
  <c r="AK132" i="58"/>
  <c r="AH132" i="58"/>
  <c r="AF132" i="58"/>
  <c r="AE132" i="58"/>
  <c r="U132" i="58"/>
  <c r="AA132" i="58" s="1"/>
  <c r="AD132" i="58"/>
  <c r="AN131" i="58"/>
  <c r="AK131" i="58"/>
  <c r="AH131" i="58"/>
  <c r="AF131" i="58"/>
  <c r="AE131" i="58"/>
  <c r="U131" i="58"/>
  <c r="AD131" i="58" s="1"/>
  <c r="AO131" i="58" s="1"/>
  <c r="AN130" i="58"/>
  <c r="AK130" i="58"/>
  <c r="AH130" i="58"/>
  <c r="AF130" i="58"/>
  <c r="AE130" i="58"/>
  <c r="U130" i="58"/>
  <c r="AD130" i="58"/>
  <c r="AN129" i="58"/>
  <c r="AK129" i="58"/>
  <c r="AH129" i="58"/>
  <c r="AF129" i="58"/>
  <c r="AE129" i="58"/>
  <c r="U129" i="58"/>
  <c r="AD129" i="58" s="1"/>
  <c r="AO129" i="58" s="1"/>
  <c r="AN128" i="58"/>
  <c r="AK128" i="58"/>
  <c r="AH128" i="58"/>
  <c r="AF128" i="58"/>
  <c r="AE128" i="58"/>
  <c r="U128" i="58"/>
  <c r="AD128" i="58" s="1"/>
  <c r="AN127" i="58"/>
  <c r="AK127" i="58"/>
  <c r="AH127" i="58"/>
  <c r="AF127" i="58"/>
  <c r="AE127" i="58"/>
  <c r="U127" i="58"/>
  <c r="AD127" i="58"/>
  <c r="AN126" i="58"/>
  <c r="AK126" i="58"/>
  <c r="AH126" i="58"/>
  <c r="AF126" i="58"/>
  <c r="AE126" i="58"/>
  <c r="U126" i="58"/>
  <c r="AD126" i="58" s="1"/>
  <c r="AN125" i="58"/>
  <c r="AK125" i="58"/>
  <c r="AH125" i="58"/>
  <c r="AF125" i="58"/>
  <c r="AE125" i="58"/>
  <c r="U125" i="58"/>
  <c r="AD125" i="58"/>
  <c r="AO125" i="58" s="1"/>
  <c r="AN124" i="58"/>
  <c r="AK124" i="58"/>
  <c r="AH124" i="58"/>
  <c r="AF124" i="58"/>
  <c r="AE124" i="58"/>
  <c r="U124" i="58"/>
  <c r="AD124" i="58"/>
  <c r="AN123" i="58"/>
  <c r="AK123" i="58"/>
  <c r="AH123" i="58"/>
  <c r="AF123" i="58"/>
  <c r="AE123" i="58"/>
  <c r="U123" i="58"/>
  <c r="AD123" i="58" s="1"/>
  <c r="AO123" i="58" s="1"/>
  <c r="AN122" i="58"/>
  <c r="AK122" i="58"/>
  <c r="AH122" i="58"/>
  <c r="AF122" i="58"/>
  <c r="AE122" i="58"/>
  <c r="U122" i="58"/>
  <c r="AD122" i="58"/>
  <c r="AN121" i="58"/>
  <c r="AK121" i="58"/>
  <c r="AH121" i="58"/>
  <c r="AF121" i="58"/>
  <c r="AE121" i="58"/>
  <c r="U121" i="58"/>
  <c r="AD121" i="58" s="1"/>
  <c r="AO121" i="58" s="1"/>
  <c r="AN120" i="58"/>
  <c r="AK120" i="58"/>
  <c r="AH120" i="58"/>
  <c r="AF120" i="58"/>
  <c r="AE120" i="58"/>
  <c r="U120" i="58"/>
  <c r="AD120" i="58"/>
  <c r="AN119" i="58"/>
  <c r="AK119" i="58"/>
  <c r="AH119" i="58"/>
  <c r="AF119" i="58"/>
  <c r="AE119" i="58"/>
  <c r="U119" i="58"/>
  <c r="AD119" i="58" s="1"/>
  <c r="AO119" i="58" s="1"/>
  <c r="AN118" i="58"/>
  <c r="AK118" i="58"/>
  <c r="AH118" i="58"/>
  <c r="AF118" i="58"/>
  <c r="AE118" i="58"/>
  <c r="U118" i="58"/>
  <c r="AD118" i="58"/>
  <c r="AN117" i="58"/>
  <c r="AK117" i="58"/>
  <c r="AH117" i="58"/>
  <c r="AF117" i="58"/>
  <c r="AE117" i="58"/>
  <c r="U117" i="58"/>
  <c r="AD117" i="58" s="1"/>
  <c r="AO117" i="58" s="1"/>
  <c r="AN116" i="58"/>
  <c r="AK116" i="58"/>
  <c r="AH116" i="58"/>
  <c r="AF116" i="58"/>
  <c r="AE116" i="58"/>
  <c r="U116" i="58"/>
  <c r="AA116" i="58" s="1"/>
  <c r="AN115" i="58"/>
  <c r="AK115" i="58"/>
  <c r="AH115" i="58"/>
  <c r="AF115" i="58"/>
  <c r="AE115" i="58"/>
  <c r="U115" i="58"/>
  <c r="AD115" i="58"/>
  <c r="AN114" i="58"/>
  <c r="AK114" i="58"/>
  <c r="AH114" i="58"/>
  <c r="AF114" i="58"/>
  <c r="AE114" i="58"/>
  <c r="U114" i="58"/>
  <c r="AD114" i="58" s="1"/>
  <c r="AN113" i="58"/>
  <c r="AK113" i="58"/>
  <c r="AH113" i="58"/>
  <c r="AF113" i="58"/>
  <c r="AE113" i="58"/>
  <c r="U113" i="58"/>
  <c r="AD113" i="58"/>
  <c r="AO113" i="58" s="1"/>
  <c r="AN112" i="58"/>
  <c r="AK112" i="58"/>
  <c r="AH112" i="58"/>
  <c r="AF112" i="58"/>
  <c r="AE112" i="58"/>
  <c r="U112" i="58"/>
  <c r="AD112" i="58" s="1"/>
  <c r="AO112" i="58" s="1"/>
  <c r="AN111" i="58"/>
  <c r="AK111" i="58"/>
  <c r="AH111" i="58"/>
  <c r="AF111" i="58"/>
  <c r="AE111" i="58"/>
  <c r="U111" i="58"/>
  <c r="AN110" i="58"/>
  <c r="AK110" i="58"/>
  <c r="AH110" i="58"/>
  <c r="AF110" i="58"/>
  <c r="AE110" i="58"/>
  <c r="U110" i="58"/>
  <c r="AA110" i="58"/>
  <c r="AN109" i="58"/>
  <c r="AK109" i="58"/>
  <c r="AH109" i="58"/>
  <c r="AF109" i="58"/>
  <c r="AE109" i="58"/>
  <c r="U109" i="58"/>
  <c r="AN108" i="58"/>
  <c r="AK108" i="58"/>
  <c r="AH108" i="58"/>
  <c r="AF108" i="58"/>
  <c r="AE108" i="58"/>
  <c r="U108" i="58"/>
  <c r="AA108" i="58" s="1"/>
  <c r="AN107" i="58"/>
  <c r="AK107" i="58"/>
  <c r="AH107" i="58"/>
  <c r="AF107" i="58"/>
  <c r="AE107" i="58"/>
  <c r="U107" i="58"/>
  <c r="AN106" i="58"/>
  <c r="AK106" i="58"/>
  <c r="AH106" i="58"/>
  <c r="AF106" i="58"/>
  <c r="AE106" i="58"/>
  <c r="U106" i="58"/>
  <c r="AA106" i="58"/>
  <c r="AN105" i="58"/>
  <c r="AK105" i="58"/>
  <c r="AH105" i="58"/>
  <c r="AF105" i="58"/>
  <c r="AE105" i="58"/>
  <c r="U105" i="58"/>
  <c r="AN104" i="58"/>
  <c r="AK104" i="58"/>
  <c r="AH104" i="58"/>
  <c r="AF104" i="58"/>
  <c r="AE104" i="58"/>
  <c r="U104" i="58"/>
  <c r="AA104" i="58" s="1"/>
  <c r="AN103" i="58"/>
  <c r="AK103" i="58"/>
  <c r="AH103" i="58"/>
  <c r="AF103" i="58"/>
  <c r="AE103" i="58"/>
  <c r="U103" i="58"/>
  <c r="AN102" i="58"/>
  <c r="AK102" i="58"/>
  <c r="AH102" i="58"/>
  <c r="AF102" i="58"/>
  <c r="AE102" i="58"/>
  <c r="U102" i="58"/>
  <c r="AA102" i="58" s="1"/>
  <c r="AN101" i="58"/>
  <c r="AK101" i="58"/>
  <c r="AH101" i="58"/>
  <c r="AF101" i="58"/>
  <c r="AE101" i="58"/>
  <c r="U101" i="58"/>
  <c r="AN100" i="58"/>
  <c r="AK100" i="58"/>
  <c r="AH100" i="58"/>
  <c r="AF100" i="58"/>
  <c r="AE100" i="58"/>
  <c r="U100" i="58"/>
  <c r="AA100" i="58"/>
  <c r="AN99" i="58"/>
  <c r="AK99" i="58"/>
  <c r="AH99" i="58"/>
  <c r="AF99" i="58"/>
  <c r="AE99" i="58"/>
  <c r="U99" i="58"/>
  <c r="AN98" i="58"/>
  <c r="AK98" i="58"/>
  <c r="AH98" i="58"/>
  <c r="AF98" i="58"/>
  <c r="AE98" i="58"/>
  <c r="U98" i="58"/>
  <c r="AA98" i="58" s="1"/>
  <c r="AN97" i="58"/>
  <c r="AK97" i="58"/>
  <c r="AH97" i="58"/>
  <c r="AF97" i="58"/>
  <c r="AE97" i="58"/>
  <c r="U97" i="58"/>
  <c r="AN96" i="58"/>
  <c r="AK96" i="58"/>
  <c r="AH96" i="58"/>
  <c r="AF96" i="58"/>
  <c r="AE96" i="58"/>
  <c r="U96" i="58"/>
  <c r="AD96" i="58" s="1"/>
  <c r="AO96" i="58" s="1"/>
  <c r="AA96" i="58"/>
  <c r="AN95" i="58"/>
  <c r="AK95" i="58"/>
  <c r="AH95" i="58"/>
  <c r="AF95" i="58"/>
  <c r="AE95" i="58"/>
  <c r="U95" i="58"/>
  <c r="AN94" i="58"/>
  <c r="AK94" i="58"/>
  <c r="AH94" i="58"/>
  <c r="AF94" i="58"/>
  <c r="AE94" i="58"/>
  <c r="U94" i="58"/>
  <c r="AA94" i="58" s="1"/>
  <c r="AN93" i="58"/>
  <c r="AK93" i="58"/>
  <c r="AH93" i="58"/>
  <c r="AF93" i="58"/>
  <c r="AE93" i="58"/>
  <c r="U93" i="58"/>
  <c r="AN92" i="58"/>
  <c r="AK92" i="58"/>
  <c r="AH92" i="58"/>
  <c r="AF92" i="58"/>
  <c r="AE92" i="58"/>
  <c r="U92" i="58"/>
  <c r="AD92" i="58"/>
  <c r="AN91" i="58"/>
  <c r="AK91" i="58"/>
  <c r="AH91" i="58"/>
  <c r="AF91" i="58"/>
  <c r="AE91" i="58"/>
  <c r="U91" i="58"/>
  <c r="AD91" i="58" s="1"/>
  <c r="AO91" i="58" s="1"/>
  <c r="AN90" i="58"/>
  <c r="AK90" i="58"/>
  <c r="AH90" i="58"/>
  <c r="AF90" i="58"/>
  <c r="AE90" i="58"/>
  <c r="U90" i="58"/>
  <c r="AA90" i="58" s="1"/>
  <c r="AN89" i="58"/>
  <c r="AK89" i="58"/>
  <c r="AH89" i="58"/>
  <c r="AF89" i="58"/>
  <c r="AE89" i="58"/>
  <c r="U89" i="58"/>
  <c r="AD89" i="58"/>
  <c r="AN88" i="58"/>
  <c r="AK88" i="58"/>
  <c r="AH88" i="58"/>
  <c r="AF88" i="58"/>
  <c r="AE88" i="58"/>
  <c r="U88" i="58"/>
  <c r="AD88" i="58" s="1"/>
  <c r="AN87" i="58"/>
  <c r="AK87" i="58"/>
  <c r="AH87" i="58"/>
  <c r="AF87" i="58"/>
  <c r="AE87" i="58"/>
  <c r="U87" i="58"/>
  <c r="AD87" i="58"/>
  <c r="AO87" i="58" s="1"/>
  <c r="AN86" i="58"/>
  <c r="AK86" i="58"/>
  <c r="AH86" i="58"/>
  <c r="AF86" i="58"/>
  <c r="AE86" i="58"/>
  <c r="U86" i="58"/>
  <c r="AD86" i="58"/>
  <c r="AN85" i="58"/>
  <c r="AK85" i="58"/>
  <c r="AH85" i="58"/>
  <c r="AF85" i="58"/>
  <c r="AE85" i="58"/>
  <c r="U85" i="58"/>
  <c r="AD85" i="58" s="1"/>
  <c r="AO85" i="58" s="1"/>
  <c r="AN84" i="58"/>
  <c r="AK84" i="58"/>
  <c r="AH84" i="58"/>
  <c r="AF84" i="58"/>
  <c r="AE84" i="58"/>
  <c r="U84" i="58"/>
  <c r="AD84" i="58" s="1"/>
  <c r="AN83" i="58"/>
  <c r="AK83" i="58"/>
  <c r="AH83" i="58"/>
  <c r="AF83" i="58"/>
  <c r="AE83" i="58"/>
  <c r="U83" i="58"/>
  <c r="AD83" i="58"/>
  <c r="AO83" i="58" s="1"/>
  <c r="AN82" i="58"/>
  <c r="AK82" i="58"/>
  <c r="AH82" i="58"/>
  <c r="AF82" i="58"/>
  <c r="AE82" i="58"/>
  <c r="U82" i="58"/>
  <c r="AD82" i="58"/>
  <c r="AN81" i="58"/>
  <c r="AK81" i="58"/>
  <c r="AH81" i="58"/>
  <c r="AF81" i="58"/>
  <c r="AE81" i="58"/>
  <c r="U81" i="58"/>
  <c r="AD81" i="58" s="1"/>
  <c r="AO81" i="58" s="1"/>
  <c r="AN80" i="58"/>
  <c r="AK80" i="58"/>
  <c r="AH80" i="58"/>
  <c r="AF80" i="58"/>
  <c r="AE80" i="58"/>
  <c r="U80" i="58"/>
  <c r="AD80" i="58"/>
  <c r="AN79" i="58"/>
  <c r="AK79" i="58"/>
  <c r="AH79" i="58"/>
  <c r="AF79" i="58"/>
  <c r="AE79" i="58"/>
  <c r="U79" i="58"/>
  <c r="AD79" i="58" s="1"/>
  <c r="AO79" i="58" s="1"/>
  <c r="AN78" i="58"/>
  <c r="AK78" i="58"/>
  <c r="AH78" i="58"/>
  <c r="AF78" i="58"/>
  <c r="AE78" i="58"/>
  <c r="U78" i="58"/>
  <c r="AD78" i="58"/>
  <c r="AN77" i="58"/>
  <c r="AK77" i="58"/>
  <c r="AH77" i="58"/>
  <c r="AF77" i="58"/>
  <c r="AE77" i="58"/>
  <c r="U77" i="58"/>
  <c r="AD77" i="58" s="1"/>
  <c r="AO77" i="58" s="1"/>
  <c r="AN76" i="58"/>
  <c r="AK76" i="58"/>
  <c r="AH76" i="58"/>
  <c r="AF76" i="58"/>
  <c r="AE76" i="58"/>
  <c r="U76" i="58"/>
  <c r="AD76" i="58"/>
  <c r="AN75" i="58"/>
  <c r="AK75" i="58"/>
  <c r="AH75" i="58"/>
  <c r="AF75" i="58"/>
  <c r="AE75" i="58"/>
  <c r="U75" i="58"/>
  <c r="AD75" i="58" s="1"/>
  <c r="AO75" i="58" s="1"/>
  <c r="AN74" i="58"/>
  <c r="AK74" i="58"/>
  <c r="AH74" i="58"/>
  <c r="AF74" i="58"/>
  <c r="AE74" i="58"/>
  <c r="U74" i="58"/>
  <c r="AA74" i="58" s="1"/>
  <c r="AN73" i="58"/>
  <c r="AK73" i="58"/>
  <c r="AH73" i="58"/>
  <c r="AF73" i="58"/>
  <c r="AE73" i="58"/>
  <c r="U73" i="58"/>
  <c r="AD73" i="58"/>
  <c r="AN72" i="58"/>
  <c r="AK72" i="58"/>
  <c r="AH72" i="58"/>
  <c r="AF72" i="58"/>
  <c r="AE72" i="58"/>
  <c r="U72" i="58"/>
  <c r="AD72" i="58" s="1"/>
  <c r="AN71" i="58"/>
  <c r="AK71" i="58"/>
  <c r="AH71" i="58"/>
  <c r="AF71" i="58"/>
  <c r="AE71" i="58"/>
  <c r="U71" i="58"/>
  <c r="AD71" i="58"/>
  <c r="AO71" i="58" s="1"/>
  <c r="AN70" i="58"/>
  <c r="AK70" i="58"/>
  <c r="AH70" i="58"/>
  <c r="AF70" i="58"/>
  <c r="AE70" i="58"/>
  <c r="U70" i="58"/>
  <c r="AA70" i="58" s="1"/>
  <c r="AN69" i="58"/>
  <c r="AK69" i="58"/>
  <c r="AH69" i="58"/>
  <c r="AF69" i="58"/>
  <c r="AE69" i="58"/>
  <c r="U69" i="58"/>
  <c r="AD69" i="58"/>
  <c r="AN68" i="58"/>
  <c r="AK68" i="58"/>
  <c r="AH68" i="58"/>
  <c r="AF68" i="58"/>
  <c r="AE68" i="58"/>
  <c r="U68" i="58"/>
  <c r="AD68" i="58" s="1"/>
  <c r="AN67" i="58"/>
  <c r="AK67" i="58"/>
  <c r="AH67" i="58"/>
  <c r="AF67" i="58"/>
  <c r="AE67" i="58"/>
  <c r="U67" i="58"/>
  <c r="AD67" i="58"/>
  <c r="AO67" i="58" s="1"/>
  <c r="AN66" i="58"/>
  <c r="AK66" i="58"/>
  <c r="AH66" i="58"/>
  <c r="AF66" i="58"/>
  <c r="AE66" i="58"/>
  <c r="U66" i="58"/>
  <c r="AD66" i="58"/>
  <c r="AN65" i="58"/>
  <c r="AK65" i="58"/>
  <c r="AH65" i="58"/>
  <c r="AF65" i="58"/>
  <c r="AE65" i="58"/>
  <c r="U65" i="58"/>
  <c r="AD65" i="58" s="1"/>
  <c r="AO65" i="58" s="1"/>
  <c r="AN64" i="58"/>
  <c r="AK64" i="58"/>
  <c r="AH64" i="58"/>
  <c r="AF64" i="58"/>
  <c r="AE64" i="58"/>
  <c r="U64" i="58"/>
  <c r="AD64" i="58"/>
  <c r="AN63" i="58"/>
  <c r="AK63" i="58"/>
  <c r="AH63" i="58"/>
  <c r="AF63" i="58"/>
  <c r="AE63" i="58"/>
  <c r="U63" i="58"/>
  <c r="AD63" i="58" s="1"/>
  <c r="AO63" i="58" s="1"/>
  <c r="AN62" i="58"/>
  <c r="AK62" i="58"/>
  <c r="AH62" i="58"/>
  <c r="AF62" i="58"/>
  <c r="AE62" i="58"/>
  <c r="U62" i="58"/>
  <c r="AD62" i="58"/>
  <c r="AN61" i="58"/>
  <c r="AK61" i="58"/>
  <c r="AH61" i="58"/>
  <c r="AF61" i="58"/>
  <c r="AE61" i="58"/>
  <c r="U61" i="58"/>
  <c r="AD61" i="58" s="1"/>
  <c r="AO61" i="58" s="1"/>
  <c r="AN60" i="58"/>
  <c r="AK60" i="58"/>
  <c r="AH60" i="58"/>
  <c r="AF60" i="58"/>
  <c r="AE60" i="58"/>
  <c r="U60" i="58"/>
  <c r="AD60" i="58"/>
  <c r="AN59" i="58"/>
  <c r="AK59" i="58"/>
  <c r="AH59" i="58"/>
  <c r="AF59" i="58"/>
  <c r="AE59" i="58"/>
  <c r="U59" i="58"/>
  <c r="AD59" i="58" s="1"/>
  <c r="AO59" i="58" s="1"/>
  <c r="AN58" i="58"/>
  <c r="AK58" i="58"/>
  <c r="AH58" i="58"/>
  <c r="AF58" i="58"/>
  <c r="AE58" i="58"/>
  <c r="U58" i="58"/>
  <c r="AA58" i="58" s="1"/>
  <c r="AN57" i="58"/>
  <c r="AK57" i="58"/>
  <c r="AH57" i="58"/>
  <c r="AF57" i="58"/>
  <c r="AE57" i="58"/>
  <c r="U57" i="58"/>
  <c r="AD57" i="58"/>
  <c r="AN56" i="58"/>
  <c r="AK56" i="58"/>
  <c r="AH56" i="58"/>
  <c r="AF56" i="58"/>
  <c r="AE56" i="58"/>
  <c r="U56" i="58"/>
  <c r="AD56" i="58" s="1"/>
  <c r="AO56" i="58" s="1"/>
  <c r="AN55" i="58"/>
  <c r="AK55" i="58"/>
  <c r="AH55" i="58"/>
  <c r="AF55" i="58"/>
  <c r="AE55" i="58"/>
  <c r="U55" i="58"/>
  <c r="AD55" i="58"/>
  <c r="AN54" i="58"/>
  <c r="AK54" i="58"/>
  <c r="AH54" i="58"/>
  <c r="AF54" i="58"/>
  <c r="AE54" i="58"/>
  <c r="AA54" i="58"/>
  <c r="U54" i="58"/>
  <c r="AD54" i="58"/>
  <c r="AN53" i="58"/>
  <c r="AK53" i="58"/>
  <c r="AH53" i="58"/>
  <c r="AF53" i="58"/>
  <c r="AE53" i="58"/>
  <c r="U53" i="58"/>
  <c r="AD53" i="58" s="1"/>
  <c r="AO53" i="58" s="1"/>
  <c r="AN52" i="58"/>
  <c r="AK52" i="58"/>
  <c r="AH52" i="58"/>
  <c r="AF52" i="58"/>
  <c r="AE52" i="58"/>
  <c r="U52" i="58"/>
  <c r="AD52" i="58"/>
  <c r="AN51" i="58"/>
  <c r="AK51" i="58"/>
  <c r="AH51" i="58"/>
  <c r="AF51" i="58"/>
  <c r="AE51" i="58"/>
  <c r="U51" i="58"/>
  <c r="AD51" i="58" s="1"/>
  <c r="AO51" i="58" s="1"/>
  <c r="AN50" i="58"/>
  <c r="AK50" i="58"/>
  <c r="AH50" i="58"/>
  <c r="AF50" i="58"/>
  <c r="AE50" i="58"/>
  <c r="U50" i="58"/>
  <c r="AD50" i="58" s="1"/>
  <c r="AO50" i="58" s="1"/>
  <c r="AN49" i="58"/>
  <c r="AK49" i="58"/>
  <c r="AH49" i="58"/>
  <c r="AF49" i="58"/>
  <c r="AE49" i="58"/>
  <c r="U49" i="58"/>
  <c r="AD49" i="58"/>
  <c r="AN48" i="58"/>
  <c r="AK48" i="58"/>
  <c r="AH48" i="58"/>
  <c r="AF48" i="58"/>
  <c r="AE48" i="58"/>
  <c r="U48" i="58"/>
  <c r="AD48" i="58" s="1"/>
  <c r="AO48" i="58" s="1"/>
  <c r="AV48" i="58" s="1"/>
  <c r="AN47" i="58"/>
  <c r="AK47" i="58"/>
  <c r="AH47" i="58"/>
  <c r="AF47" i="58"/>
  <c r="AE47" i="58"/>
  <c r="U47" i="58"/>
  <c r="AD47" i="58" s="1"/>
  <c r="AO47" i="58" s="1"/>
  <c r="AN46" i="58"/>
  <c r="AK46" i="58"/>
  <c r="AH46" i="58"/>
  <c r="AF46" i="58"/>
  <c r="AE46" i="58"/>
  <c r="U46" i="58"/>
  <c r="AD46" i="58" s="1"/>
  <c r="AO46" i="58" s="1"/>
  <c r="AV46" i="58" s="1"/>
  <c r="AN45" i="58"/>
  <c r="AK45" i="58"/>
  <c r="AH45" i="58"/>
  <c r="AF45" i="58"/>
  <c r="AE45" i="58"/>
  <c r="U45" i="58"/>
  <c r="AD45" i="58"/>
  <c r="AN44" i="58"/>
  <c r="AK44" i="58"/>
  <c r="AH44" i="58"/>
  <c r="AF44" i="58"/>
  <c r="AE44" i="58"/>
  <c r="U44" i="58"/>
  <c r="AD44" i="58" s="1"/>
  <c r="AO44" i="58" s="1"/>
  <c r="AN43" i="58"/>
  <c r="AK43" i="58"/>
  <c r="AH43" i="58"/>
  <c r="AF43" i="58"/>
  <c r="AE43" i="58"/>
  <c r="U43" i="58"/>
  <c r="AD43" i="58"/>
  <c r="AN42" i="58"/>
  <c r="AK42" i="58"/>
  <c r="AH42" i="58"/>
  <c r="AF42" i="58"/>
  <c r="AE42" i="58"/>
  <c r="AA42" i="58"/>
  <c r="U42" i="58"/>
  <c r="AD42" i="58"/>
  <c r="AN41" i="58"/>
  <c r="AK41" i="58"/>
  <c r="AH41" i="58"/>
  <c r="AF41" i="58"/>
  <c r="AE41" i="58"/>
  <c r="U41" i="58"/>
  <c r="AD41" i="58" s="1"/>
  <c r="AO41" i="58" s="1"/>
  <c r="AN40" i="58"/>
  <c r="AK40" i="58"/>
  <c r="AH40" i="58"/>
  <c r="AF40" i="58"/>
  <c r="AE40" i="58"/>
  <c r="U40" i="58"/>
  <c r="AD40" i="58"/>
  <c r="AN39" i="58"/>
  <c r="AK39" i="58"/>
  <c r="AH39" i="58"/>
  <c r="AF39" i="58"/>
  <c r="AE39" i="58"/>
  <c r="U39" i="58"/>
  <c r="AD39" i="58" s="1"/>
  <c r="AO39" i="58" s="1"/>
  <c r="AN38" i="58"/>
  <c r="AK38" i="58"/>
  <c r="AH38" i="58"/>
  <c r="AF38" i="58"/>
  <c r="AE38" i="58"/>
  <c r="U38" i="58"/>
  <c r="AD38" i="58"/>
  <c r="AN37" i="58"/>
  <c r="AK37" i="58"/>
  <c r="AH37" i="58"/>
  <c r="AF37" i="58"/>
  <c r="AE37" i="58"/>
  <c r="U37" i="58"/>
  <c r="AD37" i="58" s="1"/>
  <c r="AO37" i="58" s="1"/>
  <c r="AN36" i="58"/>
  <c r="AK36" i="58"/>
  <c r="AH36" i="58"/>
  <c r="AF36" i="58"/>
  <c r="AE36" i="58"/>
  <c r="U36" i="58"/>
  <c r="AD36" i="58"/>
  <c r="AN35" i="58"/>
  <c r="AK35" i="58"/>
  <c r="AH35" i="58"/>
  <c r="AF35" i="58"/>
  <c r="AE35" i="58"/>
  <c r="U35" i="58"/>
  <c r="AA35" i="58" s="1"/>
  <c r="AN34" i="58"/>
  <c r="AK34" i="58"/>
  <c r="AH34" i="58"/>
  <c r="AF34" i="58"/>
  <c r="AE34" i="58"/>
  <c r="U34" i="58"/>
  <c r="AA34" i="58"/>
  <c r="AN33" i="58"/>
  <c r="AK33" i="58"/>
  <c r="AH33" i="58"/>
  <c r="AF33" i="58"/>
  <c r="AE33" i="58"/>
  <c r="U33" i="58"/>
  <c r="AA33" i="58" s="1"/>
  <c r="AN32" i="58"/>
  <c r="AK32" i="58"/>
  <c r="AH32" i="58"/>
  <c r="AF32" i="58"/>
  <c r="AE32" i="58"/>
  <c r="U32" i="58"/>
  <c r="AA32" i="58"/>
  <c r="AN31" i="58"/>
  <c r="AK31" i="58"/>
  <c r="AH31" i="58"/>
  <c r="AF31" i="58"/>
  <c r="AE31" i="58"/>
  <c r="U31" i="58"/>
  <c r="AA31" i="58" s="1"/>
  <c r="AN30" i="58"/>
  <c r="AK30" i="58"/>
  <c r="AH30" i="58"/>
  <c r="AF30" i="58"/>
  <c r="AE30" i="58"/>
  <c r="U30" i="58"/>
  <c r="AA30" i="58"/>
  <c r="AN29" i="58"/>
  <c r="AK29" i="58"/>
  <c r="AH29" i="58"/>
  <c r="AF29" i="58"/>
  <c r="AE29" i="58"/>
  <c r="U29" i="58"/>
  <c r="AA29" i="58" s="1"/>
  <c r="AN28" i="58"/>
  <c r="AK28" i="58"/>
  <c r="AH28" i="58"/>
  <c r="AF28" i="58"/>
  <c r="AE28" i="58"/>
  <c r="U28" i="58"/>
  <c r="AA28" i="58"/>
  <c r="AN27" i="58"/>
  <c r="AK27" i="58"/>
  <c r="AH27" i="58"/>
  <c r="AF27" i="58"/>
  <c r="AE27" i="58"/>
  <c r="U27" i="58"/>
  <c r="AA27" i="58" s="1"/>
  <c r="AN26" i="58"/>
  <c r="AK26" i="58"/>
  <c r="AH26" i="58"/>
  <c r="AF26" i="58"/>
  <c r="AE26" i="58"/>
  <c r="U26" i="58"/>
  <c r="AA26" i="58"/>
  <c r="AN25" i="58"/>
  <c r="AK25" i="58"/>
  <c r="AH25" i="58"/>
  <c r="AF25" i="58"/>
  <c r="AE25" i="58"/>
  <c r="U25" i="58"/>
  <c r="AA25" i="58" s="1"/>
  <c r="AN24" i="58"/>
  <c r="AK24" i="58"/>
  <c r="AH24" i="58"/>
  <c r="AF24" i="58"/>
  <c r="AE24" i="58"/>
  <c r="U24" i="58"/>
  <c r="AA24" i="58"/>
  <c r="AN23" i="58"/>
  <c r="AK23" i="58"/>
  <c r="AH23" i="58"/>
  <c r="AF23" i="58"/>
  <c r="AE23" i="58"/>
  <c r="U23" i="58"/>
  <c r="AA23" i="58" s="1"/>
  <c r="AN22" i="58"/>
  <c r="AK22" i="58"/>
  <c r="AH22" i="58"/>
  <c r="AF22" i="58"/>
  <c r="AE22" i="58"/>
  <c r="U22" i="58"/>
  <c r="AA22" i="58"/>
  <c r="AN21" i="58"/>
  <c r="AK21" i="58"/>
  <c r="AH21" i="58"/>
  <c r="AF21" i="58"/>
  <c r="AE21" i="58"/>
  <c r="U21" i="58"/>
  <c r="AA21" i="58" s="1"/>
  <c r="AN20" i="58"/>
  <c r="AK20" i="58"/>
  <c r="AH20" i="58"/>
  <c r="AF20" i="58"/>
  <c r="AE20" i="58"/>
  <c r="U20" i="58"/>
  <c r="AA20" i="58"/>
  <c r="AN19" i="58"/>
  <c r="AK19" i="58"/>
  <c r="AH19" i="58"/>
  <c r="AF19" i="58"/>
  <c r="AE19" i="58"/>
  <c r="U19" i="58"/>
  <c r="AA19" i="58" s="1"/>
  <c r="AN18" i="58"/>
  <c r="AK18" i="58"/>
  <c r="AH18" i="58"/>
  <c r="AF18" i="58"/>
  <c r="AE18" i="58"/>
  <c r="U18" i="58"/>
  <c r="AA18" i="58" s="1"/>
  <c r="AN17" i="58"/>
  <c r="AK17" i="58"/>
  <c r="AH17" i="58"/>
  <c r="AF17" i="58"/>
  <c r="AE17" i="58"/>
  <c r="U17" i="58"/>
  <c r="AA17" i="58" s="1"/>
  <c r="AN16" i="58"/>
  <c r="AK16" i="58"/>
  <c r="AH16" i="58"/>
  <c r="AF16" i="58"/>
  <c r="AE16" i="58"/>
  <c r="U16" i="58"/>
  <c r="AA16" i="58"/>
  <c r="AN15" i="58"/>
  <c r="AK15" i="58"/>
  <c r="AH15" i="58"/>
  <c r="AF15" i="58"/>
  <c r="AE15" i="58"/>
  <c r="U15" i="58"/>
  <c r="AA15" i="58"/>
  <c r="AN14" i="58"/>
  <c r="AK14" i="58"/>
  <c r="AH14" i="58"/>
  <c r="AF14" i="58"/>
  <c r="AE14" i="58"/>
  <c r="U14" i="58"/>
  <c r="AA14" i="58" s="1"/>
  <c r="AN13" i="58"/>
  <c r="AK13" i="58"/>
  <c r="AH13" i="58"/>
  <c r="AF13" i="58"/>
  <c r="AE13" i="58"/>
  <c r="U13" i="58"/>
  <c r="AA13" i="58"/>
  <c r="AN12" i="58"/>
  <c r="AK12" i="58"/>
  <c r="AH12" i="58"/>
  <c r="AF12" i="58"/>
  <c r="AE12" i="58"/>
  <c r="U12" i="58"/>
  <c r="AA12" i="58" s="1"/>
  <c r="AN11" i="58"/>
  <c r="AK11" i="58"/>
  <c r="AH11" i="58"/>
  <c r="AF11" i="58"/>
  <c r="AE11" i="58"/>
  <c r="U11" i="58"/>
  <c r="AA11" i="58"/>
  <c r="AN10" i="58"/>
  <c r="AK10" i="58"/>
  <c r="AH10" i="58"/>
  <c r="AF10" i="58"/>
  <c r="AE10" i="58"/>
  <c r="U10" i="58"/>
  <c r="AA10" i="58" s="1"/>
  <c r="AN9" i="58"/>
  <c r="AK9" i="58"/>
  <c r="AH9" i="58"/>
  <c r="AF9" i="58"/>
  <c r="AE9" i="58"/>
  <c r="U9" i="58"/>
  <c r="AA9" i="58"/>
  <c r="AN8" i="58"/>
  <c r="AK8" i="58"/>
  <c r="AH8" i="58"/>
  <c r="AF8" i="58"/>
  <c r="AE8" i="58"/>
  <c r="U8" i="58"/>
  <c r="AA8" i="58" s="1"/>
  <c r="AA38" i="58"/>
  <c r="AA86" i="58"/>
  <c r="AA128" i="58"/>
  <c r="AO137" i="58"/>
  <c r="AO144" i="58"/>
  <c r="AD16" i="58"/>
  <c r="AO16" i="58" s="1"/>
  <c r="AD24" i="58"/>
  <c r="AO24" i="58" s="1"/>
  <c r="AA46" i="58"/>
  <c r="AO55" i="58"/>
  <c r="AA62" i="58"/>
  <c r="AA78" i="58"/>
  <c r="AA120" i="58"/>
  <c r="AA136" i="58"/>
  <c r="AA143" i="58"/>
  <c r="AD167" i="58"/>
  <c r="AO167" i="58" s="1"/>
  <c r="AD32" i="58"/>
  <c r="AO32" i="58" s="1"/>
  <c r="AO43" i="58"/>
  <c r="AA50" i="58"/>
  <c r="AA66" i="58"/>
  <c r="AA82" i="58"/>
  <c r="AD104" i="58"/>
  <c r="AO104" i="58"/>
  <c r="AA124" i="58"/>
  <c r="AA140" i="58"/>
  <c r="AO142" i="58"/>
  <c r="AA147" i="58"/>
  <c r="AD158" i="58"/>
  <c r="AO158" i="58"/>
  <c r="AD12" i="58"/>
  <c r="AO12" i="58"/>
  <c r="AD20" i="58"/>
  <c r="AO20" i="58"/>
  <c r="AD28" i="58"/>
  <c r="AO28" i="58"/>
  <c r="AA36" i="58"/>
  <c r="AA40" i="58"/>
  <c r="AA44" i="58"/>
  <c r="AO45" i="58"/>
  <c r="AA48" i="58"/>
  <c r="AO49" i="58"/>
  <c r="AA52" i="58"/>
  <c r="AA56" i="58"/>
  <c r="AO57" i="58"/>
  <c r="AA60" i="58"/>
  <c r="AA64" i="58"/>
  <c r="AA68" i="58"/>
  <c r="AO69" i="58"/>
  <c r="AA72" i="58"/>
  <c r="AO73" i="58"/>
  <c r="AA76" i="58"/>
  <c r="AA80" i="58"/>
  <c r="AA84" i="58"/>
  <c r="AA88" i="58"/>
  <c r="AO89" i="58"/>
  <c r="AA92" i="58"/>
  <c r="AD100" i="58"/>
  <c r="AO100" i="58" s="1"/>
  <c r="AV100" i="58" s="1"/>
  <c r="AD108" i="58"/>
  <c r="AO108" i="58" s="1"/>
  <c r="AA114" i="58"/>
  <c r="AO115" i="58"/>
  <c r="AA118" i="58"/>
  <c r="AA122" i="58"/>
  <c r="AA126" i="58"/>
  <c r="AO127" i="58"/>
  <c r="AA130" i="58"/>
  <c r="AA134" i="58"/>
  <c r="AA138" i="58"/>
  <c r="AO140" i="58"/>
  <c r="AA142" i="58"/>
  <c r="AA145" i="58"/>
  <c r="AO146" i="58"/>
  <c r="AA149" i="58"/>
  <c r="AO150" i="58"/>
  <c r="AD154" i="58"/>
  <c r="AO154" i="58" s="1"/>
  <c r="AD162" i="58"/>
  <c r="AO162" i="58" s="1"/>
  <c r="AD172" i="58"/>
  <c r="AO172" i="58" s="1"/>
  <c r="AA144" i="58"/>
  <c r="AA146" i="58"/>
  <c r="AA148" i="58"/>
  <c r="AA150" i="58"/>
  <c r="AD152" i="58"/>
  <c r="AO152" i="58"/>
  <c r="AD156" i="58"/>
  <c r="AO156" i="58"/>
  <c r="AD160" i="58"/>
  <c r="AO160" i="58"/>
  <c r="AD164" i="58"/>
  <c r="AO164" i="58"/>
  <c r="AD169" i="58"/>
  <c r="AO169" i="58"/>
  <c r="AD174" i="58"/>
  <c r="AO174" i="58"/>
  <c r="AD10" i="58"/>
  <c r="AO10" i="58"/>
  <c r="AD14" i="58"/>
  <c r="AO14" i="58"/>
  <c r="AD18" i="58"/>
  <c r="AO18" i="58"/>
  <c r="AD22" i="58"/>
  <c r="AO22" i="58"/>
  <c r="AD26" i="58"/>
  <c r="AO26" i="58"/>
  <c r="AD30" i="58"/>
  <c r="AO30" i="58"/>
  <c r="AD34" i="58"/>
  <c r="AO34" i="58"/>
  <c r="AO36" i="58"/>
  <c r="AA37" i="58"/>
  <c r="AO38" i="58"/>
  <c r="AA39" i="58"/>
  <c r="AO40" i="58"/>
  <c r="AA41" i="58"/>
  <c r="AO42" i="58"/>
  <c r="AA43" i="58"/>
  <c r="AA45" i="58"/>
  <c r="AA47" i="58"/>
  <c r="AA49" i="58"/>
  <c r="AA51" i="58"/>
  <c r="AO52" i="58"/>
  <c r="AA53" i="58"/>
  <c r="AO54" i="58"/>
  <c r="AA55" i="58"/>
  <c r="AA57" i="58"/>
  <c r="AA59" i="58"/>
  <c r="AO60" i="58"/>
  <c r="AA61" i="58"/>
  <c r="AO62" i="58"/>
  <c r="AA63" i="58"/>
  <c r="AO64" i="58"/>
  <c r="AA65" i="58"/>
  <c r="AO66" i="58"/>
  <c r="AA67" i="58"/>
  <c r="AO68" i="58"/>
  <c r="AA69" i="58"/>
  <c r="AA71" i="58"/>
  <c r="AO72" i="58"/>
  <c r="AA73" i="58"/>
  <c r="AA75" i="58"/>
  <c r="AO76" i="58"/>
  <c r="AA77" i="58"/>
  <c r="AO78" i="58"/>
  <c r="AA79" i="58"/>
  <c r="AO80" i="58"/>
  <c r="AA81" i="58"/>
  <c r="AO82" i="58"/>
  <c r="AA83" i="58"/>
  <c r="AO84" i="58"/>
  <c r="AA85" i="58"/>
  <c r="AO86" i="58"/>
  <c r="AA87" i="58"/>
  <c r="AO88" i="58"/>
  <c r="AA89" i="58"/>
  <c r="AA91" i="58"/>
  <c r="AO92" i="58"/>
  <c r="AD94" i="58"/>
  <c r="AO94" i="58" s="1"/>
  <c r="AD98" i="58"/>
  <c r="AO98" i="58" s="1"/>
  <c r="AD102" i="58"/>
  <c r="AO102" i="58" s="1"/>
  <c r="AD106" i="58"/>
  <c r="AO106" i="58" s="1"/>
  <c r="AV106" i="58" s="1"/>
  <c r="AD110" i="58"/>
  <c r="AO110" i="58" s="1"/>
  <c r="AA113" i="58"/>
  <c r="AO114" i="58"/>
  <c r="AA115" i="58"/>
  <c r="AA117" i="58"/>
  <c r="AO118" i="58"/>
  <c r="AA119" i="58"/>
  <c r="AO120" i="58"/>
  <c r="AA121" i="58"/>
  <c r="AO122" i="58"/>
  <c r="AA123" i="58"/>
  <c r="AO124" i="58"/>
  <c r="AA125" i="58"/>
  <c r="AO126" i="58"/>
  <c r="AA127" i="58"/>
  <c r="AO128" i="58"/>
  <c r="AA129" i="58"/>
  <c r="AO130" i="58"/>
  <c r="AA131" i="58"/>
  <c r="AO132" i="58"/>
  <c r="AA133" i="58"/>
  <c r="AO134" i="58"/>
  <c r="AA135" i="58"/>
  <c r="AO136" i="58"/>
  <c r="AA137" i="58"/>
  <c r="AO138" i="58"/>
  <c r="AA139" i="58"/>
  <c r="AA141" i="58"/>
  <c r="AD176" i="58"/>
  <c r="AO176" i="58" s="1"/>
  <c r="AV10" i="58"/>
  <c r="AW10" i="58" s="1"/>
  <c r="AV14" i="58"/>
  <c r="AW14" i="58" s="1"/>
  <c r="AV18" i="58"/>
  <c r="AW18" i="58" s="1"/>
  <c r="AV22" i="58"/>
  <c r="AW22" i="58" s="1"/>
  <c r="AX22" i="58" s="1"/>
  <c r="AV26" i="58"/>
  <c r="AW26" i="58" s="1"/>
  <c r="AV30" i="58"/>
  <c r="AW30" i="58" s="1"/>
  <c r="AV34" i="58"/>
  <c r="AW34" i="58" s="1"/>
  <c r="AV12" i="58"/>
  <c r="AV16" i="58"/>
  <c r="AV20" i="58"/>
  <c r="AV24" i="58"/>
  <c r="AV28" i="58"/>
  <c r="AV32" i="58"/>
  <c r="AV36" i="58"/>
  <c r="AV38" i="58"/>
  <c r="AW38" i="58" s="1"/>
  <c r="AV40" i="58"/>
  <c r="AW40" i="58" s="1"/>
  <c r="AV42" i="58"/>
  <c r="AW42" i="58" s="1"/>
  <c r="AV44" i="58"/>
  <c r="AV50" i="58"/>
  <c r="AW50" i="58"/>
  <c r="AV52" i="58"/>
  <c r="AV54" i="58"/>
  <c r="AW54" i="58" s="1"/>
  <c r="AV56" i="58"/>
  <c r="AW56" i="58" s="1"/>
  <c r="AV60" i="58"/>
  <c r="AV62" i="58"/>
  <c r="AW62" i="58"/>
  <c r="AV64" i="58"/>
  <c r="AW64" i="58"/>
  <c r="AX64" i="58" s="1"/>
  <c r="AV66" i="58"/>
  <c r="AW66" i="58"/>
  <c r="AV68" i="58"/>
  <c r="AV72" i="58"/>
  <c r="AW72" i="58" s="1"/>
  <c r="AV76" i="58"/>
  <c r="AV78" i="58"/>
  <c r="AW78" i="58"/>
  <c r="AV80" i="58"/>
  <c r="AW80" i="58"/>
  <c r="AX80" i="58" s="1"/>
  <c r="AV82" i="58"/>
  <c r="AW82" i="58"/>
  <c r="AV84" i="58"/>
  <c r="AV86" i="58"/>
  <c r="AW86" i="58" s="1"/>
  <c r="AV96" i="58"/>
  <c r="AV104" i="58"/>
  <c r="AV108" i="58"/>
  <c r="AV112" i="58"/>
  <c r="AD9" i="58"/>
  <c r="AO9" i="58"/>
  <c r="AD11" i="58"/>
  <c r="AO11" i="58"/>
  <c r="AD13" i="58"/>
  <c r="AO13" i="58"/>
  <c r="AD15" i="58"/>
  <c r="AO15" i="58"/>
  <c r="AD17" i="58"/>
  <c r="AO17" i="58"/>
  <c r="AD19" i="58"/>
  <c r="AO19" i="58"/>
  <c r="AD21" i="58"/>
  <c r="AO21" i="58"/>
  <c r="AD23" i="58"/>
  <c r="AO23" i="58"/>
  <c r="AD25" i="58"/>
  <c r="AO25" i="58"/>
  <c r="AD27" i="58"/>
  <c r="AO27" i="58"/>
  <c r="AD29" i="58"/>
  <c r="AO29" i="58"/>
  <c r="AD31" i="58"/>
  <c r="AO31" i="58"/>
  <c r="AD33" i="58"/>
  <c r="AO33" i="58"/>
  <c r="AD35" i="58"/>
  <c r="AO35" i="58"/>
  <c r="AV154" i="58"/>
  <c r="AV158" i="58"/>
  <c r="AV162" i="58"/>
  <c r="AV88" i="58"/>
  <c r="AW88" i="58"/>
  <c r="AV92" i="58"/>
  <c r="AW92" i="58" s="1"/>
  <c r="AA93" i="58"/>
  <c r="AD93" i="58"/>
  <c r="AO93" i="58"/>
  <c r="AA97" i="58"/>
  <c r="AD97" i="58"/>
  <c r="AO97" i="58" s="1"/>
  <c r="AA101" i="58"/>
  <c r="AD101" i="58"/>
  <c r="AO101" i="58"/>
  <c r="AA105" i="58"/>
  <c r="AD105" i="58"/>
  <c r="AO105" i="58" s="1"/>
  <c r="AA109" i="58"/>
  <c r="AD109" i="58"/>
  <c r="AO109" i="58"/>
  <c r="AV37" i="58"/>
  <c r="AV39" i="58"/>
  <c r="AW39" i="58" s="1"/>
  <c r="AV41" i="58"/>
  <c r="AV43" i="58"/>
  <c r="AV45" i="58"/>
  <c r="AV47" i="58"/>
  <c r="AW47" i="58" s="1"/>
  <c r="AV49" i="58"/>
  <c r="AV51" i="58"/>
  <c r="AV53" i="58"/>
  <c r="AV55" i="58"/>
  <c r="AW55" i="58" s="1"/>
  <c r="AV57" i="58"/>
  <c r="AV59" i="58"/>
  <c r="AV61" i="58"/>
  <c r="AV63" i="58"/>
  <c r="AW63" i="58" s="1"/>
  <c r="AV65" i="58"/>
  <c r="AV67" i="58"/>
  <c r="AV69" i="58"/>
  <c r="AV71" i="58"/>
  <c r="AW71" i="58" s="1"/>
  <c r="AV73" i="58"/>
  <c r="AV75" i="58"/>
  <c r="AV77" i="58"/>
  <c r="AV79" i="58"/>
  <c r="AW79" i="58" s="1"/>
  <c r="AV81" i="58"/>
  <c r="AV83" i="58"/>
  <c r="AV85" i="58"/>
  <c r="AV87" i="58"/>
  <c r="AW87" i="58" s="1"/>
  <c r="AV89" i="58"/>
  <c r="AV91" i="58"/>
  <c r="AA95" i="58"/>
  <c r="AD95" i="58"/>
  <c r="AO95" i="58"/>
  <c r="AA99" i="58"/>
  <c r="AD99" i="58"/>
  <c r="AO99" i="58" s="1"/>
  <c r="AA103" i="58"/>
  <c r="AD103" i="58"/>
  <c r="AO103" i="58"/>
  <c r="AA107" i="58"/>
  <c r="AD107" i="58"/>
  <c r="AO107" i="58" s="1"/>
  <c r="AA111" i="58"/>
  <c r="AD111" i="58"/>
  <c r="AO111" i="58"/>
  <c r="AV114" i="58"/>
  <c r="AV118" i="58"/>
  <c r="AW118" i="58" s="1"/>
  <c r="AV120" i="58"/>
  <c r="AW120" i="58"/>
  <c r="AV122" i="58"/>
  <c r="AV124" i="58"/>
  <c r="AW124" i="58" s="1"/>
  <c r="AV126" i="58"/>
  <c r="AW126" i="58" s="1"/>
  <c r="AV128" i="58"/>
  <c r="AW128" i="58"/>
  <c r="AV130" i="58"/>
  <c r="AV132" i="58"/>
  <c r="AW132" i="58" s="1"/>
  <c r="AV134" i="58"/>
  <c r="AW134" i="58" s="1"/>
  <c r="AV136" i="58"/>
  <c r="AW136" i="58"/>
  <c r="AV138" i="58"/>
  <c r="AV140" i="58"/>
  <c r="AW140" i="58" s="1"/>
  <c r="AV167" i="58"/>
  <c r="AV172" i="58"/>
  <c r="AA173" i="58"/>
  <c r="AD173" i="58"/>
  <c r="AO173" i="58"/>
  <c r="AV173" i="58" s="1"/>
  <c r="AW173" i="58" s="1"/>
  <c r="AA177" i="58"/>
  <c r="AD177" i="58"/>
  <c r="AO177" i="58"/>
  <c r="AV142" i="58"/>
  <c r="AV144" i="58"/>
  <c r="AW144" i="58" s="1"/>
  <c r="AV146" i="58"/>
  <c r="AW146" i="58" s="1"/>
  <c r="AV148" i="58"/>
  <c r="AW148" i="58"/>
  <c r="AX148" i="58" s="1"/>
  <c r="AV150" i="58"/>
  <c r="AA155" i="58"/>
  <c r="AD155" i="58"/>
  <c r="AO155" i="58"/>
  <c r="AA159" i="58"/>
  <c r="AD159" i="58"/>
  <c r="AO159" i="58" s="1"/>
  <c r="AA163" i="58"/>
  <c r="AD163" i="58"/>
  <c r="AO163" i="58"/>
  <c r="AV113" i="58"/>
  <c r="AV115" i="58"/>
  <c r="AW115" i="58" s="1"/>
  <c r="AX115" i="58" s="1"/>
  <c r="AV117" i="58"/>
  <c r="AV119" i="58"/>
  <c r="AW119" i="58" s="1"/>
  <c r="AV121" i="58"/>
  <c r="AV123" i="58"/>
  <c r="AV125" i="58"/>
  <c r="AV127" i="58"/>
  <c r="AV129" i="58"/>
  <c r="AV131" i="58"/>
  <c r="AW131" i="58" s="1"/>
  <c r="AX131" i="58" s="1"/>
  <c r="AV133" i="58"/>
  <c r="AV135" i="58"/>
  <c r="AW135" i="58" s="1"/>
  <c r="AX135" i="58" s="1"/>
  <c r="AV137" i="58"/>
  <c r="AV139" i="58"/>
  <c r="AV141" i="58"/>
  <c r="AV152" i="58"/>
  <c r="AV156" i="58"/>
  <c r="AV160" i="58"/>
  <c r="AW160" i="58" s="1"/>
  <c r="AV164" i="58"/>
  <c r="AV169" i="58"/>
  <c r="AW169" i="58" s="1"/>
  <c r="AX169" i="58" s="1"/>
  <c r="AV143" i="58"/>
  <c r="AV145" i="58"/>
  <c r="AW145" i="58" s="1"/>
  <c r="AV147" i="58"/>
  <c r="AV149" i="58"/>
  <c r="AX149" i="58" s="1"/>
  <c r="AA153" i="58"/>
  <c r="AD153" i="58"/>
  <c r="AO153" i="58"/>
  <c r="AV153" i="58" s="1"/>
  <c r="AA157" i="58"/>
  <c r="AD157" i="58"/>
  <c r="AO157" i="58" s="1"/>
  <c r="AV157" i="58" s="1"/>
  <c r="AA161" i="58"/>
  <c r="AD161" i="58"/>
  <c r="AO161" i="58"/>
  <c r="AV161" i="58" s="1"/>
  <c r="AW161" i="58" s="1"/>
  <c r="AA165" i="58"/>
  <c r="AD165" i="58"/>
  <c r="AO165" i="58" s="1"/>
  <c r="AV165" i="58" s="1"/>
  <c r="AA168" i="58"/>
  <c r="AD168" i="58"/>
  <c r="AO168" i="58"/>
  <c r="AV168" i="58" s="1"/>
  <c r="AA166" i="58"/>
  <c r="AD166" i="58"/>
  <c r="AO166" i="58" s="1"/>
  <c r="AV166" i="58" s="1"/>
  <c r="AA170" i="58"/>
  <c r="AD170" i="58"/>
  <c r="AO170" i="58"/>
  <c r="AW170" i="58" s="1"/>
  <c r="AV174" i="58"/>
  <c r="AA171" i="58"/>
  <c r="AD171" i="58"/>
  <c r="AO171" i="58"/>
  <c r="AV171" i="58" s="1"/>
  <c r="AA175" i="58"/>
  <c r="AD175" i="58"/>
  <c r="AO175" i="58" s="1"/>
  <c r="AW150" i="58"/>
  <c r="AX150" i="58" s="1"/>
  <c r="AW142" i="58"/>
  <c r="AX142" i="58"/>
  <c r="AY142" i="58" s="1"/>
  <c r="AW138" i="58"/>
  <c r="AX138" i="58" s="1"/>
  <c r="AW130" i="58"/>
  <c r="AX130" i="58" s="1"/>
  <c r="AW122" i="58"/>
  <c r="AX122" i="58" s="1"/>
  <c r="AW114" i="58"/>
  <c r="AX114" i="58" s="1"/>
  <c r="AW84" i="58"/>
  <c r="AX84" i="58" s="1"/>
  <c r="AX82" i="58"/>
  <c r="AU82" i="58" s="1"/>
  <c r="AP82" i="58" s="1"/>
  <c r="AW76" i="58"/>
  <c r="AX76" i="58" s="1"/>
  <c r="AW68" i="58"/>
  <c r="AX68" i="58" s="1"/>
  <c r="AX66" i="58"/>
  <c r="AZ66" i="58" s="1"/>
  <c r="AW60" i="58"/>
  <c r="AX60" i="58" s="1"/>
  <c r="AW52" i="58"/>
  <c r="AX52" i="58" s="1"/>
  <c r="AX50" i="58"/>
  <c r="AU50" i="58" s="1"/>
  <c r="AP50" i="58" s="1"/>
  <c r="AW44" i="58"/>
  <c r="AX44" i="58" s="1"/>
  <c r="AW36" i="58"/>
  <c r="AX36" i="58" s="1"/>
  <c r="AX78" i="58"/>
  <c r="AY78" i="58" s="1"/>
  <c r="AZ78" i="58" s="1"/>
  <c r="AX62" i="58"/>
  <c r="AY82" i="58"/>
  <c r="AY66" i="58"/>
  <c r="AY50" i="58"/>
  <c r="AY62" i="58"/>
  <c r="AV170" i="58"/>
  <c r="AW149" i="58"/>
  <c r="AY149" i="58" s="1"/>
  <c r="AW141" i="58"/>
  <c r="AX141" i="58" s="1"/>
  <c r="AW137" i="58"/>
  <c r="AW133" i="58"/>
  <c r="AW129" i="58"/>
  <c r="AW125" i="58"/>
  <c r="AX125" i="58" s="1"/>
  <c r="AY125" i="58" s="1"/>
  <c r="AW121" i="58"/>
  <c r="AW117" i="58"/>
  <c r="AW113" i="58"/>
  <c r="AV177" i="58"/>
  <c r="AV111" i="58"/>
  <c r="AV103" i="58"/>
  <c r="AV95" i="58"/>
  <c r="AW91" i="58"/>
  <c r="AW89" i="58"/>
  <c r="AX89" i="58" s="1"/>
  <c r="AW83" i="58"/>
  <c r="AW75" i="58"/>
  <c r="AW67" i="58"/>
  <c r="AW59" i="58"/>
  <c r="AW51" i="58"/>
  <c r="AW43" i="58"/>
  <c r="AV109" i="58"/>
  <c r="AV101" i="58"/>
  <c r="AV93" i="58"/>
  <c r="AX88" i="58"/>
  <c r="AY88" i="58"/>
  <c r="AZ88" i="58" s="1"/>
  <c r="AV35" i="58"/>
  <c r="AW35" i="58" s="1"/>
  <c r="AV31" i="58"/>
  <c r="AV27" i="58"/>
  <c r="AV23" i="58"/>
  <c r="AV19" i="58"/>
  <c r="AV15" i="58"/>
  <c r="AV11" i="58"/>
  <c r="AZ82" i="58"/>
  <c r="AZ50" i="58"/>
  <c r="AW174" i="58"/>
  <c r="AX174" i="58" s="1"/>
  <c r="AW147" i="58"/>
  <c r="AW143" i="58"/>
  <c r="AX143" i="58" s="1"/>
  <c r="AW164" i="58"/>
  <c r="AW156" i="58"/>
  <c r="AX156" i="58" s="1"/>
  <c r="AW152" i="58"/>
  <c r="AX152" i="58" s="1"/>
  <c r="AW139" i="58"/>
  <c r="AX139" i="58" s="1"/>
  <c r="AX133" i="58"/>
  <c r="AY133" i="58" s="1"/>
  <c r="AW127" i="58"/>
  <c r="AW123" i="58"/>
  <c r="AX123" i="58" s="1"/>
  <c r="AX117" i="58"/>
  <c r="AY117" i="58" s="1"/>
  <c r="AV163" i="58"/>
  <c r="AW163" i="58" s="1"/>
  <c r="AV155" i="58"/>
  <c r="AW155" i="58" s="1"/>
  <c r="AW172" i="58"/>
  <c r="AW167" i="58"/>
  <c r="AX167" i="58" s="1"/>
  <c r="AX136" i="58"/>
  <c r="AY136" i="58" s="1"/>
  <c r="AX128" i="58"/>
  <c r="AY128" i="58" s="1"/>
  <c r="AX120" i="58"/>
  <c r="AY120" i="58" s="1"/>
  <c r="AX91" i="58"/>
  <c r="AW85" i="58"/>
  <c r="AW81" i="58"/>
  <c r="AW77" i="58"/>
  <c r="AX77" i="58" s="1"/>
  <c r="AW73" i="58"/>
  <c r="AW69" i="58"/>
  <c r="AW65" i="58"/>
  <c r="AX65" i="58" s="1"/>
  <c r="AW61" i="58"/>
  <c r="AX61" i="58" s="1"/>
  <c r="AW57" i="58"/>
  <c r="AW53" i="58"/>
  <c r="AW49" i="58"/>
  <c r="AW45" i="58"/>
  <c r="AX45" i="58" s="1"/>
  <c r="AW41" i="58"/>
  <c r="AW37" i="58"/>
  <c r="AW162" i="58"/>
  <c r="AW158" i="58"/>
  <c r="AW154" i="58"/>
  <c r="AW106" i="58"/>
  <c r="AV33" i="58"/>
  <c r="AV29" i="58"/>
  <c r="AV25" i="58"/>
  <c r="AV21" i="58"/>
  <c r="AV17" i="58"/>
  <c r="AW17" i="58" s="1"/>
  <c r="AV13" i="58"/>
  <c r="AV9" i="58"/>
  <c r="AW9" i="58" s="1"/>
  <c r="AW112" i="58"/>
  <c r="AW108" i="58"/>
  <c r="AX108" i="58" s="1"/>
  <c r="AW104" i="58"/>
  <c r="AW100" i="58"/>
  <c r="AW96" i="58"/>
  <c r="AW32" i="58"/>
  <c r="AW28" i="58"/>
  <c r="AX28" i="58"/>
  <c r="AY28" i="58" s="1"/>
  <c r="AW24" i="58"/>
  <c r="AW20" i="58"/>
  <c r="AW16" i="58"/>
  <c r="AW12" i="58"/>
  <c r="AX30" i="58"/>
  <c r="AY30" i="58" s="1"/>
  <c r="AX14" i="58"/>
  <c r="AY36" i="58"/>
  <c r="AY52" i="58"/>
  <c r="AY68" i="58"/>
  <c r="AY84" i="58"/>
  <c r="AY122" i="58"/>
  <c r="AY138" i="58"/>
  <c r="AX158" i="58"/>
  <c r="AX41" i="58"/>
  <c r="AY41" i="58" s="1"/>
  <c r="AX49" i="58"/>
  <c r="AX57" i="58"/>
  <c r="AY57" i="58"/>
  <c r="AX73" i="58"/>
  <c r="AY73" i="58" s="1"/>
  <c r="AX81" i="58"/>
  <c r="AY167" i="58"/>
  <c r="AX119" i="58"/>
  <c r="AX127" i="58"/>
  <c r="AY135" i="58"/>
  <c r="AX16" i="58"/>
  <c r="AY16" i="58"/>
  <c r="AZ16" i="58" s="1"/>
  <c r="AX24" i="58"/>
  <c r="AW93" i="58"/>
  <c r="AW101" i="58"/>
  <c r="AW109" i="58"/>
  <c r="AY91" i="58"/>
  <c r="AY152" i="58"/>
  <c r="AY169" i="58"/>
  <c r="AZ149" i="58"/>
  <c r="AW157" i="58"/>
  <c r="AW165" i="58"/>
  <c r="AW166" i="58"/>
  <c r="BA50" i="58"/>
  <c r="BA66" i="58"/>
  <c r="BA82" i="58"/>
  <c r="AX96" i="58"/>
  <c r="AX104" i="58"/>
  <c r="AX112" i="58"/>
  <c r="AY112" i="58"/>
  <c r="AW13" i="58"/>
  <c r="AW21" i="58"/>
  <c r="AW29" i="58"/>
  <c r="AX154" i="58"/>
  <c r="AX37" i="58"/>
  <c r="AX43" i="58"/>
  <c r="AX51" i="58"/>
  <c r="AX53" i="58"/>
  <c r="AX59" i="58"/>
  <c r="AX67" i="58"/>
  <c r="AX69" i="58"/>
  <c r="AX75" i="58"/>
  <c r="AX83" i="58"/>
  <c r="AX85" i="58"/>
  <c r="AX172" i="58"/>
  <c r="AZ142" i="58"/>
  <c r="AX113" i="58"/>
  <c r="AX121" i="58"/>
  <c r="AX129" i="58"/>
  <c r="AX137" i="58"/>
  <c r="AX147" i="58"/>
  <c r="AX20" i="58"/>
  <c r="AZ62" i="58"/>
  <c r="BA62" i="58"/>
  <c r="AU62" i="58" s="1"/>
  <c r="AQ62" i="58" s="1"/>
  <c r="BA78" i="58"/>
  <c r="AW11" i="58"/>
  <c r="AW15" i="58"/>
  <c r="AX15" i="58" s="1"/>
  <c r="AW19" i="58"/>
  <c r="AW23" i="58"/>
  <c r="AW27" i="58"/>
  <c r="AW31" i="58"/>
  <c r="AX31" i="58" s="1"/>
  <c r="AX106" i="58"/>
  <c r="AZ106" i="58" s="1"/>
  <c r="AY89" i="58"/>
  <c r="AW95" i="58"/>
  <c r="AW103" i="58"/>
  <c r="AW111" i="58"/>
  <c r="AW177" i="58"/>
  <c r="AX177" i="58" s="1"/>
  <c r="AY148" i="58"/>
  <c r="AZ148" i="58" s="1"/>
  <c r="AZ117" i="58"/>
  <c r="AZ125" i="58"/>
  <c r="AU125" i="58" s="1"/>
  <c r="AZ133" i="58"/>
  <c r="AX164" i="58"/>
  <c r="AX161" i="58"/>
  <c r="AX170" i="58"/>
  <c r="AW171" i="58"/>
  <c r="AY161" i="58"/>
  <c r="AZ161" i="58" s="1"/>
  <c r="BA161" i="58" s="1"/>
  <c r="AZ112" i="58"/>
  <c r="AQ82" i="58"/>
  <c r="AQ50" i="58"/>
  <c r="AZ167" i="58"/>
  <c r="AY177" i="58"/>
  <c r="AX23" i="58"/>
  <c r="AY172" i="58"/>
  <c r="AX17" i="58"/>
  <c r="BA133" i="58"/>
  <c r="AU133" i="58" s="1"/>
  <c r="BA125" i="58"/>
  <c r="BA117" i="58"/>
  <c r="AU117" i="58" s="1"/>
  <c r="AY158" i="58"/>
  <c r="AZ158" i="58" s="1"/>
  <c r="AP62" i="58"/>
  <c r="BA16" i="58"/>
  <c r="AU16" i="58" s="1"/>
  <c r="AX171" i="58"/>
  <c r="AX166" i="58"/>
  <c r="AX165" i="58"/>
  <c r="AX157" i="58"/>
  <c r="AX173" i="58"/>
  <c r="AY173" i="58"/>
  <c r="AX111" i="58"/>
  <c r="AY111" i="58"/>
  <c r="AX103" i="58"/>
  <c r="AX95" i="58"/>
  <c r="AY95" i="58" s="1"/>
  <c r="AX109" i="58"/>
  <c r="AX101" i="58"/>
  <c r="AX93" i="58"/>
  <c r="AY106" i="58"/>
  <c r="AX27" i="58"/>
  <c r="AY27" i="58" s="1"/>
  <c r="AX19" i="58"/>
  <c r="AX11" i="58"/>
  <c r="AY11" i="58"/>
  <c r="AZ11" i="58" s="1"/>
  <c r="AY147" i="58"/>
  <c r="AZ169" i="58"/>
  <c r="BA169" i="58" s="1"/>
  <c r="AU169" i="58" s="1"/>
  <c r="AZ152" i="58"/>
  <c r="BA152" i="58"/>
  <c r="AY139" i="58"/>
  <c r="AZ139" i="58"/>
  <c r="AY131" i="58"/>
  <c r="AY123" i="58"/>
  <c r="AZ123" i="58" s="1"/>
  <c r="BA123" i="58" s="1"/>
  <c r="AY115" i="58"/>
  <c r="AZ115" i="58" s="1"/>
  <c r="BA115" i="58" s="1"/>
  <c r="AX163" i="58"/>
  <c r="AY163" i="58" s="1"/>
  <c r="AX155" i="58"/>
  <c r="AZ172" i="58"/>
  <c r="AY85" i="58"/>
  <c r="AZ85" i="58" s="1"/>
  <c r="AY77" i="58"/>
  <c r="AZ77" i="58" s="1"/>
  <c r="AY69" i="58"/>
  <c r="AY61" i="58"/>
  <c r="AZ61" i="58"/>
  <c r="AU61" i="58" s="1"/>
  <c r="AQ61" i="58" s="1"/>
  <c r="AY53" i="58"/>
  <c r="AY45" i="58"/>
  <c r="AZ45" i="58" s="1"/>
  <c r="AY37" i="58"/>
  <c r="AZ37" i="58" s="1"/>
  <c r="BA37" i="58" s="1"/>
  <c r="AY154" i="58"/>
  <c r="AX29" i="58"/>
  <c r="AY29" i="58" s="1"/>
  <c r="AX21" i="58"/>
  <c r="AX13" i="58"/>
  <c r="AY13" i="58"/>
  <c r="AX9" i="58"/>
  <c r="AY104" i="58"/>
  <c r="AY137" i="58"/>
  <c r="AZ137" i="58" s="1"/>
  <c r="AY129" i="58"/>
  <c r="BA129" i="58" s="1"/>
  <c r="AU129" i="58" s="1"/>
  <c r="AQ129" i="58" s="1"/>
  <c r="AY121" i="58"/>
  <c r="AZ121" i="58"/>
  <c r="AY113" i="58"/>
  <c r="AZ136" i="58"/>
  <c r="AZ128" i="58"/>
  <c r="BA128" i="58"/>
  <c r="AU128" i="58" s="1"/>
  <c r="AZ120" i="58"/>
  <c r="AY83" i="58"/>
  <c r="AZ83" i="58"/>
  <c r="AY75" i="58"/>
  <c r="AZ75" i="58"/>
  <c r="BA75" i="58" s="1"/>
  <c r="AU75" i="58" s="1"/>
  <c r="AQ75" i="58" s="1"/>
  <c r="AY67" i="58"/>
  <c r="AZ67" i="58"/>
  <c r="AY59" i="58"/>
  <c r="AZ59" i="58"/>
  <c r="AU59" i="58" s="1"/>
  <c r="AQ59" i="58" s="1"/>
  <c r="AY51" i="58"/>
  <c r="AZ51" i="58"/>
  <c r="AY43" i="58"/>
  <c r="AZ43" i="58"/>
  <c r="AU43" i="58" s="1"/>
  <c r="AQ43" i="58" s="1"/>
  <c r="AY24" i="58"/>
  <c r="BA24" i="58" s="1"/>
  <c r="AY143" i="58"/>
  <c r="AZ143" i="58"/>
  <c r="BA143" i="58" s="1"/>
  <c r="AU143" i="58" s="1"/>
  <c r="AQ143" i="58" s="1"/>
  <c r="AZ135" i="58"/>
  <c r="AY127" i="58"/>
  <c r="AZ127" i="58" s="1"/>
  <c r="AY81" i="58"/>
  <c r="AZ81" i="58"/>
  <c r="BA81" i="58" s="1"/>
  <c r="AU81" i="58" s="1"/>
  <c r="AZ73" i="58"/>
  <c r="AY65" i="58"/>
  <c r="AZ65" i="58" s="1"/>
  <c r="AZ57" i="58"/>
  <c r="AY49" i="58"/>
  <c r="AZ41" i="58"/>
  <c r="AU78" i="58"/>
  <c r="AY170" i="58"/>
  <c r="BA170" i="58" s="1"/>
  <c r="AU170" i="58" s="1"/>
  <c r="AP170" i="58" s="1"/>
  <c r="BA172" i="58"/>
  <c r="AU172" i="58" s="1"/>
  <c r="AY19" i="58"/>
  <c r="AZ49" i="58"/>
  <c r="AY15" i="58"/>
  <c r="AY31" i="58"/>
  <c r="AY17" i="58"/>
  <c r="AZ53" i="58"/>
  <c r="BA53" i="58" s="1"/>
  <c r="AU53" i="58" s="1"/>
  <c r="AZ113" i="58"/>
  <c r="BA113" i="58"/>
  <c r="AU113" i="58" s="1"/>
  <c r="AZ129" i="58"/>
  <c r="AY23" i="58"/>
  <c r="AZ23" i="58" s="1"/>
  <c r="AZ170" i="58"/>
  <c r="BA61" i="58"/>
  <c r="AZ104" i="58"/>
  <c r="AU104" i="58" s="1"/>
  <c r="AQ104" i="58" s="1"/>
  <c r="AZ154" i="58"/>
  <c r="BA43" i="58"/>
  <c r="BA59" i="58"/>
  <c r="AU152" i="58"/>
  <c r="AY109" i="58"/>
  <c r="AZ109" i="58"/>
  <c r="BA109" i="58" s="1"/>
  <c r="AU109" i="58" s="1"/>
  <c r="AP109" i="58" s="1"/>
  <c r="AY165" i="58"/>
  <c r="AZ165" i="58"/>
  <c r="BA165" i="58" s="1"/>
  <c r="AU165" i="58" s="1"/>
  <c r="AY155" i="58"/>
  <c r="AZ155" i="58"/>
  <c r="BA155" i="58" s="1"/>
  <c r="AU155" i="58" s="1"/>
  <c r="AZ69" i="58"/>
  <c r="BA69" i="58" s="1"/>
  <c r="AU69" i="58" s="1"/>
  <c r="AQ69" i="58" s="1"/>
  <c r="AZ131" i="58"/>
  <c r="BA131" i="58" s="1"/>
  <c r="AU131" i="58" s="1"/>
  <c r="AQ131" i="58" s="1"/>
  <c r="BA139" i="58"/>
  <c r="AZ147" i="58"/>
  <c r="BA147" i="58" s="1"/>
  <c r="AU147" i="58" s="1"/>
  <c r="AQ147" i="58" s="1"/>
  <c r="BB147" i="58" s="1"/>
  <c r="BA167" i="58"/>
  <c r="AU167" i="58" s="1"/>
  <c r="AQ167" i="58" s="1"/>
  <c r="BA73" i="58"/>
  <c r="AU73" i="58" s="1"/>
  <c r="AQ73" i="58" s="1"/>
  <c r="BB73" i="58" s="1"/>
  <c r="AQ78" i="58"/>
  <c r="AP78" i="58"/>
  <c r="AZ24" i="58"/>
  <c r="AU24" i="58" s="1"/>
  <c r="AQ24" i="58" s="1"/>
  <c r="BA104" i="58"/>
  <c r="AY9" i="58"/>
  <c r="AZ13" i="58"/>
  <c r="BA13" i="58" s="1"/>
  <c r="AY21" i="58"/>
  <c r="AZ21" i="58" s="1"/>
  <c r="BA154" i="58"/>
  <c r="BA120" i="58"/>
  <c r="AU120" i="58" s="1"/>
  <c r="AQ120" i="58" s="1"/>
  <c r="BA136" i="58"/>
  <c r="AU136" i="58" s="1"/>
  <c r="AQ136" i="58" s="1"/>
  <c r="BB136" i="58" s="1"/>
  <c r="AU139" i="58"/>
  <c r="BA51" i="58"/>
  <c r="AU51" i="58"/>
  <c r="AQ51" i="58" s="1"/>
  <c r="BA67" i="58"/>
  <c r="AU67" i="58"/>
  <c r="AQ67" i="58" s="1"/>
  <c r="BA83" i="58"/>
  <c r="AU83" i="58"/>
  <c r="AQ83" i="58" s="1"/>
  <c r="BB83" i="58" s="1"/>
  <c r="AY103" i="58"/>
  <c r="AZ111" i="58"/>
  <c r="BA111" i="58"/>
  <c r="AU111" i="58" s="1"/>
  <c r="AQ111" i="58" s="1"/>
  <c r="AZ173" i="58"/>
  <c r="BA173" i="58"/>
  <c r="AU173" i="58" s="1"/>
  <c r="AP173" i="58" s="1"/>
  <c r="BA121" i="58"/>
  <c r="AU121" i="58"/>
  <c r="AQ121" i="58" s="1"/>
  <c r="AY171" i="58"/>
  <c r="AY93" i="58"/>
  <c r="AZ93" i="58"/>
  <c r="AZ177" i="58"/>
  <c r="BA177" i="58" s="1"/>
  <c r="AU177" i="58" s="1"/>
  <c r="BA57" i="58"/>
  <c r="AU57" i="58" s="1"/>
  <c r="AQ57" i="58" s="1"/>
  <c r="BA135" i="58"/>
  <c r="AU135" i="58" s="1"/>
  <c r="AQ135" i="58" s="1"/>
  <c r="BB135" i="58" s="1"/>
  <c r="AY101" i="58"/>
  <c r="AZ101" i="58" s="1"/>
  <c r="BB50" i="58"/>
  <c r="BC50" i="58" s="1"/>
  <c r="BD50" i="58" s="1"/>
  <c r="BB82" i="58"/>
  <c r="BC82" i="58"/>
  <c r="BD82" i="58" s="1"/>
  <c r="BA41" i="58"/>
  <c r="AU41" i="58" s="1"/>
  <c r="AQ41" i="58" s="1"/>
  <c r="AY157" i="58"/>
  <c r="AZ157" i="58" s="1"/>
  <c r="AY166" i="58"/>
  <c r="AZ31" i="58"/>
  <c r="BA31" i="58"/>
  <c r="AZ15" i="58"/>
  <c r="BA15" i="58"/>
  <c r="AZ19" i="58"/>
  <c r="AU154" i="58"/>
  <c r="AP154" i="58" s="1"/>
  <c r="BA23" i="58"/>
  <c r="BA49" i="58"/>
  <c r="AU49" i="58" s="1"/>
  <c r="AQ49" i="58" s="1"/>
  <c r="AZ17" i="58"/>
  <c r="AP57" i="58"/>
  <c r="AP121" i="58"/>
  <c r="AP67" i="58"/>
  <c r="AP120" i="58"/>
  <c r="AP73" i="58"/>
  <c r="AP167" i="58"/>
  <c r="AP69" i="58"/>
  <c r="AP104" i="58"/>
  <c r="AP41" i="58"/>
  <c r="AP83" i="58"/>
  <c r="AP51" i="58"/>
  <c r="AP136" i="58"/>
  <c r="AP131" i="58"/>
  <c r="AQ170" i="58"/>
  <c r="BB170" i="58" s="1"/>
  <c r="AP143" i="58"/>
  <c r="BB78" i="58"/>
  <c r="BC78" i="58"/>
  <c r="BD78" i="58" s="1"/>
  <c r="BA21" i="58"/>
  <c r="AP61" i="58"/>
  <c r="AZ171" i="58"/>
  <c r="BA171" i="58"/>
  <c r="AU171" i="58" s="1"/>
  <c r="AZ166" i="58"/>
  <c r="BA166" i="58"/>
  <c r="AU166" i="58" s="1"/>
  <c r="AP166" i="58" s="1"/>
  <c r="BA157" i="58"/>
  <c r="AZ103" i="58"/>
  <c r="BA103" i="58" s="1"/>
  <c r="AQ139" i="58"/>
  <c r="AP139" i="58"/>
  <c r="AZ9" i="58"/>
  <c r="BA9" i="58"/>
  <c r="BA93" i="58"/>
  <c r="AP75" i="58"/>
  <c r="AP59" i="58"/>
  <c r="AP43" i="58"/>
  <c r="AQ152" i="58"/>
  <c r="AP152" i="58"/>
  <c r="AU13" i="58"/>
  <c r="AP13" i="58" s="1"/>
  <c r="AP49" i="58"/>
  <c r="AP129" i="58"/>
  <c r="BA19" i="58"/>
  <c r="AU15" i="58"/>
  <c r="AP15" i="58" s="1"/>
  <c r="BA17" i="58"/>
  <c r="AU31" i="58"/>
  <c r="AP31" i="58" s="1"/>
  <c r="BB59" i="58"/>
  <c r="BB75" i="58"/>
  <c r="BB139" i="58"/>
  <c r="BD139" i="58" s="1"/>
  <c r="BE139" i="58" s="1"/>
  <c r="BB104" i="58"/>
  <c r="BC73" i="58"/>
  <c r="BF73" i="58" s="1"/>
  <c r="AP111" i="58"/>
  <c r="BB152" i="58"/>
  <c r="BB43" i="58"/>
  <c r="AP24" i="58"/>
  <c r="BB61" i="58"/>
  <c r="AU9" i="58"/>
  <c r="AP9" i="58" s="1"/>
  <c r="BB143" i="58"/>
  <c r="BB131" i="58"/>
  <c r="BB51" i="58"/>
  <c r="BB167" i="58"/>
  <c r="BB67" i="58"/>
  <c r="AQ31" i="58"/>
  <c r="BB31" i="58" s="1"/>
  <c r="AQ15" i="58"/>
  <c r="BB49" i="58"/>
  <c r="BC83" i="58"/>
  <c r="BC147" i="58"/>
  <c r="BE147" i="58" s="1"/>
  <c r="BF147" i="58" s="1"/>
  <c r="BD73" i="58"/>
  <c r="BC139" i="58"/>
  <c r="BB129" i="58"/>
  <c r="AQ166" i="58"/>
  <c r="BB166" i="58" s="1"/>
  <c r="BC67" i="58"/>
  <c r="BC167" i="58"/>
  <c r="BE167" i="58" s="1"/>
  <c r="AQ171" i="58"/>
  <c r="BC171" i="58" s="1"/>
  <c r="AP171" i="58"/>
  <c r="BB24" i="58"/>
  <c r="BC24" i="58" s="1"/>
  <c r="BC152" i="58"/>
  <c r="BB111" i="58"/>
  <c r="BE111" i="58" s="1"/>
  <c r="BE73" i="58"/>
  <c r="BG73" i="58" s="1"/>
  <c r="AU103" i="58"/>
  <c r="BD147" i="58"/>
  <c r="BB15" i="58"/>
  <c r="BC15" i="58"/>
  <c r="BD15" i="58" s="1"/>
  <c r="BD83" i="58"/>
  <c r="BE83" i="58" s="1"/>
  <c r="BC111" i="58"/>
  <c r="BB171" i="58"/>
  <c r="BD167" i="58"/>
  <c r="AQ103" i="58"/>
  <c r="BB103" i="58" s="1"/>
  <c r="AP103" i="58"/>
  <c r="BD111" i="58"/>
  <c r="BD152" i="58"/>
  <c r="BE152" i="58"/>
  <c r="BF152" i="58" s="1"/>
  <c r="BG152" i="58" s="1"/>
  <c r="C22" i="535" l="1"/>
  <c r="AQ8" i="510"/>
  <c r="AL39" i="506"/>
  <c r="I23" i="537"/>
  <c r="I27" i="537" s="1"/>
  <c r="L7" i="537"/>
  <c r="H23" i="537"/>
  <c r="H27" i="537" s="1"/>
  <c r="BD14" i="512"/>
  <c r="BE14" i="512" s="1"/>
  <c r="T7" i="507"/>
  <c r="U7" i="507" s="1"/>
  <c r="AM7" i="524"/>
  <c r="AM53" i="524" s="1"/>
  <c r="AL7" i="514"/>
  <c r="BF7" i="512"/>
  <c r="L11" i="523"/>
  <c r="M11" i="523" s="1"/>
  <c r="N11" i="523" s="1"/>
  <c r="BF111" i="58"/>
  <c r="BG111" i="58" s="1"/>
  <c r="BC135" i="58"/>
  <c r="AP177" i="58"/>
  <c r="AQ177" i="58"/>
  <c r="AQ155" i="58"/>
  <c r="AP155" i="58"/>
  <c r="BE15" i="58"/>
  <c r="BF15" i="58" s="1"/>
  <c r="BG15" i="58" s="1"/>
  <c r="BC166" i="58"/>
  <c r="BD166" i="58"/>
  <c r="BF166" i="58" s="1"/>
  <c r="BG166" i="58" s="1"/>
  <c r="BC31" i="58"/>
  <c r="BD31" i="58"/>
  <c r="BF83" i="58"/>
  <c r="BG83" i="58"/>
  <c r="AQ165" i="58"/>
  <c r="AP165" i="58"/>
  <c r="BE166" i="58"/>
  <c r="BC103" i="58"/>
  <c r="BD171" i="58"/>
  <c r="BE171" i="58" s="1"/>
  <c r="BG147" i="58"/>
  <c r="BD24" i="58"/>
  <c r="BE24" i="58" s="1"/>
  <c r="BF139" i="58"/>
  <c r="BG139" i="58" s="1"/>
  <c r="BF167" i="58"/>
  <c r="BG167" i="58" s="1"/>
  <c r="AQ9" i="58"/>
  <c r="AQ13" i="58"/>
  <c r="AQ173" i="58"/>
  <c r="AQ109" i="58"/>
  <c r="AP147" i="58"/>
  <c r="AP135" i="58"/>
  <c r="AU17" i="58"/>
  <c r="BB41" i="58"/>
  <c r="BB57" i="58"/>
  <c r="AU93" i="58"/>
  <c r="BD67" i="58"/>
  <c r="BC51" i="58"/>
  <c r="BB120" i="58"/>
  <c r="BC120" i="58"/>
  <c r="BB69" i="58"/>
  <c r="AU23" i="58"/>
  <c r="AP113" i="58"/>
  <c r="AQ113" i="58"/>
  <c r="AQ53" i="58"/>
  <c r="AP53" i="58"/>
  <c r="AQ172" i="58"/>
  <c r="AP172" i="58"/>
  <c r="AP81" i="58"/>
  <c r="AQ81" i="58"/>
  <c r="BC143" i="58"/>
  <c r="AQ128" i="58"/>
  <c r="AP128" i="58"/>
  <c r="BC129" i="58"/>
  <c r="BA45" i="58"/>
  <c r="AU45" i="58"/>
  <c r="BC61" i="58"/>
  <c r="AQ117" i="58"/>
  <c r="AP117" i="58"/>
  <c r="AQ133" i="58"/>
  <c r="AP133" i="58"/>
  <c r="AY108" i="58"/>
  <c r="AZ108" i="58" s="1"/>
  <c r="BE78" i="58"/>
  <c r="BF78" i="58" s="1"/>
  <c r="BG78" i="58" s="1"/>
  <c r="BC170" i="58"/>
  <c r="BC49" i="58"/>
  <c r="AU19" i="58"/>
  <c r="BE82" i="58"/>
  <c r="BD135" i="58"/>
  <c r="BB121" i="58"/>
  <c r="BC121" i="58"/>
  <c r="BC136" i="58"/>
  <c r="BF136" i="58" s="1"/>
  <c r="BD136" i="58"/>
  <c r="BE136" i="58" s="1"/>
  <c r="BC131" i="58"/>
  <c r="BC104" i="58"/>
  <c r="BC43" i="58"/>
  <c r="BD43" i="58" s="1"/>
  <c r="BC59" i="58"/>
  <c r="BC75" i="58"/>
  <c r="BD75" i="58"/>
  <c r="BA137" i="58"/>
  <c r="AU137" i="58" s="1"/>
  <c r="AZ29" i="58"/>
  <c r="BA29" i="58"/>
  <c r="BA77" i="58"/>
  <c r="AU77" i="58"/>
  <c r="AZ163" i="58"/>
  <c r="BA163" i="58" s="1"/>
  <c r="AU163" i="58"/>
  <c r="AP169" i="58"/>
  <c r="AQ169" i="58"/>
  <c r="BA11" i="58"/>
  <c r="AU11" i="58"/>
  <c r="AZ95" i="58"/>
  <c r="BA95" i="58"/>
  <c r="AQ16" i="58"/>
  <c r="AP16" i="58"/>
  <c r="BA158" i="58"/>
  <c r="AU158" i="58"/>
  <c r="AQ125" i="58"/>
  <c r="AP125" i="58"/>
  <c r="BA106" i="58"/>
  <c r="AU106" i="58" s="1"/>
  <c r="BB62" i="58"/>
  <c r="BA30" i="58"/>
  <c r="AZ30" i="58"/>
  <c r="AU30" i="58"/>
  <c r="AY22" i="58"/>
  <c r="BE50" i="58"/>
  <c r="BF50" i="58" s="1"/>
  <c r="AU157" i="58"/>
  <c r="BA101" i="58"/>
  <c r="AU101" i="58" s="1"/>
  <c r="AU21" i="58"/>
  <c r="AQ154" i="58"/>
  <c r="BA127" i="58"/>
  <c r="AU127" i="58" s="1"/>
  <c r="BA65" i="58"/>
  <c r="AU65" i="58" s="1"/>
  <c r="AU37" i="58"/>
  <c r="AU123" i="58"/>
  <c r="AU115" i="58"/>
  <c r="BA85" i="58"/>
  <c r="AU85" i="58" s="1"/>
  <c r="AZ27" i="58"/>
  <c r="BA27" i="58" s="1"/>
  <c r="AU161" i="58"/>
  <c r="BA112" i="58"/>
  <c r="AU112" i="58" s="1"/>
  <c r="AX162" i="58"/>
  <c r="AZ91" i="58"/>
  <c r="AY141" i="58"/>
  <c r="AV175" i="58"/>
  <c r="AW175" i="58"/>
  <c r="AX175" i="58" s="1"/>
  <c r="AX160" i="58"/>
  <c r="AY119" i="58"/>
  <c r="AX134" i="58"/>
  <c r="AX118" i="58"/>
  <c r="AV99" i="58"/>
  <c r="AV105" i="58"/>
  <c r="AW105" i="58"/>
  <c r="AX92" i="58"/>
  <c r="AY92" i="58"/>
  <c r="AX86" i="58"/>
  <c r="AY86" i="58"/>
  <c r="AZ86" i="58" s="1"/>
  <c r="AY80" i="58"/>
  <c r="AZ80" i="58"/>
  <c r="AX56" i="58"/>
  <c r="AX42" i="58"/>
  <c r="AY42" i="58"/>
  <c r="AZ42" i="58"/>
  <c r="AX38" i="58"/>
  <c r="AX34" i="58"/>
  <c r="AX26" i="58"/>
  <c r="AY26" i="58"/>
  <c r="AX18" i="58"/>
  <c r="AX10" i="58"/>
  <c r="AV98" i="58"/>
  <c r="AY96" i="58"/>
  <c r="AX12" i="58"/>
  <c r="AY12" i="58"/>
  <c r="AY20" i="58"/>
  <c r="BA20" i="58" s="1"/>
  <c r="AZ20" i="58"/>
  <c r="AU20" i="58" s="1"/>
  <c r="AZ28" i="58"/>
  <c r="AX32" i="58"/>
  <c r="AY32" i="58" s="1"/>
  <c r="AZ32" i="58" s="1"/>
  <c r="AW25" i="58"/>
  <c r="AX25" i="58"/>
  <c r="AW33" i="58"/>
  <c r="AX33" i="58"/>
  <c r="AY164" i="58"/>
  <c r="AZ89" i="58"/>
  <c r="BA142" i="58"/>
  <c r="AU142" i="58" s="1"/>
  <c r="AY150" i="58"/>
  <c r="AZ150" i="58"/>
  <c r="AW168" i="58"/>
  <c r="AX168" i="58"/>
  <c r="AW153" i="58"/>
  <c r="AX153" i="58"/>
  <c r="AV159" i="58"/>
  <c r="BA148" i="58"/>
  <c r="AU148" i="58" s="1"/>
  <c r="AX146" i="58"/>
  <c r="AX126" i="58"/>
  <c r="AV107" i="58"/>
  <c r="AX87" i="58"/>
  <c r="AX79" i="58"/>
  <c r="AX71" i="58"/>
  <c r="AX63" i="58"/>
  <c r="AX55" i="58"/>
  <c r="AX47" i="58"/>
  <c r="AX39" i="58"/>
  <c r="AV97" i="58"/>
  <c r="AX72" i="58"/>
  <c r="AY64" i="58"/>
  <c r="AZ64" i="58"/>
  <c r="BA64" i="58" s="1"/>
  <c r="AX54" i="58"/>
  <c r="AX40" i="58"/>
  <c r="AZ22" i="58"/>
  <c r="BA22" i="58" s="1"/>
  <c r="AU22" i="58" s="1"/>
  <c r="AY14" i="58"/>
  <c r="AW176" i="58"/>
  <c r="AV176" i="58"/>
  <c r="AX176" i="58"/>
  <c r="AV110" i="58"/>
  <c r="AV102" i="58"/>
  <c r="AV94" i="58"/>
  <c r="AW94" i="58"/>
  <c r="AX100" i="58"/>
  <c r="AW46" i="58"/>
  <c r="AW48" i="58"/>
  <c r="AY174" i="58"/>
  <c r="AY156" i="58"/>
  <c r="AZ156" i="58" s="1"/>
  <c r="AU66" i="58"/>
  <c r="BA149" i="58"/>
  <c r="AU149" i="58" s="1"/>
  <c r="BA88" i="58"/>
  <c r="AU88" i="58" s="1"/>
  <c r="AY130" i="58"/>
  <c r="AZ130" i="58" s="1"/>
  <c r="AY114" i="58"/>
  <c r="AZ114" i="58" s="1"/>
  <c r="AY76" i="58"/>
  <c r="AY60" i="58"/>
  <c r="AZ60" i="58" s="1"/>
  <c r="AY44" i="58"/>
  <c r="AZ138" i="58"/>
  <c r="BA138" i="58" s="1"/>
  <c r="AZ122" i="58"/>
  <c r="BA122" i="58" s="1"/>
  <c r="AU122" i="58" s="1"/>
  <c r="AZ84" i="58"/>
  <c r="BA84" i="58" s="1"/>
  <c r="AU84" i="58" s="1"/>
  <c r="AZ68" i="58"/>
  <c r="BA68" i="58" s="1"/>
  <c r="AU68" i="58" s="1"/>
  <c r="AZ52" i="58"/>
  <c r="BA52" i="58" s="1"/>
  <c r="AU52" i="58" s="1"/>
  <c r="AZ36" i="58"/>
  <c r="BA36" i="58" s="1"/>
  <c r="AU36" i="58" s="1"/>
  <c r="AX35" i="58"/>
  <c r="AY118" i="58"/>
  <c r="AX124" i="58"/>
  <c r="AY126" i="58"/>
  <c r="AX132" i="58"/>
  <c r="AY134" i="58"/>
  <c r="AX140" i="58"/>
  <c r="AX144" i="58"/>
  <c r="AY144" i="58" s="1"/>
  <c r="AX145" i="58"/>
  <c r="AY72" i="58"/>
  <c r="AZ72" i="58" s="1"/>
  <c r="AY56" i="58"/>
  <c r="AX48" i="58"/>
  <c r="AY40" i="58"/>
  <c r="AZ40" i="58" s="1"/>
  <c r="AF10" i="380"/>
  <c r="AV10" i="380"/>
  <c r="AW10" i="380"/>
  <c r="AH34" i="380"/>
  <c r="AI34" i="380"/>
  <c r="AJ34" i="380" s="1"/>
  <c r="S35" i="380"/>
  <c r="T35" i="380"/>
  <c r="AD8" i="58"/>
  <c r="AO8" i="58" s="1"/>
  <c r="AD58" i="58"/>
  <c r="AO58" i="58" s="1"/>
  <c r="AD70" i="58"/>
  <c r="AO70" i="58" s="1"/>
  <c r="AD74" i="58"/>
  <c r="AO74" i="58" s="1"/>
  <c r="AA112" i="58"/>
  <c r="AD116" i="58"/>
  <c r="AO116" i="58" s="1"/>
  <c r="BG13" i="380"/>
  <c r="BA13" i="380" s="1"/>
  <c r="AC13" i="380"/>
  <c r="AD13" i="380" s="1"/>
  <c r="X13" i="380" s="1"/>
  <c r="AD32" i="380"/>
  <c r="AC32" i="380"/>
  <c r="X32" i="380"/>
  <c r="Y36" i="380"/>
  <c r="Z36" i="380" s="1"/>
  <c r="BB32" i="380"/>
  <c r="BC32" i="380" s="1"/>
  <c r="AD90" i="58"/>
  <c r="AO90" i="58" s="1"/>
  <c r="AD151" i="58"/>
  <c r="AO151" i="58" s="1"/>
  <c r="AG10" i="380"/>
  <c r="BM33" i="380"/>
  <c r="AC31" i="380"/>
  <c r="AD11" i="380"/>
  <c r="AC11" i="380"/>
  <c r="BD11" i="380"/>
  <c r="BD31" i="380"/>
  <c r="BE31" i="380"/>
  <c r="BF31" i="380" s="1"/>
  <c r="BG31" i="380" s="1"/>
  <c r="S25" i="380"/>
  <c r="T25" i="380"/>
  <c r="AU12" i="380"/>
  <c r="Z12" i="380"/>
  <c r="Y12" i="380"/>
  <c r="AA12" i="380"/>
  <c r="Y37" i="380"/>
  <c r="Z37" i="380"/>
  <c r="X33" i="380"/>
  <c r="Y30" i="380"/>
  <c r="Y28" i="380"/>
  <c r="Z28" i="380"/>
  <c r="Y21" i="380"/>
  <c r="AA21" i="380"/>
  <c r="AU21" i="380"/>
  <c r="Z21" i="380"/>
  <c r="AB21" i="380" s="1"/>
  <c r="AU26" i="380"/>
  <c r="Y26" i="380"/>
  <c r="Y15" i="380"/>
  <c r="AA15" i="380"/>
  <c r="Z15" i="380"/>
  <c r="AC15" i="380" s="1"/>
  <c r="AB15" i="380"/>
  <c r="Y16" i="380"/>
  <c r="Z16" i="380"/>
  <c r="AC16" i="380" s="1"/>
  <c r="AA16" i="380"/>
  <c r="AB16" i="380" s="1"/>
  <c r="Y24" i="380"/>
  <c r="AA24" i="380"/>
  <c r="Z24" i="380"/>
  <c r="AB24" i="380" s="1"/>
  <c r="Y23" i="380"/>
  <c r="Z23" i="380"/>
  <c r="AU19" i="380"/>
  <c r="Y19" i="380"/>
  <c r="Y17" i="380"/>
  <c r="Z18" i="380"/>
  <c r="Y22" i="380"/>
  <c r="Z22" i="380"/>
  <c r="AU20" i="380"/>
  <c r="Y20" i="380"/>
  <c r="AA18" i="380"/>
  <c r="R14" i="380"/>
  <c r="R29" i="380"/>
  <c r="R27" i="380"/>
  <c r="AA7" i="531"/>
  <c r="J7" i="531"/>
  <c r="S7" i="531"/>
  <c r="V7" i="531"/>
  <c r="V7" i="528"/>
  <c r="W7" i="528" s="1"/>
  <c r="R7" i="510"/>
  <c r="S7" i="510" s="1"/>
  <c r="L7" i="510"/>
  <c r="M7" i="510" s="1"/>
  <c r="U7" i="504"/>
  <c r="V7" i="504" s="1"/>
  <c r="O7" i="504"/>
  <c r="P7" i="504" s="1"/>
  <c r="I7" i="519"/>
  <c r="Z7" i="519"/>
  <c r="AA7" i="519" s="1"/>
  <c r="L7" i="519"/>
  <c r="M7" i="519" s="1"/>
  <c r="R7" i="516"/>
  <c r="S7" i="516" s="1"/>
  <c r="Z7" i="516"/>
  <c r="AA7" i="516" s="1"/>
  <c r="AA7" i="528"/>
  <c r="AB7" i="528" s="1"/>
  <c r="Z7" i="504"/>
  <c r="AA7" i="504" s="1"/>
  <c r="R7" i="504"/>
  <c r="S7" i="504" s="1"/>
  <c r="AV18" i="510"/>
  <c r="AA31" i="510"/>
  <c r="AA28" i="510"/>
  <c r="U7" i="510"/>
  <c r="V7" i="510" s="1"/>
  <c r="O7" i="510"/>
  <c r="P7" i="510" s="1"/>
  <c r="Z7" i="510"/>
  <c r="AA7" i="510" s="1"/>
  <c r="AV16" i="504"/>
  <c r="AV25" i="510"/>
  <c r="AU11" i="521"/>
  <c r="U7" i="519"/>
  <c r="V7" i="519" s="1"/>
  <c r="O7" i="519"/>
  <c r="P7" i="519" s="1"/>
  <c r="AV18" i="512"/>
  <c r="AA34" i="510"/>
  <c r="AA30" i="510"/>
  <c r="AA26" i="510"/>
  <c r="AA24" i="510"/>
  <c r="AA17" i="510"/>
  <c r="P7" i="528"/>
  <c r="Q7" i="528" s="1"/>
  <c r="AW8" i="524"/>
  <c r="AW21" i="524"/>
  <c r="AW19" i="524"/>
  <c r="AW9" i="524"/>
  <c r="AW7" i="524"/>
  <c r="AV8" i="519"/>
  <c r="AV10" i="519"/>
  <c r="AV11" i="519"/>
  <c r="AW22" i="524"/>
  <c r="AW18" i="524"/>
  <c r="AW16" i="524"/>
  <c r="AW15" i="524"/>
  <c r="AW14" i="524"/>
  <c r="AW13" i="524"/>
  <c r="AW12" i="524"/>
  <c r="AW11" i="524"/>
  <c r="AV17" i="514"/>
  <c r="AV14" i="514"/>
  <c r="AV13" i="514"/>
  <c r="AV7" i="514"/>
  <c r="AK12" i="521" l="1"/>
  <c r="T7" i="523"/>
  <c r="U7" i="523" s="1"/>
  <c r="AL11" i="533"/>
  <c r="BF14" i="512"/>
  <c r="AL7" i="504"/>
  <c r="AK7" i="531"/>
  <c r="AK12" i="531" s="1"/>
  <c r="AL7" i="519"/>
  <c r="T7" i="518" s="1"/>
  <c r="U7" i="518" s="1"/>
  <c r="AL7" i="510"/>
  <c r="AL35" i="510" s="1"/>
  <c r="AL37" i="508"/>
  <c r="V7" i="507"/>
  <c r="W7" i="507" s="1"/>
  <c r="T7" i="515"/>
  <c r="U7" i="515" s="1"/>
  <c r="T7" i="525"/>
  <c r="U7" i="525" s="1"/>
  <c r="M9" i="525"/>
  <c r="N9" i="525" s="1"/>
  <c r="M11" i="525"/>
  <c r="N11" i="525" s="1"/>
  <c r="M13" i="525"/>
  <c r="N13" i="525" s="1"/>
  <c r="M15" i="525"/>
  <c r="N15" i="525" s="1"/>
  <c r="M16" i="525"/>
  <c r="N16" i="525" s="1"/>
  <c r="M18" i="525"/>
  <c r="N18" i="525" s="1"/>
  <c r="M19" i="525"/>
  <c r="N19" i="525" s="1"/>
  <c r="M21" i="525"/>
  <c r="N21" i="525" s="1"/>
  <c r="M8" i="525"/>
  <c r="N8" i="525" s="1"/>
  <c r="M10" i="525"/>
  <c r="N10" i="525" s="1"/>
  <c r="M12" i="525"/>
  <c r="N12" i="525" s="1"/>
  <c r="M14" i="525"/>
  <c r="N14" i="525" s="1"/>
  <c r="M22" i="525"/>
  <c r="N22" i="525" s="1"/>
  <c r="L26" i="502"/>
  <c r="H18" i="513"/>
  <c r="L18" i="513" s="1"/>
  <c r="M18" i="513" s="1"/>
  <c r="N18" i="513" s="1"/>
  <c r="H27" i="513"/>
  <c r="L27" i="513" s="1"/>
  <c r="M27" i="513" s="1"/>
  <c r="N27" i="513" s="1"/>
  <c r="L16" i="505"/>
  <c r="M16" i="505" s="1"/>
  <c r="N16" i="505" s="1"/>
  <c r="AV9" i="519"/>
  <c r="H8" i="518"/>
  <c r="L8" i="518" s="1"/>
  <c r="M8" i="518" s="1"/>
  <c r="N8" i="518" s="1"/>
  <c r="AW19" i="526"/>
  <c r="AW12" i="526"/>
  <c r="AV33" i="512"/>
  <c r="AU11" i="531"/>
  <c r="AV16" i="514"/>
  <c r="AV21" i="508"/>
  <c r="AV12" i="508"/>
  <c r="AW25" i="526"/>
  <c r="AW9" i="526"/>
  <c r="AV18" i="508"/>
  <c r="AU7" i="531"/>
  <c r="S13" i="380"/>
  <c r="T13" i="380"/>
  <c r="AP36" i="58"/>
  <c r="AQ36" i="58"/>
  <c r="AP68" i="58"/>
  <c r="AQ68" i="58"/>
  <c r="AQ122" i="58"/>
  <c r="AP122" i="58"/>
  <c r="AQ149" i="58"/>
  <c r="AP149" i="58"/>
  <c r="AQ148" i="58"/>
  <c r="AP148" i="58"/>
  <c r="AP85" i="58"/>
  <c r="AQ85" i="58"/>
  <c r="AQ65" i="58"/>
  <c r="AP65" i="58"/>
  <c r="AQ106" i="58"/>
  <c r="AP106" i="58"/>
  <c r="BG136" i="58"/>
  <c r="BD32" i="380"/>
  <c r="BE32" i="380" s="1"/>
  <c r="AP52" i="58"/>
  <c r="AQ52" i="58"/>
  <c r="AP84" i="58"/>
  <c r="AQ84" i="58"/>
  <c r="AP22" i="58"/>
  <c r="AQ22" i="58"/>
  <c r="AQ20" i="58"/>
  <c r="AP20" i="58"/>
  <c r="AQ127" i="58"/>
  <c r="AP127" i="58"/>
  <c r="AQ137" i="58"/>
  <c r="AP137" i="58"/>
  <c r="Y29" i="380"/>
  <c r="Z29" i="380" s="1"/>
  <c r="AA22" i="380"/>
  <c r="AA23" i="380"/>
  <c r="AC23" i="380" s="1"/>
  <c r="BB26" i="380"/>
  <c r="BC26" i="380" s="1"/>
  <c r="BB21" i="380"/>
  <c r="BD21" i="380" s="1"/>
  <c r="BC21" i="380"/>
  <c r="T33" i="380"/>
  <c r="S33" i="380"/>
  <c r="R38" i="380"/>
  <c r="AE25" i="380"/>
  <c r="AF25" i="380"/>
  <c r="AG25" i="380" s="1"/>
  <c r="AW151" i="58"/>
  <c r="AV151" i="58"/>
  <c r="AX151" i="58"/>
  <c r="AY151" i="58" s="1"/>
  <c r="AA36" i="380"/>
  <c r="AD36" i="380" s="1"/>
  <c r="T32" i="380"/>
  <c r="S32" i="380"/>
  <c r="AV70" i="58"/>
  <c r="AW70" i="58"/>
  <c r="AX70" i="58"/>
  <c r="AV8" i="58"/>
  <c r="AO178" i="58"/>
  <c r="AW8" i="58"/>
  <c r="BH10" i="380"/>
  <c r="BJ10" i="380" s="1"/>
  <c r="BI10" i="380"/>
  <c r="BK10" i="380" s="1"/>
  <c r="AY145" i="58"/>
  <c r="BA145" i="58" s="1"/>
  <c r="AZ145" i="58"/>
  <c r="AY140" i="58"/>
  <c r="AZ140" i="58" s="1"/>
  <c r="AY132" i="58"/>
  <c r="AZ132" i="58"/>
  <c r="AY124" i="58"/>
  <c r="AZ124" i="58" s="1"/>
  <c r="AZ35" i="58"/>
  <c r="AU35" i="58" s="1"/>
  <c r="AZ44" i="58"/>
  <c r="AZ76" i="58"/>
  <c r="AY35" i="58"/>
  <c r="AP88" i="58"/>
  <c r="AQ88" i="58"/>
  <c r="AP66" i="58"/>
  <c r="AQ66" i="58"/>
  <c r="AZ174" i="58"/>
  <c r="AU40" i="58"/>
  <c r="BA40" i="58"/>
  <c r="AU72" i="58"/>
  <c r="BA72" i="58"/>
  <c r="AW107" i="58"/>
  <c r="AY107" i="58" s="1"/>
  <c r="AZ126" i="58"/>
  <c r="AU126" i="58" s="1"/>
  <c r="AQ142" i="58"/>
  <c r="AP142" i="58"/>
  <c r="AY10" i="58"/>
  <c r="BA10" i="58" s="1"/>
  <c r="BA42" i="58"/>
  <c r="AU42" i="58" s="1"/>
  <c r="AZ56" i="58"/>
  <c r="BA56" i="58" s="1"/>
  <c r="AU56" i="58" s="1"/>
  <c r="AZ134" i="58"/>
  <c r="BA134" i="58" s="1"/>
  <c r="AU134" i="58" s="1"/>
  <c r="AY160" i="58"/>
  <c r="AU138" i="58"/>
  <c r="AZ141" i="58"/>
  <c r="AU141" i="58" s="1"/>
  <c r="AY162" i="58"/>
  <c r="AP161" i="58"/>
  <c r="AQ161" i="58"/>
  <c r="AQ123" i="58"/>
  <c r="AP123" i="58"/>
  <c r="BB154" i="58"/>
  <c r="BC154" i="58" s="1"/>
  <c r="AP101" i="58"/>
  <c r="AQ101" i="58"/>
  <c r="AX102" i="58"/>
  <c r="AQ30" i="58"/>
  <c r="AP30" i="58"/>
  <c r="BC62" i="58"/>
  <c r="AP158" i="58"/>
  <c r="AQ158" i="58"/>
  <c r="AP11" i="58"/>
  <c r="AQ11" i="58"/>
  <c r="BB169" i="58"/>
  <c r="BC169" i="58"/>
  <c r="BD169" i="58"/>
  <c r="AQ163" i="58"/>
  <c r="AP163" i="58"/>
  <c r="AP77" i="58"/>
  <c r="AQ77" i="58"/>
  <c r="BD59" i="58"/>
  <c r="BE59" i="58"/>
  <c r="BF59" i="58" s="1"/>
  <c r="BG59" i="58" s="1"/>
  <c r="BD104" i="58"/>
  <c r="BE104" i="58" s="1"/>
  <c r="BD49" i="58"/>
  <c r="BE49" i="58" s="1"/>
  <c r="BA28" i="58"/>
  <c r="AU28" i="58" s="1"/>
  <c r="AU27" i="58"/>
  <c r="AQ45" i="58"/>
  <c r="AP45" i="58"/>
  <c r="BD129" i="58"/>
  <c r="BE129" i="58" s="1"/>
  <c r="BB128" i="58"/>
  <c r="BC128" i="58" s="1"/>
  <c r="BB81" i="58"/>
  <c r="BC81" i="58" s="1"/>
  <c r="BB172" i="58"/>
  <c r="BC172" i="58"/>
  <c r="BD172" i="58" s="1"/>
  <c r="BB53" i="58"/>
  <c r="BC53" i="58"/>
  <c r="BD51" i="58"/>
  <c r="BF51" i="58"/>
  <c r="BE51" i="58"/>
  <c r="BG51" i="58"/>
  <c r="AQ93" i="58"/>
  <c r="AP93" i="58"/>
  <c r="BC57" i="58"/>
  <c r="BD57" i="58"/>
  <c r="BE57" i="58" s="1"/>
  <c r="AP17" i="58"/>
  <c r="AQ17" i="58"/>
  <c r="BB13" i="58"/>
  <c r="BC13" i="58" s="1"/>
  <c r="BD170" i="58"/>
  <c r="BG170" i="58" s="1"/>
  <c r="BD103" i="58"/>
  <c r="BE103" i="58" s="1"/>
  <c r="BB165" i="58"/>
  <c r="BC165" i="58" s="1"/>
  <c r="BF24" i="58"/>
  <c r="BG24" i="58" s="1"/>
  <c r="BE31" i="58"/>
  <c r="BF31" i="58" s="1"/>
  <c r="BE135" i="58"/>
  <c r="BE170" i="58"/>
  <c r="BF171" i="58"/>
  <c r="BG171" i="58" s="1"/>
  <c r="Y27" i="380"/>
  <c r="Z27" i="380" s="1"/>
  <c r="AU14" i="380"/>
  <c r="Z14" i="380"/>
  <c r="Y14" i="380"/>
  <c r="Y41" i="380" s="1"/>
  <c r="Y42" i="380" s="1"/>
  <c r="AA14" i="380"/>
  <c r="AA20" i="380"/>
  <c r="BB20" i="380"/>
  <c r="BC20" i="380" s="1"/>
  <c r="Z20" i="380"/>
  <c r="AB22" i="380"/>
  <c r="AB18" i="380"/>
  <c r="AC18" i="380" s="1"/>
  <c r="Z17" i="380"/>
  <c r="Z19" i="380"/>
  <c r="BB19" i="380"/>
  <c r="BD19" i="380" s="1"/>
  <c r="BC19" i="380"/>
  <c r="AB23" i="380"/>
  <c r="AC24" i="380"/>
  <c r="AD16" i="380"/>
  <c r="X16" i="380" s="1"/>
  <c r="AD15" i="380"/>
  <c r="X15" i="380" s="1"/>
  <c r="Z26" i="380"/>
  <c r="AC21" i="380"/>
  <c r="AD21" i="380"/>
  <c r="X21" i="380" s="1"/>
  <c r="AA28" i="380"/>
  <c r="AB28" i="380" s="1"/>
  <c r="Z30" i="380"/>
  <c r="AA37" i="380"/>
  <c r="AC12" i="380"/>
  <c r="AB12" i="380"/>
  <c r="BB12" i="380"/>
  <c r="BC12" i="380" s="1"/>
  <c r="AU40" i="380"/>
  <c r="BA31" i="380"/>
  <c r="BE11" i="380"/>
  <c r="X11" i="380"/>
  <c r="AD31" i="380"/>
  <c r="X31" i="380" s="1"/>
  <c r="AV90" i="58"/>
  <c r="AB36" i="380"/>
  <c r="AC36" i="380"/>
  <c r="X36" i="380" s="1"/>
  <c r="AV13" i="380"/>
  <c r="AW13" i="380"/>
  <c r="AV116" i="58"/>
  <c r="AW116" i="58"/>
  <c r="AX116" i="58" s="1"/>
  <c r="AV74" i="58"/>
  <c r="AW74" i="58"/>
  <c r="AV58" i="58"/>
  <c r="AW58" i="58"/>
  <c r="AE35" i="380"/>
  <c r="AF35" i="380" s="1"/>
  <c r="AH10" i="380"/>
  <c r="AI10" i="380" s="1"/>
  <c r="AZ144" i="58"/>
  <c r="AU144" i="58" s="1"/>
  <c r="BA144" i="58"/>
  <c r="BA44" i="58"/>
  <c r="AU44" i="58" s="1"/>
  <c r="BA60" i="58"/>
  <c r="AU60" i="58" s="1"/>
  <c r="BA76" i="58"/>
  <c r="AU76" i="58" s="1"/>
  <c r="BA114" i="58"/>
  <c r="BA130" i="58"/>
  <c r="AU130" i="58" s="1"/>
  <c r="BA35" i="58"/>
  <c r="AZ48" i="58"/>
  <c r="AY48" i="58"/>
  <c r="AZ46" i="58"/>
  <c r="AX46" i="58"/>
  <c r="AY46" i="58" s="1"/>
  <c r="AY100" i="58"/>
  <c r="BA100" i="58" s="1"/>
  <c r="AZ100" i="58"/>
  <c r="AX94" i="58"/>
  <c r="AY94" i="58" s="1"/>
  <c r="AW102" i="58"/>
  <c r="AY102" i="58" s="1"/>
  <c r="AW110" i="58"/>
  <c r="AY176" i="58"/>
  <c r="AZ14" i="58"/>
  <c r="BA14" i="58"/>
  <c r="AU14" i="58" s="1"/>
  <c r="AY54" i="58"/>
  <c r="AZ54" i="58" s="1"/>
  <c r="AU64" i="58"/>
  <c r="AW97" i="58"/>
  <c r="AX97" i="58" s="1"/>
  <c r="AY39" i="58"/>
  <c r="AY47" i="58"/>
  <c r="AY55" i="58"/>
  <c r="AY63" i="58"/>
  <c r="AY71" i="58"/>
  <c r="AY79" i="58"/>
  <c r="AY87" i="58"/>
  <c r="AZ87" i="58" s="1"/>
  <c r="AX107" i="58"/>
  <c r="BA126" i="58"/>
  <c r="AY146" i="58"/>
  <c r="AY159" i="58"/>
  <c r="AY153" i="58"/>
  <c r="BA153" i="58" s="1"/>
  <c r="AZ153" i="58"/>
  <c r="AY168" i="58"/>
  <c r="AZ168" i="58"/>
  <c r="BA150" i="58"/>
  <c r="AU150" i="58" s="1"/>
  <c r="BA89" i="58"/>
  <c r="AU89" i="58" s="1"/>
  <c r="AZ164" i="58"/>
  <c r="AU164" i="58" s="1"/>
  <c r="BA164" i="58"/>
  <c r="AY33" i="58"/>
  <c r="BA33" i="58"/>
  <c r="AZ33" i="58"/>
  <c r="AU33" i="58"/>
  <c r="AY25" i="58"/>
  <c r="AZ25" i="58"/>
  <c r="AU25" i="58" s="1"/>
  <c r="BA25" i="58"/>
  <c r="BA32" i="58"/>
  <c r="AU32" i="58"/>
  <c r="AZ12" i="58"/>
  <c r="BA12" i="58"/>
  <c r="AU12" i="58" s="1"/>
  <c r="AZ96" i="58"/>
  <c r="AW98" i="58"/>
  <c r="AZ10" i="58"/>
  <c r="AY18" i="58"/>
  <c r="AZ18" i="58" s="1"/>
  <c r="AZ26" i="58"/>
  <c r="BA26" i="58" s="1"/>
  <c r="AU26" i="58" s="1"/>
  <c r="AY34" i="58"/>
  <c r="AZ34" i="58" s="1"/>
  <c r="AY38" i="58"/>
  <c r="AZ38" i="58" s="1"/>
  <c r="BA80" i="58"/>
  <c r="AU80" i="58" s="1"/>
  <c r="BA86" i="58"/>
  <c r="AU86" i="58" s="1"/>
  <c r="AZ92" i="58"/>
  <c r="BA92" i="58" s="1"/>
  <c r="AU92" i="58" s="1"/>
  <c r="AX105" i="58"/>
  <c r="AW99" i="58"/>
  <c r="AX99" i="58" s="1"/>
  <c r="AY99" i="58"/>
  <c r="AZ118" i="58"/>
  <c r="AZ119" i="58"/>
  <c r="BA119" i="58"/>
  <c r="AU119" i="58" s="1"/>
  <c r="AZ160" i="58"/>
  <c r="AY175" i="58"/>
  <c r="BA175" i="58"/>
  <c r="AZ175" i="58"/>
  <c r="AU175" i="58"/>
  <c r="BA141" i="58"/>
  <c r="BA156" i="58"/>
  <c r="AU156" i="58" s="1"/>
  <c r="BA91" i="58"/>
  <c r="AU91" i="58"/>
  <c r="AZ162" i="58"/>
  <c r="AQ112" i="58"/>
  <c r="AP112" i="58"/>
  <c r="AQ115" i="58"/>
  <c r="AP115" i="58"/>
  <c r="AQ37" i="58"/>
  <c r="AP37" i="58"/>
  <c r="AQ21" i="58"/>
  <c r="AP21" i="58"/>
  <c r="AQ157" i="58"/>
  <c r="AP157" i="58"/>
  <c r="BG50" i="58"/>
  <c r="AW159" i="58"/>
  <c r="AX159" i="58" s="1"/>
  <c r="AU114" i="58"/>
  <c r="BD62" i="58"/>
  <c r="BB125" i="58"/>
  <c r="BC16" i="58"/>
  <c r="BB16" i="58"/>
  <c r="BD16" i="58"/>
  <c r="AU95" i="58"/>
  <c r="AU29" i="58"/>
  <c r="BE43" i="58"/>
  <c r="BF43" i="58" s="1"/>
  <c r="BG43" i="58" s="1"/>
  <c r="BD121" i="58"/>
  <c r="BF121" i="58"/>
  <c r="BE121" i="58"/>
  <c r="BG121" i="58"/>
  <c r="BF82" i="58"/>
  <c r="BG82" i="58" s="1"/>
  <c r="AP19" i="58"/>
  <c r="AQ19" i="58"/>
  <c r="BA108" i="58"/>
  <c r="AU108" i="58" s="1"/>
  <c r="BB133" i="58"/>
  <c r="BC133" i="58"/>
  <c r="BB117" i="58"/>
  <c r="BC117" i="58"/>
  <c r="BD61" i="58"/>
  <c r="BD143" i="58"/>
  <c r="BE143" i="58" s="1"/>
  <c r="BF143" i="58" s="1"/>
  <c r="BB113" i="58"/>
  <c r="BC113" i="58" s="1"/>
  <c r="AQ23" i="58"/>
  <c r="AP23" i="58"/>
  <c r="BC69" i="58"/>
  <c r="BD69" i="58" s="1"/>
  <c r="BD120" i="58"/>
  <c r="BE120" i="58" s="1"/>
  <c r="BF120" i="58" s="1"/>
  <c r="BE67" i="58"/>
  <c r="BG67" i="58" s="1"/>
  <c r="BF67" i="58"/>
  <c r="BC41" i="58"/>
  <c r="BB109" i="58"/>
  <c r="BC109" i="58"/>
  <c r="BD109" i="58"/>
  <c r="BE109" i="58" s="1"/>
  <c r="BB173" i="58"/>
  <c r="BC173" i="58"/>
  <c r="BB9" i="58"/>
  <c r="BC9" i="58" s="1"/>
  <c r="BF170" i="58"/>
  <c r="BE131" i="58"/>
  <c r="BF131" i="58" s="1"/>
  <c r="BD131" i="58"/>
  <c r="BB155" i="58"/>
  <c r="BC155" i="58" s="1"/>
  <c r="BB177" i="58"/>
  <c r="BC177" i="58" s="1"/>
  <c r="BE75" i="58"/>
  <c r="AV7" i="508"/>
  <c r="AV18" i="506"/>
  <c r="AW15" i="526"/>
  <c r="AV8" i="508"/>
  <c r="AV30" i="504"/>
  <c r="AV7" i="510"/>
  <c r="AV31" i="512"/>
  <c r="AV16" i="506"/>
  <c r="AU8" i="531"/>
  <c r="AV23" i="506"/>
  <c r="AV30" i="512"/>
  <c r="AV7" i="506"/>
  <c r="AV17" i="506"/>
  <c r="AV21" i="506"/>
  <c r="AV19" i="506"/>
  <c r="AV36" i="508"/>
  <c r="AV7" i="519"/>
  <c r="AV28" i="512"/>
  <c r="AV29" i="506"/>
  <c r="AX31" i="481"/>
  <c r="AX36" i="481"/>
  <c r="AV18" i="514"/>
  <c r="AV8" i="504"/>
  <c r="AV18" i="504"/>
  <c r="AV7" i="504"/>
  <c r="AV13" i="508"/>
  <c r="AV15" i="514"/>
  <c r="AV29" i="504"/>
  <c r="AV20" i="508"/>
  <c r="AV29" i="512"/>
  <c r="AV28" i="506"/>
  <c r="AV27" i="506"/>
  <c r="AV24" i="506"/>
  <c r="AV33" i="504"/>
  <c r="AV12" i="504"/>
  <c r="AV40" i="504"/>
  <c r="AV28" i="504"/>
  <c r="AV37" i="506"/>
  <c r="AX22" i="481"/>
  <c r="AX33" i="481"/>
  <c r="AX24" i="481"/>
  <c r="AV9" i="504"/>
  <c r="AV15" i="504"/>
  <c r="AV17" i="504"/>
  <c r="AV24" i="510"/>
  <c r="K7" i="528"/>
  <c r="AL7" i="528" s="1"/>
  <c r="AL20" i="528" s="1"/>
  <c r="AV31" i="510"/>
  <c r="AV28" i="510"/>
  <c r="AV26" i="510"/>
  <c r="AV27" i="510"/>
  <c r="AV17" i="510"/>
  <c r="AV26" i="506"/>
  <c r="AV32" i="506"/>
  <c r="AV25" i="506"/>
  <c r="AV38" i="506"/>
  <c r="AX34" i="481"/>
  <c r="AX23" i="481"/>
  <c r="AV30" i="510"/>
  <c r="AV34" i="510"/>
  <c r="AX35" i="481"/>
  <c r="AP27" i="514" l="1"/>
  <c r="M26" i="502"/>
  <c r="N26" i="502" s="1"/>
  <c r="V7" i="518"/>
  <c r="W7" i="518" s="1"/>
  <c r="F7" i="507"/>
  <c r="F39" i="507" s="1"/>
  <c r="E9" i="537" s="1"/>
  <c r="AL41" i="504"/>
  <c r="T7" i="505"/>
  <c r="U7" i="505" s="1"/>
  <c r="V7" i="523"/>
  <c r="W7" i="523" s="1"/>
  <c r="AP26" i="526"/>
  <c r="H25" i="527"/>
  <c r="L25" i="527" s="1"/>
  <c r="T7" i="509"/>
  <c r="U7" i="509" s="1"/>
  <c r="V39" i="507"/>
  <c r="V7" i="515"/>
  <c r="W7" i="515" s="1"/>
  <c r="V7" i="525"/>
  <c r="W7" i="525" s="1"/>
  <c r="V26" i="527"/>
  <c r="T7" i="532"/>
  <c r="U7" i="532" s="1"/>
  <c r="T7" i="511"/>
  <c r="U7" i="511" s="1"/>
  <c r="T7" i="530"/>
  <c r="U7" i="530" s="1"/>
  <c r="AL14" i="519"/>
  <c r="H8" i="532"/>
  <c r="L8" i="532" s="1"/>
  <c r="M8" i="532" s="1"/>
  <c r="N8" i="532" s="1"/>
  <c r="H11" i="532"/>
  <c r="L11" i="532" s="1"/>
  <c r="M11" i="532" s="1"/>
  <c r="N11" i="532" s="1"/>
  <c r="L23" i="502"/>
  <c r="L27" i="502"/>
  <c r="L34" i="502"/>
  <c r="L33" i="502"/>
  <c r="L22" i="502"/>
  <c r="L35" i="502"/>
  <c r="L31" i="502"/>
  <c r="L36" i="502"/>
  <c r="L24" i="502"/>
  <c r="H33" i="513"/>
  <c r="L33" i="513" s="1"/>
  <c r="M33" i="513" s="1"/>
  <c r="N33" i="513" s="1"/>
  <c r="H30" i="513"/>
  <c r="L30" i="513" s="1"/>
  <c r="M30" i="513" s="1"/>
  <c r="N30" i="513" s="1"/>
  <c r="H29" i="513"/>
  <c r="L29" i="513" s="1"/>
  <c r="M29" i="513" s="1"/>
  <c r="N29" i="513" s="1"/>
  <c r="H31" i="513"/>
  <c r="L31" i="513" s="1"/>
  <c r="M31" i="513" s="1"/>
  <c r="N31" i="513" s="1"/>
  <c r="H28" i="513"/>
  <c r="L28" i="513" s="1"/>
  <c r="M28" i="513" s="1"/>
  <c r="N28" i="513" s="1"/>
  <c r="L8" i="505"/>
  <c r="M8" i="505" s="1"/>
  <c r="N8" i="505" s="1"/>
  <c r="L12" i="505"/>
  <c r="M12" i="505" s="1"/>
  <c r="N12" i="505" s="1"/>
  <c r="L17" i="505"/>
  <c r="M17" i="505" s="1"/>
  <c r="N17" i="505" s="1"/>
  <c r="L35" i="505"/>
  <c r="M35" i="505" s="1"/>
  <c r="N35" i="505" s="1"/>
  <c r="L40" i="505"/>
  <c r="M40" i="505" s="1"/>
  <c r="N40" i="505" s="1"/>
  <c r="L9" i="505"/>
  <c r="M9" i="505" s="1"/>
  <c r="N9" i="505" s="1"/>
  <c r="L36" i="505"/>
  <c r="M36" i="505" s="1"/>
  <c r="N36" i="505" s="1"/>
  <c r="L29" i="505"/>
  <c r="M29" i="505" s="1"/>
  <c r="N29" i="505" s="1"/>
  <c r="L15" i="505"/>
  <c r="M15" i="505" s="1"/>
  <c r="N15" i="505" s="1"/>
  <c r="L18" i="505"/>
  <c r="M18" i="505" s="1"/>
  <c r="N18" i="505" s="1"/>
  <c r="L33" i="505"/>
  <c r="M33" i="505" s="1"/>
  <c r="N33" i="505" s="1"/>
  <c r="L39" i="505"/>
  <c r="M39" i="505" s="1"/>
  <c r="N39" i="505" s="1"/>
  <c r="L28" i="505"/>
  <c r="M28" i="505" s="1"/>
  <c r="N28" i="505" s="1"/>
  <c r="L30" i="505"/>
  <c r="M30" i="505" s="1"/>
  <c r="N30" i="505" s="1"/>
  <c r="O16" i="505"/>
  <c r="P16" i="505" s="1"/>
  <c r="H9" i="518"/>
  <c r="L9" i="518" s="1"/>
  <c r="M9" i="518" s="1"/>
  <c r="N9" i="518" s="1"/>
  <c r="AL28" i="514"/>
  <c r="BD177" i="58"/>
  <c r="BG131" i="58"/>
  <c r="BD113" i="58"/>
  <c r="BF113" i="58"/>
  <c r="BG113" i="58" s="1"/>
  <c r="BE113" i="58"/>
  <c r="AP119" i="58"/>
  <c r="AQ119" i="58"/>
  <c r="AQ92" i="58"/>
  <c r="AP92" i="58"/>
  <c r="AP80" i="58"/>
  <c r="AQ80" i="58"/>
  <c r="AQ12" i="58"/>
  <c r="AP12" i="58"/>
  <c r="AQ164" i="58"/>
  <c r="AP164" i="58"/>
  <c r="AQ150" i="58"/>
  <c r="AP150" i="58"/>
  <c r="AZ94" i="58"/>
  <c r="AQ130" i="58"/>
  <c r="AP130" i="58"/>
  <c r="AQ76" i="58"/>
  <c r="AP76" i="58"/>
  <c r="AQ44" i="58"/>
  <c r="AP44" i="58"/>
  <c r="AQ144" i="58"/>
  <c r="AP144" i="58"/>
  <c r="S31" i="380"/>
  <c r="T31" i="380"/>
  <c r="AD28" i="380"/>
  <c r="AC28" i="380"/>
  <c r="X28" i="380" s="1"/>
  <c r="T15" i="380"/>
  <c r="S15" i="380"/>
  <c r="BE19" i="380"/>
  <c r="BD165" i="58"/>
  <c r="BF57" i="58"/>
  <c r="BG57" i="58"/>
  <c r="BD81" i="58"/>
  <c r="BF81" i="58" s="1"/>
  <c r="BE81" i="58"/>
  <c r="AP28" i="58"/>
  <c r="AQ28" i="58"/>
  <c r="AQ141" i="58"/>
  <c r="AP141" i="58"/>
  <c r="AP56" i="58"/>
  <c r="AQ56" i="58"/>
  <c r="AA29" i="380"/>
  <c r="BF32" i="380"/>
  <c r="BG32" i="380"/>
  <c r="BD155" i="58"/>
  <c r="BE155" i="58" s="1"/>
  <c r="AQ108" i="58"/>
  <c r="AP108" i="58"/>
  <c r="AQ156" i="58"/>
  <c r="AP156" i="58"/>
  <c r="AQ86" i="58"/>
  <c r="AP86" i="58"/>
  <c r="AQ26" i="58"/>
  <c r="AP26" i="58"/>
  <c r="AP25" i="58"/>
  <c r="AQ25" i="58"/>
  <c r="AQ89" i="58"/>
  <c r="AP89" i="58"/>
  <c r="AQ14" i="58"/>
  <c r="AP14" i="58"/>
  <c r="AQ60" i="58"/>
  <c r="AP60" i="58"/>
  <c r="T36" i="380"/>
  <c r="S36" i="380"/>
  <c r="BD12" i="380"/>
  <c r="T21" i="380"/>
  <c r="S21" i="380"/>
  <c r="T16" i="380"/>
  <c r="S16" i="380"/>
  <c r="AA27" i="380"/>
  <c r="BG103" i="58"/>
  <c r="BF103" i="58"/>
  <c r="BD13" i="58"/>
  <c r="BG49" i="58"/>
  <c r="BF49" i="58"/>
  <c r="AP134" i="58"/>
  <c r="AQ134" i="58"/>
  <c r="AP42" i="58"/>
  <c r="AQ42" i="58"/>
  <c r="AQ126" i="58"/>
  <c r="AP126" i="58"/>
  <c r="AQ35" i="58"/>
  <c r="AP35" i="58"/>
  <c r="AZ151" i="58"/>
  <c r="AU151" i="58" s="1"/>
  <c r="BD26" i="380"/>
  <c r="BD9" i="58"/>
  <c r="BG9" i="58" s="1"/>
  <c r="BD173" i="58"/>
  <c r="BE41" i="58"/>
  <c r="BD41" i="58"/>
  <c r="BB23" i="58"/>
  <c r="BC23" i="58" s="1"/>
  <c r="BE61" i="58"/>
  <c r="BF61" i="58" s="1"/>
  <c r="BG61" i="58" s="1"/>
  <c r="BD117" i="58"/>
  <c r="BD133" i="58"/>
  <c r="BE133" i="58" s="1"/>
  <c r="BF75" i="58"/>
  <c r="BG75" i="58" s="1"/>
  <c r="AQ95" i="58"/>
  <c r="AP95" i="58"/>
  <c r="AQ114" i="58"/>
  <c r="AP114" i="58"/>
  <c r="BB157" i="58"/>
  <c r="BC157" i="58" s="1"/>
  <c r="BC21" i="58"/>
  <c r="BE21" i="58" s="1"/>
  <c r="BB21" i="58"/>
  <c r="BD21" i="58"/>
  <c r="BB37" i="58"/>
  <c r="BC37" i="58" s="1"/>
  <c r="BB115" i="58"/>
  <c r="BC115" i="58" s="1"/>
  <c r="BC112" i="58"/>
  <c r="BF112" i="58" s="1"/>
  <c r="BB112" i="58"/>
  <c r="BE112" i="58" s="1"/>
  <c r="BD112" i="58"/>
  <c r="BG112" i="58" s="1"/>
  <c r="AP91" i="58"/>
  <c r="AQ91" i="58"/>
  <c r="AP175" i="58"/>
  <c r="AQ175" i="58"/>
  <c r="AZ99" i="58"/>
  <c r="BA99" i="58" s="1"/>
  <c r="AQ32" i="58"/>
  <c r="AP32" i="58"/>
  <c r="AP33" i="58"/>
  <c r="AQ33" i="58"/>
  <c r="BA168" i="58"/>
  <c r="AU168" i="58" s="1"/>
  <c r="AX58" i="58"/>
  <c r="AX74" i="58"/>
  <c r="BH13" i="380"/>
  <c r="BI13" i="380"/>
  <c r="AW90" i="58"/>
  <c r="BD20" i="380"/>
  <c r="BB17" i="58"/>
  <c r="BG143" i="58"/>
  <c r="BD128" i="58"/>
  <c r="BG128" i="58" s="1"/>
  <c r="BF129" i="58"/>
  <c r="AP27" i="58"/>
  <c r="AQ27" i="58"/>
  <c r="BC77" i="58"/>
  <c r="BE77" i="58" s="1"/>
  <c r="BF77" i="58" s="1"/>
  <c r="BB77" i="58"/>
  <c r="BD77" i="58"/>
  <c r="BE169" i="58"/>
  <c r="BB11" i="58"/>
  <c r="BC11" i="58"/>
  <c r="BB158" i="58"/>
  <c r="BC158" i="58" s="1"/>
  <c r="BE62" i="58"/>
  <c r="BF62" i="58" s="1"/>
  <c r="BC30" i="58"/>
  <c r="BB30" i="58"/>
  <c r="BC123" i="58"/>
  <c r="BD123" i="58" s="1"/>
  <c r="BB123" i="58"/>
  <c r="BA18" i="58"/>
  <c r="AU18" i="58" s="1"/>
  <c r="AX98" i="58"/>
  <c r="AY98" i="58" s="1"/>
  <c r="AZ107" i="58"/>
  <c r="BA87" i="58"/>
  <c r="AZ79" i="58"/>
  <c r="BA79" i="58" s="1"/>
  <c r="AU79" i="58" s="1"/>
  <c r="AZ71" i="58"/>
  <c r="BA71" i="58" s="1"/>
  <c r="AZ63" i="58"/>
  <c r="BA63" i="58" s="1"/>
  <c r="AU63" i="58" s="1"/>
  <c r="AZ55" i="58"/>
  <c r="BA55" i="58" s="1"/>
  <c r="AU55" i="58" s="1"/>
  <c r="AZ47" i="58"/>
  <c r="BA47" i="58" s="1"/>
  <c r="AU47" i="58" s="1"/>
  <c r="AZ39" i="58"/>
  <c r="BA39" i="58" s="1"/>
  <c r="AY97" i="58"/>
  <c r="AZ97" i="58"/>
  <c r="AP72" i="58"/>
  <c r="AQ72" i="58"/>
  <c r="BA54" i="58"/>
  <c r="AP40" i="58"/>
  <c r="AQ40" i="58"/>
  <c r="BA174" i="58"/>
  <c r="AU174" i="58" s="1"/>
  <c r="BA132" i="58"/>
  <c r="AU132" i="58" s="1"/>
  <c r="AW7" i="58"/>
  <c r="AW179" i="58"/>
  <c r="AW180" i="58" s="1"/>
  <c r="AY70" i="58"/>
  <c r="Z41" i="380"/>
  <c r="Z42" i="380" s="1"/>
  <c r="AE33" i="380"/>
  <c r="AF33" i="380" s="1"/>
  <c r="BE21" i="380"/>
  <c r="BE26" i="380"/>
  <c r="BF26" i="380" s="1"/>
  <c r="AA26" i="380"/>
  <c r="X26" i="380" s="1"/>
  <c r="AB26" i="380"/>
  <c r="AD26" i="380" s="1"/>
  <c r="AD23" i="380"/>
  <c r="X23" i="380" s="1"/>
  <c r="AA19" i="380"/>
  <c r="AB19" i="380" s="1"/>
  <c r="AD18" i="380"/>
  <c r="X18" i="380" s="1"/>
  <c r="AB20" i="380"/>
  <c r="BA96" i="58"/>
  <c r="AU96" i="58" s="1"/>
  <c r="BB20" i="58"/>
  <c r="BC20" i="58" s="1"/>
  <c r="BA32" i="380"/>
  <c r="AB37" i="380"/>
  <c r="AC37" i="380" s="1"/>
  <c r="AD24" i="380"/>
  <c r="X24" i="380" s="1"/>
  <c r="BF135" i="58"/>
  <c r="BG135" i="58" s="1"/>
  <c r="BC85" i="58"/>
  <c r="BB85" i="58"/>
  <c r="BB148" i="58"/>
  <c r="BC148" i="58" s="1"/>
  <c r="BC149" i="58"/>
  <c r="BF149" i="58" s="1"/>
  <c r="BB149" i="58"/>
  <c r="BD149" i="58"/>
  <c r="BE149" i="58"/>
  <c r="BB122" i="58"/>
  <c r="BD122" i="58" s="1"/>
  <c r="BC122" i="58"/>
  <c r="BA48" i="58"/>
  <c r="AU48" i="58" s="1"/>
  <c r="BE177" i="58"/>
  <c r="BG177" i="58" s="1"/>
  <c r="BF177" i="58"/>
  <c r="BE9" i="58"/>
  <c r="BF9" i="58"/>
  <c r="BE173" i="58"/>
  <c r="BF109" i="58"/>
  <c r="BG109" i="58" s="1"/>
  <c r="BF41" i="58"/>
  <c r="BG120" i="58"/>
  <c r="BE69" i="58"/>
  <c r="BF69" i="58" s="1"/>
  <c r="BE117" i="58"/>
  <c r="BC19" i="58"/>
  <c r="BD19" i="58" s="1"/>
  <c r="BB19" i="58"/>
  <c r="AQ29" i="58"/>
  <c r="AP29" i="58"/>
  <c r="BE16" i="58"/>
  <c r="BC125" i="58"/>
  <c r="AY105" i="58"/>
  <c r="BA34" i="58"/>
  <c r="AU34" i="58" s="1"/>
  <c r="AU153" i="58"/>
  <c r="AZ159" i="58"/>
  <c r="BA159" i="58" s="1"/>
  <c r="AU87" i="58"/>
  <c r="AP64" i="58"/>
  <c r="AQ64" i="58"/>
  <c r="AZ176" i="58"/>
  <c r="BA94" i="58"/>
  <c r="AU94" i="58" s="1"/>
  <c r="AU100" i="58"/>
  <c r="AG35" i="380"/>
  <c r="AY58" i="58"/>
  <c r="AY74" i="58"/>
  <c r="AY116" i="58"/>
  <c r="AJ10" i="380"/>
  <c r="T11" i="380"/>
  <c r="S11" i="380"/>
  <c r="AW31" i="380"/>
  <c r="AV31" i="380"/>
  <c r="BE12" i="380"/>
  <c r="BF19" i="380"/>
  <c r="AA17" i="380"/>
  <c r="BE20" i="380"/>
  <c r="BF20" i="380"/>
  <c r="BG20" i="380" s="1"/>
  <c r="AB14" i="380"/>
  <c r="BB14" i="380"/>
  <c r="BC14" i="380" s="1"/>
  <c r="BE165" i="58"/>
  <c r="BF165" i="58" s="1"/>
  <c r="BE13" i="58"/>
  <c r="BF13" i="58" s="1"/>
  <c r="BB93" i="58"/>
  <c r="BC93" i="58" s="1"/>
  <c r="BD53" i="58"/>
  <c r="BE172" i="58"/>
  <c r="BF172" i="58" s="1"/>
  <c r="BE128" i="58"/>
  <c r="BF128" i="58"/>
  <c r="BG129" i="58"/>
  <c r="BB45" i="58"/>
  <c r="BC45" i="58" s="1"/>
  <c r="BF104" i="58"/>
  <c r="BG104" i="58" s="1"/>
  <c r="BB163" i="58"/>
  <c r="BC163" i="58" s="1"/>
  <c r="BB101" i="58"/>
  <c r="BC101" i="58"/>
  <c r="BD154" i="58"/>
  <c r="BE154" i="58" s="1"/>
  <c r="BF154" i="58" s="1"/>
  <c r="BB161" i="58"/>
  <c r="BC161" i="58"/>
  <c r="BA162" i="58"/>
  <c r="AU162" i="58" s="1"/>
  <c r="AQ138" i="58"/>
  <c r="AP138" i="58"/>
  <c r="BA160" i="58"/>
  <c r="AU160" i="58" s="1"/>
  <c r="BA118" i="58"/>
  <c r="AU118" i="58" s="1"/>
  <c r="BA38" i="58"/>
  <c r="AU38" i="58" s="1"/>
  <c r="AU10" i="58"/>
  <c r="BB142" i="58"/>
  <c r="BC142" i="58"/>
  <c r="BD142" i="58" s="1"/>
  <c r="AZ146" i="58"/>
  <c r="BA97" i="58"/>
  <c r="AU97" i="58"/>
  <c r="AU54" i="58"/>
  <c r="AX110" i="58"/>
  <c r="AZ102" i="58"/>
  <c r="BA46" i="58"/>
  <c r="AU46" i="58" s="1"/>
  <c r="BB66" i="58"/>
  <c r="BB88" i="58"/>
  <c r="BC88" i="58" s="1"/>
  <c r="BA124" i="58"/>
  <c r="AU124" i="58" s="1"/>
  <c r="BA140" i="58"/>
  <c r="AU140" i="58" s="1"/>
  <c r="AU145" i="58"/>
  <c r="BL10" i="380"/>
  <c r="BM10" i="380"/>
  <c r="AX8" i="58"/>
  <c r="AV179" i="58"/>
  <c r="AV180" i="58" s="1"/>
  <c r="AV7" i="58"/>
  <c r="AE32" i="380"/>
  <c r="AF32" i="380"/>
  <c r="AG32" i="380" s="1"/>
  <c r="BA151" i="58"/>
  <c r="BF11" i="380"/>
  <c r="BG11" i="380" s="1"/>
  <c r="AH25" i="380"/>
  <c r="AD12" i="380"/>
  <c r="AA30" i="380"/>
  <c r="AA41" i="380" s="1"/>
  <c r="AA42" i="380" s="1"/>
  <c r="AC26" i="380"/>
  <c r="BB137" i="58"/>
  <c r="BC137" i="58" s="1"/>
  <c r="BB127" i="58"/>
  <c r="BC127" i="58"/>
  <c r="BF127" i="58" s="1"/>
  <c r="BD127" i="58"/>
  <c r="BE127" i="58"/>
  <c r="BB22" i="58"/>
  <c r="BC22" i="58"/>
  <c r="BD22" i="58" s="1"/>
  <c r="BB84" i="58"/>
  <c r="BC84" i="58" s="1"/>
  <c r="BB52" i="58"/>
  <c r="BC52" i="58" s="1"/>
  <c r="AC22" i="380"/>
  <c r="BG31" i="58"/>
  <c r="BB106" i="58"/>
  <c r="BC106" i="58"/>
  <c r="BB65" i="58"/>
  <c r="BC65" i="58" s="1"/>
  <c r="BB68" i="58"/>
  <c r="BD68" i="58"/>
  <c r="BC68" i="58"/>
  <c r="BE68" i="58" s="1"/>
  <c r="BB36" i="58"/>
  <c r="AE13" i="380"/>
  <c r="AP17" i="514" l="1"/>
  <c r="AP14" i="514"/>
  <c r="AP15" i="514"/>
  <c r="AP13" i="514"/>
  <c r="AP10" i="514"/>
  <c r="AP19" i="514"/>
  <c r="AP25" i="510"/>
  <c r="AP18" i="510"/>
  <c r="H27" i="515"/>
  <c r="L27" i="515" s="1"/>
  <c r="M27" i="515" s="1"/>
  <c r="N27" i="515" s="1"/>
  <c r="AO7" i="521"/>
  <c r="W14" i="518"/>
  <c r="M25" i="527"/>
  <c r="N25" i="527" s="1"/>
  <c r="M24" i="502"/>
  <c r="N24" i="502" s="1"/>
  <c r="M31" i="502"/>
  <c r="N31" i="502" s="1"/>
  <c r="M22" i="502"/>
  <c r="N22" i="502" s="1"/>
  <c r="M34" i="502"/>
  <c r="N34" i="502" s="1"/>
  <c r="M23" i="502"/>
  <c r="N23" i="502" s="1"/>
  <c r="M36" i="502"/>
  <c r="N36" i="502" s="1"/>
  <c r="M35" i="502"/>
  <c r="N35" i="502" s="1"/>
  <c r="M33" i="502"/>
  <c r="N33" i="502" s="1"/>
  <c r="M27" i="502"/>
  <c r="N27" i="502" s="1"/>
  <c r="O26" i="502"/>
  <c r="P26" i="502" s="1"/>
  <c r="AO26" i="481" s="1"/>
  <c r="W53" i="525"/>
  <c r="V53" i="525"/>
  <c r="V7" i="509"/>
  <c r="W7" i="509" s="1"/>
  <c r="W11" i="534"/>
  <c r="F7" i="515"/>
  <c r="V12" i="523"/>
  <c r="AQ7" i="524"/>
  <c r="AQ53" i="524" s="1"/>
  <c r="H7" i="507"/>
  <c r="L7" i="507" s="1"/>
  <c r="M7" i="507" s="1"/>
  <c r="N7" i="507" s="1"/>
  <c r="F7" i="525"/>
  <c r="F53" i="525" s="1"/>
  <c r="H12" i="527"/>
  <c r="L12" i="527" s="1"/>
  <c r="H15" i="527"/>
  <c r="L15" i="527" s="1"/>
  <c r="W39" i="507"/>
  <c r="AP7" i="506"/>
  <c r="AP39" i="506" s="1"/>
  <c r="V7" i="505"/>
  <c r="W7" i="505" s="1"/>
  <c r="V11" i="534"/>
  <c r="V7" i="532"/>
  <c r="W7" i="532" s="1"/>
  <c r="V7" i="511"/>
  <c r="W7" i="511" s="1"/>
  <c r="H9" i="527"/>
  <c r="L9" i="527" s="1"/>
  <c r="H19" i="527"/>
  <c r="L19" i="527" s="1"/>
  <c r="V7" i="530"/>
  <c r="W7" i="530" s="1"/>
  <c r="O8" i="518"/>
  <c r="P8" i="518" s="1"/>
  <c r="AO8" i="519" s="1"/>
  <c r="AT34" i="524"/>
  <c r="AS34" i="524" s="1"/>
  <c r="O30" i="505"/>
  <c r="P30" i="505" s="1"/>
  <c r="O28" i="505"/>
  <c r="P28" i="505" s="1"/>
  <c r="O39" i="505"/>
  <c r="P39" i="505" s="1"/>
  <c r="O33" i="505"/>
  <c r="P33" i="505" s="1"/>
  <c r="O18" i="505"/>
  <c r="P18" i="505" s="1"/>
  <c r="O15" i="505"/>
  <c r="P15" i="505" s="1"/>
  <c r="O29" i="505"/>
  <c r="P29" i="505" s="1"/>
  <c r="O36" i="505"/>
  <c r="P36" i="505" s="1"/>
  <c r="O9" i="505"/>
  <c r="P9" i="505" s="1"/>
  <c r="O40" i="505"/>
  <c r="P40" i="505" s="1"/>
  <c r="O35" i="505"/>
  <c r="P35" i="505" s="1"/>
  <c r="O17" i="505"/>
  <c r="P17" i="505" s="1"/>
  <c r="O12" i="505"/>
  <c r="P12" i="505" s="1"/>
  <c r="O8" i="505"/>
  <c r="P8" i="505" s="1"/>
  <c r="O17" i="527"/>
  <c r="O23" i="527"/>
  <c r="O11" i="532"/>
  <c r="O10" i="525"/>
  <c r="O21" i="525"/>
  <c r="P21" i="525" s="1"/>
  <c r="O9" i="525"/>
  <c r="O19" i="525"/>
  <c r="O11" i="523"/>
  <c r="BF68" i="58"/>
  <c r="BG68" i="58" s="1"/>
  <c r="BD52" i="58"/>
  <c r="BE22" i="58"/>
  <c r="BF22" i="58"/>
  <c r="BD137" i="58"/>
  <c r="BE137" i="58"/>
  <c r="BF137" i="58" s="1"/>
  <c r="BG137" i="58" s="1"/>
  <c r="AQ124" i="58"/>
  <c r="AP124" i="58"/>
  <c r="BE142" i="58"/>
  <c r="BG142" i="58" s="1"/>
  <c r="BF142" i="58"/>
  <c r="AP118" i="58"/>
  <c r="AQ118" i="58"/>
  <c r="AQ162" i="58"/>
  <c r="AP162" i="58"/>
  <c r="BD163" i="58"/>
  <c r="BG163" i="58" s="1"/>
  <c r="BD45" i="58"/>
  <c r="BG45" i="58" s="1"/>
  <c r="AQ94" i="58"/>
  <c r="AP94" i="58"/>
  <c r="AP48" i="58"/>
  <c r="AQ48" i="58"/>
  <c r="AD37" i="380"/>
  <c r="AC19" i="380"/>
  <c r="X19" i="380" s="1"/>
  <c r="AQ174" i="58"/>
  <c r="AP174" i="58"/>
  <c r="AQ55" i="58"/>
  <c r="AP55" i="58"/>
  <c r="AZ98" i="58"/>
  <c r="BA98" i="58"/>
  <c r="BA20" i="380"/>
  <c r="AQ168" i="58"/>
  <c r="AP168" i="58"/>
  <c r="AQ151" i="58"/>
  <c r="AP151" i="58"/>
  <c r="BF155" i="58"/>
  <c r="BG155" i="58" s="1"/>
  <c r="S28" i="380"/>
  <c r="T28" i="380"/>
  <c r="BD84" i="58"/>
  <c r="BE84" i="58"/>
  <c r="AQ140" i="58"/>
  <c r="AP140" i="58"/>
  <c r="AQ46" i="58"/>
  <c r="AP46" i="58"/>
  <c r="AP38" i="58"/>
  <c r="AQ38" i="58"/>
  <c r="AP160" i="58"/>
  <c r="AQ160" i="58"/>
  <c r="BD14" i="380"/>
  <c r="BE14" i="380" s="1"/>
  <c r="AQ34" i="58"/>
  <c r="AP34" i="58"/>
  <c r="T24" i="380"/>
  <c r="S24" i="380"/>
  <c r="AQ96" i="58"/>
  <c r="AP96" i="58"/>
  <c r="T18" i="380"/>
  <c r="S18" i="380"/>
  <c r="T23" i="380"/>
  <c r="S23" i="380"/>
  <c r="S26" i="380"/>
  <c r="T26" i="380"/>
  <c r="AQ132" i="58"/>
  <c r="AP132" i="58"/>
  <c r="AQ47" i="58"/>
  <c r="AP47" i="58"/>
  <c r="AQ63" i="58"/>
  <c r="AP63" i="58"/>
  <c r="AQ79" i="58"/>
  <c r="AP79" i="58"/>
  <c r="AQ18" i="58"/>
  <c r="AP18" i="58"/>
  <c r="BG13" i="58"/>
  <c r="AF13" i="380"/>
  <c r="BC36" i="58"/>
  <c r="BD65" i="58"/>
  <c r="BD106" i="58"/>
  <c r="BE52" i="58"/>
  <c r="BF52" i="58" s="1"/>
  <c r="BG22" i="58"/>
  <c r="BG127" i="58"/>
  <c r="AD22" i="380"/>
  <c r="X22" i="380" s="1"/>
  <c r="AH32" i="380"/>
  <c r="BD88" i="58"/>
  <c r="BC66" i="58"/>
  <c r="AQ54" i="58"/>
  <c r="AP54" i="58"/>
  <c r="AQ10" i="58"/>
  <c r="AP10" i="58"/>
  <c r="BD161" i="58"/>
  <c r="BD101" i="58"/>
  <c r="BF163" i="58"/>
  <c r="BE163" i="58"/>
  <c r="BF45" i="58"/>
  <c r="BE45" i="58"/>
  <c r="BE53" i="58"/>
  <c r="BE93" i="58"/>
  <c r="BD93" i="58"/>
  <c r="BG165" i="58"/>
  <c r="BG19" i="380"/>
  <c r="BA19" i="380" s="1"/>
  <c r="BF12" i="380"/>
  <c r="BA12" i="380" s="1"/>
  <c r="BH31" i="380"/>
  <c r="AE11" i="380"/>
  <c r="AQ100" i="58"/>
  <c r="AP100" i="58"/>
  <c r="BA102" i="58"/>
  <c r="AU102" i="58" s="1"/>
  <c r="BA146" i="58"/>
  <c r="AU146" i="58" s="1"/>
  <c r="BE19" i="58"/>
  <c r="BF122" i="58"/>
  <c r="BE122" i="58"/>
  <c r="BG122" i="58" s="1"/>
  <c r="BG149" i="58"/>
  <c r="BD148" i="58"/>
  <c r="BE148" i="58"/>
  <c r="BD85" i="58"/>
  <c r="BE85" i="58" s="1"/>
  <c r="BD20" i="58"/>
  <c r="AC20" i="380"/>
  <c r="AD20" i="380" s="1"/>
  <c r="AD19" i="380"/>
  <c r="AG33" i="380"/>
  <c r="BB40" i="58"/>
  <c r="BC40" i="58" s="1"/>
  <c r="AU39" i="58"/>
  <c r="AU71" i="58"/>
  <c r="BA107" i="58"/>
  <c r="AU107" i="58" s="1"/>
  <c r="AU98" i="58"/>
  <c r="BE123" i="58"/>
  <c r="BF123" i="58" s="1"/>
  <c r="BD30" i="58"/>
  <c r="BE30" i="58" s="1"/>
  <c r="BD158" i="58"/>
  <c r="BD11" i="58"/>
  <c r="BG77" i="58"/>
  <c r="BB27" i="58"/>
  <c r="BC27" i="58" s="1"/>
  <c r="BC17" i="58"/>
  <c r="BD17" i="58"/>
  <c r="X37" i="380"/>
  <c r="BJ13" i="380"/>
  <c r="BB32" i="58"/>
  <c r="BC32" i="58" s="1"/>
  <c r="BB175" i="58"/>
  <c r="BC175" i="58" s="1"/>
  <c r="BB91" i="58"/>
  <c r="BC91" i="58" s="1"/>
  <c r="BD115" i="58"/>
  <c r="BE115" i="58"/>
  <c r="BF115" i="58" s="1"/>
  <c r="BG115" i="58" s="1"/>
  <c r="BD37" i="58"/>
  <c r="BF21" i="58"/>
  <c r="BG21" i="58" s="1"/>
  <c r="BD157" i="58"/>
  <c r="BE157" i="58" s="1"/>
  <c r="BF157" i="58" s="1"/>
  <c r="BF117" i="58"/>
  <c r="BD23" i="58"/>
  <c r="BG41" i="58"/>
  <c r="BF21" i="380"/>
  <c r="BB126" i="58"/>
  <c r="BD126" i="58"/>
  <c r="BG126" i="58" s="1"/>
  <c r="BC126" i="58"/>
  <c r="BE126" i="58"/>
  <c r="BF126" i="58"/>
  <c r="AB27" i="380"/>
  <c r="AC27" i="380" s="1"/>
  <c r="AC14" i="380"/>
  <c r="AF16" i="380"/>
  <c r="AE16" i="380"/>
  <c r="AG16" i="380" s="1"/>
  <c r="AB30" i="380"/>
  <c r="BG12" i="380"/>
  <c r="AZ116" i="58"/>
  <c r="BA116" i="58" s="1"/>
  <c r="BB60" i="58"/>
  <c r="BA176" i="58"/>
  <c r="AU176" i="58" s="1"/>
  <c r="BB14" i="58"/>
  <c r="BC14" i="58" s="1"/>
  <c r="BB89" i="58"/>
  <c r="BC89" i="58" s="1"/>
  <c r="BC26" i="58"/>
  <c r="BD26" i="58" s="1"/>
  <c r="BB26" i="58"/>
  <c r="BE26" i="58" s="1"/>
  <c r="BB86" i="58"/>
  <c r="BB156" i="58"/>
  <c r="BE156" i="58" s="1"/>
  <c r="BC156" i="58"/>
  <c r="BD156" i="58"/>
  <c r="AB29" i="380"/>
  <c r="AC29" i="380" s="1"/>
  <c r="AI25" i="380"/>
  <c r="AJ25" i="380" s="1"/>
  <c r="BB56" i="58"/>
  <c r="BC56" i="58" s="1"/>
  <c r="BG154" i="58"/>
  <c r="BG62" i="58"/>
  <c r="BB28" i="58"/>
  <c r="BG81" i="58"/>
  <c r="BG172" i="58"/>
  <c r="BF53" i="58"/>
  <c r="BG53" i="58" s="1"/>
  <c r="AZ110" i="58"/>
  <c r="BB80" i="58"/>
  <c r="BC80" i="58"/>
  <c r="BD80" i="58" s="1"/>
  <c r="BF16" i="58"/>
  <c r="BG16" i="58" s="1"/>
  <c r="BF173" i="58"/>
  <c r="BG173" i="58" s="1"/>
  <c r="AP145" i="58"/>
  <c r="AQ145" i="58"/>
  <c r="AQ97" i="58"/>
  <c r="AP97" i="58"/>
  <c r="BB138" i="58"/>
  <c r="BC138" i="58"/>
  <c r="BD138" i="58" s="1"/>
  <c r="AB17" i="380"/>
  <c r="AC17" i="380" s="1"/>
  <c r="X12" i="380"/>
  <c r="AY110" i="58"/>
  <c r="BB64" i="58"/>
  <c r="BC64" i="58" s="1"/>
  <c r="AP87" i="58"/>
  <c r="AQ87" i="58"/>
  <c r="AU159" i="58"/>
  <c r="AQ153" i="58"/>
  <c r="AP153" i="58"/>
  <c r="BE125" i="58"/>
  <c r="BB29" i="58"/>
  <c r="BC29" i="58" s="1"/>
  <c r="BG69" i="58"/>
  <c r="BF148" i="58"/>
  <c r="BG148" i="58" s="1"/>
  <c r="AW32" i="380"/>
  <c r="AV32" i="380"/>
  <c r="AC30" i="380"/>
  <c r="BA11" i="380"/>
  <c r="AY8" i="58"/>
  <c r="AZ8" i="58" s="1"/>
  <c r="BB72" i="58"/>
  <c r="AD14" i="380"/>
  <c r="AZ74" i="58"/>
  <c r="BA74" i="58" s="1"/>
  <c r="AH35" i="380"/>
  <c r="AI35" i="380" s="1"/>
  <c r="BB33" i="58"/>
  <c r="AU99" i="58"/>
  <c r="BB114" i="58"/>
  <c r="BC114" i="58"/>
  <c r="BD114" i="58" s="1"/>
  <c r="BB95" i="58"/>
  <c r="BC95" i="58"/>
  <c r="BD95" i="58"/>
  <c r="BF133" i="58"/>
  <c r="BG133" i="58" s="1"/>
  <c r="BG26" i="380"/>
  <c r="BA26" i="380" s="1"/>
  <c r="AZ70" i="58"/>
  <c r="BA70" i="58" s="1"/>
  <c r="BB35" i="58"/>
  <c r="BC35" i="58" s="1"/>
  <c r="BB42" i="58"/>
  <c r="BC42" i="58"/>
  <c r="BD42" i="58" s="1"/>
  <c r="BB134" i="58"/>
  <c r="BC134" i="58"/>
  <c r="BD134" i="58" s="1"/>
  <c r="BF169" i="58"/>
  <c r="BG169" i="58" s="1"/>
  <c r="AF21" i="380"/>
  <c r="AH21" i="380" s="1"/>
  <c r="AI21" i="380" s="1"/>
  <c r="AE21" i="380"/>
  <c r="AG21" i="380"/>
  <c r="AX90" i="58"/>
  <c r="AX7" i="58" s="1"/>
  <c r="AE36" i="380"/>
  <c r="AZ58" i="58"/>
  <c r="BB25" i="58"/>
  <c r="BC25" i="58" s="1"/>
  <c r="AZ105" i="58"/>
  <c r="BA105" i="58" s="1"/>
  <c r="BD125" i="58"/>
  <c r="BB108" i="58"/>
  <c r="BD108" i="58" s="1"/>
  <c r="BC108" i="58"/>
  <c r="BG117" i="58"/>
  <c r="BC141" i="58"/>
  <c r="BB141" i="58"/>
  <c r="BD141" i="58" s="1"/>
  <c r="AE15" i="380"/>
  <c r="AE31" i="380"/>
  <c r="AG31" i="380"/>
  <c r="AF31" i="380"/>
  <c r="AH31" i="380" s="1"/>
  <c r="BB144" i="58"/>
  <c r="BC144" i="58"/>
  <c r="BD144" i="58"/>
  <c r="BE144" i="58" s="1"/>
  <c r="BB44" i="58"/>
  <c r="BD44" i="58" s="1"/>
  <c r="BC44" i="58"/>
  <c r="BB76" i="58"/>
  <c r="BD76" i="58"/>
  <c r="BG76" i="58" s="1"/>
  <c r="BC76" i="58"/>
  <c r="BE76" i="58"/>
  <c r="BF76" i="58"/>
  <c r="BB130" i="58"/>
  <c r="BC130" i="58"/>
  <c r="BD130" i="58" s="1"/>
  <c r="BB150" i="58"/>
  <c r="BC150" i="58" s="1"/>
  <c r="BB164" i="58"/>
  <c r="BD164" i="58"/>
  <c r="BF164" i="58" s="1"/>
  <c r="BG164" i="58" s="1"/>
  <c r="BC164" i="58"/>
  <c r="BE164" i="58"/>
  <c r="BB12" i="58"/>
  <c r="BC12" i="58"/>
  <c r="BD12" i="58"/>
  <c r="BB92" i="58"/>
  <c r="BC92" i="58"/>
  <c r="BD92" i="58" s="1"/>
  <c r="BB119" i="58"/>
  <c r="BC119" i="58"/>
  <c r="AS34" i="504"/>
  <c r="AR34" i="504" s="1"/>
  <c r="AS32" i="510"/>
  <c r="AR32" i="510" s="1"/>
  <c r="AS8" i="510"/>
  <c r="AR8" i="510" s="1"/>
  <c r="AS9" i="528"/>
  <c r="AR9" i="528" s="1"/>
  <c r="AS8" i="512"/>
  <c r="AR8" i="512" s="1"/>
  <c r="AS22" i="506"/>
  <c r="AR22" i="506" s="1"/>
  <c r="P23" i="527" l="1"/>
  <c r="AO23" i="526" s="1"/>
  <c r="P17" i="527"/>
  <c r="AO17" i="526" s="1"/>
  <c r="P9" i="525"/>
  <c r="AP9" i="524" s="1"/>
  <c r="AR9" i="524" s="1"/>
  <c r="P10" i="525"/>
  <c r="AP10" i="524" s="1"/>
  <c r="AR10" i="524" s="1"/>
  <c r="P19" i="525"/>
  <c r="AP19" i="524" s="1"/>
  <c r="AR19" i="524" s="1"/>
  <c r="AR20" i="524"/>
  <c r="AP21" i="524"/>
  <c r="P11" i="523"/>
  <c r="AP18" i="514"/>
  <c r="AP16" i="514"/>
  <c r="AP17" i="510"/>
  <c r="AP31" i="510"/>
  <c r="AP27" i="510"/>
  <c r="AP24" i="510"/>
  <c r="AP26" i="510"/>
  <c r="AP28" i="510"/>
  <c r="AP30" i="510"/>
  <c r="AP34" i="510"/>
  <c r="AO16" i="504"/>
  <c r="AQ16" i="504" s="1"/>
  <c r="AT20" i="524"/>
  <c r="AS20" i="524" s="1"/>
  <c r="P11" i="532"/>
  <c r="AN11" i="531" s="1"/>
  <c r="AP11" i="531" s="1"/>
  <c r="L18" i="511"/>
  <c r="L25" i="511"/>
  <c r="H14" i="515"/>
  <c r="L14" i="515" s="1"/>
  <c r="M14" i="515" s="1"/>
  <c r="N14" i="515" s="1"/>
  <c r="H15" i="515"/>
  <c r="L15" i="515" s="1"/>
  <c r="M15" i="515" s="1"/>
  <c r="N15" i="515" s="1"/>
  <c r="H19" i="515"/>
  <c r="L19" i="515" s="1"/>
  <c r="M19" i="515" s="1"/>
  <c r="N19" i="515" s="1"/>
  <c r="H13" i="515"/>
  <c r="L13" i="515" s="1"/>
  <c r="M13" i="515" s="1"/>
  <c r="N13" i="515" s="1"/>
  <c r="H10" i="515"/>
  <c r="L10" i="515" s="1"/>
  <c r="M10" i="515" s="1"/>
  <c r="N10" i="515" s="1"/>
  <c r="W12" i="523"/>
  <c r="AQ26" i="481"/>
  <c r="AR21" i="524"/>
  <c r="M19" i="527"/>
  <c r="M12" i="527"/>
  <c r="M9" i="527"/>
  <c r="M15" i="527"/>
  <c r="E17" i="537"/>
  <c r="O27" i="502"/>
  <c r="P27" i="502" s="1"/>
  <c r="AO27" i="481" s="1"/>
  <c r="O33" i="502"/>
  <c r="P33" i="502" s="1"/>
  <c r="AO33" i="481" s="1"/>
  <c r="O35" i="502"/>
  <c r="P35" i="502" s="1"/>
  <c r="AO35" i="481" s="1"/>
  <c r="O36" i="502"/>
  <c r="P36" i="502" s="1"/>
  <c r="AO36" i="481" s="1"/>
  <c r="O23" i="502"/>
  <c r="P23" i="502" s="1"/>
  <c r="AO23" i="481" s="1"/>
  <c r="O34" i="502"/>
  <c r="O22" i="502"/>
  <c r="P22" i="502" s="1"/>
  <c r="AO22" i="481" s="1"/>
  <c r="O31" i="502"/>
  <c r="P31" i="502" s="1"/>
  <c r="AO31" i="481" s="1"/>
  <c r="O24" i="502"/>
  <c r="P24" i="502" s="1"/>
  <c r="AO24" i="481" s="1"/>
  <c r="H17" i="515"/>
  <c r="L17" i="515" s="1"/>
  <c r="M17" i="515" s="1"/>
  <c r="N17" i="515" s="1"/>
  <c r="W12" i="532"/>
  <c r="W41" i="505"/>
  <c r="W20" i="530"/>
  <c r="V20" i="530"/>
  <c r="AS13" i="504"/>
  <c r="AR13" i="504" s="1"/>
  <c r="F7" i="523"/>
  <c r="H7" i="523" s="1"/>
  <c r="L7" i="523" s="1"/>
  <c r="M7" i="523" s="1"/>
  <c r="N7" i="523" s="1"/>
  <c r="O7" i="523" s="1"/>
  <c r="P7" i="523" s="1"/>
  <c r="AP7" i="508"/>
  <c r="AO12" i="521"/>
  <c r="K16" i="537" s="1"/>
  <c r="L16" i="537" s="1"/>
  <c r="V12" i="532"/>
  <c r="F12" i="523"/>
  <c r="E16" i="537" s="1"/>
  <c r="AS32" i="504"/>
  <c r="AR32" i="504" s="1"/>
  <c r="O27" i="515"/>
  <c r="V28" i="515"/>
  <c r="AO7" i="531"/>
  <c r="AO12" i="531" s="1"/>
  <c r="F7" i="518"/>
  <c r="F14" i="518" s="1"/>
  <c r="E14" i="537" s="1"/>
  <c r="AP7" i="514"/>
  <c r="K9" i="537"/>
  <c r="V37" i="513"/>
  <c r="H7" i="525"/>
  <c r="L7" i="525" s="1"/>
  <c r="M7" i="525" s="1"/>
  <c r="N7" i="525" s="1"/>
  <c r="H7" i="515"/>
  <c r="L7" i="515" s="1"/>
  <c r="M7" i="515" s="1"/>
  <c r="N7" i="515" s="1"/>
  <c r="V37" i="509"/>
  <c r="F7" i="509"/>
  <c r="K17" i="537"/>
  <c r="F7" i="511"/>
  <c r="F7" i="532"/>
  <c r="F12" i="532" s="1"/>
  <c r="E20" i="537" s="1"/>
  <c r="W37" i="513"/>
  <c r="V41" i="505"/>
  <c r="V14" i="518"/>
  <c r="K18" i="537"/>
  <c r="L18" i="537" s="1"/>
  <c r="W37" i="509"/>
  <c r="O9" i="518"/>
  <c r="P9" i="518" s="1"/>
  <c r="AO9" i="519" s="1"/>
  <c r="AS19" i="481"/>
  <c r="AR19" i="481" s="1"/>
  <c r="AS7" i="481"/>
  <c r="AR7" i="481" s="1"/>
  <c r="BA34" i="524"/>
  <c r="BB34" i="524" s="1"/>
  <c r="AX34" i="524"/>
  <c r="AY34" i="524" s="1"/>
  <c r="O8" i="532"/>
  <c r="O8" i="525"/>
  <c r="O14" i="525"/>
  <c r="O15" i="525"/>
  <c r="O16" i="525"/>
  <c r="O18" i="525"/>
  <c r="O22" i="525"/>
  <c r="O12" i="525"/>
  <c r="O11" i="525"/>
  <c r="O13" i="525"/>
  <c r="O33" i="513"/>
  <c r="O18" i="513"/>
  <c r="O28" i="513"/>
  <c r="AS19" i="508"/>
  <c r="AR19" i="508" s="1"/>
  <c r="O25" i="527"/>
  <c r="AS19" i="510"/>
  <c r="AR19" i="510" s="1"/>
  <c r="O27" i="513"/>
  <c r="AS35" i="508"/>
  <c r="AR35" i="508" s="1"/>
  <c r="AS20" i="504"/>
  <c r="AR20" i="504" s="1"/>
  <c r="AR9" i="531"/>
  <c r="AQ9" i="531" s="1"/>
  <c r="AS16" i="508"/>
  <c r="AR16" i="508" s="1"/>
  <c r="AS15" i="508"/>
  <c r="AR15" i="508" s="1"/>
  <c r="AS17" i="508"/>
  <c r="AR17" i="508" s="1"/>
  <c r="AS10" i="508"/>
  <c r="AR10" i="508" s="1"/>
  <c r="AS31" i="506"/>
  <c r="AR31" i="506" s="1"/>
  <c r="AS30" i="506"/>
  <c r="AR30" i="506" s="1"/>
  <c r="AS19" i="504"/>
  <c r="AR19" i="504" s="1"/>
  <c r="BD150" i="58"/>
  <c r="BE150" i="58" s="1"/>
  <c r="BF150" i="58" s="1"/>
  <c r="BE108" i="58"/>
  <c r="BE25" i="58"/>
  <c r="BD25" i="58"/>
  <c r="BE134" i="58"/>
  <c r="BF134" i="58" s="1"/>
  <c r="BG134" i="58" s="1"/>
  <c r="BE42" i="58"/>
  <c r="BF42" i="58" s="1"/>
  <c r="BG42" i="58" s="1"/>
  <c r="AW26" i="380"/>
  <c r="AV26" i="380"/>
  <c r="AH16" i="380"/>
  <c r="AI16" i="380" s="1"/>
  <c r="AJ16" i="380" s="1"/>
  <c r="AC41" i="380"/>
  <c r="AC42" i="380" s="1"/>
  <c r="BD91" i="58"/>
  <c r="AQ107" i="58"/>
  <c r="AP107" i="58"/>
  <c r="AP102" i="58"/>
  <c r="AQ102" i="58"/>
  <c r="AW19" i="380"/>
  <c r="AV19" i="380"/>
  <c r="T22" i="380"/>
  <c r="S22" i="380"/>
  <c r="T19" i="380"/>
  <c r="S19" i="380"/>
  <c r="BG52" i="58"/>
  <c r="BE130" i="58"/>
  <c r="BG130" i="58" s="1"/>
  <c r="AI31" i="380"/>
  <c r="AJ31" i="380" s="1"/>
  <c r="BE141" i="58"/>
  <c r="BF141" i="58" s="1"/>
  <c r="BE114" i="58"/>
  <c r="BF114" i="58" s="1"/>
  <c r="BG114" i="58" s="1"/>
  <c r="BD64" i="58"/>
  <c r="BE80" i="58"/>
  <c r="BF80" i="58"/>
  <c r="AQ176" i="58"/>
  <c r="AP176" i="58"/>
  <c r="BD175" i="58"/>
  <c r="BE175" i="58" s="1"/>
  <c r="BD27" i="58"/>
  <c r="BF27" i="58"/>
  <c r="BE27" i="58"/>
  <c r="BG27" i="58"/>
  <c r="AP146" i="58"/>
  <c r="AQ146" i="58"/>
  <c r="AW12" i="380"/>
  <c r="AV12" i="380"/>
  <c r="BF14" i="380"/>
  <c r="BD119" i="58"/>
  <c r="BF92" i="58"/>
  <c r="BE92" i="58"/>
  <c r="BG92" i="58" s="1"/>
  <c r="BE12" i="58"/>
  <c r="BF12" i="58" s="1"/>
  <c r="BF130" i="58"/>
  <c r="BE44" i="58"/>
  <c r="AF15" i="380"/>
  <c r="BF108" i="58"/>
  <c r="BG108" i="58" s="1"/>
  <c r="BF25" i="58"/>
  <c r="BG25" i="58" s="1"/>
  <c r="AF36" i="380"/>
  <c r="AJ21" i="380"/>
  <c r="BD35" i="58"/>
  <c r="AP99" i="58"/>
  <c r="AQ99" i="58"/>
  <c r="BC33" i="58"/>
  <c r="BC72" i="58"/>
  <c r="AW11" i="380"/>
  <c r="AV11" i="380"/>
  <c r="BD29" i="58"/>
  <c r="BE29" i="58" s="1"/>
  <c r="BF125" i="58"/>
  <c r="BG125" i="58" s="1"/>
  <c r="AU105" i="58"/>
  <c r="BB153" i="58"/>
  <c r="BC153" i="58"/>
  <c r="BD153" i="58" s="1"/>
  <c r="BB87" i="58"/>
  <c r="BD87" i="58"/>
  <c r="BG87" i="58" s="1"/>
  <c r="BC87" i="58"/>
  <c r="BE87" i="58"/>
  <c r="BF87" i="58"/>
  <c r="BE64" i="58"/>
  <c r="BG64" i="58" s="1"/>
  <c r="BF64" i="58"/>
  <c r="T12" i="380"/>
  <c r="S12" i="380"/>
  <c r="BE138" i="58"/>
  <c r="BB97" i="58"/>
  <c r="BC97" i="58"/>
  <c r="BD97" i="58" s="1"/>
  <c r="BG80" i="58"/>
  <c r="BC28" i="58"/>
  <c r="BD56" i="58"/>
  <c r="BE56" i="58" s="1"/>
  <c r="BG156" i="58"/>
  <c r="BF156" i="58"/>
  <c r="BC86" i="58"/>
  <c r="BF26" i="58"/>
  <c r="BG26" i="58" s="1"/>
  <c r="BD89" i="58"/>
  <c r="BD14" i="58"/>
  <c r="BE14" i="58"/>
  <c r="BC60" i="58"/>
  <c r="BE23" i="58"/>
  <c r="BF23" i="58" s="1"/>
  <c r="BE37" i="58"/>
  <c r="BF37" i="58" s="1"/>
  <c r="BG37" i="58" s="1"/>
  <c r="BE91" i="58"/>
  <c r="BF91" i="58" s="1"/>
  <c r="BD32" i="58"/>
  <c r="BF32" i="58" s="1"/>
  <c r="BE32" i="58"/>
  <c r="BA58" i="58"/>
  <c r="AU58" i="58" s="1"/>
  <c r="T37" i="380"/>
  <c r="S37" i="380"/>
  <c r="BE17" i="58"/>
  <c r="BF17" i="58" s="1"/>
  <c r="BG17" i="58" s="1"/>
  <c r="BE158" i="58"/>
  <c r="BG158" i="58" s="1"/>
  <c r="AQ39" i="58"/>
  <c r="AP39" i="58"/>
  <c r="BE40" i="58"/>
  <c r="BD40" i="58"/>
  <c r="AH33" i="380"/>
  <c r="AI33" i="380" s="1"/>
  <c r="BG21" i="380"/>
  <c r="BA21" i="380" s="1"/>
  <c r="BE20" i="58"/>
  <c r="BF20" i="58" s="1"/>
  <c r="BB100" i="58"/>
  <c r="BC100" i="58" s="1"/>
  <c r="AF11" i="380"/>
  <c r="BI31" i="380"/>
  <c r="X14" i="380"/>
  <c r="BA110" i="58"/>
  <c r="AU110" i="58" s="1"/>
  <c r="AD29" i="380"/>
  <c r="X29" i="380" s="1"/>
  <c r="BF158" i="58"/>
  <c r="BG123" i="58"/>
  <c r="BB18" i="58"/>
  <c r="AE26" i="380"/>
  <c r="AG26" i="380" s="1"/>
  <c r="AF26" i="380"/>
  <c r="BF19" i="58"/>
  <c r="BG19" i="58" s="1"/>
  <c r="BG14" i="380"/>
  <c r="BA14" i="380" s="1"/>
  <c r="BB160" i="58"/>
  <c r="BC160" i="58"/>
  <c r="BB38" i="58"/>
  <c r="BB46" i="58"/>
  <c r="BC46" i="58" s="1"/>
  <c r="BE88" i="58"/>
  <c r="BF88" i="58" s="1"/>
  <c r="BB140" i="58"/>
  <c r="BC140" i="58" s="1"/>
  <c r="AI32" i="380"/>
  <c r="AJ32" i="380" s="1"/>
  <c r="BF84" i="58"/>
  <c r="BG84" i="58" s="1"/>
  <c r="BE65" i="58"/>
  <c r="BF65" i="58" s="1"/>
  <c r="BG157" i="58"/>
  <c r="BC168" i="58"/>
  <c r="BE168" i="58" s="1"/>
  <c r="BF168" i="58" s="1"/>
  <c r="BB168" i="58"/>
  <c r="BD168" i="58"/>
  <c r="BK13" i="380"/>
  <c r="BL13" i="380" s="1"/>
  <c r="BE11" i="58"/>
  <c r="BF11" i="58" s="1"/>
  <c r="BB55" i="58"/>
  <c r="BC55" i="58"/>
  <c r="BD55" i="58"/>
  <c r="BE55" i="58" s="1"/>
  <c r="BB174" i="58"/>
  <c r="BC174" i="58"/>
  <c r="X20" i="380"/>
  <c r="BB48" i="58"/>
  <c r="BC48" i="58"/>
  <c r="BD48" i="58" s="1"/>
  <c r="BB94" i="58"/>
  <c r="BC94" i="58"/>
  <c r="BD94" i="58" s="1"/>
  <c r="AU74" i="58"/>
  <c r="BF93" i="58"/>
  <c r="BG93" i="58" s="1"/>
  <c r="BE101" i="58"/>
  <c r="BF101" i="58" s="1"/>
  <c r="BB162" i="58"/>
  <c r="BC162" i="58" s="1"/>
  <c r="BE106" i="58"/>
  <c r="BF144" i="58"/>
  <c r="BG144" i="58" s="1"/>
  <c r="AZ90" i="58"/>
  <c r="AZ7" i="58" s="1"/>
  <c r="AY90" i="58"/>
  <c r="BA90" i="58" s="1"/>
  <c r="AU90" i="58" s="1"/>
  <c r="BE95" i="58"/>
  <c r="AY179" i="58"/>
  <c r="AY180" i="58" s="1"/>
  <c r="AY7" i="58"/>
  <c r="BA8" i="58"/>
  <c r="BI32" i="380"/>
  <c r="BL32" i="380" s="1"/>
  <c r="BH32" i="380"/>
  <c r="BK32" i="380" s="1"/>
  <c r="BJ32" i="380"/>
  <c r="BM32" i="380" s="1"/>
  <c r="AQ159" i="58"/>
  <c r="AP159" i="58"/>
  <c r="BC145" i="58"/>
  <c r="BB145" i="58"/>
  <c r="BD145" i="58" s="1"/>
  <c r="BE89" i="58"/>
  <c r="BF30" i="58"/>
  <c r="BG30" i="58" s="1"/>
  <c r="AP98" i="58"/>
  <c r="AQ98" i="58"/>
  <c r="AQ71" i="58"/>
  <c r="AP71" i="58"/>
  <c r="AU70" i="58"/>
  <c r="AD30" i="380"/>
  <c r="AD41" i="380" s="1"/>
  <c r="AD42" i="380" s="1"/>
  <c r="BF85" i="58"/>
  <c r="BG85" i="58" s="1"/>
  <c r="AU116" i="58"/>
  <c r="AG11" i="380"/>
  <c r="AB41" i="380"/>
  <c r="AB42" i="380" s="1"/>
  <c r="AD17" i="380"/>
  <c r="X17" i="380" s="1"/>
  <c r="BB10" i="58"/>
  <c r="BC10" i="58" s="1"/>
  <c r="BC54" i="58"/>
  <c r="BB54" i="58"/>
  <c r="BD54" i="58" s="1"/>
  <c r="AU8" i="58"/>
  <c r="AX179" i="58"/>
  <c r="AX180" i="58" s="1"/>
  <c r="BD36" i="58"/>
  <c r="BE36" i="58" s="1"/>
  <c r="BB79" i="58"/>
  <c r="BC79" i="58" s="1"/>
  <c r="BB63" i="58"/>
  <c r="BC63" i="58"/>
  <c r="BD63" i="58"/>
  <c r="BE63" i="58" s="1"/>
  <c r="BF63" i="58" s="1"/>
  <c r="BB47" i="58"/>
  <c r="BB132" i="58"/>
  <c r="BD132" i="58"/>
  <c r="BC132" i="58"/>
  <c r="BE132" i="58" s="1"/>
  <c r="AE23" i="380"/>
  <c r="AG23" i="380"/>
  <c r="AI23" i="380" s="1"/>
  <c r="AJ23" i="380" s="1"/>
  <c r="AF23" i="380"/>
  <c r="AH23" i="380"/>
  <c r="AE18" i="380"/>
  <c r="AF18" i="380"/>
  <c r="BB96" i="58"/>
  <c r="BC96" i="58"/>
  <c r="BE96" i="58" s="1"/>
  <c r="BD96" i="58"/>
  <c r="AE24" i="380"/>
  <c r="AF24" i="380" s="1"/>
  <c r="BB34" i="58"/>
  <c r="BC34" i="58"/>
  <c r="BE34" i="58" s="1"/>
  <c r="BF34" i="58" s="1"/>
  <c r="BD34" i="58"/>
  <c r="BE161" i="58"/>
  <c r="BF161" i="58" s="1"/>
  <c r="BG161" i="58" s="1"/>
  <c r="AE28" i="380"/>
  <c r="AF28" i="380" s="1"/>
  <c r="AD27" i="380"/>
  <c r="X27" i="380" s="1"/>
  <c r="BB151" i="58"/>
  <c r="BC151" i="58" s="1"/>
  <c r="AW20" i="380"/>
  <c r="AV20" i="380"/>
  <c r="AJ35" i="380"/>
  <c r="BB118" i="58"/>
  <c r="BD66" i="58"/>
  <c r="BB124" i="58"/>
  <c r="BC124" i="58" s="1"/>
  <c r="AG13" i="380"/>
  <c r="AW34" i="504"/>
  <c r="AX34" i="504" s="1"/>
  <c r="AY34" i="504" s="1"/>
  <c r="AZ34" i="504"/>
  <c r="BA34" i="504" s="1"/>
  <c r="AV9" i="528"/>
  <c r="AW9" i="528" s="1"/>
  <c r="AX9" i="528" s="1"/>
  <c r="AW32" i="510"/>
  <c r="AS12" i="514"/>
  <c r="AR12" i="514" s="1"/>
  <c r="AS31" i="504"/>
  <c r="AR31" i="504" s="1"/>
  <c r="AW8" i="510"/>
  <c r="AX8" i="510" s="1"/>
  <c r="AY8" i="510" s="1"/>
  <c r="AW8" i="512"/>
  <c r="AZ22" i="506"/>
  <c r="BA22" i="506" s="1"/>
  <c r="BB22" i="506" s="1"/>
  <c r="AZ8" i="510"/>
  <c r="BA8" i="510" s="1"/>
  <c r="BB8" i="510" s="1"/>
  <c r="BC8" i="510" s="1"/>
  <c r="BD8" i="510" s="1"/>
  <c r="AZ8" i="512"/>
  <c r="AY9" i="528"/>
  <c r="AW22" i="506"/>
  <c r="P25" i="527" l="1"/>
  <c r="AO25" i="526" s="1"/>
  <c r="N9" i="527"/>
  <c r="O9" i="527" s="1"/>
  <c r="N19" i="527"/>
  <c r="O19" i="527" s="1"/>
  <c r="N15" i="527"/>
  <c r="O15" i="527" s="1"/>
  <c r="N12" i="527"/>
  <c r="O12" i="527" s="1"/>
  <c r="P11" i="525"/>
  <c r="AP11" i="524" s="1"/>
  <c r="AR11" i="524" s="1"/>
  <c r="P22" i="525"/>
  <c r="AP22" i="524" s="1"/>
  <c r="AR22" i="524" s="1"/>
  <c r="P16" i="525"/>
  <c r="AP16" i="524" s="1"/>
  <c r="AR16" i="524" s="1"/>
  <c r="P14" i="525"/>
  <c r="AP14" i="524" s="1"/>
  <c r="AR14" i="524" s="1"/>
  <c r="P13" i="525"/>
  <c r="AP13" i="524" s="1"/>
  <c r="AR13" i="524" s="1"/>
  <c r="P12" i="525"/>
  <c r="AP12" i="524" s="1"/>
  <c r="AR12" i="524" s="1"/>
  <c r="P18" i="525"/>
  <c r="AP18" i="524" s="1"/>
  <c r="AR18" i="524" s="1"/>
  <c r="P15" i="525"/>
  <c r="AP15" i="524" s="1"/>
  <c r="AR15" i="524" s="1"/>
  <c r="P8" i="525"/>
  <c r="AP8" i="524" s="1"/>
  <c r="AR8" i="524" s="1"/>
  <c r="P27" i="515"/>
  <c r="AO27" i="514" s="1"/>
  <c r="AO28" i="504"/>
  <c r="AQ28" i="504" s="1"/>
  <c r="AO15" i="504"/>
  <c r="AQ15" i="504" s="1"/>
  <c r="AO40" i="504"/>
  <c r="AQ40" i="504" s="1"/>
  <c r="AO8" i="504"/>
  <c r="AQ8" i="504" s="1"/>
  <c r="AO39" i="504"/>
  <c r="AQ39" i="504" s="1"/>
  <c r="AO29" i="504"/>
  <c r="AQ29" i="504" s="1"/>
  <c r="AO35" i="504"/>
  <c r="AQ35" i="504" s="1"/>
  <c r="AO33" i="504"/>
  <c r="AQ33" i="504" s="1"/>
  <c r="AO36" i="504"/>
  <c r="AQ36" i="504" s="1"/>
  <c r="AO17" i="504"/>
  <c r="AQ17" i="504" s="1"/>
  <c r="AO30" i="504"/>
  <c r="AQ30" i="504" s="1"/>
  <c r="AO18" i="504"/>
  <c r="AQ18" i="504" s="1"/>
  <c r="AO9" i="504"/>
  <c r="AQ9" i="504" s="1"/>
  <c r="AO12" i="504"/>
  <c r="AQ12" i="504" s="1"/>
  <c r="AQ18" i="481"/>
  <c r="AS18" i="481" s="1"/>
  <c r="AY18" i="481" s="1"/>
  <c r="AZ18" i="481" s="1"/>
  <c r="BA20" i="524"/>
  <c r="BB20" i="524" s="1"/>
  <c r="AX20" i="524"/>
  <c r="AY20" i="524" s="1"/>
  <c r="P8" i="532"/>
  <c r="AN8" i="531" s="1"/>
  <c r="AP8" i="531" s="1"/>
  <c r="P27" i="513"/>
  <c r="P28" i="513"/>
  <c r="P33" i="513"/>
  <c r="P18" i="513"/>
  <c r="P34" i="502"/>
  <c r="AO34" i="481" s="1"/>
  <c r="AP11" i="521"/>
  <c r="AQ8" i="519"/>
  <c r="L31" i="511"/>
  <c r="L34" i="511"/>
  <c r="L27" i="511"/>
  <c r="L17" i="511"/>
  <c r="H18" i="515"/>
  <c r="L18" i="515" s="1"/>
  <c r="M18" i="515" s="1"/>
  <c r="N18" i="515" s="1"/>
  <c r="AQ23" i="526"/>
  <c r="AQ17" i="526"/>
  <c r="AQ31" i="481"/>
  <c r="AQ36" i="481"/>
  <c r="AQ35" i="481"/>
  <c r="AQ27" i="481"/>
  <c r="AN7" i="521"/>
  <c r="AP7" i="521" s="1"/>
  <c r="AS22" i="526"/>
  <c r="AR22" i="526" s="1"/>
  <c r="F37" i="509"/>
  <c r="E10" i="537" s="1"/>
  <c r="L24" i="511"/>
  <c r="L30" i="511"/>
  <c r="L26" i="511"/>
  <c r="L28" i="511"/>
  <c r="M18" i="511"/>
  <c r="N18" i="511" s="1"/>
  <c r="AS14" i="504"/>
  <c r="AR14" i="504" s="1"/>
  <c r="AS32" i="481"/>
  <c r="AR32" i="481" s="1"/>
  <c r="AS25" i="514"/>
  <c r="AR25" i="514" s="1"/>
  <c r="AP7" i="504"/>
  <c r="AP41" i="504" s="1"/>
  <c r="K8" i="537" s="1"/>
  <c r="F7" i="505"/>
  <c r="F41" i="505" s="1"/>
  <c r="E8" i="537" s="1"/>
  <c r="AZ13" i="504"/>
  <c r="L9" i="537"/>
  <c r="AW13" i="504"/>
  <c r="AX13" i="504" s="1"/>
  <c r="O12" i="523"/>
  <c r="AS25" i="481"/>
  <c r="AR25" i="481" s="1"/>
  <c r="O14" i="515"/>
  <c r="P14" i="515" s="1"/>
  <c r="AP37" i="508"/>
  <c r="K10" i="537" s="1"/>
  <c r="L10" i="537" s="1"/>
  <c r="AW32" i="504"/>
  <c r="AX32" i="504" s="1"/>
  <c r="O19" i="515"/>
  <c r="P19" i="515" s="1"/>
  <c r="M25" i="511"/>
  <c r="N25" i="511" s="1"/>
  <c r="O17" i="515"/>
  <c r="P17" i="515" s="1"/>
  <c r="W28" i="515"/>
  <c r="O10" i="515"/>
  <c r="P10" i="515" s="1"/>
  <c r="O15" i="515"/>
  <c r="P15" i="515" s="1"/>
  <c r="O13" i="515"/>
  <c r="P13" i="515" s="1"/>
  <c r="BA8" i="512"/>
  <c r="BB8" i="512" s="1"/>
  <c r="AP11" i="533"/>
  <c r="K21" i="537" s="1"/>
  <c r="L21" i="537" s="1"/>
  <c r="K12" i="537"/>
  <c r="L12" i="537" s="1"/>
  <c r="AZ9" i="528"/>
  <c r="AP7" i="519"/>
  <c r="H7" i="518"/>
  <c r="L7" i="518" s="1"/>
  <c r="M7" i="518" s="1"/>
  <c r="N7" i="518" s="1"/>
  <c r="E21" i="537"/>
  <c r="H7" i="532"/>
  <c r="L7" i="532" s="1"/>
  <c r="M7" i="532" s="1"/>
  <c r="N7" i="532" s="1"/>
  <c r="H7" i="511"/>
  <c r="L7" i="511" s="1"/>
  <c r="M7" i="511" s="1"/>
  <c r="N7" i="511" s="1"/>
  <c r="H7" i="509"/>
  <c r="L7" i="509" s="1"/>
  <c r="M7" i="509" s="1"/>
  <c r="N7" i="509" s="1"/>
  <c r="AP7" i="528"/>
  <c r="F7" i="530"/>
  <c r="F20" i="530" s="1"/>
  <c r="E19" i="537" s="1"/>
  <c r="O7" i="515"/>
  <c r="P7" i="515" s="1"/>
  <c r="O7" i="525"/>
  <c r="P7" i="525" s="1"/>
  <c r="K20" i="537"/>
  <c r="L20" i="537" s="1"/>
  <c r="AP7" i="510"/>
  <c r="AW35" i="508"/>
  <c r="AX35" i="508" s="1"/>
  <c r="AY35" i="508" s="1"/>
  <c r="AZ35" i="508"/>
  <c r="BA35" i="508" s="1"/>
  <c r="BB35" i="508" s="1"/>
  <c r="BB7" i="481"/>
  <c r="AS28" i="481"/>
  <c r="AR28" i="481" s="1"/>
  <c r="AZ12" i="514"/>
  <c r="BC34" i="524"/>
  <c r="BD34" i="524" s="1"/>
  <c r="BE34" i="524" s="1"/>
  <c r="AZ34" i="524"/>
  <c r="O30" i="513"/>
  <c r="O29" i="513"/>
  <c r="O31" i="513"/>
  <c r="O7" i="507"/>
  <c r="P7" i="507" s="1"/>
  <c r="AX8" i="512"/>
  <c r="AW19" i="510"/>
  <c r="AX19" i="510" s="1"/>
  <c r="AW19" i="508"/>
  <c r="AX19" i="508" s="1"/>
  <c r="AY9" i="531"/>
  <c r="AS22" i="504"/>
  <c r="AR22" i="504" s="1"/>
  <c r="AZ19" i="508"/>
  <c r="BA19" i="508" s="1"/>
  <c r="BB19" i="508" s="1"/>
  <c r="AY19" i="481"/>
  <c r="AW20" i="504"/>
  <c r="AX20" i="504" s="1"/>
  <c r="AV9" i="531"/>
  <c r="AW9" i="531" s="1"/>
  <c r="AX9" i="531" s="1"/>
  <c r="AS19" i="512"/>
  <c r="AR19" i="512" s="1"/>
  <c r="AS20" i="512"/>
  <c r="AR20" i="512" s="1"/>
  <c r="AS16" i="526"/>
  <c r="AR16" i="526" s="1"/>
  <c r="AW17" i="508"/>
  <c r="AX17" i="508" s="1"/>
  <c r="AW16" i="508"/>
  <c r="AX16" i="508" s="1"/>
  <c r="AW15" i="508"/>
  <c r="AX15" i="508" s="1"/>
  <c r="AZ20" i="504"/>
  <c r="BA20" i="504" s="1"/>
  <c r="BB20" i="504" s="1"/>
  <c r="AS16" i="512"/>
  <c r="AR16" i="512" s="1"/>
  <c r="AS21" i="514"/>
  <c r="AR21" i="514" s="1"/>
  <c r="AW30" i="506"/>
  <c r="AX30" i="506" s="1"/>
  <c r="AY30" i="506" s="1"/>
  <c r="AW31" i="506"/>
  <c r="AW19" i="504"/>
  <c r="AX19" i="504" s="1"/>
  <c r="AY19" i="504" s="1"/>
  <c r="AW10" i="508"/>
  <c r="AX10" i="508" s="1"/>
  <c r="AY10" i="508" s="1"/>
  <c r="AZ10" i="508"/>
  <c r="BA10" i="508" s="1"/>
  <c r="BB10" i="508" s="1"/>
  <c r="AZ30" i="506"/>
  <c r="AS9" i="510"/>
  <c r="AR9" i="510" s="1"/>
  <c r="AY7" i="481"/>
  <c r="AG28" i="380"/>
  <c r="AH28" i="380"/>
  <c r="BF96" i="58"/>
  <c r="BD79" i="58"/>
  <c r="BE79" i="58"/>
  <c r="BF79" i="58" s="1"/>
  <c r="BG79" i="58" s="1"/>
  <c r="BE54" i="58"/>
  <c r="BF54" i="58" s="1"/>
  <c r="BG54" i="58" s="1"/>
  <c r="AQ90" i="58"/>
  <c r="AP90" i="58"/>
  <c r="BE48" i="58"/>
  <c r="BF48" i="58" s="1"/>
  <c r="BG48" i="58" s="1"/>
  <c r="T29" i="380"/>
  <c r="S29" i="380"/>
  <c r="BG32" i="58"/>
  <c r="BF29" i="58"/>
  <c r="BG29" i="58" s="1"/>
  <c r="BF175" i="58"/>
  <c r="BG175" i="58" s="1"/>
  <c r="BF132" i="58"/>
  <c r="BG132" i="58"/>
  <c r="S17" i="380"/>
  <c r="T17" i="380"/>
  <c r="BE145" i="58"/>
  <c r="BD140" i="58"/>
  <c r="AW14" i="380"/>
  <c r="AV14" i="380"/>
  <c r="AQ110" i="58"/>
  <c r="AP110" i="58"/>
  <c r="BD100" i="58"/>
  <c r="BE100" i="58"/>
  <c r="AW21" i="380"/>
  <c r="AV21" i="380"/>
  <c r="AQ58" i="58"/>
  <c r="AP58" i="58"/>
  <c r="BG91" i="58"/>
  <c r="BD124" i="58"/>
  <c r="BC118" i="58"/>
  <c r="BI20" i="380"/>
  <c r="BL20" i="380" s="1"/>
  <c r="BH20" i="380"/>
  <c r="BJ20" i="380"/>
  <c r="BK20" i="380"/>
  <c r="BD151" i="58"/>
  <c r="BE151" i="58" s="1"/>
  <c r="AI28" i="380"/>
  <c r="AJ28" i="380" s="1"/>
  <c r="BG34" i="58"/>
  <c r="AG24" i="380"/>
  <c r="BG96" i="58"/>
  <c r="AG18" i="380"/>
  <c r="BD47" i="58"/>
  <c r="BC47" i="58"/>
  <c r="BG63" i="58"/>
  <c r="BD10" i="58"/>
  <c r="BE10" i="58" s="1"/>
  <c r="AQ116" i="58"/>
  <c r="AP116" i="58"/>
  <c r="AQ70" i="58"/>
  <c r="AP70" i="58"/>
  <c r="BB71" i="58"/>
  <c r="BC71" i="58" s="1"/>
  <c r="BA7" i="58"/>
  <c r="BA179" i="58"/>
  <c r="BA180" i="58" s="1"/>
  <c r="BD162" i="58"/>
  <c r="BE162" i="58" s="1"/>
  <c r="AQ74" i="58"/>
  <c r="AP74" i="58"/>
  <c r="BE94" i="58"/>
  <c r="BF94" i="58" s="1"/>
  <c r="BD174" i="58"/>
  <c r="BE174" i="58" s="1"/>
  <c r="BG168" i="58"/>
  <c r="BE140" i="58"/>
  <c r="BF140" i="58" s="1"/>
  <c r="BD46" i="58"/>
  <c r="BF46" i="58" s="1"/>
  <c r="BC38" i="58"/>
  <c r="BD160" i="58"/>
  <c r="AI26" i="380"/>
  <c r="AH26" i="380"/>
  <c r="AJ26" i="380" s="1"/>
  <c r="BG65" i="58"/>
  <c r="BF106" i="58"/>
  <c r="BG106" i="58" s="1"/>
  <c r="BG101" i="58"/>
  <c r="AH11" i="380"/>
  <c r="BF100" i="58"/>
  <c r="BG100" i="58"/>
  <c r="BG20" i="58"/>
  <c r="AJ33" i="380"/>
  <c r="BG11" i="58"/>
  <c r="AF37" i="380"/>
  <c r="AE37" i="380"/>
  <c r="AH37" i="380" s="1"/>
  <c r="AG37" i="380"/>
  <c r="BF89" i="58"/>
  <c r="BG89" i="58" s="1"/>
  <c r="BD28" i="58"/>
  <c r="BE28" i="58" s="1"/>
  <c r="BE97" i="58"/>
  <c r="BG97" i="58" s="1"/>
  <c r="BF97" i="58"/>
  <c r="BE153" i="58"/>
  <c r="BF153" i="58" s="1"/>
  <c r="BF72" i="58"/>
  <c r="BD72" i="58"/>
  <c r="BB99" i="58"/>
  <c r="BC99" i="58"/>
  <c r="BD99" i="58" s="1"/>
  <c r="BE35" i="58"/>
  <c r="BF35" i="58" s="1"/>
  <c r="AG15" i="380"/>
  <c r="BE66" i="58"/>
  <c r="BF66" i="58" s="1"/>
  <c r="BH12" i="380"/>
  <c r="BB146" i="58"/>
  <c r="BC146" i="58" s="1"/>
  <c r="BF40" i="58"/>
  <c r="BG40" i="58" s="1"/>
  <c r="BF138" i="58"/>
  <c r="BG138" i="58" s="1"/>
  <c r="AZ179" i="58"/>
  <c r="AZ180" i="58" s="1"/>
  <c r="AW182" i="58" s="1"/>
  <c r="BG141" i="58"/>
  <c r="BF44" i="58"/>
  <c r="BG44" i="58" s="1"/>
  <c r="BE119" i="58"/>
  <c r="BF119" i="58" s="1"/>
  <c r="BG119" i="58" s="1"/>
  <c r="BF36" i="58"/>
  <c r="BG36" i="58" s="1"/>
  <c r="AE22" i="380"/>
  <c r="AF22" i="380"/>
  <c r="AG22" i="380"/>
  <c r="AH22" i="380" s="1"/>
  <c r="BH19" i="380"/>
  <c r="BB102" i="58"/>
  <c r="BC102" i="58"/>
  <c r="BD102" i="58"/>
  <c r="BE102" i="58" s="1"/>
  <c r="BF14" i="58"/>
  <c r="BG14" i="58" s="1"/>
  <c r="BF56" i="58"/>
  <c r="BG56" i="58" s="1"/>
  <c r="BE72" i="58"/>
  <c r="BF95" i="58"/>
  <c r="BG95" i="58" s="1"/>
  <c r="BH26" i="380"/>
  <c r="BI26" i="380"/>
  <c r="BJ26" i="380" s="1"/>
  <c r="BG150" i="58"/>
  <c r="T27" i="380"/>
  <c r="S27" i="380"/>
  <c r="AQ8" i="58"/>
  <c r="AP8" i="58"/>
  <c r="Z44" i="380"/>
  <c r="BB98" i="58"/>
  <c r="BC98" i="58"/>
  <c r="BD98" i="58"/>
  <c r="BB159" i="58"/>
  <c r="BC159" i="58" s="1"/>
  <c r="T20" i="380"/>
  <c r="S20" i="380"/>
  <c r="BF55" i="58"/>
  <c r="BG55" i="58" s="1"/>
  <c r="BE46" i="58"/>
  <c r="BG46" i="58" s="1"/>
  <c r="BC18" i="58"/>
  <c r="AH13" i="380"/>
  <c r="BG88" i="58"/>
  <c r="T14" i="380"/>
  <c r="S14" i="380"/>
  <c r="AJ11" i="380"/>
  <c r="BB39" i="58"/>
  <c r="BC39" i="58"/>
  <c r="BD39" i="58" s="1"/>
  <c r="BM13" i="380"/>
  <c r="BG23" i="58"/>
  <c r="AE12" i="380"/>
  <c r="AF12" i="380"/>
  <c r="AQ105" i="58"/>
  <c r="AP105" i="58"/>
  <c r="BH11" i="380"/>
  <c r="AG36" i="380"/>
  <c r="AI11" i="380"/>
  <c r="X30" i="380"/>
  <c r="BB176" i="58"/>
  <c r="AE19" i="380"/>
  <c r="AF19" i="380"/>
  <c r="AG19" i="380" s="1"/>
  <c r="BJ31" i="380"/>
  <c r="BB107" i="58"/>
  <c r="BC107" i="58" s="1"/>
  <c r="BD60" i="58"/>
  <c r="BE60" i="58" s="1"/>
  <c r="BD86" i="58"/>
  <c r="BD33" i="58"/>
  <c r="BE33" i="58" s="1"/>
  <c r="AH15" i="380"/>
  <c r="BG12" i="58"/>
  <c r="BB34" i="504"/>
  <c r="AZ32" i="510"/>
  <c r="BA32" i="510" s="1"/>
  <c r="BB32" i="510" s="1"/>
  <c r="BC32" i="510" s="1"/>
  <c r="BD32" i="510" s="1"/>
  <c r="AX32" i="510"/>
  <c r="AY32" i="510" s="1"/>
  <c r="AW12" i="514"/>
  <c r="AS29" i="510"/>
  <c r="AR29" i="510" s="1"/>
  <c r="AS18" i="508"/>
  <c r="AR18" i="508" s="1"/>
  <c r="AZ31" i="504"/>
  <c r="BA31" i="504" s="1"/>
  <c r="BE8" i="510"/>
  <c r="BF8" i="510" s="1"/>
  <c r="BC22" i="506"/>
  <c r="AW31" i="504"/>
  <c r="AX22" i="506"/>
  <c r="AY22" i="506" s="1"/>
  <c r="O26" i="527" l="1"/>
  <c r="P12" i="527"/>
  <c r="AO12" i="526" s="1"/>
  <c r="AQ12" i="526" s="1"/>
  <c r="P15" i="527"/>
  <c r="AO15" i="526" s="1"/>
  <c r="AQ15" i="526" s="1"/>
  <c r="P19" i="527"/>
  <c r="AO19" i="526" s="1"/>
  <c r="AQ19" i="526" s="1"/>
  <c r="P9" i="527"/>
  <c r="AO9" i="526" s="1"/>
  <c r="AQ9" i="526" s="1"/>
  <c r="AO18" i="512"/>
  <c r="AQ18" i="512" s="1"/>
  <c r="AO28" i="512"/>
  <c r="AQ28" i="512" s="1"/>
  <c r="AO33" i="512"/>
  <c r="AQ33" i="512" s="1"/>
  <c r="AO27" i="512"/>
  <c r="AQ27" i="512" s="1"/>
  <c r="AR18" i="481"/>
  <c r="AQ34" i="481"/>
  <c r="BC20" i="524"/>
  <c r="BD20" i="524" s="1"/>
  <c r="BE20" i="524" s="1"/>
  <c r="AZ20" i="524"/>
  <c r="F28" i="515"/>
  <c r="E13" i="537" s="1"/>
  <c r="BA18" i="481"/>
  <c r="BB18" i="481"/>
  <c r="BC18" i="481" s="1"/>
  <c r="BD18" i="481" s="1"/>
  <c r="P31" i="513"/>
  <c r="P30" i="513"/>
  <c r="P29" i="513"/>
  <c r="AR7" i="521"/>
  <c r="AQ7" i="521" s="1"/>
  <c r="AY7" i="521" s="1"/>
  <c r="O53" i="525"/>
  <c r="AQ9" i="519"/>
  <c r="AQ27" i="514"/>
  <c r="AQ24" i="481"/>
  <c r="AQ22" i="481"/>
  <c r="AS22" i="481" s="1"/>
  <c r="AQ33" i="481"/>
  <c r="AS33" i="481" s="1"/>
  <c r="AP28" i="514"/>
  <c r="K13" i="537" s="1"/>
  <c r="L13" i="537" s="1"/>
  <c r="AQ25" i="526"/>
  <c r="P12" i="523"/>
  <c r="P53" i="525"/>
  <c r="AX22" i="526"/>
  <c r="AY22" i="526" s="1"/>
  <c r="AT17" i="524"/>
  <c r="AS26" i="514"/>
  <c r="AW25" i="514"/>
  <c r="AX25" i="514" s="1"/>
  <c r="AY25" i="514" s="1"/>
  <c r="AZ25" i="514"/>
  <c r="BA25" i="514" s="1"/>
  <c r="BB25" i="514" s="1"/>
  <c r="BA22" i="526"/>
  <c r="BB22" i="526" s="1"/>
  <c r="AV7" i="521"/>
  <c r="AW7" i="521" s="1"/>
  <c r="M27" i="511"/>
  <c r="N27" i="511" s="1"/>
  <c r="M24" i="511"/>
  <c r="N24" i="511" s="1"/>
  <c r="O18" i="511"/>
  <c r="P18" i="511" s="1"/>
  <c r="O25" i="511"/>
  <c r="P25" i="511" s="1"/>
  <c r="M34" i="511"/>
  <c r="N34" i="511" s="1"/>
  <c r="M17" i="511"/>
  <c r="N17" i="511" s="1"/>
  <c r="M31" i="511"/>
  <c r="N31" i="511" s="1"/>
  <c r="AW14" i="504"/>
  <c r="AX14" i="504" s="1"/>
  <c r="H7" i="505"/>
  <c r="L7" i="505" s="1"/>
  <c r="M7" i="505" s="1"/>
  <c r="N7" i="505" s="1"/>
  <c r="O37" i="502"/>
  <c r="AY32" i="481"/>
  <c r="AZ32" i="481" s="1"/>
  <c r="BB32" i="481"/>
  <c r="BC32" i="481" s="1"/>
  <c r="BD32" i="481" s="1"/>
  <c r="BE32" i="481" s="1"/>
  <c r="P39" i="507"/>
  <c r="O39" i="507"/>
  <c r="H16" i="515"/>
  <c r="L16" i="515" s="1"/>
  <c r="M16" i="515" s="1"/>
  <c r="N16" i="515" s="1"/>
  <c r="BA13" i="504"/>
  <c r="BB13" i="504" s="1"/>
  <c r="M26" i="511"/>
  <c r="N26" i="511" s="1"/>
  <c r="AY13" i="504"/>
  <c r="AY25" i="481"/>
  <c r="AZ25" i="481" s="1"/>
  <c r="BB25" i="481"/>
  <c r="BC25" i="481" s="1"/>
  <c r="BD25" i="481" s="1"/>
  <c r="AY32" i="504"/>
  <c r="AZ32" i="504"/>
  <c r="BA32" i="504" s="1"/>
  <c r="BB32" i="504" s="1"/>
  <c r="M30" i="511"/>
  <c r="N30" i="511" s="1"/>
  <c r="M28" i="511"/>
  <c r="N28" i="511" s="1"/>
  <c r="O18" i="515"/>
  <c r="P18" i="515" s="1"/>
  <c r="AP20" i="528"/>
  <c r="K19" i="537" s="1"/>
  <c r="L19" i="537" s="1"/>
  <c r="AP12" i="521"/>
  <c r="D15" i="535" s="1"/>
  <c r="AN12" i="521"/>
  <c r="D16" i="537" s="1"/>
  <c r="AP14" i="519"/>
  <c r="K14" i="537" s="1"/>
  <c r="L14" i="537" s="1"/>
  <c r="AY8" i="512"/>
  <c r="BC8" i="512"/>
  <c r="BD8" i="512" s="1"/>
  <c r="AS35" i="512"/>
  <c r="AR35" i="512" s="1"/>
  <c r="P37" i="502"/>
  <c r="P26" i="527"/>
  <c r="AS32" i="512"/>
  <c r="AR32" i="512" s="1"/>
  <c r="BA9" i="528"/>
  <c r="BB9" i="528" s="1"/>
  <c r="O7" i="509"/>
  <c r="P7" i="509" s="1"/>
  <c r="H7" i="530"/>
  <c r="L7" i="530" s="1"/>
  <c r="M7" i="530" s="1"/>
  <c r="N7" i="530" s="1"/>
  <c r="L8" i="537"/>
  <c r="AO7" i="514"/>
  <c r="AQ7" i="514" s="1"/>
  <c r="O11" i="534"/>
  <c r="O7" i="532"/>
  <c r="P7" i="532" s="1"/>
  <c r="O7" i="518"/>
  <c r="P7" i="518" s="1"/>
  <c r="O7" i="511"/>
  <c r="P7" i="511" s="1"/>
  <c r="AS23" i="510"/>
  <c r="AR23" i="510" s="1"/>
  <c r="BC7" i="481"/>
  <c r="AZ7" i="481"/>
  <c r="AS29" i="504"/>
  <c r="AR29" i="504" s="1"/>
  <c r="AS29" i="481"/>
  <c r="AR29" i="481" s="1"/>
  <c r="AS26" i="481"/>
  <c r="AR26" i="481" s="1"/>
  <c r="AS21" i="481"/>
  <c r="AR21" i="481" s="1"/>
  <c r="AS25" i="512"/>
  <c r="AR25" i="512" s="1"/>
  <c r="AS17" i="526"/>
  <c r="AR17" i="526" s="1"/>
  <c r="AS24" i="526"/>
  <c r="AR24" i="526" s="1"/>
  <c r="BF34" i="524"/>
  <c r="BG34" i="524" s="1"/>
  <c r="AR11" i="531"/>
  <c r="AQ11" i="531" s="1"/>
  <c r="AT21" i="524"/>
  <c r="AS21" i="524" s="1"/>
  <c r="AT10" i="524"/>
  <c r="AS10" i="524" s="1"/>
  <c r="AT19" i="524"/>
  <c r="AS19" i="524" s="1"/>
  <c r="AT9" i="524"/>
  <c r="AS9" i="524" s="1"/>
  <c r="AY28" i="481"/>
  <c r="AZ28" i="481" s="1"/>
  <c r="AS9" i="514"/>
  <c r="AR9" i="514" s="1"/>
  <c r="AS23" i="526"/>
  <c r="AR23" i="526" s="1"/>
  <c r="BB28" i="481"/>
  <c r="BC28" i="481" s="1"/>
  <c r="BD28" i="481" s="1"/>
  <c r="AS17" i="528"/>
  <c r="AR17" i="528" s="1"/>
  <c r="AR11" i="521"/>
  <c r="AQ11" i="521" s="1"/>
  <c r="AS12" i="508"/>
  <c r="AR12" i="508" s="1"/>
  <c r="AY19" i="510"/>
  <c r="AZ19" i="510"/>
  <c r="BA19" i="510" s="1"/>
  <c r="BB19" i="510" s="1"/>
  <c r="AW22" i="504"/>
  <c r="AX22" i="504" s="1"/>
  <c r="AX31" i="506"/>
  <c r="AY31" i="506" s="1"/>
  <c r="AZ31" i="506"/>
  <c r="BA31" i="506" s="1"/>
  <c r="AY19" i="508"/>
  <c r="AZ9" i="531"/>
  <c r="BA9" i="531" s="1"/>
  <c r="AS23" i="508"/>
  <c r="AR23" i="508" s="1"/>
  <c r="AS24" i="508"/>
  <c r="AR24" i="508" s="1"/>
  <c r="AW19" i="512"/>
  <c r="AX19" i="512" s="1"/>
  <c r="AW20" i="512"/>
  <c r="BC19" i="508"/>
  <c r="AZ19" i="481"/>
  <c r="BA19" i="481" s="1"/>
  <c r="BB19" i="481"/>
  <c r="BC19" i="481" s="1"/>
  <c r="AY20" i="504"/>
  <c r="AS14" i="510"/>
  <c r="AR14" i="510" s="1"/>
  <c r="BC35" i="508"/>
  <c r="BD35" i="508" s="1"/>
  <c r="AR10" i="531"/>
  <c r="AQ10" i="531" s="1"/>
  <c r="AT27" i="524"/>
  <c r="AS27" i="524" s="1"/>
  <c r="BA16" i="526"/>
  <c r="BB16" i="526" s="1"/>
  <c r="AX16" i="526"/>
  <c r="AY16" i="526" s="1"/>
  <c r="AZ16" i="526" s="1"/>
  <c r="AY17" i="508"/>
  <c r="AZ17" i="508"/>
  <c r="BA17" i="508" s="1"/>
  <c r="BB17" i="508" s="1"/>
  <c r="AY16" i="508"/>
  <c r="AZ16" i="508"/>
  <c r="BA16" i="508" s="1"/>
  <c r="BB16" i="508" s="1"/>
  <c r="AY15" i="508"/>
  <c r="AZ15" i="508"/>
  <c r="BA15" i="508" s="1"/>
  <c r="BB15" i="508" s="1"/>
  <c r="BC20" i="504"/>
  <c r="AZ19" i="504"/>
  <c r="BA19" i="504" s="1"/>
  <c r="AW16" i="512"/>
  <c r="AX16" i="512" s="1"/>
  <c r="AT25" i="524"/>
  <c r="AS25" i="524" s="1"/>
  <c r="AT24" i="524"/>
  <c r="AS24" i="524" s="1"/>
  <c r="AS20" i="514"/>
  <c r="AR20" i="514" s="1"/>
  <c r="AW21" i="514"/>
  <c r="AX21" i="514" s="1"/>
  <c r="AY21" i="514" s="1"/>
  <c r="AX12" i="514"/>
  <c r="AS30" i="504"/>
  <c r="AR30" i="504" s="1"/>
  <c r="AS11" i="519"/>
  <c r="AR11" i="519" s="1"/>
  <c r="AS10" i="519"/>
  <c r="AR10" i="519" s="1"/>
  <c r="BC10" i="508"/>
  <c r="BD10" i="508" s="1"/>
  <c r="BE10" i="508" s="1"/>
  <c r="AS16" i="528"/>
  <c r="AR16" i="528" s="1"/>
  <c r="AS20" i="526"/>
  <c r="AR20" i="526" s="1"/>
  <c r="AS40" i="504"/>
  <c r="AR40" i="504" s="1"/>
  <c r="AS33" i="504"/>
  <c r="AR33" i="504" s="1"/>
  <c r="AS15" i="504"/>
  <c r="AR15" i="504" s="1"/>
  <c r="AS35" i="504"/>
  <c r="AR35" i="504" s="1"/>
  <c r="AS18" i="504"/>
  <c r="AR18" i="504" s="1"/>
  <c r="AS36" i="504"/>
  <c r="AR36" i="504" s="1"/>
  <c r="AS17" i="504"/>
  <c r="AR17" i="504" s="1"/>
  <c r="AS39" i="504"/>
  <c r="AR39" i="504" s="1"/>
  <c r="AS16" i="504"/>
  <c r="AR16" i="504" s="1"/>
  <c r="BA30" i="506"/>
  <c r="BB30" i="506" s="1"/>
  <c r="BC30" i="506" s="1"/>
  <c r="BD30" i="506" s="1"/>
  <c r="BE30" i="506" s="1"/>
  <c r="AW18" i="508"/>
  <c r="AX18" i="508" s="1"/>
  <c r="AY18" i="508" s="1"/>
  <c r="AW9" i="510"/>
  <c r="AX9" i="510" s="1"/>
  <c r="AY9" i="510" s="1"/>
  <c r="AZ9" i="510"/>
  <c r="BA9" i="510" s="1"/>
  <c r="BB9" i="510" s="1"/>
  <c r="AS11" i="526"/>
  <c r="AR11" i="526" s="1"/>
  <c r="BD107" i="58"/>
  <c r="BG28" i="58"/>
  <c r="BF28" i="58"/>
  <c r="AJ37" i="380"/>
  <c r="AI37" i="380"/>
  <c r="BD71" i="58"/>
  <c r="BE39" i="58"/>
  <c r="BG39" i="58" s="1"/>
  <c r="BD159" i="58"/>
  <c r="BE159" i="58" s="1"/>
  <c r="BF159" i="58" s="1"/>
  <c r="AH36" i="380"/>
  <c r="AJ36" i="380" s="1"/>
  <c r="BE107" i="58"/>
  <c r="BF107" i="58" s="1"/>
  <c r="BG107" i="58" s="1"/>
  <c r="AH19" i="380"/>
  <c r="AJ19" i="380" s="1"/>
  <c r="AI19" i="380"/>
  <c r="BC176" i="58"/>
  <c r="AI36" i="380"/>
  <c r="BI11" i="380"/>
  <c r="BC105" i="58"/>
  <c r="BE105" i="58" s="1"/>
  <c r="BB105" i="58"/>
  <c r="BD105" i="58"/>
  <c r="AG12" i="380"/>
  <c r="BF39" i="58"/>
  <c r="AF20" i="380"/>
  <c r="AH20" i="380" s="1"/>
  <c r="AE20" i="380"/>
  <c r="AG20" i="380"/>
  <c r="BE98" i="58"/>
  <c r="BF98" i="58" s="1"/>
  <c r="BG35" i="58"/>
  <c r="BK26" i="380"/>
  <c r="BM26" i="380" s="1"/>
  <c r="BL26" i="380"/>
  <c r="BF102" i="58"/>
  <c r="BG102" i="58" s="1"/>
  <c r="BI19" i="380"/>
  <c r="AI22" i="380"/>
  <c r="AJ22" i="380" s="1"/>
  <c r="BD146" i="58"/>
  <c r="BF146" i="58" s="1"/>
  <c r="BE146" i="58"/>
  <c r="BG146" i="58" s="1"/>
  <c r="BI12" i="380"/>
  <c r="BE99" i="58"/>
  <c r="BF99" i="58" s="1"/>
  <c r="BG99" i="58" s="1"/>
  <c r="BG72" i="58"/>
  <c r="BE86" i="58"/>
  <c r="BF86" i="58" s="1"/>
  <c r="AI13" i="380"/>
  <c r="AJ13" i="380" s="1"/>
  <c r="BE38" i="58"/>
  <c r="BE71" i="58"/>
  <c r="BF71" i="58" s="1"/>
  <c r="BM20" i="380"/>
  <c r="BI21" i="380"/>
  <c r="BJ21" i="380" s="1"/>
  <c r="BH21" i="380"/>
  <c r="BB110" i="58"/>
  <c r="BD110" i="58" s="1"/>
  <c r="BC110" i="58"/>
  <c r="BG140" i="58"/>
  <c r="BF145" i="58"/>
  <c r="BG145" i="58" s="1"/>
  <c r="AH24" i="380"/>
  <c r="AI24" i="380" s="1"/>
  <c r="BF33" i="58"/>
  <c r="BG33" i="58" s="1"/>
  <c r="BG153" i="58"/>
  <c r="BD38" i="58"/>
  <c r="BG94" i="58"/>
  <c r="BF162" i="58"/>
  <c r="BG162" i="58" s="1"/>
  <c r="BF10" i="58"/>
  <c r="BG10" i="58" s="1"/>
  <c r="BF151" i="58"/>
  <c r="BG151" i="58" s="1"/>
  <c r="BE124" i="58"/>
  <c r="BF60" i="58"/>
  <c r="T30" i="380"/>
  <c r="S30" i="380"/>
  <c r="AE14" i="380"/>
  <c r="AF14" i="380"/>
  <c r="AG14" i="380" s="1"/>
  <c r="BB8" i="58"/>
  <c r="BD8" i="58" s="1"/>
  <c r="BC8" i="58"/>
  <c r="AF27" i="380"/>
  <c r="AH27" i="380" s="1"/>
  <c r="AI27" i="380" s="1"/>
  <c r="AE27" i="380"/>
  <c r="AG27" i="380"/>
  <c r="AI15" i="380"/>
  <c r="AJ15" i="380" s="1"/>
  <c r="BG60" i="58"/>
  <c r="BK31" i="380"/>
  <c r="BL31" i="380" s="1"/>
  <c r="BD18" i="58"/>
  <c r="BE18" i="58" s="1"/>
  <c r="BF174" i="58"/>
  <c r="BG174" i="58" s="1"/>
  <c r="BB74" i="58"/>
  <c r="BC74" i="58"/>
  <c r="BB70" i="58"/>
  <c r="BC70" i="58" s="1"/>
  <c r="BB116" i="58"/>
  <c r="BC116" i="58" s="1"/>
  <c r="BG66" i="58"/>
  <c r="BB58" i="58"/>
  <c r="BD58" i="58"/>
  <c r="BG58" i="58" s="1"/>
  <c r="BC58" i="58"/>
  <c r="BE58" i="58"/>
  <c r="BF58" i="58"/>
  <c r="BH14" i="380"/>
  <c r="BI14" i="380"/>
  <c r="AE17" i="380"/>
  <c r="AF17" i="380" s="1"/>
  <c r="AH18" i="380"/>
  <c r="AI18" i="380" s="1"/>
  <c r="AJ18" i="380" s="1"/>
  <c r="AE29" i="380"/>
  <c r="AG29" i="380" s="1"/>
  <c r="AF29" i="380"/>
  <c r="BE160" i="58"/>
  <c r="BF160" i="58" s="1"/>
  <c r="BC90" i="58"/>
  <c r="BB90" i="58"/>
  <c r="BD90" i="58"/>
  <c r="BE90" i="58" s="1"/>
  <c r="BE47" i="58"/>
  <c r="BD118" i="58"/>
  <c r="BC34" i="504"/>
  <c r="BD34" i="504" s="1"/>
  <c r="BE34" i="504" s="1"/>
  <c r="BA12" i="514"/>
  <c r="BE32" i="510"/>
  <c r="BF32" i="510" s="1"/>
  <c r="AR9" i="521"/>
  <c r="AQ9" i="521" s="1"/>
  <c r="AZ29" i="510"/>
  <c r="BB31" i="504"/>
  <c r="BC31" i="504" s="1"/>
  <c r="BD31" i="504" s="1"/>
  <c r="AX31" i="504"/>
  <c r="AY31" i="504" s="1"/>
  <c r="BD22" i="506"/>
  <c r="BE22" i="506" s="1"/>
  <c r="BF22" i="506" s="1"/>
  <c r="AW29" i="510"/>
  <c r="AO15" i="514" l="1"/>
  <c r="AQ15" i="514" s="1"/>
  <c r="AO17" i="514"/>
  <c r="AQ17" i="514" s="1"/>
  <c r="AO13" i="514"/>
  <c r="AQ13" i="514" s="1"/>
  <c r="AO14" i="514"/>
  <c r="AQ14" i="514" s="1"/>
  <c r="AO19" i="514"/>
  <c r="AQ19" i="514" s="1"/>
  <c r="AO10" i="514"/>
  <c r="AQ10" i="514" s="1"/>
  <c r="AO29" i="512"/>
  <c r="AQ29" i="512" s="1"/>
  <c r="AO31" i="512"/>
  <c r="AQ31" i="512" s="1"/>
  <c r="AO30" i="512"/>
  <c r="AQ30" i="512" s="1"/>
  <c r="AO25" i="510"/>
  <c r="AQ25" i="510" s="1"/>
  <c r="AO18" i="510"/>
  <c r="BF20" i="524"/>
  <c r="BG20" i="524" s="1"/>
  <c r="BE18" i="481"/>
  <c r="BF18" i="481" s="1"/>
  <c r="AX17" i="524"/>
  <c r="AY17" i="524" s="1"/>
  <c r="AZ17" i="524" s="1"/>
  <c r="AS17" i="524"/>
  <c r="BA17" i="524" s="1"/>
  <c r="BB17" i="524" s="1"/>
  <c r="AW26" i="514"/>
  <c r="AX26" i="514" s="1"/>
  <c r="AY26" i="514" s="1"/>
  <c r="AR26" i="514"/>
  <c r="AZ26" i="514" s="1"/>
  <c r="BA26" i="514" s="1"/>
  <c r="AR22" i="481"/>
  <c r="BB22" i="481" s="1"/>
  <c r="AR33" i="481"/>
  <c r="AQ23" i="481"/>
  <c r="AQ12" i="521"/>
  <c r="AZ22" i="526"/>
  <c r="BC22" i="526"/>
  <c r="BD22" i="526" s="1"/>
  <c r="AX7" i="521"/>
  <c r="AZ7" i="521"/>
  <c r="O31" i="511"/>
  <c r="P31" i="511" s="1"/>
  <c r="O17" i="511"/>
  <c r="P17" i="511" s="1"/>
  <c r="O34" i="511"/>
  <c r="P34" i="511" s="1"/>
  <c r="O24" i="511"/>
  <c r="P24" i="511" s="1"/>
  <c r="O28" i="511"/>
  <c r="P28" i="511" s="1"/>
  <c r="O26" i="511"/>
  <c r="P26" i="511" s="1"/>
  <c r="O27" i="511"/>
  <c r="P27" i="511" s="1"/>
  <c r="O30" i="511"/>
  <c r="P30" i="511" s="1"/>
  <c r="AO37" i="481"/>
  <c r="D7" i="537" s="1"/>
  <c r="AY14" i="504"/>
  <c r="AZ14" i="504"/>
  <c r="BA14" i="504" s="1"/>
  <c r="BB14" i="504" s="1"/>
  <c r="O7" i="505"/>
  <c r="P7" i="505" s="1"/>
  <c r="BA32" i="481"/>
  <c r="BC25" i="514"/>
  <c r="BD25" i="514" s="1"/>
  <c r="BE25" i="514" s="1"/>
  <c r="BF25" i="514" s="1"/>
  <c r="AS27" i="514"/>
  <c r="AR27" i="514" s="1"/>
  <c r="BF32" i="481"/>
  <c r="BG32" i="481" s="1"/>
  <c r="P37" i="509"/>
  <c r="AS33" i="508" s="1"/>
  <c r="AR33" i="508" s="1"/>
  <c r="AY11" i="531"/>
  <c r="AV11" i="531"/>
  <c r="O16" i="515"/>
  <c r="P16" i="515" s="1"/>
  <c r="AP7" i="524"/>
  <c r="AO26" i="526"/>
  <c r="D18" i="537" s="1"/>
  <c r="BC13" i="504"/>
  <c r="BD13" i="504" s="1"/>
  <c r="BE13" i="504" s="1"/>
  <c r="BF13" i="504" s="1"/>
  <c r="P37" i="513"/>
  <c r="BA25" i="481"/>
  <c r="AS34" i="512"/>
  <c r="AR34" i="512" s="1"/>
  <c r="AS8" i="526"/>
  <c r="AR8" i="526" s="1"/>
  <c r="BE25" i="481"/>
  <c r="BC32" i="504"/>
  <c r="AQ37" i="481"/>
  <c r="AQ26" i="526"/>
  <c r="AW32" i="512"/>
  <c r="AX32" i="512" s="1"/>
  <c r="AY32" i="512" s="1"/>
  <c r="AR12" i="521"/>
  <c r="E15" i="535" s="1"/>
  <c r="BE8" i="512"/>
  <c r="BF8" i="512" s="1"/>
  <c r="BA7" i="481"/>
  <c r="BD7" i="481"/>
  <c r="BE7" i="481" s="1"/>
  <c r="AO11" i="533"/>
  <c r="D21" i="537" s="1"/>
  <c r="AZ35" i="512"/>
  <c r="BA35" i="512" s="1"/>
  <c r="AW35" i="512"/>
  <c r="AX35" i="512" s="1"/>
  <c r="AT23" i="524"/>
  <c r="AS23" i="524" s="1"/>
  <c r="AS38" i="506"/>
  <c r="AR38" i="506" s="1"/>
  <c r="O37" i="513"/>
  <c r="BC9" i="528"/>
  <c r="BD9" i="528" s="1"/>
  <c r="O7" i="530"/>
  <c r="P7" i="530" s="1"/>
  <c r="O37" i="509"/>
  <c r="P11" i="534"/>
  <c r="AS7" i="514"/>
  <c r="AR7" i="514" s="1"/>
  <c r="AZ23" i="510"/>
  <c r="AO7" i="510"/>
  <c r="AQ7" i="510" s="1"/>
  <c r="O12" i="532"/>
  <c r="O14" i="518"/>
  <c r="AS33" i="512"/>
  <c r="AR33" i="512" s="1"/>
  <c r="AW23" i="510"/>
  <c r="AX23" i="510" s="1"/>
  <c r="AY23" i="510" s="1"/>
  <c r="AX17" i="526"/>
  <c r="AY17" i="526" s="1"/>
  <c r="AZ17" i="526" s="1"/>
  <c r="BA17" i="526"/>
  <c r="AW12" i="508"/>
  <c r="AX12" i="508" s="1"/>
  <c r="AY12" i="508" s="1"/>
  <c r="AZ12" i="508"/>
  <c r="AW17" i="504"/>
  <c r="AX17" i="504" s="1"/>
  <c r="AY17" i="504" s="1"/>
  <c r="AZ17" i="504"/>
  <c r="BA17" i="504" s="1"/>
  <c r="BB17" i="504" s="1"/>
  <c r="BC17" i="504" s="1"/>
  <c r="AW36" i="504"/>
  <c r="AX36" i="504" s="1"/>
  <c r="AY36" i="504" s="1"/>
  <c r="AZ36" i="504"/>
  <c r="BA36" i="504" s="1"/>
  <c r="BB36" i="504" s="1"/>
  <c r="AW35" i="504"/>
  <c r="AX35" i="504" s="1"/>
  <c r="AZ35" i="504"/>
  <c r="AW33" i="504"/>
  <c r="AZ33" i="504"/>
  <c r="AV16" i="528"/>
  <c r="AW16" i="528" s="1"/>
  <c r="AX16" i="528" s="1"/>
  <c r="AY16" i="528"/>
  <c r="AS22" i="510"/>
  <c r="AR22" i="510" s="1"/>
  <c r="AS28" i="506"/>
  <c r="AR28" i="506" s="1"/>
  <c r="AS28" i="504"/>
  <c r="AR28" i="504" s="1"/>
  <c r="AS16" i="506"/>
  <c r="AR16" i="506" s="1"/>
  <c r="AW29" i="504"/>
  <c r="AX29" i="504" s="1"/>
  <c r="AY29" i="504" s="1"/>
  <c r="AY33" i="481"/>
  <c r="AZ33" i="481" s="1"/>
  <c r="BA33" i="481" s="1"/>
  <c r="AW25" i="512"/>
  <c r="AX25" i="512" s="1"/>
  <c r="AO7" i="506"/>
  <c r="AX24" i="526"/>
  <c r="AY24" i="526" s="1"/>
  <c r="AZ24" i="526" s="1"/>
  <c r="AS37" i="506"/>
  <c r="AR37" i="506" s="1"/>
  <c r="AS34" i="481"/>
  <c r="AR34" i="481" s="1"/>
  <c r="AS36" i="481"/>
  <c r="AR36" i="481" s="1"/>
  <c r="AS30" i="481"/>
  <c r="AR30" i="481" s="1"/>
  <c r="AS31" i="481"/>
  <c r="AR31" i="481" s="1"/>
  <c r="AS27" i="481"/>
  <c r="AR27" i="481" s="1"/>
  <c r="AS24" i="481"/>
  <c r="AR24" i="481" s="1"/>
  <c r="AS18" i="512"/>
  <c r="AR18" i="512" s="1"/>
  <c r="AS28" i="512"/>
  <c r="AR28" i="512" s="1"/>
  <c r="AT22" i="524"/>
  <c r="AS22" i="524" s="1"/>
  <c r="BA10" i="524"/>
  <c r="BB10" i="524" s="1"/>
  <c r="BC10" i="524" s="1"/>
  <c r="BA21" i="524"/>
  <c r="BB21" i="524" s="1"/>
  <c r="BC21" i="524" s="1"/>
  <c r="BA9" i="524"/>
  <c r="BB9" i="524" s="1"/>
  <c r="BC9" i="524" s="1"/>
  <c r="BA19" i="524"/>
  <c r="BB19" i="524" s="1"/>
  <c r="BC19" i="524" s="1"/>
  <c r="BD19" i="524" s="1"/>
  <c r="BE19" i="524" s="1"/>
  <c r="AR8" i="531"/>
  <c r="AQ8" i="531" s="1"/>
  <c r="AS19" i="526"/>
  <c r="AR19" i="526" s="1"/>
  <c r="AS20" i="510"/>
  <c r="AR20" i="510" s="1"/>
  <c r="AX19" i="524"/>
  <c r="AY19" i="524" s="1"/>
  <c r="AZ19" i="524" s="1"/>
  <c r="AS26" i="512"/>
  <c r="AR26" i="512" s="1"/>
  <c r="AX9" i="524"/>
  <c r="AY9" i="524" s="1"/>
  <c r="AZ25" i="512"/>
  <c r="BA25" i="512" s="1"/>
  <c r="AZ29" i="504"/>
  <c r="BA29" i="504" s="1"/>
  <c r="BB29" i="504" s="1"/>
  <c r="BC29" i="504" s="1"/>
  <c r="BA24" i="526"/>
  <c r="BB24" i="526" s="1"/>
  <c r="AX10" i="524"/>
  <c r="AY10" i="524" s="1"/>
  <c r="AX21" i="524"/>
  <c r="AY21" i="524" s="1"/>
  <c r="AT15" i="524"/>
  <c r="AS15" i="524" s="1"/>
  <c r="AT11" i="524"/>
  <c r="AS11" i="524" s="1"/>
  <c r="AT18" i="524"/>
  <c r="AS18" i="524" s="1"/>
  <c r="AT16" i="524"/>
  <c r="AS16" i="524" s="1"/>
  <c r="AT13" i="524"/>
  <c r="AS13" i="524" s="1"/>
  <c r="AT14" i="524"/>
  <c r="AS14" i="524" s="1"/>
  <c r="AS9" i="519"/>
  <c r="AR9" i="519" s="1"/>
  <c r="AZ9" i="514"/>
  <c r="AS20" i="508"/>
  <c r="AR20" i="508" s="1"/>
  <c r="AS21" i="508"/>
  <c r="AR21" i="508" s="1"/>
  <c r="AS26" i="508"/>
  <c r="AR26" i="508" s="1"/>
  <c r="AS13" i="508"/>
  <c r="AR13" i="508" s="1"/>
  <c r="AS36" i="508"/>
  <c r="AR36" i="508" s="1"/>
  <c r="AS29" i="506"/>
  <c r="AR29" i="506" s="1"/>
  <c r="AS18" i="506"/>
  <c r="AR18" i="506" s="1"/>
  <c r="AS27" i="506"/>
  <c r="AR27" i="506" s="1"/>
  <c r="AS32" i="506"/>
  <c r="AR32" i="506" s="1"/>
  <c r="AS19" i="506"/>
  <c r="AR19" i="506" s="1"/>
  <c r="AS21" i="506"/>
  <c r="AR21" i="506" s="1"/>
  <c r="AS26" i="506"/>
  <c r="AR26" i="506" s="1"/>
  <c r="AS23" i="506"/>
  <c r="AR23" i="506" s="1"/>
  <c r="BB33" i="481"/>
  <c r="BC33" i="481" s="1"/>
  <c r="AZ10" i="519"/>
  <c r="BA10" i="519" s="1"/>
  <c r="AV11" i="521"/>
  <c r="AW11" i="521" s="1"/>
  <c r="AX11" i="521" s="1"/>
  <c r="AY29" i="481"/>
  <c r="AX23" i="526"/>
  <c r="AY23" i="526" s="1"/>
  <c r="AZ23" i="526" s="1"/>
  <c r="AW9" i="514"/>
  <c r="AX9" i="514" s="1"/>
  <c r="BA28" i="481"/>
  <c r="AT8" i="524"/>
  <c r="AS8" i="524" s="1"/>
  <c r="BB26" i="481"/>
  <c r="AS11" i="504"/>
  <c r="AR11" i="504" s="1"/>
  <c r="AS12" i="504"/>
  <c r="AR12" i="504" s="1"/>
  <c r="AS23" i="512"/>
  <c r="AR23" i="512" s="1"/>
  <c r="AY11" i="521"/>
  <c r="AZ11" i="521" s="1"/>
  <c r="BA11" i="521" s="1"/>
  <c r="BB11" i="521" s="1"/>
  <c r="AS15" i="528"/>
  <c r="AR15" i="528" s="1"/>
  <c r="AY22" i="481"/>
  <c r="AZ22" i="481" s="1"/>
  <c r="BA22" i="481" s="1"/>
  <c r="AY26" i="481"/>
  <c r="AZ26" i="481" s="1"/>
  <c r="BA26" i="481" s="1"/>
  <c r="AV17" i="528"/>
  <c r="BE28" i="481"/>
  <c r="BF28" i="481" s="1"/>
  <c r="BA23" i="526"/>
  <c r="BB23" i="526" s="1"/>
  <c r="BC23" i="526" s="1"/>
  <c r="AY21" i="481"/>
  <c r="AZ21" i="481" s="1"/>
  <c r="BA21" i="481" s="1"/>
  <c r="AS15" i="526"/>
  <c r="AR15" i="526" s="1"/>
  <c r="AS12" i="526"/>
  <c r="AR12" i="526" s="1"/>
  <c r="AX25" i="524"/>
  <c r="AY25" i="524" s="1"/>
  <c r="AZ25" i="524" s="1"/>
  <c r="AS25" i="506"/>
  <c r="AR25" i="506" s="1"/>
  <c r="AS24" i="506"/>
  <c r="AR24" i="506" s="1"/>
  <c r="BC19" i="510"/>
  <c r="AW24" i="508"/>
  <c r="AX24" i="508" s="1"/>
  <c r="AW23" i="508"/>
  <c r="AX23" i="508" s="1"/>
  <c r="AS17" i="506"/>
  <c r="AR17" i="506" s="1"/>
  <c r="AY22" i="504"/>
  <c r="AZ22" i="504"/>
  <c r="BA22" i="504" s="1"/>
  <c r="BB21" i="481"/>
  <c r="BC21" i="481" s="1"/>
  <c r="BB31" i="506"/>
  <c r="BC31" i="506" s="1"/>
  <c r="AY17" i="528"/>
  <c r="BB9" i="531"/>
  <c r="BC9" i="531" s="1"/>
  <c r="BD9" i="531" s="1"/>
  <c r="BE9" i="531" s="1"/>
  <c r="AZ20" i="512"/>
  <c r="AY19" i="512"/>
  <c r="AX20" i="512"/>
  <c r="AY20" i="512" s="1"/>
  <c r="AZ19" i="512"/>
  <c r="AW14" i="510"/>
  <c r="AX14" i="510" s="1"/>
  <c r="BD19" i="508"/>
  <c r="BD19" i="481"/>
  <c r="BE35" i="508"/>
  <c r="BF35" i="508" s="1"/>
  <c r="AS8" i="519"/>
  <c r="AR8" i="519" s="1"/>
  <c r="AY10" i="531"/>
  <c r="AV10" i="531"/>
  <c r="AX27" i="524"/>
  <c r="AY27" i="524" s="1"/>
  <c r="AZ27" i="524" s="1"/>
  <c r="BB19" i="504"/>
  <c r="BC19" i="504" s="1"/>
  <c r="BD19" i="504" s="1"/>
  <c r="BE19" i="504" s="1"/>
  <c r="BC16" i="526"/>
  <c r="BD16" i="526" s="1"/>
  <c r="BC17" i="508"/>
  <c r="BC16" i="508"/>
  <c r="BC15" i="508"/>
  <c r="AW40" i="504"/>
  <c r="AX40" i="504" s="1"/>
  <c r="AY40" i="504" s="1"/>
  <c r="BD20" i="504"/>
  <c r="AY16" i="512"/>
  <c r="AZ16" i="512"/>
  <c r="BA16" i="512" s="1"/>
  <c r="BB16" i="512" s="1"/>
  <c r="AW16" i="504"/>
  <c r="AX16" i="504" s="1"/>
  <c r="AY16" i="504" s="1"/>
  <c r="AW18" i="504"/>
  <c r="AX18" i="504" s="1"/>
  <c r="AY18" i="504" s="1"/>
  <c r="AS15" i="512"/>
  <c r="AR15" i="512" s="1"/>
  <c r="AZ30" i="504"/>
  <c r="BA27" i="524"/>
  <c r="BB27" i="524" s="1"/>
  <c r="BA24" i="524"/>
  <c r="BB24" i="524" s="1"/>
  <c r="AX24" i="524"/>
  <c r="AY24" i="524" s="1"/>
  <c r="AZ24" i="524" s="1"/>
  <c r="AZ20" i="514"/>
  <c r="AZ21" i="514"/>
  <c r="AW20" i="514"/>
  <c r="AX20" i="514" s="1"/>
  <c r="AY20" i="514" s="1"/>
  <c r="AW30" i="504"/>
  <c r="AX30" i="504" s="1"/>
  <c r="BB12" i="514"/>
  <c r="AY12" i="514"/>
  <c r="BA29" i="510"/>
  <c r="BB29" i="510" s="1"/>
  <c r="BA20" i="526"/>
  <c r="AW11" i="519"/>
  <c r="AX11" i="519" s="1"/>
  <c r="AY11" i="519" s="1"/>
  <c r="AZ18" i="504"/>
  <c r="BA18" i="504" s="1"/>
  <c r="AZ15" i="504"/>
  <c r="BA15" i="504" s="1"/>
  <c r="BB15" i="504" s="1"/>
  <c r="AZ40" i="504"/>
  <c r="BA40" i="504" s="1"/>
  <c r="BB40" i="504" s="1"/>
  <c r="BC40" i="504" s="1"/>
  <c r="BD40" i="504" s="1"/>
  <c r="AZ16" i="504"/>
  <c r="AZ39" i="504"/>
  <c r="AX20" i="526"/>
  <c r="AY20" i="526" s="1"/>
  <c r="AZ11" i="519"/>
  <c r="BA11" i="519" s="1"/>
  <c r="BB11" i="519" s="1"/>
  <c r="AW10" i="519"/>
  <c r="AX10" i="519" s="1"/>
  <c r="AY10" i="519" s="1"/>
  <c r="BF10" i="508"/>
  <c r="AW39" i="504"/>
  <c r="AX39" i="504" s="1"/>
  <c r="AY39" i="504" s="1"/>
  <c r="AW15" i="504"/>
  <c r="AX15" i="504" s="1"/>
  <c r="AY15" i="504" s="1"/>
  <c r="AS8" i="504"/>
  <c r="AR8" i="504" s="1"/>
  <c r="BF30" i="506"/>
  <c r="BA11" i="526"/>
  <c r="BB11" i="526" s="1"/>
  <c r="BC11" i="526" s="1"/>
  <c r="BC9" i="510"/>
  <c r="BD9" i="510" s="1"/>
  <c r="AX11" i="526"/>
  <c r="AY11" i="526" s="1"/>
  <c r="AZ11" i="526" s="1"/>
  <c r="BK21" i="380"/>
  <c r="BL21" i="380" s="1"/>
  <c r="BM21" i="380" s="1"/>
  <c r="BF90" i="58"/>
  <c r="BD116" i="58"/>
  <c r="BF116" i="58"/>
  <c r="BE74" i="58"/>
  <c r="AH14" i="380"/>
  <c r="AJ14" i="380"/>
  <c r="BG71" i="58"/>
  <c r="AG17" i="380"/>
  <c r="AH17" i="380" s="1"/>
  <c r="AI17" i="380" s="1"/>
  <c r="BG90" i="58"/>
  <c r="AH29" i="380"/>
  <c r="AI29" i="380" s="1"/>
  <c r="AJ29" i="380" s="1"/>
  <c r="BJ14" i="380"/>
  <c r="BE116" i="58"/>
  <c r="BG116" i="58" s="1"/>
  <c r="BD70" i="58"/>
  <c r="BE70" i="58" s="1"/>
  <c r="BD74" i="58"/>
  <c r="AJ27" i="380"/>
  <c r="BE8" i="58"/>
  <c r="AI14" i="380"/>
  <c r="BF124" i="58"/>
  <c r="BG124" i="58" s="1"/>
  <c r="BE110" i="58"/>
  <c r="BF110" i="58" s="1"/>
  <c r="BG110" i="58" s="1"/>
  <c r="BE118" i="58"/>
  <c r="BF47" i="58"/>
  <c r="BG47" i="58" s="1"/>
  <c r="BF38" i="58"/>
  <c r="BG38" i="58" s="1"/>
  <c r="BF18" i="58"/>
  <c r="BG18" i="58" s="1"/>
  <c r="BM31" i="380"/>
  <c r="AI20" i="380"/>
  <c r="AJ20" i="380" s="1"/>
  <c r="AH12" i="380"/>
  <c r="AI12" i="380" s="1"/>
  <c r="BF105" i="58"/>
  <c r="BG105" i="58" s="1"/>
  <c r="BG86" i="58"/>
  <c r="BG159" i="58"/>
  <c r="BD176" i="58"/>
  <c r="BE176" i="58" s="1"/>
  <c r="BC7" i="58"/>
  <c r="BC179" i="58"/>
  <c r="BC180" i="58" s="1"/>
  <c r="BB179" i="58"/>
  <c r="BB180" i="58" s="1"/>
  <c r="BB7" i="58"/>
  <c r="AE30" i="380"/>
  <c r="AE41" i="380" s="1"/>
  <c r="AE42" i="380" s="1"/>
  <c r="AF30" i="380"/>
  <c r="AF41" i="380" s="1"/>
  <c r="AF42" i="380" s="1"/>
  <c r="BF118" i="58"/>
  <c r="BG118" i="58" s="1"/>
  <c r="AJ24" i="380"/>
  <c r="BG160" i="58"/>
  <c r="BL12" i="380"/>
  <c r="BJ12" i="380"/>
  <c r="BM12" i="380" s="1"/>
  <c r="BJ19" i="380"/>
  <c r="BM19" i="380" s="1"/>
  <c r="BG98" i="58"/>
  <c r="BK12" i="380"/>
  <c r="BK19" i="380"/>
  <c r="BL19" i="380" s="1"/>
  <c r="BJ11" i="380"/>
  <c r="AS9" i="504"/>
  <c r="AR9" i="504" s="1"/>
  <c r="BF34" i="504"/>
  <c r="AV9" i="521"/>
  <c r="AW9" i="521" s="1"/>
  <c r="AX9" i="521" s="1"/>
  <c r="AY9" i="521"/>
  <c r="BE31" i="504"/>
  <c r="BF31" i="504" s="1"/>
  <c r="AZ18" i="508"/>
  <c r="BA18" i="508" s="1"/>
  <c r="AX29" i="510"/>
  <c r="AO18" i="514" l="1"/>
  <c r="AQ18" i="514" s="1"/>
  <c r="AO30" i="510"/>
  <c r="AQ30" i="510" s="1"/>
  <c r="AO26" i="510"/>
  <c r="AQ26" i="510" s="1"/>
  <c r="AO28" i="510"/>
  <c r="AQ28" i="510" s="1"/>
  <c r="AO34" i="510"/>
  <c r="AO31" i="510"/>
  <c r="AQ16" i="510"/>
  <c r="AS16" i="510" s="1"/>
  <c r="AW16" i="510" s="1"/>
  <c r="AX16" i="510" s="1"/>
  <c r="AO17" i="510"/>
  <c r="AR16" i="510"/>
  <c r="BG18" i="481"/>
  <c r="BH18" i="481" s="1"/>
  <c r="AS23" i="481"/>
  <c r="AR23" i="481" s="1"/>
  <c r="BB23" i="481" s="1"/>
  <c r="AS15" i="510"/>
  <c r="AR15" i="510" s="1"/>
  <c r="BB26" i="514"/>
  <c r="BC26" i="514" s="1"/>
  <c r="BC17" i="524"/>
  <c r="BD17" i="524" s="1"/>
  <c r="BE22" i="526"/>
  <c r="BF22" i="526" s="1"/>
  <c r="BA7" i="521"/>
  <c r="BB7" i="521" s="1"/>
  <c r="P41" i="505"/>
  <c r="P28" i="515"/>
  <c r="BC14" i="504"/>
  <c r="BD14" i="504" s="1"/>
  <c r="BE14" i="504" s="1"/>
  <c r="BF14" i="504" s="1"/>
  <c r="O41" i="505"/>
  <c r="AS12" i="528"/>
  <c r="AR12" i="528" s="1"/>
  <c r="P20" i="530"/>
  <c r="AW33" i="508"/>
  <c r="AX33" i="508" s="1"/>
  <c r="AO7" i="508"/>
  <c r="AQ7" i="508" s="1"/>
  <c r="AW27" i="514"/>
  <c r="AX27" i="514" s="1"/>
  <c r="AY27" i="514" s="1"/>
  <c r="AS19" i="514"/>
  <c r="AR19" i="514" s="1"/>
  <c r="AS15" i="514"/>
  <c r="AR15" i="514" s="1"/>
  <c r="AS14" i="514"/>
  <c r="AR14" i="514" s="1"/>
  <c r="AS10" i="514"/>
  <c r="AR10" i="514" s="1"/>
  <c r="BH32" i="481"/>
  <c r="AR7" i="524"/>
  <c r="AP53" i="524"/>
  <c r="D17" i="537" s="1"/>
  <c r="O28" i="515"/>
  <c r="AQ7" i="506"/>
  <c r="AO39" i="506"/>
  <c r="D9" i="537" s="1"/>
  <c r="AX8" i="526"/>
  <c r="AY8" i="526" s="1"/>
  <c r="BA8" i="526"/>
  <c r="BB8" i="526" s="1"/>
  <c r="AT51" i="524"/>
  <c r="AS51" i="524" s="1"/>
  <c r="AZ34" i="512"/>
  <c r="BA34" i="512" s="1"/>
  <c r="AW34" i="512"/>
  <c r="AX34" i="512" s="1"/>
  <c r="BF25" i="481"/>
  <c r="BG25" i="481" s="1"/>
  <c r="BH25" i="481" s="1"/>
  <c r="AS28" i="508"/>
  <c r="AR28" i="508" s="1"/>
  <c r="BD32" i="504"/>
  <c r="BE32" i="504" s="1"/>
  <c r="AQ37" i="512"/>
  <c r="AV12" i="521"/>
  <c r="G15" i="535" s="1"/>
  <c r="AQ11" i="533"/>
  <c r="D20" i="535" s="1"/>
  <c r="BF7" i="481"/>
  <c r="BG7" i="481" s="1"/>
  <c r="AW10" i="531"/>
  <c r="AZ10" i="531"/>
  <c r="BA10" i="531" s="1"/>
  <c r="AW17" i="528"/>
  <c r="BB35" i="512"/>
  <c r="BC35" i="512" s="1"/>
  <c r="BD35" i="512" s="1"/>
  <c r="AY35" i="512"/>
  <c r="AX23" i="524"/>
  <c r="AY23" i="524" s="1"/>
  <c r="AS13" i="514"/>
  <c r="AR13" i="514" s="1"/>
  <c r="AZ32" i="512"/>
  <c r="BA32" i="512" s="1"/>
  <c r="BA23" i="524"/>
  <c r="BB23" i="524" s="1"/>
  <c r="BE9" i="528"/>
  <c r="AT41" i="524"/>
  <c r="AS41" i="524" s="1"/>
  <c r="AZ17" i="528"/>
  <c r="O20" i="530"/>
  <c r="AW7" i="514"/>
  <c r="AS7" i="510"/>
  <c r="AR7" i="510" s="1"/>
  <c r="AW9" i="519"/>
  <c r="AX9" i="519" s="1"/>
  <c r="AY9" i="519" s="1"/>
  <c r="AZ33" i="512"/>
  <c r="BA33" i="512" s="1"/>
  <c r="BB33" i="512" s="1"/>
  <c r="BA23" i="510"/>
  <c r="BB23" i="510" s="1"/>
  <c r="AW33" i="512"/>
  <c r="AX33" i="512" s="1"/>
  <c r="AY33" i="512" s="1"/>
  <c r="AN7" i="531"/>
  <c r="P12" i="532"/>
  <c r="AO7" i="519"/>
  <c r="AQ7" i="519" s="1"/>
  <c r="P14" i="518"/>
  <c r="AZ9" i="519"/>
  <c r="BA9" i="519" s="1"/>
  <c r="BB9" i="519" s="1"/>
  <c r="BC9" i="519" s="1"/>
  <c r="AY35" i="504"/>
  <c r="AZ29" i="481"/>
  <c r="BA29" i="481" s="1"/>
  <c r="AW11" i="531"/>
  <c r="AZ11" i="531"/>
  <c r="BA11" i="531" s="1"/>
  <c r="BA33" i="504"/>
  <c r="AX33" i="504"/>
  <c r="AW22" i="510"/>
  <c r="AX22" i="510" s="1"/>
  <c r="AY22" i="510" s="1"/>
  <c r="AX12" i="526"/>
  <c r="AY12" i="526" s="1"/>
  <c r="AZ12" i="526" s="1"/>
  <c r="AX19" i="526"/>
  <c r="AY19" i="526" s="1"/>
  <c r="AZ19" i="526" s="1"/>
  <c r="BA19" i="526"/>
  <c r="AX8" i="524"/>
  <c r="AY8" i="524" s="1"/>
  <c r="AZ8" i="524" s="1"/>
  <c r="AW36" i="508"/>
  <c r="AX36" i="508" s="1"/>
  <c r="AY36" i="508" s="1"/>
  <c r="AZ36" i="508"/>
  <c r="BA36" i="508" s="1"/>
  <c r="BB36" i="508" s="1"/>
  <c r="AZ28" i="506"/>
  <c r="AW32" i="506"/>
  <c r="AX32" i="506" s="1"/>
  <c r="AY32" i="506" s="1"/>
  <c r="AZ32" i="506"/>
  <c r="AW37" i="506"/>
  <c r="AX37" i="506" s="1"/>
  <c r="AY37" i="506" s="1"/>
  <c r="AZ16" i="506"/>
  <c r="AZ28" i="512"/>
  <c r="AZ18" i="512"/>
  <c r="AW28" i="506"/>
  <c r="AX28" i="506" s="1"/>
  <c r="AY28" i="506" s="1"/>
  <c r="AW16" i="506"/>
  <c r="AX16" i="506" s="1"/>
  <c r="AY16" i="506" s="1"/>
  <c r="AW28" i="504"/>
  <c r="AX28" i="504" s="1"/>
  <c r="AY28" i="504" s="1"/>
  <c r="AZ28" i="504"/>
  <c r="BA28" i="504" s="1"/>
  <c r="BA22" i="524"/>
  <c r="BB22" i="524" s="1"/>
  <c r="BC22" i="524" s="1"/>
  <c r="BA12" i="526"/>
  <c r="BB12" i="526" s="1"/>
  <c r="BC12" i="526" s="1"/>
  <c r="BD12" i="526" s="1"/>
  <c r="BE12" i="526" s="1"/>
  <c r="BF12" i="526" s="1"/>
  <c r="D17" i="535"/>
  <c r="AV15" i="528"/>
  <c r="AW15" i="528" s="1"/>
  <c r="AY15" i="528"/>
  <c r="AV8" i="531"/>
  <c r="AW8" i="531" s="1"/>
  <c r="AX8" i="531" s="1"/>
  <c r="AZ22" i="510"/>
  <c r="BA22" i="510" s="1"/>
  <c r="BB22" i="510" s="1"/>
  <c r="BC22" i="510" s="1"/>
  <c r="AY25" i="512"/>
  <c r="AW18" i="512"/>
  <c r="AX18" i="512" s="1"/>
  <c r="BD9" i="524"/>
  <c r="BE9" i="524" s="1"/>
  <c r="BF9" i="524" s="1"/>
  <c r="BG9" i="524" s="1"/>
  <c r="AZ10" i="524"/>
  <c r="AZ20" i="508"/>
  <c r="BA20" i="508" s="1"/>
  <c r="BB20" i="508" s="1"/>
  <c r="BC20" i="508" s="1"/>
  <c r="BD20" i="508" s="1"/>
  <c r="AZ13" i="508"/>
  <c r="AZ29" i="506"/>
  <c r="BA29" i="506" s="1"/>
  <c r="BB29" i="506" s="1"/>
  <c r="BC29" i="506" s="1"/>
  <c r="BD29" i="506" s="1"/>
  <c r="BE29" i="506" s="1"/>
  <c r="AZ27" i="506"/>
  <c r="AZ26" i="506"/>
  <c r="BA26" i="506" s="1"/>
  <c r="BB26" i="506" s="1"/>
  <c r="BC26" i="506" s="1"/>
  <c r="BD26" i="506" s="1"/>
  <c r="AZ23" i="506"/>
  <c r="BA23" i="506" s="1"/>
  <c r="BB23" i="506" s="1"/>
  <c r="AZ19" i="506"/>
  <c r="BA19" i="506" s="1"/>
  <c r="BB19" i="506" s="1"/>
  <c r="AZ21" i="506"/>
  <c r="BA21" i="506" s="1"/>
  <c r="BB21" i="506" s="1"/>
  <c r="AZ18" i="506"/>
  <c r="BA18" i="506" s="1"/>
  <c r="BB18" i="506" s="1"/>
  <c r="AS35" i="481"/>
  <c r="AR35" i="481" s="1"/>
  <c r="AW28" i="512"/>
  <c r="AX28" i="512" s="1"/>
  <c r="AY28" i="512" s="1"/>
  <c r="AS30" i="512"/>
  <c r="AR30" i="512" s="1"/>
  <c r="AX22" i="524"/>
  <c r="AY22" i="524" s="1"/>
  <c r="AZ22" i="524" s="1"/>
  <c r="BA11" i="524"/>
  <c r="BA16" i="524"/>
  <c r="BB16" i="524" s="1"/>
  <c r="BC16" i="524" s="1"/>
  <c r="BA18" i="524"/>
  <c r="BB18" i="524" s="1"/>
  <c r="BC18" i="524" s="1"/>
  <c r="BA15" i="524"/>
  <c r="BB15" i="524" s="1"/>
  <c r="BC15" i="524" s="1"/>
  <c r="BA14" i="524"/>
  <c r="BB14" i="524" s="1"/>
  <c r="BC14" i="524" s="1"/>
  <c r="BA13" i="524"/>
  <c r="BB17" i="526"/>
  <c r="BC17" i="526" s="1"/>
  <c r="AS9" i="526"/>
  <c r="AR9" i="526" s="1"/>
  <c r="AW20" i="510"/>
  <c r="AX20" i="510" s="1"/>
  <c r="AY20" i="510" s="1"/>
  <c r="AZ9" i="524"/>
  <c r="AW26" i="512"/>
  <c r="AX26" i="512" s="1"/>
  <c r="AZ20" i="510"/>
  <c r="BA20" i="510" s="1"/>
  <c r="AX11" i="524"/>
  <c r="AY11" i="524" s="1"/>
  <c r="AZ11" i="524" s="1"/>
  <c r="AX13" i="524"/>
  <c r="AY13" i="524" s="1"/>
  <c r="AZ13" i="524" s="1"/>
  <c r="BB25" i="512"/>
  <c r="BC25" i="512" s="1"/>
  <c r="BD25" i="512" s="1"/>
  <c r="AX16" i="524"/>
  <c r="AY16" i="524" s="1"/>
  <c r="AZ16" i="524" s="1"/>
  <c r="AS8" i="528"/>
  <c r="AR8" i="528" s="1"/>
  <c r="AW26" i="506"/>
  <c r="AX26" i="506" s="1"/>
  <c r="AY26" i="506" s="1"/>
  <c r="AZ21" i="524"/>
  <c r="AW26" i="508"/>
  <c r="AX26" i="508" s="1"/>
  <c r="BC24" i="526"/>
  <c r="BD24" i="526" s="1"/>
  <c r="AW20" i="508"/>
  <c r="AX20" i="508" s="1"/>
  <c r="AY20" i="508" s="1"/>
  <c r="AW13" i="508"/>
  <c r="AX13" i="508" s="1"/>
  <c r="AY13" i="508" s="1"/>
  <c r="AW27" i="506"/>
  <c r="AX27" i="506" s="1"/>
  <c r="AY27" i="506" s="1"/>
  <c r="AW23" i="506"/>
  <c r="AX23" i="506" s="1"/>
  <c r="AY23" i="506" s="1"/>
  <c r="AW19" i="506"/>
  <c r="AX19" i="506" s="1"/>
  <c r="AY19" i="506" s="1"/>
  <c r="AX15" i="524"/>
  <c r="AY15" i="524" s="1"/>
  <c r="AZ15" i="524" s="1"/>
  <c r="AX18" i="524"/>
  <c r="AY18" i="524" s="1"/>
  <c r="AZ18" i="524" s="1"/>
  <c r="AX14" i="524"/>
  <c r="AY14" i="524" s="1"/>
  <c r="AZ14" i="524" s="1"/>
  <c r="AW18" i="506"/>
  <c r="AX18" i="506" s="1"/>
  <c r="AY18" i="506" s="1"/>
  <c r="AY30" i="481"/>
  <c r="AZ30" i="481" s="1"/>
  <c r="AW21" i="508"/>
  <c r="AT12" i="524"/>
  <c r="AS12" i="524" s="1"/>
  <c r="BA9" i="514"/>
  <c r="BB9" i="514" s="1"/>
  <c r="AW23" i="512"/>
  <c r="AX23" i="512" s="1"/>
  <c r="AS8" i="508"/>
  <c r="AR8" i="508" s="1"/>
  <c r="AZ26" i="508"/>
  <c r="BA26" i="508" s="1"/>
  <c r="BB26" i="508" s="1"/>
  <c r="AW21" i="506"/>
  <c r="AX21" i="506" s="1"/>
  <c r="AY21" i="506" s="1"/>
  <c r="AW29" i="506"/>
  <c r="AX29" i="506" s="1"/>
  <c r="AY29" i="506" s="1"/>
  <c r="AZ12" i="504"/>
  <c r="BA12" i="504" s="1"/>
  <c r="BB12" i="504" s="1"/>
  <c r="BC12" i="504" s="1"/>
  <c r="BD12" i="504" s="1"/>
  <c r="BE12" i="504" s="1"/>
  <c r="BF12" i="504" s="1"/>
  <c r="BB29" i="481"/>
  <c r="AY9" i="514"/>
  <c r="AW12" i="504"/>
  <c r="AX12" i="504" s="1"/>
  <c r="AY12" i="504" s="1"/>
  <c r="BC26" i="481"/>
  <c r="BD26" i="481" s="1"/>
  <c r="BC22" i="481"/>
  <c r="BD22" i="481" s="1"/>
  <c r="BE22" i="481" s="1"/>
  <c r="BF22" i="481" s="1"/>
  <c r="BG22" i="481" s="1"/>
  <c r="BH22" i="481" s="1"/>
  <c r="D6" i="535"/>
  <c r="BB31" i="481"/>
  <c r="BC31" i="481" s="1"/>
  <c r="BD31" i="481" s="1"/>
  <c r="BB34" i="481"/>
  <c r="AW11" i="504"/>
  <c r="AX11" i="504" s="1"/>
  <c r="AY11" i="504" s="1"/>
  <c r="AZ25" i="506"/>
  <c r="BA25" i="506" s="1"/>
  <c r="BB25" i="506" s="1"/>
  <c r="BC25" i="506" s="1"/>
  <c r="BA15" i="526"/>
  <c r="BD31" i="506"/>
  <c r="BE31" i="506" s="1"/>
  <c r="AY36" i="481"/>
  <c r="AZ36" i="481" s="1"/>
  <c r="BA36" i="481" s="1"/>
  <c r="BC11" i="521"/>
  <c r="BD11" i="521" s="1"/>
  <c r="AZ11" i="504"/>
  <c r="BG28" i="481"/>
  <c r="BH28" i="481" s="1"/>
  <c r="F15" i="535"/>
  <c r="BD23" i="526"/>
  <c r="BE23" i="526" s="1"/>
  <c r="BF23" i="526" s="1"/>
  <c r="BG23" i="526" s="1"/>
  <c r="AX15" i="526"/>
  <c r="AY15" i="526" s="1"/>
  <c r="AZ15" i="526" s="1"/>
  <c r="AY8" i="531"/>
  <c r="AZ8" i="531" s="1"/>
  <c r="BA8" i="531" s="1"/>
  <c r="AW38" i="506"/>
  <c r="AX38" i="506" s="1"/>
  <c r="AY38" i="506" s="1"/>
  <c r="AW24" i="506"/>
  <c r="AX24" i="506" s="1"/>
  <c r="AY24" i="506" s="1"/>
  <c r="AS25" i="526"/>
  <c r="AR25" i="526" s="1"/>
  <c r="AS27" i="512"/>
  <c r="AR27" i="512" s="1"/>
  <c r="BA12" i="508"/>
  <c r="BB12" i="508" s="1"/>
  <c r="BC12" i="508" s="1"/>
  <c r="AW25" i="506"/>
  <c r="AX25" i="506" s="1"/>
  <c r="AY25" i="506" s="1"/>
  <c r="AZ24" i="506"/>
  <c r="BA24" i="506" s="1"/>
  <c r="BB24" i="506" s="1"/>
  <c r="BC24" i="506" s="1"/>
  <c r="BD24" i="506" s="1"/>
  <c r="BE24" i="506" s="1"/>
  <c r="BF24" i="506" s="1"/>
  <c r="AY34" i="481"/>
  <c r="AZ34" i="481" s="1"/>
  <c r="BA34" i="481" s="1"/>
  <c r="AY31" i="481"/>
  <c r="AZ31" i="481" s="1"/>
  <c r="BA31" i="481" s="1"/>
  <c r="AY24" i="481"/>
  <c r="AZ24" i="481" s="1"/>
  <c r="BA24" i="481" s="1"/>
  <c r="BB22" i="504"/>
  <c r="BC22" i="504" s="1"/>
  <c r="BD19" i="510"/>
  <c r="BE19" i="510" s="1"/>
  <c r="AY23" i="508"/>
  <c r="AY24" i="508"/>
  <c r="AZ24" i="508"/>
  <c r="BA24" i="508" s="1"/>
  <c r="AZ23" i="508"/>
  <c r="BA23" i="508" s="1"/>
  <c r="BB23" i="508" s="1"/>
  <c r="AW17" i="506"/>
  <c r="BD21" i="481"/>
  <c r="AW8" i="519"/>
  <c r="AX8" i="519" s="1"/>
  <c r="AS17" i="514"/>
  <c r="AR17" i="514" s="1"/>
  <c r="BA19" i="512"/>
  <c r="BB19" i="512" s="1"/>
  <c r="BC19" i="512" s="1"/>
  <c r="BA20" i="512"/>
  <c r="AY14" i="510"/>
  <c r="AZ14" i="510"/>
  <c r="BA14" i="510" s="1"/>
  <c r="BB14" i="510" s="1"/>
  <c r="BE19" i="508"/>
  <c r="BF19" i="508" s="1"/>
  <c r="BE19" i="481"/>
  <c r="BE16" i="526"/>
  <c r="BF16" i="526" s="1"/>
  <c r="BG16" i="526" s="1"/>
  <c r="BD17" i="508"/>
  <c r="BE17" i="508" s="1"/>
  <c r="BD16" i="508"/>
  <c r="BE16" i="508" s="1"/>
  <c r="BF16" i="508" s="1"/>
  <c r="BD15" i="508"/>
  <c r="BE15" i="508" s="1"/>
  <c r="BE20" i="504"/>
  <c r="BF20" i="504" s="1"/>
  <c r="BF19" i="524"/>
  <c r="BG19" i="524" s="1"/>
  <c r="AW15" i="512"/>
  <c r="AX15" i="512" s="1"/>
  <c r="BC16" i="512"/>
  <c r="BD16" i="512" s="1"/>
  <c r="BE16" i="512" s="1"/>
  <c r="BB18" i="504"/>
  <c r="BC18" i="504" s="1"/>
  <c r="BD18" i="504" s="1"/>
  <c r="BA30" i="504"/>
  <c r="BB30" i="504" s="1"/>
  <c r="AY30" i="504"/>
  <c r="BC27" i="524"/>
  <c r="BA25" i="524"/>
  <c r="BB25" i="524" s="1"/>
  <c r="BC25" i="524" s="1"/>
  <c r="BD25" i="524" s="1"/>
  <c r="AZ20" i="526"/>
  <c r="BC24" i="524"/>
  <c r="BD24" i="524" s="1"/>
  <c r="BA21" i="514"/>
  <c r="BA20" i="514"/>
  <c r="BC12" i="514"/>
  <c r="AY29" i="510"/>
  <c r="BC29" i="510"/>
  <c r="BB20" i="526"/>
  <c r="BC20" i="526" s="1"/>
  <c r="AZ16" i="528"/>
  <c r="BA16" i="528" s="1"/>
  <c r="BA35" i="504"/>
  <c r="BA16" i="504"/>
  <c r="BB16" i="504" s="1"/>
  <c r="BC16" i="504" s="1"/>
  <c r="BA39" i="504"/>
  <c r="BB39" i="504" s="1"/>
  <c r="BC39" i="504" s="1"/>
  <c r="BD39" i="504" s="1"/>
  <c r="BC11" i="519"/>
  <c r="BB10" i="519"/>
  <c r="AS12" i="510"/>
  <c r="AR12" i="510" s="1"/>
  <c r="BD21" i="524"/>
  <c r="BE21" i="524" s="1"/>
  <c r="BF21" i="524" s="1"/>
  <c r="BG21" i="524" s="1"/>
  <c r="AS29" i="512"/>
  <c r="AR29" i="512" s="1"/>
  <c r="BD10" i="524"/>
  <c r="BE10" i="524" s="1"/>
  <c r="BC15" i="504"/>
  <c r="BD15" i="504" s="1"/>
  <c r="BE15" i="504" s="1"/>
  <c r="AW8" i="504"/>
  <c r="BF19" i="504"/>
  <c r="AY12" i="521"/>
  <c r="BE9" i="510"/>
  <c r="BF9" i="510" s="1"/>
  <c r="AZ27" i="514"/>
  <c r="BC36" i="504"/>
  <c r="BD36" i="504" s="1"/>
  <c r="AH30" i="380"/>
  <c r="AG30" i="380"/>
  <c r="BF8" i="58"/>
  <c r="BF74" i="58"/>
  <c r="BG74" i="58" s="1"/>
  <c r="AJ17" i="380"/>
  <c r="BD179" i="58"/>
  <c r="BD180" i="58" s="1"/>
  <c r="BF70" i="58"/>
  <c r="BG70" i="58" s="1"/>
  <c r="BF176" i="58"/>
  <c r="BG176" i="58" s="1"/>
  <c r="BK11" i="380"/>
  <c r="BL11" i="380" s="1"/>
  <c r="AJ12" i="380"/>
  <c r="AH41" i="380"/>
  <c r="AH42" i="380" s="1"/>
  <c r="BE179" i="58"/>
  <c r="BE180" i="58" s="1"/>
  <c r="BE7" i="58"/>
  <c r="BK14" i="380"/>
  <c r="BL14" i="380"/>
  <c r="BM14" i="380" s="1"/>
  <c r="BD7" i="58"/>
  <c r="AZ38" i="506"/>
  <c r="BD11" i="526"/>
  <c r="BE11" i="526" s="1"/>
  <c r="AY27" i="481"/>
  <c r="AW9" i="504"/>
  <c r="BD17" i="504"/>
  <c r="BE17" i="504" s="1"/>
  <c r="BF17" i="504" s="1"/>
  <c r="BD29" i="504"/>
  <c r="BE29" i="504" s="1"/>
  <c r="BF29" i="504" s="1"/>
  <c r="BB18" i="508"/>
  <c r="BC18" i="508" s="1"/>
  <c r="BD18" i="508" s="1"/>
  <c r="AZ9" i="521"/>
  <c r="BA9" i="521" s="1"/>
  <c r="BE40" i="504"/>
  <c r="BF40" i="504" s="1"/>
  <c r="AW12" i="521"/>
  <c r="BD33" i="481"/>
  <c r="BE33" i="481" s="1"/>
  <c r="AO16" i="514" l="1"/>
  <c r="AQ16" i="514" s="1"/>
  <c r="AO27" i="510"/>
  <c r="AQ27" i="510" s="1"/>
  <c r="AO24" i="510"/>
  <c r="AQ24" i="510" s="1"/>
  <c r="AY16" i="510"/>
  <c r="AZ16" i="510"/>
  <c r="BA16" i="510" s="1"/>
  <c r="BB16" i="510" s="1"/>
  <c r="AY23" i="481"/>
  <c r="AZ23" i="481" s="1"/>
  <c r="BA23" i="481" s="1"/>
  <c r="AQ18" i="510"/>
  <c r="AQ31" i="510"/>
  <c r="AQ34" i="510"/>
  <c r="AS7" i="508"/>
  <c r="AR7" i="508" s="1"/>
  <c r="AW15" i="510"/>
  <c r="AX15" i="510" s="1"/>
  <c r="AZ19" i="514"/>
  <c r="BA19" i="514" s="1"/>
  <c r="BB19" i="514" s="1"/>
  <c r="AZ15" i="514"/>
  <c r="BA15" i="514" s="1"/>
  <c r="BB15" i="514" s="1"/>
  <c r="BC15" i="514" s="1"/>
  <c r="BD15" i="514" s="1"/>
  <c r="AZ14" i="514"/>
  <c r="AZ10" i="514"/>
  <c r="BA10" i="514" s="1"/>
  <c r="BB10" i="514" s="1"/>
  <c r="AO37" i="508"/>
  <c r="D10" i="537" s="1"/>
  <c r="BD26" i="514"/>
  <c r="BE26" i="514" s="1"/>
  <c r="BF26" i="514" s="1"/>
  <c r="BE17" i="524"/>
  <c r="BG22" i="526"/>
  <c r="BC7" i="521"/>
  <c r="AO7" i="504"/>
  <c r="AQ7" i="504" s="1"/>
  <c r="AZ15" i="510"/>
  <c r="BA15" i="510" s="1"/>
  <c r="BB15" i="510" s="1"/>
  <c r="AY33" i="508"/>
  <c r="AZ33" i="508"/>
  <c r="BA33" i="508" s="1"/>
  <c r="AY12" i="528"/>
  <c r="AZ12" i="528" s="1"/>
  <c r="AV12" i="528"/>
  <c r="AW12" i="528" s="1"/>
  <c r="AX12" i="528" s="1"/>
  <c r="AQ37" i="508"/>
  <c r="D9" i="535" s="1"/>
  <c r="AW15" i="514"/>
  <c r="AX15" i="514" s="1"/>
  <c r="AR53" i="524"/>
  <c r="D16" i="535" s="1"/>
  <c r="AQ39" i="506"/>
  <c r="D8" i="535" s="1"/>
  <c r="AW19" i="514"/>
  <c r="AX19" i="514" s="1"/>
  <c r="AY19" i="514" s="1"/>
  <c r="AW14" i="514"/>
  <c r="AX14" i="514" s="1"/>
  <c r="AW10" i="514"/>
  <c r="AX10" i="514" s="1"/>
  <c r="AY10" i="514" s="1"/>
  <c r="AR26" i="526"/>
  <c r="AT7" i="524"/>
  <c r="AS7" i="524" s="1"/>
  <c r="AO7" i="528"/>
  <c r="AZ8" i="526"/>
  <c r="BA51" i="524"/>
  <c r="BB51" i="524" s="1"/>
  <c r="AX51" i="524"/>
  <c r="AY51" i="524" s="1"/>
  <c r="AZ51" i="524" s="1"/>
  <c r="AY34" i="512"/>
  <c r="BB34" i="512"/>
  <c r="BC8" i="526"/>
  <c r="BD8" i="526" s="1"/>
  <c r="BE8" i="526" s="1"/>
  <c r="AS25" i="510"/>
  <c r="AR25" i="510" s="1"/>
  <c r="AW28" i="508"/>
  <c r="AX28" i="508" s="1"/>
  <c r="AZ28" i="508"/>
  <c r="BF32" i="504"/>
  <c r="AO28" i="514"/>
  <c r="D13" i="537" s="1"/>
  <c r="AQ14" i="519"/>
  <c r="AR37" i="481"/>
  <c r="AP7" i="531"/>
  <c r="AN12" i="531"/>
  <c r="D20" i="537" s="1"/>
  <c r="AS26" i="526"/>
  <c r="E17" i="535" s="1"/>
  <c r="AX7" i="514"/>
  <c r="AZ7" i="514"/>
  <c r="AZ7" i="510"/>
  <c r="BA7" i="510" s="1"/>
  <c r="BB7" i="510" s="1"/>
  <c r="AS37" i="481"/>
  <c r="E6" i="535" s="1"/>
  <c r="AR11" i="533"/>
  <c r="F20" i="535" s="1"/>
  <c r="AS11" i="533"/>
  <c r="E20" i="535" s="1"/>
  <c r="BB10" i="531"/>
  <c r="AX10" i="531"/>
  <c r="AZ21" i="508"/>
  <c r="BA21" i="508" s="1"/>
  <c r="AX21" i="508"/>
  <c r="AY8" i="528"/>
  <c r="AX17" i="528"/>
  <c r="BA17" i="528"/>
  <c r="BB17" i="528" s="1"/>
  <c r="BE35" i="512"/>
  <c r="BF35" i="512" s="1"/>
  <c r="AZ23" i="524"/>
  <c r="AW13" i="514"/>
  <c r="AX13" i="514" s="1"/>
  <c r="AY13" i="514" s="1"/>
  <c r="AZ13" i="514"/>
  <c r="BA13" i="514" s="1"/>
  <c r="BB32" i="512"/>
  <c r="BC32" i="512" s="1"/>
  <c r="BD32" i="512" s="1"/>
  <c r="BE32" i="512" s="1"/>
  <c r="AO37" i="512"/>
  <c r="D12" i="537" s="1"/>
  <c r="BC23" i="524"/>
  <c r="BD23" i="524" s="1"/>
  <c r="AX41" i="524"/>
  <c r="AY41" i="524" s="1"/>
  <c r="BA41" i="524"/>
  <c r="BB41" i="524" s="1"/>
  <c r="BC41" i="524" s="1"/>
  <c r="AW7" i="510"/>
  <c r="BC23" i="510"/>
  <c r="BD23" i="510" s="1"/>
  <c r="BE23" i="510" s="1"/>
  <c r="BF23" i="510" s="1"/>
  <c r="AZ11" i="533"/>
  <c r="AW11" i="533"/>
  <c r="AO14" i="519"/>
  <c r="D14" i="537" s="1"/>
  <c r="BD16" i="524"/>
  <c r="BE16" i="524" s="1"/>
  <c r="BF16" i="524" s="1"/>
  <c r="BG16" i="524" s="1"/>
  <c r="H15" i="535"/>
  <c r="I15" i="535" s="1"/>
  <c r="J15" i="535"/>
  <c r="BC29" i="481"/>
  <c r="BB11" i="531"/>
  <c r="AX11" i="531"/>
  <c r="AY33" i="504"/>
  <c r="BB33" i="504"/>
  <c r="AX12" i="524"/>
  <c r="AY12" i="524" s="1"/>
  <c r="AZ12" i="524" s="1"/>
  <c r="AW29" i="512"/>
  <c r="AX29" i="512" s="1"/>
  <c r="AY29" i="512" s="1"/>
  <c r="BA16" i="506"/>
  <c r="BB16" i="506" s="1"/>
  <c r="BC16" i="506" s="1"/>
  <c r="BD16" i="506" s="1"/>
  <c r="BE16" i="506" s="1"/>
  <c r="BF16" i="506" s="1"/>
  <c r="BA28" i="506"/>
  <c r="BB28" i="506" s="1"/>
  <c r="AW8" i="508"/>
  <c r="AZ30" i="512"/>
  <c r="BA30" i="512" s="1"/>
  <c r="BB30" i="512" s="1"/>
  <c r="BC30" i="512" s="1"/>
  <c r="BD30" i="512" s="1"/>
  <c r="BE30" i="512" s="1"/>
  <c r="BF30" i="512" s="1"/>
  <c r="BA28" i="512"/>
  <c r="BB28" i="512" s="1"/>
  <c r="BA18" i="512"/>
  <c r="BB18" i="512" s="1"/>
  <c r="AS7" i="506"/>
  <c r="AR7" i="506" s="1"/>
  <c r="BB28" i="504"/>
  <c r="BC28" i="504" s="1"/>
  <c r="AX15" i="528"/>
  <c r="D11" i="535"/>
  <c r="AY18" i="512"/>
  <c r="BD22" i="510"/>
  <c r="BE22" i="510" s="1"/>
  <c r="BH7" i="481"/>
  <c r="AY35" i="481"/>
  <c r="AZ35" i="481" s="1"/>
  <c r="BA35" i="481" s="1"/>
  <c r="AZ37" i="506"/>
  <c r="AW30" i="512"/>
  <c r="AX30" i="512" s="1"/>
  <c r="AY30" i="512" s="1"/>
  <c r="BB19" i="526"/>
  <c r="BC19" i="526" s="1"/>
  <c r="BD19" i="526" s="1"/>
  <c r="BE19" i="526" s="1"/>
  <c r="BF19" i="526" s="1"/>
  <c r="BG19" i="526" s="1"/>
  <c r="BD17" i="526"/>
  <c r="BE17" i="526" s="1"/>
  <c r="BF17" i="526" s="1"/>
  <c r="AX9" i="526"/>
  <c r="BA13" i="508"/>
  <c r="BB13" i="508" s="1"/>
  <c r="BC13" i="508" s="1"/>
  <c r="BA27" i="506"/>
  <c r="BB27" i="506" s="1"/>
  <c r="AS31" i="512"/>
  <c r="AR31" i="512" s="1"/>
  <c r="BB13" i="524"/>
  <c r="BC13" i="524" s="1"/>
  <c r="BB11" i="524"/>
  <c r="BC11" i="524" s="1"/>
  <c r="AX25" i="526"/>
  <c r="AY25" i="526" s="1"/>
  <c r="AZ25" i="526" s="1"/>
  <c r="AY26" i="512"/>
  <c r="AZ26" i="512"/>
  <c r="BA26" i="512" s="1"/>
  <c r="BB20" i="510"/>
  <c r="BE25" i="512"/>
  <c r="BF25" i="512" s="1"/>
  <c r="AY26" i="508"/>
  <c r="AV8" i="528"/>
  <c r="BA32" i="506"/>
  <c r="BB32" i="506" s="1"/>
  <c r="BE24" i="526"/>
  <c r="BF24" i="526" s="1"/>
  <c r="BF31" i="506"/>
  <c r="BA30" i="481"/>
  <c r="BB30" i="481"/>
  <c r="BC30" i="481" s="1"/>
  <c r="BD30" i="481" s="1"/>
  <c r="BD9" i="519"/>
  <c r="BE9" i="519" s="1"/>
  <c r="BF9" i="519" s="1"/>
  <c r="BC9" i="514"/>
  <c r="BD9" i="514" s="1"/>
  <c r="BE9" i="514" s="1"/>
  <c r="AY23" i="512"/>
  <c r="AZ23" i="512"/>
  <c r="BA23" i="512" s="1"/>
  <c r="BB23" i="512" s="1"/>
  <c r="BC26" i="508"/>
  <c r="BD26" i="508" s="1"/>
  <c r="BC36" i="508"/>
  <c r="BD36" i="508" s="1"/>
  <c r="BE36" i="508" s="1"/>
  <c r="BF36" i="508" s="1"/>
  <c r="BA8" i="524"/>
  <c r="BB8" i="524" s="1"/>
  <c r="BC8" i="524" s="1"/>
  <c r="BB36" i="481"/>
  <c r="AZ15" i="528"/>
  <c r="BA15" i="528" s="1"/>
  <c r="BC21" i="506"/>
  <c r="BD21" i="506" s="1"/>
  <c r="BE21" i="506" s="1"/>
  <c r="BF21" i="506" s="1"/>
  <c r="BE26" i="481"/>
  <c r="BF26" i="481" s="1"/>
  <c r="BC34" i="481"/>
  <c r="BD34" i="481" s="1"/>
  <c r="BC23" i="506"/>
  <c r="BD23" i="506" s="1"/>
  <c r="BE23" i="506" s="1"/>
  <c r="BF23" i="506" s="1"/>
  <c r="BE26" i="506"/>
  <c r="BF26" i="506" s="1"/>
  <c r="BC18" i="506"/>
  <c r="BD18" i="506" s="1"/>
  <c r="BE18" i="506" s="1"/>
  <c r="BF18" i="506" s="1"/>
  <c r="BC19" i="506"/>
  <c r="BD19" i="506" s="1"/>
  <c r="BE19" i="506" s="1"/>
  <c r="BF19" i="506" s="1"/>
  <c r="BB15" i="526"/>
  <c r="BC15" i="526" s="1"/>
  <c r="BE11" i="521"/>
  <c r="BD25" i="506"/>
  <c r="BE25" i="506" s="1"/>
  <c r="BF25" i="506" s="1"/>
  <c r="BD12" i="508"/>
  <c r="BE12" i="508" s="1"/>
  <c r="BF12" i="508" s="1"/>
  <c r="BA11" i="504"/>
  <c r="BA9" i="526"/>
  <c r="BB8" i="531"/>
  <c r="BC8" i="531" s="1"/>
  <c r="BD8" i="531" s="1"/>
  <c r="BE8" i="531" s="1"/>
  <c r="AZ27" i="512"/>
  <c r="BA27" i="512" s="1"/>
  <c r="AW27" i="512"/>
  <c r="AX27" i="512" s="1"/>
  <c r="AY27" i="512" s="1"/>
  <c r="BB24" i="481"/>
  <c r="AZ8" i="519"/>
  <c r="BB24" i="508"/>
  <c r="BC24" i="508" s="1"/>
  <c r="BD22" i="504"/>
  <c r="BE22" i="504" s="1"/>
  <c r="BF22" i="504" s="1"/>
  <c r="BF19" i="510"/>
  <c r="BC23" i="508"/>
  <c r="BD23" i="508" s="1"/>
  <c r="BE23" i="508" s="1"/>
  <c r="AX17" i="506"/>
  <c r="AY17" i="506" s="1"/>
  <c r="AZ17" i="506"/>
  <c r="BA17" i="506" s="1"/>
  <c r="BE21" i="481"/>
  <c r="BF21" i="481" s="1"/>
  <c r="AW17" i="514"/>
  <c r="AX17" i="514" s="1"/>
  <c r="AY17" i="514" s="1"/>
  <c r="BD19" i="512"/>
  <c r="BE19" i="512" s="1"/>
  <c r="BB20" i="512"/>
  <c r="BC14" i="510"/>
  <c r="BF19" i="481"/>
  <c r="BF17" i="508"/>
  <c r="BF15" i="508"/>
  <c r="BF16" i="512"/>
  <c r="AZ15" i="512"/>
  <c r="BA15" i="512" s="1"/>
  <c r="AY15" i="512"/>
  <c r="BE18" i="504"/>
  <c r="BF18" i="504" s="1"/>
  <c r="BC30" i="504"/>
  <c r="BD30" i="504" s="1"/>
  <c r="BE30" i="504" s="1"/>
  <c r="BF15" i="504"/>
  <c r="BE25" i="524"/>
  <c r="BF25" i="524" s="1"/>
  <c r="BG25" i="524" s="1"/>
  <c r="BD27" i="524"/>
  <c r="BE27" i="524" s="1"/>
  <c r="BF27" i="524" s="1"/>
  <c r="BG27" i="524" s="1"/>
  <c r="BE24" i="524"/>
  <c r="BF24" i="524" s="1"/>
  <c r="BG24" i="524" s="1"/>
  <c r="AY8" i="519"/>
  <c r="BB21" i="514"/>
  <c r="BB20" i="514"/>
  <c r="BC33" i="512"/>
  <c r="BD33" i="512" s="1"/>
  <c r="BE39" i="504"/>
  <c r="BF39" i="504" s="1"/>
  <c r="BD16" i="504"/>
  <c r="AX8" i="504"/>
  <c r="BB35" i="504"/>
  <c r="BC35" i="504" s="1"/>
  <c r="BD35" i="504" s="1"/>
  <c r="BE35" i="504" s="1"/>
  <c r="BF35" i="504" s="1"/>
  <c r="BD12" i="514"/>
  <c r="AW12" i="510"/>
  <c r="BD29" i="510"/>
  <c r="BD20" i="526"/>
  <c r="BE20" i="526" s="1"/>
  <c r="BF20" i="526" s="1"/>
  <c r="BG20" i="526" s="1"/>
  <c r="BB16" i="528"/>
  <c r="BD11" i="519"/>
  <c r="BE11" i="519" s="1"/>
  <c r="BF11" i="519" s="1"/>
  <c r="BC10" i="519"/>
  <c r="BD10" i="519" s="1"/>
  <c r="AZ8" i="504"/>
  <c r="BD14" i="524"/>
  <c r="BE14" i="524" s="1"/>
  <c r="BF14" i="524" s="1"/>
  <c r="BG14" i="524" s="1"/>
  <c r="BF10" i="524"/>
  <c r="BG10" i="524" s="1"/>
  <c r="BD18" i="524"/>
  <c r="BE18" i="524" s="1"/>
  <c r="BF18" i="524" s="1"/>
  <c r="BG18" i="524" s="1"/>
  <c r="BD15" i="524"/>
  <c r="BE15" i="524" s="1"/>
  <c r="BF15" i="524" s="1"/>
  <c r="BG15" i="524" s="1"/>
  <c r="BD22" i="524"/>
  <c r="BE22" i="524" s="1"/>
  <c r="BF22" i="524" s="1"/>
  <c r="BG22" i="524" s="1"/>
  <c r="BB27" i="481"/>
  <c r="BE31" i="481"/>
  <c r="BF31" i="481" s="1"/>
  <c r="BG31" i="481" s="1"/>
  <c r="BH31" i="481" s="1"/>
  <c r="AZ27" i="481"/>
  <c r="BA27" i="514"/>
  <c r="BE36" i="504"/>
  <c r="BF36" i="504" s="1"/>
  <c r="BG12" i="526"/>
  <c r="BF7" i="58"/>
  <c r="BF179" i="58"/>
  <c r="BF180" i="58" s="1"/>
  <c r="AG41" i="380"/>
  <c r="AG42" i="380" s="1"/>
  <c r="AI30" i="380"/>
  <c r="AI41" i="380" s="1"/>
  <c r="AI42" i="380" s="1"/>
  <c r="BG8" i="58"/>
  <c r="BM11" i="380"/>
  <c r="BA38" i="506"/>
  <c r="BB38" i="506" s="1"/>
  <c r="BC38" i="506" s="1"/>
  <c r="BF11" i="526"/>
  <c r="BG11" i="526" s="1"/>
  <c r="AZ9" i="504"/>
  <c r="AX9" i="504"/>
  <c r="BB9" i="521"/>
  <c r="BC9" i="521" s="1"/>
  <c r="BE18" i="508"/>
  <c r="BF18" i="508" s="1"/>
  <c r="BE20" i="508"/>
  <c r="BF20" i="508" s="1"/>
  <c r="BF29" i="506"/>
  <c r="AX12" i="521"/>
  <c r="BF33" i="481"/>
  <c r="BC23" i="481"/>
  <c r="BC16" i="510" l="1"/>
  <c r="BD16" i="510" s="1"/>
  <c r="AS34" i="510"/>
  <c r="AR34" i="510" s="1"/>
  <c r="AZ34" i="510" s="1"/>
  <c r="BA34" i="510" s="1"/>
  <c r="BB34" i="510" s="1"/>
  <c r="BC34" i="510" s="1"/>
  <c r="BD34" i="510" s="1"/>
  <c r="BE34" i="510" s="1"/>
  <c r="BF34" i="510" s="1"/>
  <c r="AS31" i="510"/>
  <c r="AR31" i="510" s="1"/>
  <c r="AZ31" i="510" s="1"/>
  <c r="BA31" i="510" s="1"/>
  <c r="BB31" i="510" s="1"/>
  <c r="AS18" i="510"/>
  <c r="AR18" i="510" s="1"/>
  <c r="AQ17" i="510"/>
  <c r="AS17" i="510" s="1"/>
  <c r="AW17" i="510" s="1"/>
  <c r="AX17" i="510" s="1"/>
  <c r="AY17" i="510" s="1"/>
  <c r="AQ41" i="504"/>
  <c r="D7" i="535" s="1"/>
  <c r="AS16" i="514"/>
  <c r="AQ28" i="514"/>
  <c r="D12" i="535" s="1"/>
  <c r="AR37" i="508"/>
  <c r="F9" i="535" s="1"/>
  <c r="AS7" i="504"/>
  <c r="AS41" i="504" s="1"/>
  <c r="E7" i="535" s="1"/>
  <c r="AO41" i="504"/>
  <c r="D8" i="537" s="1"/>
  <c r="AS24" i="510"/>
  <c r="AR24" i="510" s="1"/>
  <c r="AS27" i="510"/>
  <c r="AR27" i="510" s="1"/>
  <c r="AY15" i="514"/>
  <c r="AW7" i="508"/>
  <c r="AX7" i="508" s="1"/>
  <c r="AY7" i="508" s="1"/>
  <c r="AS37" i="508"/>
  <c r="E9" i="535" s="1"/>
  <c r="AY15" i="510"/>
  <c r="BA14" i="514"/>
  <c r="BB14" i="514" s="1"/>
  <c r="BC14" i="514" s="1"/>
  <c r="BF17" i="524"/>
  <c r="BG17" i="524" s="1"/>
  <c r="BD7" i="521"/>
  <c r="BE7" i="521" s="1"/>
  <c r="BC15" i="510"/>
  <c r="BB33" i="508"/>
  <c r="BC33" i="508" s="1"/>
  <c r="BA12" i="528"/>
  <c r="BA7" i="524"/>
  <c r="BB7" i="524" s="1"/>
  <c r="AY14" i="514"/>
  <c r="AT53" i="524"/>
  <c r="E16" i="535" s="1"/>
  <c r="AS53" i="524"/>
  <c r="F16" i="535" s="1"/>
  <c r="AX7" i="524"/>
  <c r="AY7" i="524" s="1"/>
  <c r="AY53" i="524" s="1"/>
  <c r="AO20" i="528"/>
  <c r="D19" i="537" s="1"/>
  <c r="AQ7" i="528"/>
  <c r="AS26" i="510"/>
  <c r="AR26" i="510" s="1"/>
  <c r="BC51" i="524"/>
  <c r="BC34" i="512"/>
  <c r="BD34" i="512" s="1"/>
  <c r="BE34" i="512" s="1"/>
  <c r="BF34" i="512" s="1"/>
  <c r="BF8" i="526"/>
  <c r="BG8" i="526" s="1"/>
  <c r="AS18" i="514"/>
  <c r="AR18" i="514" s="1"/>
  <c r="AZ7" i="508"/>
  <c r="BA7" i="508" s="1"/>
  <c r="BB7" i="508" s="1"/>
  <c r="BC7" i="508" s="1"/>
  <c r="AW25" i="510"/>
  <c r="AX25" i="510" s="1"/>
  <c r="AY25" i="510" s="1"/>
  <c r="AZ25" i="510"/>
  <c r="BA25" i="510" s="1"/>
  <c r="BB25" i="510" s="1"/>
  <c r="AS28" i="510"/>
  <c r="AR28" i="510" s="1"/>
  <c r="AS30" i="510"/>
  <c r="AR30" i="510" s="1"/>
  <c r="BE15" i="514"/>
  <c r="BF15" i="514" s="1"/>
  <c r="BA28" i="508"/>
  <c r="BB28" i="508" s="1"/>
  <c r="AY28" i="508"/>
  <c r="AP12" i="531"/>
  <c r="D19" i="535" s="1"/>
  <c r="AX26" i="526"/>
  <c r="G17" i="535" s="1"/>
  <c r="AZ12" i="521"/>
  <c r="K15" i="535" s="1"/>
  <c r="BA7" i="514"/>
  <c r="AY7" i="514"/>
  <c r="AS37" i="512"/>
  <c r="E11" i="535" s="1"/>
  <c r="AR37" i="512"/>
  <c r="AX7" i="510"/>
  <c r="AY7" i="510" s="1"/>
  <c r="AR39" i="506"/>
  <c r="F8" i="535" s="1"/>
  <c r="AS39" i="506"/>
  <c r="E8" i="535" s="1"/>
  <c r="AZ37" i="481"/>
  <c r="H6" i="535" s="1"/>
  <c r="AY37" i="481"/>
  <c r="G6" i="535" s="1"/>
  <c r="BC10" i="531"/>
  <c r="BB21" i="508"/>
  <c r="AY21" i="508"/>
  <c r="BC17" i="528"/>
  <c r="BB13" i="514"/>
  <c r="BC13" i="514" s="1"/>
  <c r="BD13" i="514" s="1"/>
  <c r="BF32" i="512"/>
  <c r="BE23" i="524"/>
  <c r="BF23" i="524" s="1"/>
  <c r="BC19" i="514"/>
  <c r="BD19" i="514" s="1"/>
  <c r="G20" i="535"/>
  <c r="AZ41" i="524"/>
  <c r="AS12" i="519"/>
  <c r="AR12" i="519" s="1"/>
  <c r="AS13" i="519"/>
  <c r="AR13" i="519" s="1"/>
  <c r="BD41" i="524"/>
  <c r="BE41" i="524" s="1"/>
  <c r="AW31" i="510"/>
  <c r="AX31" i="510" s="1"/>
  <c r="AY31" i="510" s="1"/>
  <c r="AR7" i="531"/>
  <c r="AQ7" i="531" s="1"/>
  <c r="AS7" i="519"/>
  <c r="AR7" i="519" s="1"/>
  <c r="D13" i="535"/>
  <c r="AY9" i="526"/>
  <c r="BA8" i="519"/>
  <c r="BD29" i="481"/>
  <c r="BC11" i="531"/>
  <c r="BC33" i="504"/>
  <c r="AX8" i="508"/>
  <c r="AW27" i="510"/>
  <c r="AX27" i="510" s="1"/>
  <c r="AY27" i="510" s="1"/>
  <c r="BC28" i="506"/>
  <c r="BD28" i="506" s="1"/>
  <c r="BE28" i="506" s="1"/>
  <c r="BF28" i="506" s="1"/>
  <c r="AZ31" i="512"/>
  <c r="BC28" i="512"/>
  <c r="BD28" i="512" s="1"/>
  <c r="BE28" i="512" s="1"/>
  <c r="BF28" i="512" s="1"/>
  <c r="BC18" i="512"/>
  <c r="BD18" i="512" s="1"/>
  <c r="AW7" i="506"/>
  <c r="AW39" i="506" s="1"/>
  <c r="BD28" i="504"/>
  <c r="BE28" i="504" s="1"/>
  <c r="BF28" i="504" s="1"/>
  <c r="AW31" i="512"/>
  <c r="BF22" i="510"/>
  <c r="BC36" i="481"/>
  <c r="BA37" i="506"/>
  <c r="BG17" i="526"/>
  <c r="BD13" i="508"/>
  <c r="BE13" i="508" s="1"/>
  <c r="BF13" i="508" s="1"/>
  <c r="BC27" i="506"/>
  <c r="BD27" i="506" s="1"/>
  <c r="BD11" i="524"/>
  <c r="BE11" i="524" s="1"/>
  <c r="BD13" i="524"/>
  <c r="BE13" i="524" s="1"/>
  <c r="BF13" i="524" s="1"/>
  <c r="BG13" i="524" s="1"/>
  <c r="AZ8" i="528"/>
  <c r="BB26" i="512"/>
  <c r="BC26" i="512" s="1"/>
  <c r="BC20" i="510"/>
  <c r="BD20" i="510" s="1"/>
  <c r="BE20" i="510" s="1"/>
  <c r="BF20" i="510" s="1"/>
  <c r="J20" i="535"/>
  <c r="BC32" i="506"/>
  <c r="BD32" i="506" s="1"/>
  <c r="BE32" i="506" s="1"/>
  <c r="BF32" i="506" s="1"/>
  <c r="BF9" i="514"/>
  <c r="AW8" i="528"/>
  <c r="BG24" i="526"/>
  <c r="BE30" i="481"/>
  <c r="BF30" i="481" s="1"/>
  <c r="BD8" i="524"/>
  <c r="BE8" i="524" s="1"/>
  <c r="BF8" i="524" s="1"/>
  <c r="BG8" i="524" s="1"/>
  <c r="BA12" i="524"/>
  <c r="BC23" i="512"/>
  <c r="BD23" i="512" s="1"/>
  <c r="AZ8" i="508"/>
  <c r="BE26" i="508"/>
  <c r="BF26" i="508" s="1"/>
  <c r="BB15" i="528"/>
  <c r="BC15" i="528" s="1"/>
  <c r="BG26" i="481"/>
  <c r="BH26" i="481" s="1"/>
  <c r="BE34" i="481"/>
  <c r="BF34" i="481" s="1"/>
  <c r="BG34" i="481" s="1"/>
  <c r="BH34" i="481" s="1"/>
  <c r="BD15" i="526"/>
  <c r="BE15" i="526" s="1"/>
  <c r="BF15" i="526" s="1"/>
  <c r="BG15" i="526" s="1"/>
  <c r="F6" i="535"/>
  <c r="BB35" i="481"/>
  <c r="BB37" i="481" s="1"/>
  <c r="BB11" i="504"/>
  <c r="BC11" i="504" s="1"/>
  <c r="F17" i="535"/>
  <c r="BB9" i="526"/>
  <c r="AZ17" i="514"/>
  <c r="BA17" i="514" s="1"/>
  <c r="BB17" i="514" s="1"/>
  <c r="BA25" i="526"/>
  <c r="BA26" i="526" s="1"/>
  <c r="BB27" i="512"/>
  <c r="BC27" i="512" s="1"/>
  <c r="BD27" i="512" s="1"/>
  <c r="BE27" i="512" s="1"/>
  <c r="BC24" i="481"/>
  <c r="BD24" i="481" s="1"/>
  <c r="BE24" i="481" s="1"/>
  <c r="BF24" i="481" s="1"/>
  <c r="BD24" i="508"/>
  <c r="BE24" i="508" s="1"/>
  <c r="BF23" i="508"/>
  <c r="BB17" i="506"/>
  <c r="BC17" i="506" s="1"/>
  <c r="BG21" i="481"/>
  <c r="BH21" i="481" s="1"/>
  <c r="BC20" i="512"/>
  <c r="BF19" i="512"/>
  <c r="BD14" i="510"/>
  <c r="BE14" i="510" s="1"/>
  <c r="BG19" i="481"/>
  <c r="BH19" i="481" s="1"/>
  <c r="BB15" i="512"/>
  <c r="BC15" i="512" s="1"/>
  <c r="BF30" i="504"/>
  <c r="BC20" i="514"/>
  <c r="BC21" i="514"/>
  <c r="BE33" i="512"/>
  <c r="BF33" i="512" s="1"/>
  <c r="BA8" i="504"/>
  <c r="AY8" i="504"/>
  <c r="BE16" i="504"/>
  <c r="BF16" i="504" s="1"/>
  <c r="BE12" i="514"/>
  <c r="AX12" i="510"/>
  <c r="BE29" i="510"/>
  <c r="BC16" i="528"/>
  <c r="BD16" i="528" s="1"/>
  <c r="BE10" i="519"/>
  <c r="BF10" i="519" s="1"/>
  <c r="AZ12" i="510"/>
  <c r="AZ29" i="512"/>
  <c r="BA29" i="512" s="1"/>
  <c r="BB29" i="512" s="1"/>
  <c r="BC29" i="512" s="1"/>
  <c r="BD29" i="512" s="1"/>
  <c r="BE29" i="512" s="1"/>
  <c r="BF29" i="512" s="1"/>
  <c r="BC7" i="510"/>
  <c r="BA27" i="481"/>
  <c r="BA37" i="481" s="1"/>
  <c r="BC27" i="481"/>
  <c r="BD27" i="481" s="1"/>
  <c r="BB27" i="514"/>
  <c r="BC27" i="514" s="1"/>
  <c r="BD27" i="514" s="1"/>
  <c r="BG179" i="58"/>
  <c r="BG180" i="58" s="1"/>
  <c r="BD182" i="58" s="1"/>
  <c r="BG7" i="58"/>
  <c r="AJ30" i="380"/>
  <c r="AJ41" i="380" s="1"/>
  <c r="AJ42" i="380" s="1"/>
  <c r="AG44" i="380" s="1"/>
  <c r="BD38" i="506"/>
  <c r="BE38" i="506" s="1"/>
  <c r="BF38" i="506" s="1"/>
  <c r="AY9" i="504"/>
  <c r="BA9" i="504"/>
  <c r="BC10" i="514"/>
  <c r="BD10" i="514" s="1"/>
  <c r="BD9" i="521"/>
  <c r="BE9" i="521" s="1"/>
  <c r="BD23" i="481"/>
  <c r="BG33" i="481"/>
  <c r="BH33" i="481" s="1"/>
  <c r="BE16" i="510" l="1"/>
  <c r="BF16" i="510" s="1"/>
  <c r="AW34" i="510"/>
  <c r="AX34" i="510" s="1"/>
  <c r="AY34" i="510" s="1"/>
  <c r="AW16" i="514"/>
  <c r="AX16" i="514" s="1"/>
  <c r="AR16" i="514"/>
  <c r="AZ16" i="514" s="1"/>
  <c r="AW24" i="510"/>
  <c r="AX24" i="510" s="1"/>
  <c r="AY24" i="510" s="1"/>
  <c r="AZ18" i="510"/>
  <c r="BA18" i="510" s="1"/>
  <c r="AR17" i="510"/>
  <c r="AZ17" i="510" s="1"/>
  <c r="BA17" i="510" s="1"/>
  <c r="AW18" i="510"/>
  <c r="AR7" i="504"/>
  <c r="AR41" i="504" s="1"/>
  <c r="F7" i="535" s="1"/>
  <c r="AZ27" i="510"/>
  <c r="BA27" i="510" s="1"/>
  <c r="BB27" i="510" s="1"/>
  <c r="BC27" i="510" s="1"/>
  <c r="BD27" i="510" s="1"/>
  <c r="AW7" i="504"/>
  <c r="AX7" i="504" s="1"/>
  <c r="AX37" i="508"/>
  <c r="H9" i="535" s="1"/>
  <c r="AW37" i="508"/>
  <c r="G9" i="535" s="1"/>
  <c r="BD14" i="514"/>
  <c r="BE14" i="514" s="1"/>
  <c r="BF14" i="514" s="1"/>
  <c r="BD15" i="510"/>
  <c r="BE15" i="510" s="1"/>
  <c r="BD33" i="508"/>
  <c r="BE33" i="508" s="1"/>
  <c r="BB12" i="528"/>
  <c r="BA53" i="524"/>
  <c r="J16" i="535" s="1"/>
  <c r="AS7" i="528"/>
  <c r="AS20" i="528" s="1"/>
  <c r="E18" i="535" s="1"/>
  <c r="AX53" i="524"/>
  <c r="G16" i="535" s="1"/>
  <c r="AQ20" i="528"/>
  <c r="D18" i="535" s="1"/>
  <c r="AW26" i="510"/>
  <c r="AX26" i="510" s="1"/>
  <c r="AY26" i="510" s="1"/>
  <c r="AZ26" i="510"/>
  <c r="BA26" i="510" s="1"/>
  <c r="AZ37" i="508"/>
  <c r="J9" i="535" s="1"/>
  <c r="BD51" i="524"/>
  <c r="BE51" i="524" s="1"/>
  <c r="AS28" i="514"/>
  <c r="E12" i="535" s="1"/>
  <c r="AW18" i="514"/>
  <c r="AX18" i="514" s="1"/>
  <c r="AY18" i="514" s="1"/>
  <c r="AZ18" i="514"/>
  <c r="AZ30" i="510"/>
  <c r="BA30" i="510" s="1"/>
  <c r="AZ28" i="510"/>
  <c r="BA28" i="510" s="1"/>
  <c r="AW30" i="510"/>
  <c r="AX30" i="510" s="1"/>
  <c r="AY30" i="510" s="1"/>
  <c r="AW28" i="510"/>
  <c r="AX28" i="510" s="1"/>
  <c r="AY28" i="510" s="1"/>
  <c r="BC25" i="510"/>
  <c r="BD25" i="510" s="1"/>
  <c r="BE25" i="510" s="1"/>
  <c r="BF25" i="510" s="1"/>
  <c r="BC28" i="508"/>
  <c r="BD28" i="508" s="1"/>
  <c r="BE28" i="508" s="1"/>
  <c r="AQ12" i="531"/>
  <c r="AR12" i="531"/>
  <c r="E19" i="535" s="1"/>
  <c r="AY26" i="526"/>
  <c r="H17" i="535" s="1"/>
  <c r="I17" i="535" s="1"/>
  <c r="BC7" i="524"/>
  <c r="AZ7" i="524"/>
  <c r="AZ53" i="524" s="1"/>
  <c r="H16" i="535"/>
  <c r="BC12" i="521"/>
  <c r="BA12" i="521"/>
  <c r="L15" i="535" s="1"/>
  <c r="AR14" i="519"/>
  <c r="AS14" i="519"/>
  <c r="E13" i="535" s="1"/>
  <c r="BB7" i="514"/>
  <c r="AW37" i="512"/>
  <c r="G11" i="535" s="1"/>
  <c r="AZ37" i="512"/>
  <c r="AZ7" i="506"/>
  <c r="AZ39" i="506" s="1"/>
  <c r="J8" i="535" s="1"/>
  <c r="AX11" i="533"/>
  <c r="H20" i="535" s="1"/>
  <c r="I20" i="535" s="1"/>
  <c r="BA11" i="533"/>
  <c r="K20" i="535" s="1"/>
  <c r="BD10" i="531"/>
  <c r="BC21" i="508"/>
  <c r="BA8" i="528"/>
  <c r="BB8" i="528" s="1"/>
  <c r="BD17" i="528"/>
  <c r="BE13" i="514"/>
  <c r="BF13" i="514" s="1"/>
  <c r="BG23" i="524"/>
  <c r="BB11" i="533"/>
  <c r="BE19" i="514"/>
  <c r="BF19" i="514" s="1"/>
  <c r="AZ13" i="519"/>
  <c r="AY11" i="533"/>
  <c r="AW12" i="519"/>
  <c r="AX12" i="519" s="1"/>
  <c r="AY12" i="519" s="1"/>
  <c r="AW13" i="519"/>
  <c r="AX13" i="519" s="1"/>
  <c r="AY13" i="519" s="1"/>
  <c r="BF41" i="524"/>
  <c r="BG41" i="524" s="1"/>
  <c r="BE16" i="528"/>
  <c r="AZ12" i="519"/>
  <c r="BA12" i="519" s="1"/>
  <c r="BB12" i="519" s="1"/>
  <c r="BD7" i="508"/>
  <c r="BE7" i="508" s="1"/>
  <c r="BF7" i="508" s="1"/>
  <c r="BC31" i="510"/>
  <c r="BD31" i="510" s="1"/>
  <c r="AV7" i="531"/>
  <c r="AV12" i="531" s="1"/>
  <c r="AW7" i="519"/>
  <c r="AZ9" i="526"/>
  <c r="AZ26" i="526" s="1"/>
  <c r="BB8" i="519"/>
  <c r="G8" i="535"/>
  <c r="BE29" i="481"/>
  <c r="BF29" i="481" s="1"/>
  <c r="I6" i="535"/>
  <c r="BD11" i="531"/>
  <c r="BD33" i="504"/>
  <c r="AX31" i="512"/>
  <c r="AX37" i="512" s="1"/>
  <c r="BA31" i="512"/>
  <c r="AY8" i="508"/>
  <c r="AY37" i="508" s="1"/>
  <c r="AX7" i="506"/>
  <c r="AX39" i="506" s="1"/>
  <c r="F11" i="535"/>
  <c r="BE18" i="512"/>
  <c r="BF18" i="512" s="1"/>
  <c r="BB12" i="524"/>
  <c r="BB53" i="524" s="1"/>
  <c r="BB8" i="504"/>
  <c r="BD36" i="481"/>
  <c r="BB37" i="506"/>
  <c r="BC37" i="506" s="1"/>
  <c r="BD37" i="506" s="1"/>
  <c r="BE27" i="506"/>
  <c r="BF27" i="506" s="1"/>
  <c r="BF11" i="524"/>
  <c r="BG11" i="524" s="1"/>
  <c r="BD26" i="512"/>
  <c r="BE26" i="512" s="1"/>
  <c r="AX8" i="528"/>
  <c r="BD15" i="528"/>
  <c r="BE15" i="528" s="1"/>
  <c r="BG30" i="481"/>
  <c r="BH30" i="481" s="1"/>
  <c r="BE23" i="512"/>
  <c r="BF23" i="512" s="1"/>
  <c r="BA8" i="508"/>
  <c r="BA37" i="508" s="1"/>
  <c r="J6" i="535"/>
  <c r="BC35" i="481"/>
  <c r="BC37" i="481" s="1"/>
  <c r="BC17" i="514"/>
  <c r="BD17" i="514" s="1"/>
  <c r="BE17" i="514" s="1"/>
  <c r="BF17" i="514" s="1"/>
  <c r="BD11" i="504"/>
  <c r="BC9" i="526"/>
  <c r="BB25" i="526"/>
  <c r="BB26" i="526" s="1"/>
  <c r="J17" i="535"/>
  <c r="BF27" i="512"/>
  <c r="BG24" i="481"/>
  <c r="BH24" i="481" s="1"/>
  <c r="BF24" i="508"/>
  <c r="BD17" i="506"/>
  <c r="BE17" i="506" s="1"/>
  <c r="BF17" i="506" s="1"/>
  <c r="BD20" i="512"/>
  <c r="BE20" i="512" s="1"/>
  <c r="BF20" i="512" s="1"/>
  <c r="BF14" i="510"/>
  <c r="BD15" i="512"/>
  <c r="BE15" i="512" s="1"/>
  <c r="BD21" i="514"/>
  <c r="BE21" i="514" s="1"/>
  <c r="BD20" i="514"/>
  <c r="BF12" i="514"/>
  <c r="AY12" i="510"/>
  <c r="BF29" i="510"/>
  <c r="BA12" i="510"/>
  <c r="BD7" i="510"/>
  <c r="BB9" i="504"/>
  <c r="BC9" i="504" s="1"/>
  <c r="BE23" i="481"/>
  <c r="BE27" i="481"/>
  <c r="BF27" i="481" s="1"/>
  <c r="BG27" i="481" s="1"/>
  <c r="BH27" i="481" s="1"/>
  <c r="BE27" i="514"/>
  <c r="BF27" i="514" s="1"/>
  <c r="AJ45" i="380"/>
  <c r="AD46" i="380"/>
  <c r="W45" i="380" s="1"/>
  <c r="BG182" i="58"/>
  <c r="BA184" i="58"/>
  <c r="BE10" i="514"/>
  <c r="BF10" i="514" s="1"/>
  <c r="BB17" i="510" l="1"/>
  <c r="BC17" i="510" s="1"/>
  <c r="AY16" i="514"/>
  <c r="AR7" i="528"/>
  <c r="AR20" i="528" s="1"/>
  <c r="F18" i="535" s="1"/>
  <c r="BB18" i="510"/>
  <c r="BC18" i="510" s="1"/>
  <c r="AX18" i="510"/>
  <c r="AY18" i="510" s="1"/>
  <c r="BE27" i="510"/>
  <c r="BF27" i="510" s="1"/>
  <c r="AR28" i="514"/>
  <c r="F12" i="535" s="1"/>
  <c r="AZ7" i="504"/>
  <c r="BA7" i="504" s="1"/>
  <c r="AW41" i="504"/>
  <c r="G7" i="535" s="1"/>
  <c r="BA16" i="514"/>
  <c r="BB16" i="514" s="1"/>
  <c r="BC16" i="514" s="1"/>
  <c r="BD16" i="514" s="1"/>
  <c r="BE16" i="514" s="1"/>
  <c r="AZ28" i="514"/>
  <c r="J12" i="535" s="1"/>
  <c r="AZ24" i="510"/>
  <c r="BA24" i="510" s="1"/>
  <c r="BB24" i="510" s="1"/>
  <c r="BC24" i="510" s="1"/>
  <c r="BD24" i="510" s="1"/>
  <c r="BE24" i="510" s="1"/>
  <c r="BF24" i="510" s="1"/>
  <c r="I9" i="535"/>
  <c r="AV7" i="528"/>
  <c r="AW7" i="528" s="1"/>
  <c r="AW20" i="528" s="1"/>
  <c r="H18" i="535" s="1"/>
  <c r="BF15" i="510"/>
  <c r="BF33" i="508"/>
  <c r="BC12" i="528"/>
  <c r="BD12" i="528" s="1"/>
  <c r="BE12" i="528" s="1"/>
  <c r="BB26" i="510"/>
  <c r="BC26" i="510" s="1"/>
  <c r="BD26" i="510" s="1"/>
  <c r="BE26" i="510" s="1"/>
  <c r="BF26" i="510" s="1"/>
  <c r="BF51" i="524"/>
  <c r="BG51" i="524" s="1"/>
  <c r="AW28" i="514"/>
  <c r="G12" i="535" s="1"/>
  <c r="AY28" i="514"/>
  <c r="AX28" i="514"/>
  <c r="H12" i="535" s="1"/>
  <c r="BA18" i="514"/>
  <c r="BB28" i="510"/>
  <c r="BC28" i="510" s="1"/>
  <c r="BD28" i="510" s="1"/>
  <c r="BE28" i="510" s="1"/>
  <c r="BF28" i="510" s="1"/>
  <c r="BB30" i="510"/>
  <c r="BC30" i="510" s="1"/>
  <c r="BD30" i="510" s="1"/>
  <c r="BF28" i="508"/>
  <c r="I16" i="535"/>
  <c r="BD7" i="524"/>
  <c r="BB12" i="521"/>
  <c r="M15" i="535" s="1"/>
  <c r="AX7" i="519"/>
  <c r="AX14" i="519" s="1"/>
  <c r="H13" i="535" s="1"/>
  <c r="AW14" i="519"/>
  <c r="G13" i="535" s="1"/>
  <c r="BC7" i="514"/>
  <c r="BA37" i="512"/>
  <c r="BA7" i="506"/>
  <c r="BA39" i="506" s="1"/>
  <c r="K8" i="535" s="1"/>
  <c r="AY7" i="504"/>
  <c r="AY41" i="504" s="1"/>
  <c r="AX41" i="504"/>
  <c r="H7" i="535" s="1"/>
  <c r="BE10" i="531"/>
  <c r="BD21" i="508"/>
  <c r="BC8" i="528"/>
  <c r="BE17" i="528"/>
  <c r="BC11" i="533"/>
  <c r="J11" i="535"/>
  <c r="BA13" i="519"/>
  <c r="BB13" i="519" s="1"/>
  <c r="BC12" i="519"/>
  <c r="BD12" i="519" s="1"/>
  <c r="BE12" i="519" s="1"/>
  <c r="BE31" i="510"/>
  <c r="BF31" i="510" s="1"/>
  <c r="AW7" i="531"/>
  <c r="AW12" i="531" s="1"/>
  <c r="G19" i="535"/>
  <c r="AY7" i="531"/>
  <c r="AY12" i="531" s="1"/>
  <c r="F19" i="535"/>
  <c r="AZ7" i="519"/>
  <c r="F13" i="535"/>
  <c r="BD9" i="526"/>
  <c r="BD12" i="521"/>
  <c r="N15" i="535"/>
  <c r="BC8" i="519"/>
  <c r="AY7" i="506"/>
  <c r="AY39" i="506" s="1"/>
  <c r="H8" i="535"/>
  <c r="I8" i="535" s="1"/>
  <c r="BC8" i="504"/>
  <c r="BG29" i="481"/>
  <c r="BH29" i="481" s="1"/>
  <c r="BE11" i="531"/>
  <c r="BE33" i="504"/>
  <c r="BB31" i="512"/>
  <c r="AY31" i="512"/>
  <c r="AY37" i="512" s="1"/>
  <c r="H11" i="535"/>
  <c r="BC12" i="524"/>
  <c r="BC53" i="524" s="1"/>
  <c r="BB8" i="508"/>
  <c r="BB37" i="508" s="1"/>
  <c r="K9" i="535"/>
  <c r="BE36" i="481"/>
  <c r="BF26" i="512"/>
  <c r="BE37" i="506"/>
  <c r="BF37" i="506" s="1"/>
  <c r="K6" i="535"/>
  <c r="BD35" i="481"/>
  <c r="BD37" i="481" s="1"/>
  <c r="BE11" i="504"/>
  <c r="BF11" i="504" s="1"/>
  <c r="BC25" i="526"/>
  <c r="BC26" i="526" s="1"/>
  <c r="K17" i="535"/>
  <c r="BF23" i="481"/>
  <c r="BG23" i="481" s="1"/>
  <c r="BF15" i="512"/>
  <c r="BF21" i="514"/>
  <c r="BE20" i="514"/>
  <c r="BF20" i="514" s="1"/>
  <c r="BB12" i="510"/>
  <c r="BE7" i="510"/>
  <c r="BD9" i="504"/>
  <c r="K16" i="535"/>
  <c r="BD17" i="510" l="1"/>
  <c r="BE17" i="510" s="1"/>
  <c r="BF17" i="510" s="1"/>
  <c r="AZ41" i="504"/>
  <c r="J7" i="535" s="1"/>
  <c r="BD18" i="510"/>
  <c r="BE18" i="510" s="1"/>
  <c r="BF16" i="514"/>
  <c r="AX7" i="528"/>
  <c r="AX20" i="528" s="1"/>
  <c r="AV20" i="528"/>
  <c r="G18" i="535" s="1"/>
  <c r="I18" i="535" s="1"/>
  <c r="AY7" i="528"/>
  <c r="AY20" i="528" s="1"/>
  <c r="J18" i="535" s="1"/>
  <c r="I12" i="535"/>
  <c r="I7" i="535"/>
  <c r="BB18" i="514"/>
  <c r="BA28" i="514"/>
  <c r="K12" i="535" s="1"/>
  <c r="BE30" i="510"/>
  <c r="BF30" i="510" s="1"/>
  <c r="I13" i="535"/>
  <c r="BB7" i="506"/>
  <c r="BB39" i="506" s="1"/>
  <c r="L8" i="535" s="1"/>
  <c r="BE9" i="526"/>
  <c r="BF9" i="526" s="1"/>
  <c r="BE7" i="524"/>
  <c r="AY7" i="519"/>
  <c r="AY14" i="519" s="1"/>
  <c r="BA7" i="519"/>
  <c r="BA14" i="519" s="1"/>
  <c r="K13" i="535" s="1"/>
  <c r="AZ14" i="519"/>
  <c r="J13" i="535" s="1"/>
  <c r="BD7" i="514"/>
  <c r="BB37" i="512"/>
  <c r="L11" i="535" s="1"/>
  <c r="BA41" i="504"/>
  <c r="K7" i="535" s="1"/>
  <c r="BB7" i="504"/>
  <c r="BE21" i="508"/>
  <c r="BD8" i="528"/>
  <c r="BC13" i="519"/>
  <c r="BD13" i="519" s="1"/>
  <c r="BE13" i="519" s="1"/>
  <c r="BF13" i="519" s="1"/>
  <c r="BF12" i="519"/>
  <c r="AZ7" i="531"/>
  <c r="AZ12" i="531" s="1"/>
  <c r="J19" i="535"/>
  <c r="AX7" i="531"/>
  <c r="AX12" i="531" s="1"/>
  <c r="H19" i="535"/>
  <c r="I19" i="535" s="1"/>
  <c r="BD12" i="524"/>
  <c r="BD53" i="524" s="1"/>
  <c r="L16" i="535"/>
  <c r="BE12" i="521"/>
  <c r="O15" i="535"/>
  <c r="P15" i="535" s="1"/>
  <c r="BD8" i="519"/>
  <c r="K11" i="535"/>
  <c r="BD8" i="504"/>
  <c r="BF33" i="504"/>
  <c r="BC31" i="512"/>
  <c r="BC37" i="512" s="1"/>
  <c r="BC8" i="508"/>
  <c r="BC37" i="508" s="1"/>
  <c r="L9" i="535"/>
  <c r="BF36" i="481"/>
  <c r="BE35" i="481"/>
  <c r="BE37" i="481" s="1"/>
  <c r="L6" i="535"/>
  <c r="BD25" i="526"/>
  <c r="BE25" i="526" s="1"/>
  <c r="L17" i="535"/>
  <c r="BH23" i="481"/>
  <c r="BC12" i="510"/>
  <c r="BF7" i="510"/>
  <c r="BE9" i="504"/>
  <c r="I11" i="535"/>
  <c r="M20" i="535"/>
  <c r="BF18" i="510" l="1"/>
  <c r="AZ7" i="528"/>
  <c r="BA7" i="528" s="1"/>
  <c r="BB7" i="528" s="1"/>
  <c r="BB20" i="528" s="1"/>
  <c r="M18" i="535" s="1"/>
  <c r="BC18" i="514"/>
  <c r="BB28" i="514"/>
  <c r="L12" i="535" s="1"/>
  <c r="BB7" i="519"/>
  <c r="BC7" i="519" s="1"/>
  <c r="BC14" i="519" s="1"/>
  <c r="BC7" i="506"/>
  <c r="BC39" i="506" s="1"/>
  <c r="M8" i="535" s="1"/>
  <c r="BD26" i="526"/>
  <c r="M17" i="535" s="1"/>
  <c r="BE26" i="526"/>
  <c r="N17" i="535" s="1"/>
  <c r="BF7" i="524"/>
  <c r="BE7" i="514"/>
  <c r="BC7" i="504"/>
  <c r="BB41" i="504"/>
  <c r="L7" i="535" s="1"/>
  <c r="BD11" i="533"/>
  <c r="N20" i="535" s="1"/>
  <c r="BF21" i="508"/>
  <c r="BE8" i="528"/>
  <c r="BA7" i="531"/>
  <c r="BA12" i="531" s="1"/>
  <c r="K19" i="535"/>
  <c r="BE12" i="524"/>
  <c r="BE53" i="524" s="1"/>
  <c r="BE8" i="519"/>
  <c r="BE8" i="504"/>
  <c r="BD31" i="512"/>
  <c r="BD37" i="512" s="1"/>
  <c r="M11" i="535"/>
  <c r="M9" i="535"/>
  <c r="BD8" i="508"/>
  <c r="BD37" i="508" s="1"/>
  <c r="BG36" i="481"/>
  <c r="BH36" i="481" s="1"/>
  <c r="BF25" i="526"/>
  <c r="M6" i="535"/>
  <c r="BF35" i="481"/>
  <c r="BF37" i="481" s="1"/>
  <c r="BG9" i="526"/>
  <c r="BD12" i="510"/>
  <c r="BF9" i="504"/>
  <c r="M16" i="535"/>
  <c r="L20" i="535"/>
  <c r="AZ20" i="528" l="1"/>
  <c r="K18" i="535" s="1"/>
  <c r="BD18" i="514"/>
  <c r="BC28" i="514"/>
  <c r="M12" i="535" s="1"/>
  <c r="BA20" i="528"/>
  <c r="L18" i="535" s="1"/>
  <c r="BC7" i="528"/>
  <c r="BC20" i="528" s="1"/>
  <c r="N18" i="535" s="1"/>
  <c r="BB14" i="519"/>
  <c r="L13" i="535" s="1"/>
  <c r="BD7" i="506"/>
  <c r="BD39" i="506" s="1"/>
  <c r="N8" i="535" s="1"/>
  <c r="BG25" i="526"/>
  <c r="BG26" i="526" s="1"/>
  <c r="BF26" i="526"/>
  <c r="O17" i="535" s="1"/>
  <c r="BG7" i="524"/>
  <c r="BF7" i="514"/>
  <c r="BD7" i="504"/>
  <c r="BC41" i="504"/>
  <c r="M7" i="535" s="1"/>
  <c r="BE11" i="533"/>
  <c r="O20" i="535" s="1"/>
  <c r="P20" i="535" s="1"/>
  <c r="BF11" i="533"/>
  <c r="BD7" i="519"/>
  <c r="BB7" i="531"/>
  <c r="BB12" i="531" s="1"/>
  <c r="L19" i="535"/>
  <c r="BF12" i="524"/>
  <c r="BF53" i="524" s="1"/>
  <c r="N16" i="535"/>
  <c r="BF8" i="519"/>
  <c r="BF8" i="504"/>
  <c r="BE31" i="512"/>
  <c r="BE37" i="512" s="1"/>
  <c r="N11" i="535"/>
  <c r="BE8" i="508"/>
  <c r="BE37" i="508" s="1"/>
  <c r="N9" i="535"/>
  <c r="BG35" i="481"/>
  <c r="BG37" i="481" s="1"/>
  <c r="N6" i="535"/>
  <c r="BE12" i="510"/>
  <c r="BE18" i="514" l="1"/>
  <c r="BE28" i="514" s="1"/>
  <c r="O12" i="535" s="1"/>
  <c r="BD28" i="514"/>
  <c r="N12" i="535" s="1"/>
  <c r="BD7" i="528"/>
  <c r="BE7" i="506"/>
  <c r="BE39" i="506" s="1"/>
  <c r="O8" i="535" s="1"/>
  <c r="P8" i="535" s="1"/>
  <c r="BE7" i="519"/>
  <c r="BD14" i="519"/>
  <c r="N13" i="535" s="1"/>
  <c r="BE7" i="504"/>
  <c r="BE41" i="504" s="1"/>
  <c r="O7" i="535" s="1"/>
  <c r="BD41" i="504"/>
  <c r="N7" i="535" s="1"/>
  <c r="BC7" i="531"/>
  <c r="M19" i="535"/>
  <c r="O16" i="535"/>
  <c r="P16" i="535" s="1"/>
  <c r="BG12" i="524"/>
  <c r="BG53" i="524" s="1"/>
  <c r="BF31" i="512"/>
  <c r="BF37" i="512" s="1"/>
  <c r="O11" i="535"/>
  <c r="BF8" i="508"/>
  <c r="BF37" i="508" s="1"/>
  <c r="O9" i="535"/>
  <c r="P9" i="535" s="1"/>
  <c r="BH35" i="481"/>
  <c r="BH37" i="481" s="1"/>
  <c r="O6" i="535"/>
  <c r="P6" i="535" s="1"/>
  <c r="BF12" i="510"/>
  <c r="P17" i="535"/>
  <c r="M13" i="535"/>
  <c r="BF18" i="514" l="1"/>
  <c r="BF28" i="514" s="1"/>
  <c r="P12" i="535"/>
  <c r="BE7" i="528"/>
  <c r="BE20" i="528" s="1"/>
  <c r="BD20" i="528"/>
  <c r="O18" i="535" s="1"/>
  <c r="P18" i="535" s="1"/>
  <c r="BF7" i="504"/>
  <c r="BF41" i="504" s="1"/>
  <c r="BF7" i="506"/>
  <c r="BF39" i="506" s="1"/>
  <c r="BC12" i="531"/>
  <c r="N19" i="535" s="1"/>
  <c r="BF7" i="519"/>
  <c r="BF14" i="519" s="1"/>
  <c r="BE14" i="519"/>
  <c r="O13" i="535" s="1"/>
  <c r="P7" i="535"/>
  <c r="P11" i="535"/>
  <c r="BD7" i="531"/>
  <c r="BD12" i="531" l="1"/>
  <c r="O19" i="535" s="1"/>
  <c r="P19" i="535" s="1"/>
  <c r="BE7" i="531"/>
  <c r="BE12" i="531" s="1"/>
  <c r="P13" i="535"/>
  <c r="AR9" i="516" l="1"/>
  <c r="AQ9" i="516" s="1"/>
  <c r="AC7" i="516"/>
  <c r="V8" i="547"/>
  <c r="V13" i="547" s="1"/>
  <c r="X7" i="516"/>
  <c r="X12" i="516" s="1"/>
  <c r="P11" i="520" l="1"/>
  <c r="AN11" i="516" s="1"/>
  <c r="AP11" i="516" s="1"/>
  <c r="AX9" i="516"/>
  <c r="AY9" i="516" s="1"/>
  <c r="AZ9" i="516" s="1"/>
  <c r="AU9" i="516"/>
  <c r="AV9" i="516" s="1"/>
  <c r="AK7" i="516"/>
  <c r="P8" i="520" l="1"/>
  <c r="AN8" i="516" s="1"/>
  <c r="AP8" i="516" s="1"/>
  <c r="BA9" i="516"/>
  <c r="BB9" i="516" s="1"/>
  <c r="AW9" i="516"/>
  <c r="T7" i="520"/>
  <c r="U7" i="520" s="1"/>
  <c r="AK12" i="516"/>
  <c r="AR11" i="516" l="1"/>
  <c r="AQ11" i="516" s="1"/>
  <c r="BC9" i="516"/>
  <c r="BD9" i="516" s="1"/>
  <c r="V7" i="520"/>
  <c r="W7" i="520" s="1"/>
  <c r="AU11" i="516" l="1"/>
  <c r="AV11" i="516" s="1"/>
  <c r="AW11" i="516" s="1"/>
  <c r="AX11" i="516"/>
  <c r="AY11" i="516" s="1"/>
  <c r="AZ11" i="516" s="1"/>
  <c r="BA11" i="516" s="1"/>
  <c r="BB11" i="516" s="1"/>
  <c r="BC11" i="516" s="1"/>
  <c r="BD11" i="516" s="1"/>
  <c r="AR8" i="516"/>
  <c r="AQ8" i="516" s="1"/>
  <c r="V12" i="520"/>
  <c r="AU8" i="516" l="1"/>
  <c r="AV8" i="516" s="1"/>
  <c r="AX8" i="516"/>
  <c r="AY8" i="516" s="1"/>
  <c r="AZ8" i="516" s="1"/>
  <c r="BA8" i="516" s="1"/>
  <c r="F7" i="520"/>
  <c r="AO7" i="516"/>
  <c r="AW8" i="516" l="1"/>
  <c r="BB8" i="516"/>
  <c r="BC8" i="516" s="1"/>
  <c r="BD8" i="516" s="1"/>
  <c r="H7" i="520"/>
  <c r="L7" i="520" s="1"/>
  <c r="M7" i="520" s="1"/>
  <c r="N7" i="520" s="1"/>
  <c r="F12" i="520"/>
  <c r="E15" i="537" s="1"/>
  <c r="AO12" i="516"/>
  <c r="K15" i="537" s="1"/>
  <c r="L15" i="537" s="1"/>
  <c r="O7" i="520" l="1"/>
  <c r="P7" i="520" s="1"/>
  <c r="O12" i="520" l="1"/>
  <c r="P12" i="520" l="1"/>
  <c r="AN7" i="516"/>
  <c r="AP7" i="516" l="1"/>
  <c r="AN12" i="516"/>
  <c r="D15" i="537" s="1"/>
  <c r="AD35" i="510"/>
  <c r="G11" i="537" s="1"/>
  <c r="G23" i="537" s="1"/>
  <c r="G27" i="537" s="1"/>
  <c r="AP12" i="516" l="1"/>
  <c r="D14" i="535" s="1"/>
  <c r="AR7" i="516"/>
  <c r="AQ7" i="516" s="1"/>
  <c r="AR12" i="516" l="1"/>
  <c r="E14" i="535" s="1"/>
  <c r="AU7" i="516"/>
  <c r="AP11" i="510" l="1"/>
  <c r="AU12" i="516"/>
  <c r="G14" i="535" s="1"/>
  <c r="AV7" i="516"/>
  <c r="AV12" i="516" s="1"/>
  <c r="H14" i="535" s="1"/>
  <c r="AQ12" i="516"/>
  <c r="F14" i="535" s="1"/>
  <c r="AX7" i="516"/>
  <c r="AX12" i="516" s="1"/>
  <c r="J14" i="535" s="1"/>
  <c r="W35" i="511"/>
  <c r="V35" i="511"/>
  <c r="I14" i="535" l="1"/>
  <c r="AY7" i="516"/>
  <c r="AY12" i="516" s="1"/>
  <c r="K14" i="535" s="1"/>
  <c r="AW7" i="516"/>
  <c r="AW12" i="516" s="1"/>
  <c r="AP35" i="510"/>
  <c r="K11" i="537" s="1"/>
  <c r="F35" i="511" l="1"/>
  <c r="E11" i="537" s="1"/>
  <c r="E23" i="537" s="1"/>
  <c r="E27" i="537" s="1"/>
  <c r="AZ7" i="516"/>
  <c r="AZ12" i="516" s="1"/>
  <c r="L14" i="535" s="1"/>
  <c r="L11" i="537"/>
  <c r="L11" i="511"/>
  <c r="M11" i="511" l="1"/>
  <c r="N11" i="511" s="1"/>
  <c r="BA7" i="516"/>
  <c r="BA12" i="516" s="1"/>
  <c r="M14" i="535" s="1"/>
  <c r="O11" i="511" l="1"/>
  <c r="P11" i="511" s="1"/>
  <c r="BB7" i="516"/>
  <c r="BC7" i="516" s="1"/>
  <c r="BC12" i="516" s="1"/>
  <c r="O14" i="535" s="1"/>
  <c r="AO11" i="510" l="1"/>
  <c r="O35" i="511"/>
  <c r="BD7" i="516"/>
  <c r="BD12" i="516" s="1"/>
  <c r="BB12" i="516"/>
  <c r="N14" i="535" s="1"/>
  <c r="P14" i="535" s="1"/>
  <c r="AQ11" i="510" l="1"/>
  <c r="P35" i="511"/>
  <c r="AO35" i="510"/>
  <c r="D11" i="537" s="1"/>
  <c r="AQ35" i="510" l="1"/>
  <c r="D10" i="535" s="1"/>
  <c r="AS11" i="510"/>
  <c r="AS35" i="510" s="1"/>
  <c r="E10" i="535" s="1"/>
  <c r="AR11" i="510" l="1"/>
  <c r="AR35" i="510" s="1"/>
  <c r="F10" i="535" s="1"/>
  <c r="AW11" i="510"/>
  <c r="AW35" i="510" s="1"/>
  <c r="G10" i="535" s="1"/>
  <c r="AZ11" i="510"/>
  <c r="AZ35" i="510" s="1"/>
  <c r="J10" i="535" s="1"/>
  <c r="AX11" i="510"/>
  <c r="AX35" i="510" s="1"/>
  <c r="H10" i="535" s="1"/>
  <c r="H22" i="535" s="1"/>
  <c r="F3" i="536" s="1"/>
  <c r="F4" i="536" s="1"/>
  <c r="BA11" i="510" l="1"/>
  <c r="BA35" i="510" s="1"/>
  <c r="K10" i="535" s="1"/>
  <c r="I10" i="535"/>
  <c r="AY11" i="510"/>
  <c r="AY35" i="510" s="1"/>
  <c r="BB11" i="510" l="1"/>
  <c r="BB35" i="510" s="1"/>
  <c r="L10" i="535" s="1"/>
  <c r="BC11" i="510" l="1"/>
  <c r="BD11" i="510" s="1"/>
  <c r="BD35" i="510" s="1"/>
  <c r="N10" i="535" s="1"/>
  <c r="BC35" i="510" l="1"/>
  <c r="M10" i="535" s="1"/>
  <c r="BE11" i="510"/>
  <c r="BE35" i="510" s="1"/>
  <c r="O10" i="535" s="1"/>
  <c r="AP7" i="558"/>
  <c r="AP19" i="558" s="1"/>
  <c r="BF11" i="510" l="1"/>
  <c r="BF35" i="510" s="1"/>
  <c r="P10" i="535"/>
  <c r="K22" i="537"/>
  <c r="H7" i="559"/>
  <c r="L7" i="559" s="1"/>
  <c r="M7" i="559" s="1"/>
  <c r="K23" i="537" l="1"/>
  <c r="K27" i="537" s="1"/>
  <c r="L22" i="537"/>
  <c r="N7" i="559"/>
  <c r="O7" i="559" l="1"/>
  <c r="P7" i="559" s="1"/>
  <c r="P19" i="559" l="1"/>
  <c r="O19" i="559"/>
  <c r="AO7" i="558" l="1"/>
  <c r="AO19" i="558" s="1"/>
  <c r="AQ7" i="558" l="1"/>
  <c r="AS7" i="558" s="1"/>
  <c r="AS18" i="558"/>
  <c r="AR18" i="558" s="1"/>
  <c r="D22" i="537"/>
  <c r="D23" i="537" s="1"/>
  <c r="AQ19" i="558" l="1"/>
  <c r="D21" i="535" s="1"/>
  <c r="D22" i="535" s="1"/>
  <c r="K5" i="536" s="1"/>
  <c r="AR7" i="558"/>
  <c r="AR19" i="558" s="1"/>
  <c r="AV18" i="558"/>
  <c r="AW18" i="558" s="1"/>
  <c r="AX18" i="558" s="1"/>
  <c r="AY18" i="558" s="1"/>
  <c r="AZ18" i="558" s="1"/>
  <c r="AS19" i="558"/>
  <c r="E21" i="535" s="1"/>
  <c r="E22" i="535" s="1"/>
  <c r="AV7" i="558"/>
  <c r="AV19" i="558" l="1"/>
  <c r="G21" i="535" s="1"/>
  <c r="G22" i="535" s="1"/>
  <c r="BA18" i="558"/>
  <c r="BB18" i="558" s="1"/>
  <c r="BC18" i="558" s="1"/>
  <c r="BD18" i="558" s="1"/>
  <c r="F21" i="535"/>
  <c r="F22" i="535" s="1"/>
  <c r="AW7" i="558"/>
  <c r="AW19" i="558" s="1"/>
  <c r="BA7" i="558"/>
  <c r="BA19" i="558" l="1"/>
  <c r="J21" i="535" s="1"/>
  <c r="J22" i="535" s="1"/>
  <c r="BE18" i="558"/>
  <c r="BF18" i="558" s="1"/>
  <c r="E3" i="536"/>
  <c r="G3" i="536" s="1"/>
  <c r="BB7" i="558"/>
  <c r="AX7" i="558"/>
  <c r="AX19" i="558" s="1"/>
  <c r="BG18" i="558" l="1"/>
  <c r="BB19" i="558"/>
  <c r="K21" i="535" s="1"/>
  <c r="K22" i="535" s="1"/>
  <c r="B7" i="536"/>
  <c r="B8" i="536" s="1"/>
  <c r="E4" i="536"/>
  <c r="G4" i="536" s="1"/>
  <c r="BC7" i="558"/>
  <c r="BC19" i="558" s="1"/>
  <c r="AY7" i="558"/>
  <c r="AY19" i="558" s="1"/>
  <c r="C7" i="536" l="1"/>
  <c r="C8" i="536" s="1"/>
  <c r="AZ7" i="558"/>
  <c r="L21" i="535"/>
  <c r="L22" i="535" s="1"/>
  <c r="BD7" i="558"/>
  <c r="BD19" i="558" s="1"/>
  <c r="AZ19" i="558" l="1"/>
  <c r="I21" i="535" s="1"/>
  <c r="I22" i="535" s="1"/>
  <c r="D7" i="536"/>
  <c r="D8" i="536" s="1"/>
  <c r="M21" i="535"/>
  <c r="M22" i="535" s="1"/>
  <c r="BE7" i="558"/>
  <c r="BE19" i="558" l="1"/>
  <c r="N21" i="535" s="1"/>
  <c r="E7" i="536"/>
  <c r="E8" i="536" s="1"/>
  <c r="BF7" i="558"/>
  <c r="BF19" i="558" s="1"/>
  <c r="N22" i="535" l="1"/>
  <c r="F7" i="536" s="1"/>
  <c r="F8" i="536" s="1"/>
  <c r="BG7" i="558"/>
  <c r="O21" i="535"/>
  <c r="O22" i="535" s="1"/>
  <c r="BG19" i="558" l="1"/>
  <c r="P21" i="535" s="1"/>
  <c r="P22" i="535" s="1"/>
  <c r="G7" i="536"/>
  <c r="G8" i="536" s="1"/>
  <c r="H8" i="536" s="1"/>
  <c r="H11" i="536" s="1"/>
  <c r="K7" i="536" s="1"/>
  <c r="H7" i="536" l="1"/>
  <c r="L17" i="537" l="1"/>
  <c r="L23" i="537" s="1"/>
</calcChain>
</file>

<file path=xl/comments1.xml><?xml version="1.0" encoding="utf-8"?>
<comments xmlns="http://schemas.openxmlformats.org/spreadsheetml/2006/main">
  <authors>
    <author>user</author>
    <author>admin pc</author>
    <author>FQ.5</author>
  </authors>
  <commentList>
    <comment ref="F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8" authorId="0">
      <text>
        <r>
          <rPr>
            <b/>
            <sz val="9"/>
            <color indexed="81"/>
            <rFont val="Tahoma"/>
            <family val="2"/>
          </rPr>
          <t xml:space="preserve">user:
</t>
        </r>
        <r>
          <rPr>
            <sz val="9"/>
            <color indexed="81"/>
            <rFont val="Tahoma"/>
            <family val="2"/>
          </rPr>
          <t xml:space="preserve">-2ម៉ាស៊ីន
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 xml:space="preserve">user:
</t>
        </r>
        <r>
          <rPr>
            <sz val="9"/>
            <color indexed="81"/>
            <rFont val="Tahoma"/>
            <family val="2"/>
          </rPr>
          <t xml:space="preserve">-2ម៉ាស៊ីន
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1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1(5)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2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2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កាត់ព្រុយ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F24" authorId="1">
      <text>
        <r>
          <rPr>
            <b/>
            <sz val="9"/>
            <color indexed="81"/>
            <rFont val="Tahoma"/>
            <family val="2"/>
          </rPr>
          <t>admin pc: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25" authorId="2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26" authorId="2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2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F2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2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F3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កាត់ព្រុយ</t>
        </r>
      </text>
    </comment>
    <comment ref="F3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3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F3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កាត់ព្រុយ
</t>
        </r>
      </text>
    </comment>
  </commentList>
</comments>
</file>

<file path=xl/comments10.xml><?xml version="1.0" encoding="utf-8"?>
<comments xmlns="http://schemas.openxmlformats.org/spreadsheetml/2006/main">
  <authors>
    <author>FQ.5</author>
  </authors>
  <commentList>
    <comment ref="C12" authorId="0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អ្នកចូលថ្មី
</t>
        </r>
      </text>
    </comment>
  </commentList>
</comments>
</file>

<file path=xl/comments11.xml><?xml version="1.0" encoding="utf-8"?>
<comments xmlns="http://schemas.openxmlformats.org/spreadsheetml/2006/main">
  <authors>
    <author>user</author>
    <author>FQ.5</author>
  </authors>
  <commentList>
    <comment ref="F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ឡើង QC02.2024
</t>
        </r>
      </text>
    </comment>
    <comment ref="F9" authorId="1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2
</t>
        </r>
      </text>
    </comment>
  </commentList>
</comments>
</file>

<file path=xl/comments2.xml><?xml version="1.0" encoding="utf-8"?>
<comments xmlns="http://schemas.openxmlformats.org/spreadsheetml/2006/main">
  <authors>
    <author>FQ.5</author>
    <author>user</author>
    <author>admin pc</author>
  </authors>
  <commentList>
    <comment ref="F8" authorId="0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10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កាត់ព្រុយ</t>
        </r>
      </text>
    </comment>
    <comment ref="F11" authorId="0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3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ឡើង  02.2024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16" authorId="0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2ម៉ាស៊ីន
</t>
        </r>
      </text>
    </comment>
    <comment ref="F20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កាត់ព្រុយ</t>
        </r>
      </text>
    </comment>
    <comment ref="F22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F23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24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25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26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27" authorId="0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28" authorId="0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29" authorId="0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30" authorId="0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31" authorId="2">
      <text>
        <r>
          <rPr>
            <b/>
            <sz val="9"/>
            <color indexed="81"/>
            <rFont val="Tahoma"/>
            <family val="2"/>
          </rPr>
          <t>admin pc: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32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33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កាត់ព្រុយ
</t>
        </r>
      </text>
    </comment>
    <comment ref="F35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F36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F37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38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
</t>
        </r>
      </text>
    </comment>
  </commentList>
</comments>
</file>

<file path=xl/comments3.xml><?xml version="1.0" encoding="utf-8"?>
<comments xmlns="http://schemas.openxmlformats.org/spreadsheetml/2006/main">
  <authors>
    <author>FQ.5</author>
  </authors>
  <commentList>
    <comment ref="C37" authorId="0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ម៉ាស៊ីន1
</t>
        </r>
      </text>
    </comment>
    <comment ref="C38" authorId="0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ម៉ាស៊ីន1
</t>
        </r>
      </text>
    </comment>
  </commentList>
</comments>
</file>

<file path=xl/comments4.xml><?xml version="1.0" encoding="utf-8"?>
<comments xmlns="http://schemas.openxmlformats.org/spreadsheetml/2006/main">
  <authors>
    <author>user</author>
    <author>admin pc</author>
    <author>lucida-admin</author>
  </authors>
  <commentList>
    <comment ref="F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2(10)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2(10)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2(10)</t>
        </r>
      </text>
    </comment>
    <comment ref="F1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2(10)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F16" authorId="1">
      <text>
        <r>
          <rPr>
            <b/>
            <sz val="9"/>
            <color indexed="81"/>
            <rFont val="Tahoma"/>
            <family val="2"/>
          </rPr>
          <t>admin pc: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17" authorId="1">
      <text>
        <r>
          <rPr>
            <b/>
            <sz val="9"/>
            <color indexed="81"/>
            <rFont val="Tahoma"/>
            <family val="2"/>
          </rPr>
          <t>admin pc: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18" authorId="1">
      <text>
        <r>
          <rPr>
            <b/>
            <sz val="9"/>
            <color indexed="81"/>
            <rFont val="Tahoma"/>
            <family val="2"/>
          </rPr>
          <t>admin pc: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2ម៉ាស៊ីន ឡើងនៅ02.2024
</t>
        </r>
      </text>
    </comment>
    <comment ref="F2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កាតព្រយ
</t>
        </r>
      </text>
    </comment>
    <comment ref="F30" authorId="2">
      <text>
        <r>
          <rPr>
            <b/>
            <sz val="9"/>
            <color indexed="81"/>
            <rFont val="Tahoma"/>
            <family val="2"/>
          </rPr>
          <t>lucida-admin:</t>
        </r>
        <r>
          <rPr>
            <sz val="9"/>
            <color indexed="81"/>
            <rFont val="Tahoma"/>
            <family val="2"/>
          </rPr>
          <t xml:space="preserve">
2ម៉ាស៊ីន</t>
        </r>
      </text>
    </comment>
    <comment ref="F31" authorId="2">
      <text>
        <r>
          <rPr>
            <b/>
            <sz val="9"/>
            <color indexed="81"/>
            <rFont val="Tahoma"/>
            <family val="2"/>
          </rPr>
          <t>lucida-admin:</t>
        </r>
        <r>
          <rPr>
            <sz val="9"/>
            <color indexed="81"/>
            <rFont val="Tahoma"/>
            <family val="2"/>
          </rPr>
          <t xml:space="preserve">
1ម៉ាស៊ីន</t>
        </r>
      </text>
    </comment>
    <comment ref="F3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កាត់ព្រុយ
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កាត់ព្រុយ</t>
        </r>
      </text>
    </comment>
    <comment ref="F3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</t>
        </r>
      </text>
    </comment>
  </commentList>
</comments>
</file>

<file path=xl/comments5.xml><?xml version="1.0" encoding="utf-8"?>
<comments xmlns="http://schemas.openxmlformats.org/spreadsheetml/2006/main">
  <authors>
    <author>user</author>
    <author>admin pc</author>
    <author>lucida-admin</author>
  </authors>
  <commentList>
    <comment ref="F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កាត់ព្រុយ
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កាត់ព្រុយ
</t>
        </r>
      </text>
    </comment>
    <comment ref="F12" authorId="1">
      <text>
        <r>
          <rPr>
            <b/>
            <sz val="9"/>
            <color indexed="81"/>
            <rFont val="Tahoma"/>
            <family val="2"/>
          </rPr>
          <t>admin pc: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13" authorId="1">
      <text>
        <r>
          <rPr>
            <b/>
            <sz val="9"/>
            <color indexed="81"/>
            <rFont val="Tahoma"/>
            <family val="2"/>
          </rPr>
          <t>admin pc: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2">
      <text>
        <r>
          <rPr>
            <b/>
            <sz val="9"/>
            <color indexed="81"/>
            <rFont val="Tahoma"/>
            <family val="2"/>
          </rPr>
          <t>lucida-admin:</t>
        </r>
        <r>
          <rPr>
            <sz val="9"/>
            <color indexed="81"/>
            <rFont val="Tahoma"/>
            <family val="2"/>
          </rPr>
          <t xml:space="preserve">
1 ម៉ាស៊ីន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1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កាត់ព្រុយ
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F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2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2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2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2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3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3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3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</t>
        </r>
      </text>
    </comment>
  </commentList>
</comments>
</file>

<file path=xl/comments6.xml><?xml version="1.0" encoding="utf-8"?>
<comments xmlns="http://schemas.openxmlformats.org/spreadsheetml/2006/main">
  <authors>
    <author>FQ.5</author>
    <author>lucida-admin</author>
    <author>user</author>
  </authors>
  <commentList>
    <comment ref="F8" authorId="0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9" authorId="1">
      <text>
        <r>
          <rPr>
            <b/>
            <sz val="9"/>
            <color indexed="81"/>
            <rFont val="Tahoma"/>
            <family val="2"/>
          </rPr>
          <t>lucida-admin: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1">
      <text>
        <r>
          <rPr>
            <b/>
            <sz val="9"/>
            <color indexed="81"/>
            <rFont val="Tahoma"/>
            <family val="2"/>
          </rPr>
          <t>lucida-admin:</t>
        </r>
        <r>
          <rPr>
            <sz val="9"/>
            <color indexed="81"/>
            <rFont val="Tahoma"/>
            <family val="2"/>
          </rPr>
          <t xml:space="preserve">
1ម៉ាស៊ីន
</t>
        </r>
      </text>
    </comment>
    <comment ref="F11" authorId="1">
      <text>
        <r>
          <rPr>
            <b/>
            <sz val="9"/>
            <color indexed="81"/>
            <rFont val="Tahoma"/>
            <family val="2"/>
          </rPr>
          <t>lucida-admin:</t>
        </r>
        <r>
          <rPr>
            <sz val="9"/>
            <color indexed="81"/>
            <rFont val="Tahoma"/>
            <family val="2"/>
          </rPr>
          <t xml:space="preserve">
2ម៉ាស៊ីន
</t>
        </r>
      </text>
    </comment>
    <comment ref="F12" authorId="1">
      <text>
        <r>
          <rPr>
            <b/>
            <sz val="9"/>
            <color indexed="81"/>
            <rFont val="Tahoma"/>
            <family val="2"/>
          </rPr>
          <t>lucida-admin:</t>
        </r>
        <r>
          <rPr>
            <sz val="9"/>
            <color indexed="81"/>
            <rFont val="Tahoma"/>
            <family val="2"/>
          </rPr>
          <t xml:space="preserve">
1ម៉ាស៊ីន
</t>
        </r>
      </text>
    </comment>
    <comment ref="F15" authorId="2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8" authorId="2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កាត់ព្រុយ
</t>
        </r>
      </text>
    </comment>
    <comment ref="F23" authorId="2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កាតព្រុយ
</t>
        </r>
      </text>
    </comment>
    <comment ref="F29" authorId="2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តាត់ព្រុយប្ដូមកម៉ាស៊ីន2(ខែ08.2024)
</t>
        </r>
      </text>
    </comment>
    <comment ref="F30" authorId="2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កាត់ព្រុយ
</t>
        </r>
      </text>
    </comment>
    <comment ref="F34" authorId="2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2(10)</t>
        </r>
      </text>
    </comment>
  </commentList>
</comments>
</file>

<file path=xl/comments7.xml><?xml version="1.0" encoding="utf-8"?>
<comments xmlns="http://schemas.openxmlformats.org/spreadsheetml/2006/main">
  <authors>
    <author>FQ.5</author>
  </authors>
  <commentList>
    <comment ref="C10" authorId="0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កាត់ព្រុយ
</t>
        </r>
      </text>
    </comment>
  </commentList>
</comments>
</file>

<file path=xl/comments8.xml><?xml version="1.0" encoding="utf-8"?>
<comments xmlns="http://schemas.openxmlformats.org/spreadsheetml/2006/main">
  <authors>
    <author>user</author>
    <author>FQ.5</author>
  </authors>
  <commentList>
    <comment ref="F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កាត់ព្រុយ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0" authorId="1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F11" authorId="1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2ម៉ាស៊ីន
</t>
        </r>
      </text>
    </comment>
    <comment ref="F12" authorId="1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1ម៉ាស៊ីន
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AF1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ឡើងម៉ាស៊ីន2
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ម្ចុល1ឡើងនៅខែ03.2023
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កាត់ព្រុយ
</t>
        </r>
      </text>
    </comment>
    <comment ref="F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2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2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2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3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កាត់ព្រុយ</t>
        </r>
      </text>
    </comment>
  </commentList>
</comments>
</file>

<file path=xl/comments9.xml><?xml version="1.0" encoding="utf-8"?>
<comments xmlns="http://schemas.openxmlformats.org/spreadsheetml/2006/main">
  <authors>
    <author>FQ.5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>FQ.5:</t>
        </r>
        <r>
          <rPr>
            <sz val="9"/>
            <color indexed="81"/>
            <rFont val="Tahoma"/>
            <family val="2"/>
          </rPr>
          <t xml:space="preserve">
កាត់ព្រុយ
</t>
        </r>
      </text>
    </comment>
  </commentList>
</comments>
</file>

<file path=xl/sharedStrings.xml><?xml version="1.0" encoding="utf-8"?>
<sst xmlns="http://schemas.openxmlformats.org/spreadsheetml/2006/main" count="8154" uniqueCount="2400">
  <si>
    <t>l&gt;r</t>
  </si>
  <si>
    <t>R)ak;Ex</t>
  </si>
  <si>
    <t>RKwH</t>
  </si>
  <si>
    <t>h+</t>
  </si>
  <si>
    <t>h=</t>
  </si>
  <si>
    <t>d=</t>
  </si>
  <si>
    <t>em:agsrub</t>
  </si>
  <si>
    <t>R)ak;TTYl)an</t>
  </si>
  <si>
    <t xml:space="preserve">假日&amp;  </t>
  </si>
  <si>
    <t>星期天X2</t>
  </si>
  <si>
    <t>efrevlaeFIVkar</t>
  </si>
  <si>
    <t xml:space="preserve">em:agéf¶Fmµta </t>
  </si>
  <si>
    <t>Efmem:ag</t>
  </si>
  <si>
    <t xml:space="preserve">éf¶Fmµta </t>
  </si>
  <si>
    <t>éf¶GaTitü&gt;buNü</t>
  </si>
  <si>
    <t>上班天数小时</t>
  </si>
  <si>
    <t>平时加班X1.5</t>
  </si>
  <si>
    <t>总小时</t>
  </si>
  <si>
    <t>R)ak;éf¶buNü</t>
  </si>
  <si>
    <t xml:space="preserve">假期 </t>
  </si>
  <si>
    <t>工资</t>
  </si>
  <si>
    <t>l&gt;sM</t>
  </si>
  <si>
    <t>eQaµH</t>
  </si>
  <si>
    <t>kalbriecT</t>
  </si>
  <si>
    <t>cMnYnéf¶</t>
  </si>
  <si>
    <t>tMélGav</t>
  </si>
  <si>
    <t>R)ak;</t>
  </si>
  <si>
    <t>TwkR)ak;</t>
  </si>
  <si>
    <t>bEnßmema:g</t>
  </si>
  <si>
    <t>R)ak;]btßmÖ</t>
  </si>
  <si>
    <t>htßelxa</t>
  </si>
  <si>
    <t>cUleFVIkar</t>
  </si>
  <si>
    <t>eFIVkar</t>
  </si>
  <si>
    <t>bug</t>
  </si>
  <si>
    <t>kúgmYyema:g</t>
  </si>
  <si>
    <t>éf¶Fmµta</t>
  </si>
  <si>
    <t>R)ak;Qb;</t>
  </si>
  <si>
    <t>RbcaMEx</t>
  </si>
  <si>
    <t>平均每小時工資</t>
  </si>
  <si>
    <r>
      <t>星期天加班</t>
    </r>
    <r>
      <rPr>
        <sz val="6"/>
        <rFont val="標楷體"/>
        <family val="4"/>
      </rPr>
      <t>补贴</t>
    </r>
  </si>
  <si>
    <t>RbcaMqñaM</t>
  </si>
  <si>
    <t>編號</t>
  </si>
  <si>
    <t>工號</t>
  </si>
  <si>
    <r>
      <t>姓</t>
    </r>
    <r>
      <rPr>
        <sz val="6"/>
        <rFont val="標楷體"/>
        <family val="4"/>
      </rPr>
      <t xml:space="preserve">   </t>
    </r>
    <r>
      <rPr>
        <sz val="6"/>
        <rFont val="宋体"/>
      </rPr>
      <t>名</t>
    </r>
  </si>
  <si>
    <t>底薪</t>
  </si>
  <si>
    <t>进厂日期</t>
  </si>
  <si>
    <t>上班日</t>
  </si>
  <si>
    <t>計件工資</t>
  </si>
  <si>
    <t>白天工資</t>
  </si>
  <si>
    <t>有薪假期</t>
  </si>
  <si>
    <t>簽收人</t>
  </si>
  <si>
    <t>吴伟光</t>
  </si>
  <si>
    <t>Gñkeroberog</t>
  </si>
  <si>
    <t xml:space="preserve"> 制表:</t>
  </si>
  <si>
    <t>htßelxa KNenyükr</t>
  </si>
  <si>
    <t>厂长审核:</t>
  </si>
  <si>
    <t xml:space="preserve">  会计：</t>
  </si>
  <si>
    <t>R)ak;RtUvebIk</t>
  </si>
  <si>
    <t>签收金额</t>
  </si>
  <si>
    <t>美元</t>
  </si>
  <si>
    <t>柬币</t>
  </si>
  <si>
    <t>muxgar</t>
  </si>
  <si>
    <t>职位</t>
  </si>
  <si>
    <t>Date of Birth</t>
  </si>
  <si>
    <t>ID cart</t>
  </si>
  <si>
    <t>Nationality</t>
  </si>
  <si>
    <t>Relegion</t>
  </si>
  <si>
    <t>Sex</t>
  </si>
  <si>
    <t>Tiner Fastion Cambodia Co.,Ltd</t>
  </si>
  <si>
    <t>Group A</t>
  </si>
  <si>
    <t>sñameméd</t>
  </si>
  <si>
    <t>手应</t>
  </si>
  <si>
    <t>A</t>
  </si>
  <si>
    <t>全勤獎</t>
  </si>
  <si>
    <t>TOTAL</t>
  </si>
  <si>
    <r>
      <t>平时加班</t>
    </r>
    <r>
      <rPr>
        <sz val="6"/>
        <rFont val="標楷體"/>
        <family val="4"/>
      </rPr>
      <t>补贴</t>
    </r>
  </si>
  <si>
    <t>]btßmsñak;enA</t>
  </si>
  <si>
    <t>住舍补贴</t>
  </si>
  <si>
    <t>éf¶GaTitübuNü</t>
  </si>
  <si>
    <t xml:space="preserve"> htßelxa RbFaneragcRk</t>
  </si>
  <si>
    <t>]btßmsuxPaB</t>
  </si>
  <si>
    <t>健康补贴</t>
  </si>
  <si>
    <r>
      <t xml:space="preserve">   R)ak;QñÜlRkumh‘unFIenIehVsin</t>
    </r>
    <r>
      <rPr>
        <sz val="16"/>
        <rFont val="Times New Roman"/>
        <family val="1"/>
      </rPr>
      <t>(</t>
    </r>
    <r>
      <rPr>
        <sz val="25"/>
        <rFont val="Limon F1"/>
      </rPr>
      <t>exmbUDa</t>
    </r>
    <r>
      <rPr>
        <sz val="14"/>
        <rFont val="Times New Roman"/>
        <family val="1"/>
      </rPr>
      <t>)</t>
    </r>
    <r>
      <rPr>
        <sz val="25"/>
        <rFont val="Limon F1"/>
      </rPr>
      <t>RbcaM Ex 02qñaM2012</t>
    </r>
  </si>
  <si>
    <t xml:space="preserve">                                                                     蒂娜尔时装(柬埔寨)有限公司    02月份 2012年員工工資表                                                            </t>
  </si>
  <si>
    <t>USD</t>
  </si>
  <si>
    <t>姓   名</t>
  </si>
  <si>
    <t>Group I</t>
  </si>
  <si>
    <t>Name</t>
  </si>
  <si>
    <t>Tiner Fashion Cambodia Co.,Ltd</t>
  </si>
  <si>
    <t>Riel</t>
  </si>
  <si>
    <t>éf¶GaTitü&gt;</t>
  </si>
  <si>
    <t>ថ្ងែបុណ្យ</t>
  </si>
  <si>
    <t>星期天*2</t>
  </si>
  <si>
    <t>假日*2</t>
  </si>
  <si>
    <t>h</t>
  </si>
  <si>
    <t>d</t>
  </si>
  <si>
    <t>ទឹកប្រាក់</t>
  </si>
  <si>
    <t>ធម្មតា</t>
  </si>
  <si>
    <t>ថែ្ងមម៉ោង</t>
  </si>
  <si>
    <t>អាទឹត្យ</t>
  </si>
  <si>
    <t>ផ្នែក</t>
  </si>
  <si>
    <t>部门</t>
  </si>
  <si>
    <t>Group F</t>
  </si>
  <si>
    <t>Packing</t>
  </si>
  <si>
    <t>平时加班补贴</t>
  </si>
  <si>
    <t>Salary</t>
  </si>
  <si>
    <t>07/2014</t>
  </si>
  <si>
    <t>ID</t>
  </si>
  <si>
    <t>Position</t>
  </si>
  <si>
    <t>R)ak;ExRKHi</t>
  </si>
  <si>
    <t>Basic Salary</t>
  </si>
  <si>
    <t>No</t>
  </si>
  <si>
    <t>Start Work</t>
  </si>
  <si>
    <t>Total Hour</t>
  </si>
  <si>
    <t>Prepared By:</t>
  </si>
  <si>
    <t>Checked By:</t>
  </si>
  <si>
    <t>Approved By:</t>
  </si>
  <si>
    <t>(Accountant)</t>
  </si>
  <si>
    <t>(GM)</t>
  </si>
  <si>
    <t>kalbriecT cUleFVIkar</t>
  </si>
  <si>
    <t xml:space="preserve">Group </t>
  </si>
  <si>
    <t>កម្មករ</t>
  </si>
  <si>
    <t>N.PAYMENT  (USD)</t>
  </si>
  <si>
    <t>Signature</t>
  </si>
  <si>
    <t>Fingerprint</t>
  </si>
  <si>
    <t>Total</t>
  </si>
  <si>
    <t>(Director)</t>
  </si>
  <si>
    <t>ស ស្រីម៉ៅ</t>
  </si>
  <si>
    <t>R)ak;srub TTYl)an</t>
  </si>
  <si>
    <t>elxsMKal;</t>
  </si>
  <si>
    <t>លុយពិនិត្យសុខភាព</t>
  </si>
  <si>
    <t>Gñkeroberogeday</t>
  </si>
  <si>
    <t xml:space="preserve">假日  </t>
  </si>
  <si>
    <t>OT Holiday</t>
  </si>
  <si>
    <t>OT Weekend</t>
  </si>
  <si>
    <t>Holiday  OT</t>
  </si>
  <si>
    <t>Efmem:ag éfJFmµta</t>
  </si>
  <si>
    <t>Cutting</t>
  </si>
  <si>
    <t>Warehouse</t>
  </si>
  <si>
    <t>01424</t>
  </si>
  <si>
    <t>ផន សុភី</t>
  </si>
  <si>
    <t>01412</t>
  </si>
  <si>
    <t>សុខ សុកគឹម</t>
  </si>
  <si>
    <t>01077</t>
  </si>
  <si>
    <t>01405</t>
  </si>
  <si>
    <t>01415</t>
  </si>
  <si>
    <t>ពេញ ហ៊ាវ</t>
  </si>
  <si>
    <t>0683</t>
  </si>
  <si>
    <t>Clean</t>
  </si>
  <si>
    <t xml:space="preserve">                                                                     蒂娜尔时装(柬埔寨)有限公司   12月份 2015年員工工資表                                                            </t>
  </si>
  <si>
    <t>yl;Rbmeday</t>
  </si>
  <si>
    <t>RtYtBinitüeday</t>
  </si>
  <si>
    <t>Sub total:</t>
  </si>
  <si>
    <r>
      <t xml:space="preserve">假日   </t>
    </r>
    <r>
      <rPr>
        <sz val="6"/>
        <color rgb="FFFF0000"/>
        <rFont val="Limon S1"/>
      </rPr>
      <t>x2</t>
    </r>
  </si>
  <si>
    <r>
      <t xml:space="preserve">平时加班 </t>
    </r>
    <r>
      <rPr>
        <sz val="6"/>
        <color rgb="FFFF0000"/>
        <rFont val="Times New Roman"/>
        <family val="1"/>
      </rPr>
      <t>1.5</t>
    </r>
  </si>
  <si>
    <t>Check Health</t>
  </si>
  <si>
    <t>Working OT(8+10)</t>
  </si>
  <si>
    <t>ប្រាក់ថែម​ថ្ញៃ អាទិត្យ​</t>
  </si>
  <si>
    <t>R)ak;Efm em:agéfJ Fmµta</t>
  </si>
  <si>
    <t>em:ag srub</t>
  </si>
  <si>
    <t>ចំនួនម៉ោងថែម​ថ្ញៃ អាទិត្យ​</t>
  </si>
  <si>
    <r>
      <t>ប្រាក់</t>
    </r>
    <r>
      <rPr>
        <sz val="7"/>
        <rFont val="Leelawadee"/>
        <family val="2"/>
      </rPr>
      <t>5%</t>
    </r>
  </si>
  <si>
    <t>efrevlaeFIkar</t>
  </si>
  <si>
    <r>
      <t xml:space="preserve">   Rkumh‘un FIenI ehVsin </t>
    </r>
    <r>
      <rPr>
        <sz val="12"/>
        <rFont val="Times New Roman"/>
        <family val="1"/>
      </rPr>
      <t xml:space="preserve">( </t>
    </r>
    <r>
      <rPr>
        <sz val="28"/>
        <rFont val="Limon S1"/>
      </rPr>
      <t xml:space="preserve">exmbUDa </t>
    </r>
    <r>
      <rPr>
        <sz val="12"/>
        <rFont val="Times New Roman"/>
        <family val="1"/>
      </rPr>
      <t>)</t>
    </r>
  </si>
  <si>
    <t>0056</t>
  </si>
  <si>
    <t>ខន ផល្លី</t>
  </si>
  <si>
    <t>01637</t>
  </si>
  <si>
    <t>ធាន ឆវី</t>
  </si>
  <si>
    <t>01768</t>
  </si>
  <si>
    <t>ចេន ស្រីនាង</t>
  </si>
  <si>
    <t>0077</t>
  </si>
  <si>
    <t>រិន រដ្ឋា</t>
  </si>
  <si>
    <t>01120</t>
  </si>
  <si>
    <t>សយ អ៊ុនតាក់</t>
  </si>
  <si>
    <t>1</t>
  </si>
  <si>
    <t>0370</t>
  </si>
  <si>
    <t>កប កំសត់</t>
  </si>
  <si>
    <t>0970</t>
  </si>
  <si>
    <t>ញឹប ឡូត</t>
  </si>
  <si>
    <t>01048</t>
  </si>
  <si>
    <t>យាង ឆេងគី</t>
  </si>
  <si>
    <t>តុង សេងសុភាព</t>
  </si>
  <si>
    <t>PAYROLL December-2015   (OT Sunday &amp; 8:00 PM)</t>
  </si>
  <si>
    <t>01030</t>
  </si>
  <si>
    <t>ផនយ៉ារិត</t>
  </si>
  <si>
    <t>01273</t>
  </si>
  <si>
    <t>ស សុជា</t>
  </si>
  <si>
    <t>01642</t>
  </si>
  <si>
    <t>សេង ចំប៉ី</t>
  </si>
  <si>
    <t>01724</t>
  </si>
  <si>
    <t>ហេង ណុច</t>
  </si>
  <si>
    <t>01276</t>
  </si>
  <si>
    <t>អូក កុសល់</t>
  </si>
  <si>
    <t>01940</t>
  </si>
  <si>
    <t>សេន គា</t>
  </si>
  <si>
    <t>01943</t>
  </si>
  <si>
    <t>អ៊ុន អៀន</t>
  </si>
  <si>
    <t>2</t>
  </si>
  <si>
    <t>0094</t>
  </si>
  <si>
    <t>អូច សុខហ៊ីម</t>
  </si>
  <si>
    <t>0222</t>
  </si>
  <si>
    <t>សែម សុខា</t>
  </si>
  <si>
    <t>0572</t>
  </si>
  <si>
    <t>ភឿន គន្ឋី</t>
  </si>
  <si>
    <t>01092</t>
  </si>
  <si>
    <t>សួន ចន្នី</t>
  </si>
  <si>
    <t>01384</t>
  </si>
  <si>
    <t>ថាន់ វ៉ាន់ថា</t>
  </si>
  <si>
    <t>01834</t>
  </si>
  <si>
    <t>ហ៊ន់ សាវឿន</t>
  </si>
  <si>
    <t>0.5</t>
  </si>
  <si>
    <t>សេង ភឿន</t>
  </si>
  <si>
    <t xml:space="preserve">      制表人</t>
  </si>
  <si>
    <t xml:space="preserve">    经理</t>
  </si>
  <si>
    <t>Grand Total:</t>
  </si>
  <si>
    <t>100 Note</t>
  </si>
  <si>
    <t>500 Note</t>
  </si>
  <si>
    <t>50 Note</t>
  </si>
  <si>
    <t>Job Title</t>
  </si>
  <si>
    <t>U.S. CLASSIFICATION</t>
  </si>
  <si>
    <t>ប្រាក់កិច្ជសន្សា៥%</t>
  </si>
  <si>
    <t xml:space="preserve">        LUCIDA (CAMBODIA) ENTERPRISE CO.,LTD</t>
  </si>
  <si>
    <t>富强（柬埔寨）企业有限公司</t>
  </si>
  <si>
    <t>ល.រ</t>
  </si>
  <si>
    <t>អត្ថលេខ</t>
  </si>
  <si>
    <t>នាម-គោត្តនាម</t>
  </si>
  <si>
    <t>ថ្ងៃចូលធ្វើការ</t>
  </si>
  <si>
    <t>តួនាទី</t>
  </si>
  <si>
    <t>ប្រាក់បៀវត្ស.
គិតជាដុល្លា</t>
  </si>
  <si>
    <t>អត្រាប្តូរ
ប្រាក់</t>
  </si>
  <si>
    <t>ប្រាក់បៀវត្ស.
គិតជាប្រាក់រៀល</t>
  </si>
  <si>
    <t>សហព័ន្ធ</t>
  </si>
  <si>
    <t>កូនក្នុងបន្ទុក</t>
  </si>
  <si>
    <t>ប្រាក់កាត់បន្ថែមលើទាយជ្ជទាន</t>
  </si>
  <si>
    <t>មូលដ្ធានគិតពន្ធ</t>
  </si>
  <si>
    <t>អត្រាពន្ធ</t>
  </si>
  <si>
    <t>ប្រាក់លម្អៀងដែលត្រូវកាត់</t>
  </si>
  <si>
    <t>ពន្ធលើប្រាក់បៀវត្សគិតជារៀល</t>
  </si>
  <si>
    <t>ពន្ធលើប្រាក់បៀវត្សគិតជាដុល្លា</t>
  </si>
  <si>
    <t>ID No</t>
  </si>
  <si>
    <t>Starting 
Date</t>
  </si>
  <si>
    <t>Amount In US$</t>
  </si>
  <si>
    <t>Exchage Rate</t>
  </si>
  <si>
    <t>Amount In Riel®</t>
  </si>
  <si>
    <t>Spouse</t>
  </si>
  <si>
    <t>Minor
 Childrens</t>
  </si>
  <si>
    <t>Allawance</t>
  </si>
  <si>
    <t>Salary Tax 
Caculation Base</t>
  </si>
  <si>
    <t>Tax Rate</t>
  </si>
  <si>
    <t>Tax On Salary®</t>
  </si>
  <si>
    <t>Tax On Salary ( USD )</t>
  </si>
  <si>
    <t>GRAND TOTAL</t>
  </si>
  <si>
    <t>ល-រ</t>
  </si>
  <si>
    <t>អត្តលេខសំគាល់ខ្លួន</t>
  </si>
  <si>
    <t xml:space="preserve">ថៃ្ងចូលធ្វើការ   </t>
  </si>
  <si>
    <t>ប្រាក់ខែ​ គោល</t>
  </si>
  <si>
    <t>ប្រាក់តួនាទី</t>
  </si>
  <si>
    <t>ច្បាប់ប្រចាំឆ្នាំ-ឈឺ-បុណ្យAL/SL​​​​  /PHD</t>
  </si>
  <si>
    <t>សរុបចំនួនថ្ងៃ</t>
  </si>
  <si>
    <t>LINE:1组</t>
  </si>
  <si>
    <t>Worker</t>
  </si>
  <si>
    <t>S1 832</t>
  </si>
  <si>
    <t>ស៊ឹម ទ្បាង</t>
    <phoneticPr fontId="11" type="noConversion"/>
  </si>
  <si>
    <t>S1 882</t>
  </si>
  <si>
    <t>ម៉េង ទ្បាំងបាន់</t>
    <phoneticPr fontId="11" type="noConversion"/>
  </si>
  <si>
    <t>S1 985</t>
  </si>
  <si>
    <t>កាន គុន</t>
  </si>
  <si>
    <t>LINE:1</t>
  </si>
  <si>
    <t>LINE:2</t>
  </si>
  <si>
    <t>LINE:2组</t>
  </si>
  <si>
    <t>S2 356</t>
  </si>
  <si>
    <t>S2 406</t>
  </si>
  <si>
    <t>យឿន រីណា</t>
  </si>
  <si>
    <t>ឆន ស្រីអន</t>
  </si>
  <si>
    <t>S2 543</t>
  </si>
  <si>
    <t>S2 674</t>
  </si>
  <si>
    <t>S2 764</t>
  </si>
  <si>
    <t>S2 806</t>
  </si>
  <si>
    <t>ខាត់​ សុគន្ធ</t>
    <phoneticPr fontId="11" type="noConversion"/>
  </si>
  <si>
    <t>LINE:3</t>
  </si>
  <si>
    <t>LINE:3组</t>
  </si>
  <si>
    <t>S3 092</t>
    <phoneticPr fontId="11" type="noConversion"/>
  </si>
  <si>
    <t>S3 426</t>
    <phoneticPr fontId="11" type="noConversion"/>
  </si>
  <si>
    <t>S3 557</t>
    <phoneticPr fontId="11" type="noConversion"/>
  </si>
  <si>
    <t>S3 580</t>
    <phoneticPr fontId="14" type="noConversion"/>
  </si>
  <si>
    <t>S3 607</t>
  </si>
  <si>
    <t>មាស សារុន</t>
  </si>
  <si>
    <t>S3 666</t>
    <phoneticPr fontId="11" type="noConversion"/>
  </si>
  <si>
    <t>S3 942</t>
    <phoneticPr fontId="11" type="noConversion"/>
  </si>
  <si>
    <t>ស្រី ស៊ីថា</t>
    <phoneticPr fontId="11" type="noConversion"/>
  </si>
  <si>
    <t>LINE:4组</t>
  </si>
  <si>
    <t>S4  075</t>
  </si>
  <si>
    <t>ចយ សុខណា</t>
  </si>
  <si>
    <t>មាស ស្រីហ៊ាន់</t>
  </si>
  <si>
    <t>S4 087</t>
  </si>
  <si>
    <t>ភួង សំអុល</t>
  </si>
  <si>
    <t>S4 248</t>
  </si>
  <si>
    <t>S4 273</t>
  </si>
  <si>
    <t>LINE:5</t>
  </si>
  <si>
    <t>LINE:4</t>
  </si>
  <si>
    <t>LINE:6组</t>
  </si>
  <si>
    <t>S5 360</t>
  </si>
  <si>
    <t>អាន ផល្លាភារុន</t>
  </si>
  <si>
    <t>S5 531</t>
  </si>
  <si>
    <t>ប៉ុក លីម</t>
  </si>
  <si>
    <t>S5 620</t>
  </si>
  <si>
    <t>ញឹម ដារា</t>
  </si>
  <si>
    <t>S5 960</t>
  </si>
  <si>
    <t>នួន ម៉ាឡីនដា</t>
  </si>
  <si>
    <t>S5​ 961</t>
  </si>
  <si>
    <t>ទូច សុខលន</t>
  </si>
  <si>
    <t>S6 096</t>
    <phoneticPr fontId="10" type="noConversion"/>
  </si>
  <si>
    <t>S6 403</t>
    <phoneticPr fontId="10" type="noConversion"/>
  </si>
  <si>
    <t>S6 534</t>
    <phoneticPr fontId="10" type="noConversion"/>
  </si>
  <si>
    <t>ហួន ស្រីអូន</t>
  </si>
  <si>
    <t>S6 555</t>
  </si>
  <si>
    <t>ចាន់ ចន្ថា</t>
  </si>
  <si>
    <t>S6 721</t>
    <phoneticPr fontId="10" type="noConversion"/>
  </si>
  <si>
    <t>គយ កយ</t>
  </si>
  <si>
    <t>Cleaner</t>
  </si>
  <si>
    <t>C021</t>
  </si>
  <si>
    <t>C055</t>
    <phoneticPr fontId="13" type="noConversion"/>
  </si>
  <si>
    <t>សាម សាវ៉ុន</t>
    <phoneticPr fontId="13" type="noConversion"/>
  </si>
  <si>
    <t>C065</t>
  </si>
  <si>
    <t>ទូច គឹមឡុង</t>
  </si>
  <si>
    <t>C069</t>
  </si>
  <si>
    <t>សួរ ស៊ីថា</t>
  </si>
  <si>
    <t>C070</t>
  </si>
  <si>
    <t>រើន សុខណា</t>
  </si>
  <si>
    <t>C072</t>
  </si>
  <si>
    <t>ឡាច សុខុម</t>
  </si>
  <si>
    <t>LINE:CUT</t>
  </si>
  <si>
    <t>LINE:WC</t>
  </si>
  <si>
    <t>WC005</t>
    <phoneticPr fontId="13" type="noConversion"/>
  </si>
  <si>
    <t>WC010</t>
    <phoneticPr fontId="13" type="noConversion"/>
  </si>
  <si>
    <t>WC014</t>
  </si>
  <si>
    <t>WC019</t>
  </si>
  <si>
    <t>R003</t>
  </si>
  <si>
    <t>R005</t>
  </si>
  <si>
    <t>ធី គីមដែន</t>
  </si>
  <si>
    <t>LINE:R</t>
  </si>
  <si>
    <t>LINE:WH</t>
  </si>
  <si>
    <t>LINE:P</t>
  </si>
  <si>
    <t>P016</t>
  </si>
  <si>
    <t>P121</t>
  </si>
  <si>
    <t>គឹម គា</t>
    <phoneticPr fontId="13" type="noConversion"/>
  </si>
  <si>
    <t>P140</t>
  </si>
  <si>
    <t>នៅ សារី</t>
    <phoneticPr fontId="13" type="noConversion"/>
  </si>
  <si>
    <t>P143</t>
  </si>
  <si>
    <t>ឃុន ណារី</t>
    <phoneticPr fontId="10" type="noConversion"/>
  </si>
  <si>
    <t>P171</t>
  </si>
  <si>
    <t>ភួង ចន្ធា</t>
  </si>
  <si>
    <t>P181</t>
  </si>
  <si>
    <t>ដោក លី</t>
  </si>
  <si>
    <t>LINE:QC</t>
  </si>
  <si>
    <t>QC</t>
  </si>
  <si>
    <t>វិចខ្ជប់</t>
  </si>
  <si>
    <t>ឃ្លាំង</t>
  </si>
  <si>
    <t>ជាង</t>
  </si>
  <si>
    <t>តុកាត់</t>
  </si>
  <si>
    <t>LINE:PP</t>
  </si>
  <si>
    <t>PP087</t>
    <phoneticPr fontId="10" type="noConversion"/>
  </si>
  <si>
    <t>ជា សុខ</t>
  </si>
  <si>
    <t>សុខ សុផល</t>
  </si>
  <si>
    <t>LINE:D</t>
  </si>
  <si>
    <t>D 013</t>
  </si>
  <si>
    <t>វ៉ន ពុទ្ធា</t>
  </si>
  <si>
    <t>D 014</t>
  </si>
  <si>
    <t>ទូច ហ៊ុន</t>
  </si>
  <si>
    <t>D 015</t>
  </si>
  <si>
    <t>ឡាយ ស៊ីនិច</t>
  </si>
  <si>
    <t>LINE:T</t>
  </si>
  <si>
    <t>ទទួលទំនិញ</t>
  </si>
  <si>
    <t>វៃឡេវ</t>
  </si>
  <si>
    <t xml:space="preserve">  LUCIDA (CAMBODIA) ENTERPRISE CO.,LTD</t>
  </si>
  <si>
    <t>Group</t>
  </si>
  <si>
    <t>No of Woker</t>
  </si>
  <si>
    <t>Total Amount</t>
  </si>
  <si>
    <t>U.S. Dollar</t>
  </si>
  <si>
    <t xml:space="preserve"> Cambodia Currency</t>
  </si>
  <si>
    <t>100R</t>
  </si>
  <si>
    <t xml:space="preserve">CAMBODIAN CURRENCY </t>
  </si>
  <si>
    <t>Line 1</t>
  </si>
  <si>
    <t>Line 2</t>
  </si>
  <si>
    <t>Line 3</t>
  </si>
  <si>
    <t>Line 4</t>
  </si>
  <si>
    <t>Line 5</t>
  </si>
  <si>
    <t>Line 6</t>
  </si>
  <si>
    <t xml:space="preserve">Cutting </t>
  </si>
  <si>
    <t>Mainternance</t>
  </si>
  <si>
    <t xml:space="preserve">Packing </t>
  </si>
  <si>
    <t xml:space="preserve">Finishing </t>
  </si>
  <si>
    <t xml:space="preserve">Buttoning </t>
  </si>
  <si>
    <t>Transmitting</t>
  </si>
  <si>
    <t>Office</t>
  </si>
  <si>
    <r>
      <rPr>
        <b/>
        <sz val="11"/>
        <rFont val="宋体"/>
      </rPr>
      <t>总合计：</t>
    </r>
  </si>
  <si>
    <t>经理</t>
  </si>
  <si>
    <t xml:space="preserve">     制表人</t>
  </si>
  <si>
    <t>TOTAL</t>
    <phoneticPr fontId="28" type="noConversion"/>
  </si>
  <si>
    <t>S5 313</t>
  </si>
  <si>
    <t>នុត សាន់ដារ៉ា</t>
  </si>
  <si>
    <t>P150</t>
  </si>
  <si>
    <t>សូង គន្ធា</t>
    <phoneticPr fontId="8" type="noConversion"/>
  </si>
  <si>
    <t>S2 550</t>
  </si>
  <si>
    <t>ឌុច សុខា</t>
  </si>
  <si>
    <t>S2 ​560</t>
  </si>
  <si>
    <t>មៀច ម៉ុម</t>
  </si>
  <si>
    <t>S3 693</t>
  </si>
  <si>
    <t>សូត្រ ធីតា</t>
  </si>
  <si>
    <t>S4 044</t>
  </si>
  <si>
    <t>S5 828</t>
  </si>
  <si>
    <t>គឹម ណាវី</t>
  </si>
  <si>
    <t xml:space="preserve">សុត​ ប្រុស </t>
  </si>
  <si>
    <t>មៀន សៅថេន</t>
  </si>
  <si>
    <t>D 017</t>
  </si>
  <si>
    <t>ឆិល ឡន</t>
  </si>
  <si>
    <t>P091</t>
  </si>
  <si>
    <t>S6 425</t>
  </si>
  <si>
    <t>S5 835</t>
  </si>
  <si>
    <t>សូ គង់</t>
  </si>
  <si>
    <t>S6 863</t>
  </si>
  <si>
    <t>ម៉ុម សំភាស់</t>
  </si>
  <si>
    <t>សន​ នឿន</t>
    <phoneticPr fontId="13" type="noConversion"/>
  </si>
  <si>
    <t>S5 966</t>
  </si>
  <si>
    <t>ចន ស្រីលក្ខ័</t>
  </si>
  <si>
    <t>S2_469</t>
  </si>
  <si>
    <t>សឿងមាលា</t>
    <phoneticPr fontId="174" type="noConversion"/>
  </si>
  <si>
    <t>S1 743</t>
  </si>
  <si>
    <t>S2 105</t>
  </si>
  <si>
    <t>S3_449</t>
  </si>
  <si>
    <t>សុងវឿន</t>
    <phoneticPr fontId="171" type="noConversion"/>
  </si>
  <si>
    <t>P233</t>
  </si>
  <si>
    <t>P238</t>
  </si>
  <si>
    <t>សំអុលចិន្តា</t>
    <phoneticPr fontId="171" type="noConversion"/>
  </si>
  <si>
    <t>ដោកវិរះ</t>
    <phoneticPr fontId="171" type="noConversion"/>
  </si>
  <si>
    <t>PP174</t>
  </si>
  <si>
    <t>ម៉ៅវណ្ណា</t>
    <phoneticPr fontId="171" type="noConversion"/>
  </si>
  <si>
    <t>វង់អេន</t>
    <phoneticPr fontId="171" type="noConversion"/>
  </si>
  <si>
    <t>R007</t>
  </si>
  <si>
    <t>ជាសុភ័ន្ឋ</t>
    <phoneticPr fontId="171" type="noConversion"/>
  </si>
  <si>
    <t>S2 536</t>
  </si>
  <si>
    <t>ពៅលក្ខណា</t>
    <phoneticPr fontId="171" type="noConversion"/>
  </si>
  <si>
    <t>P244</t>
    <phoneticPr fontId="171" type="noConversion"/>
  </si>
  <si>
    <t>យ៉េង ស្រីលក្ខ័</t>
  </si>
  <si>
    <t>S5 018</t>
    <phoneticPr fontId="10" type="noConversion"/>
  </si>
  <si>
    <t>人事部</t>
    <phoneticPr fontId="171" type="noConversion"/>
  </si>
  <si>
    <t>P256</t>
  </si>
  <si>
    <t>សនសូរី</t>
    <phoneticPr fontId="171" type="noConversion"/>
  </si>
  <si>
    <t>S3_495</t>
  </si>
  <si>
    <t>ជាលគន្ធា</t>
    <phoneticPr fontId="171" type="noConversion"/>
  </si>
  <si>
    <t>រឿងសីហា</t>
    <phoneticPr fontId="171" type="noConversion"/>
  </si>
  <si>
    <t>S3 597</t>
    <phoneticPr fontId="11" type="noConversion"/>
  </si>
  <si>
    <t>S6 265</t>
    <phoneticPr fontId="10" type="noConversion"/>
  </si>
  <si>
    <t>កើត សុខចាន់</t>
    <phoneticPr fontId="171" type="noConversion"/>
  </si>
  <si>
    <t>Grand Total:</t>
    <phoneticPr fontId="171" type="noConversion"/>
  </si>
  <si>
    <t>C080</t>
  </si>
  <si>
    <t>យ៉ាន់និត</t>
    <phoneticPr fontId="171" type="noConversion"/>
  </si>
  <si>
    <t>S3 988</t>
    <phoneticPr fontId="11" type="noConversion"/>
  </si>
  <si>
    <t>ងិន​ នីម​</t>
    <phoneticPr fontId="11" type="noConversion"/>
  </si>
  <si>
    <t>WH009</t>
  </si>
  <si>
    <t>ស៊បូរ៉ា</t>
    <phoneticPr fontId="171" type="noConversion"/>
  </si>
  <si>
    <t>P188</t>
  </si>
  <si>
    <t>សុត អៀន</t>
  </si>
  <si>
    <t>PP177</t>
  </si>
  <si>
    <t>សោ ប៊ិប</t>
  </si>
  <si>
    <t>S1 271</t>
  </si>
  <si>
    <t>S1 272</t>
  </si>
  <si>
    <t>S1 613</t>
  </si>
  <si>
    <t>S2 765</t>
  </si>
  <si>
    <t>ផូ ស៊ីនួន</t>
  </si>
  <si>
    <t>WC024</t>
  </si>
  <si>
    <t>ម៉ែន ស៊ាងរី</t>
  </si>
  <si>
    <t>EXCHANGE RATE  R 4000</t>
  </si>
  <si>
    <t>QCP 204</t>
  </si>
  <si>
    <t>QCPP 031</t>
  </si>
  <si>
    <t>QC6 772</t>
  </si>
  <si>
    <t>វេចខ្ចប់</t>
  </si>
  <si>
    <t>កាតុង</t>
  </si>
  <si>
    <t>S1 293</t>
  </si>
  <si>
    <t>សែម ធារី</t>
  </si>
  <si>
    <t>S4_129</t>
  </si>
  <si>
    <t>មាស រ៉ានី</t>
  </si>
  <si>
    <t>S4 979</t>
  </si>
  <si>
    <t>ណៃ យ៉ាត</t>
  </si>
  <si>
    <t>ឈាង ស្រូយ</t>
  </si>
  <si>
    <t>ឡឹម ផល្លី</t>
  </si>
  <si>
    <t>ឈឿន ស្រីរត័្ន</t>
  </si>
  <si>
    <t>ឃីម ណាត</t>
  </si>
  <si>
    <t>លី ស្រីនិត</t>
  </si>
  <si>
    <t>សុខ ចន្នី</t>
  </si>
  <si>
    <t>កង សុគន្ធានាង</t>
  </si>
  <si>
    <t>កែវ ស៊ីណែត</t>
  </si>
  <si>
    <t>ជុំ ទូច</t>
  </si>
  <si>
    <t>មាន សុខគឿន</t>
  </si>
  <si>
    <t>ថន ស្រីម៉ៅ</t>
  </si>
  <si>
    <t>ជុំ ណាវី</t>
  </si>
  <si>
    <t>ដោក ទៀង</t>
  </si>
  <si>
    <t>ឆេង បេត្តី</t>
  </si>
  <si>
    <t>តុប​ វណ្ណៈ</t>
  </si>
  <si>
    <t>ម៉ម សាវ៉ែន</t>
  </si>
  <si>
    <t>អ៊ុត ចាន់ថិន</t>
  </si>
  <si>
    <t>សូ គឹមសៀង</t>
  </si>
  <si>
    <t>ភូ សុខ</t>
  </si>
  <si>
    <t>មុំ សារី</t>
  </si>
  <si>
    <t>សុខ នីម</t>
  </si>
  <si>
    <t>យិន ស្រីម៉ៅ</t>
  </si>
  <si>
    <t>សួន សុភាព</t>
  </si>
  <si>
    <t>សួរ សុធា</t>
  </si>
  <si>
    <t>ខឹម វណ្ណា</t>
  </si>
  <si>
    <t>យ៉ែម នី</t>
  </si>
  <si>
    <t>ណយ សាអែម</t>
  </si>
  <si>
    <t>កែវ ប៉ូលីន</t>
  </si>
  <si>
    <t>ឃួន សៅថន</t>
  </si>
  <si>
    <t>ថន គន្ធា</t>
  </si>
  <si>
    <t>ទេស វាសនា</t>
  </si>
  <si>
    <t>យឺន សុជាតា</t>
  </si>
  <si>
    <t>ជួន មេសា</t>
  </si>
  <si>
    <t>ស៊ បូរ៉ា</t>
  </si>
  <si>
    <t>P281</t>
  </si>
  <si>
    <t>អិ សុខា</t>
  </si>
  <si>
    <t>S3_237</t>
  </si>
  <si>
    <t>ទី ធឿន</t>
  </si>
  <si>
    <t>PP 117</t>
  </si>
  <si>
    <t>QCPP165</t>
  </si>
  <si>
    <t>S2_786</t>
  </si>
  <si>
    <t>សេម សុខនី</t>
  </si>
  <si>
    <t>S2 786</t>
  </si>
  <si>
    <t>S3_238</t>
  </si>
  <si>
    <t>ទិត្យ សាអែម</t>
  </si>
  <si>
    <t>S3_243</t>
  </si>
  <si>
    <t>រ៉ាប់ រម្យ</t>
  </si>
  <si>
    <t>S4 275</t>
  </si>
  <si>
    <t>S4_133</t>
  </si>
  <si>
    <t>ទក ដាណែត</t>
  </si>
  <si>
    <t>ទក ដានី</t>
  </si>
  <si>
    <t>S5_594</t>
  </si>
  <si>
    <t>ឃន​ វី</t>
  </si>
  <si>
    <t>ឃន វី</t>
  </si>
  <si>
    <t>QCP 089</t>
  </si>
  <si>
    <t>មិត្ត ស្រីនាថ</t>
  </si>
  <si>
    <t>S1 411</t>
    <phoneticPr fontId="171" type="noConversion"/>
  </si>
  <si>
    <t>សាន ​សុខ​ណាង</t>
    <phoneticPr fontId="171" type="noConversion"/>
  </si>
  <si>
    <t>S1 412</t>
    <phoneticPr fontId="171" type="noConversion"/>
  </si>
  <si>
    <t>ផល ពិសី</t>
    <phoneticPr fontId="171" type="noConversion"/>
  </si>
  <si>
    <t>Worker</t>
    <phoneticPr fontId="171" type="noConversion"/>
  </si>
  <si>
    <t>ទ្រី ម៉ូលី</t>
    <phoneticPr fontId="171" type="noConversion"/>
  </si>
  <si>
    <t>គឹម ផាន់ណា</t>
    <phoneticPr fontId="171" type="noConversion"/>
  </si>
  <si>
    <t>S2 791</t>
    <phoneticPr fontId="171" type="noConversion"/>
  </si>
  <si>
    <t>S2 792</t>
    <phoneticPr fontId="171" type="noConversion"/>
  </si>
  <si>
    <t>ធី តារូ</t>
    <phoneticPr fontId="171" type="noConversion"/>
  </si>
  <si>
    <t>C026</t>
    <phoneticPr fontId="171" type="noConversion"/>
  </si>
  <si>
    <t>ង៉ិល ឌឿន</t>
    <phoneticPr fontId="171" type="noConversion"/>
  </si>
  <si>
    <t>S6 400</t>
    <phoneticPr fontId="171" type="noConversion"/>
  </si>
  <si>
    <t>ឃន សុណា</t>
    <phoneticPr fontId="171" type="noConversion"/>
  </si>
  <si>
    <t>P123</t>
  </si>
  <si>
    <t>គឹម ហៀង</t>
  </si>
  <si>
    <t>S2 803</t>
  </si>
  <si>
    <t>ខាត់ សោភា</t>
  </si>
  <si>
    <t>ស៊ឺង ផន</t>
    <phoneticPr fontId="171" type="noConversion"/>
  </si>
  <si>
    <t>C092</t>
    <phoneticPr fontId="171" type="noConversion"/>
  </si>
  <si>
    <t>S5 088</t>
    <phoneticPr fontId="171" type="noConversion"/>
  </si>
  <si>
    <t>នី វ៉ាន់ធី</t>
    <phoneticPr fontId="171" type="noConversion"/>
  </si>
  <si>
    <t>S6 149</t>
    <phoneticPr fontId="171" type="noConversion"/>
  </si>
  <si>
    <t>យ៉ុន តាន</t>
    <phoneticPr fontId="171" type="noConversion"/>
  </si>
  <si>
    <t>S6 291</t>
  </si>
  <si>
    <t>សួន សម្បត្តិ</t>
  </si>
  <si>
    <t>S3_445</t>
  </si>
  <si>
    <t>នៅសុខនី</t>
    <phoneticPr fontId="174" type="noConversion"/>
  </si>
  <si>
    <t>ភេទ</t>
    <phoneticPr fontId="171" type="noConversion"/>
  </si>
  <si>
    <t>ថ្ងៃខែឆ្នាំកំណើត</t>
    <phoneticPr fontId="171" type="noConversion"/>
  </si>
  <si>
    <t>លេខទូរសព័្ទ</t>
    <phoneticPr fontId="171" type="noConversion"/>
  </si>
  <si>
    <t>M</t>
    <phoneticPr fontId="171" type="noConversion"/>
  </si>
  <si>
    <t>F</t>
  </si>
  <si>
    <t>F</t>
    <phoneticPr fontId="171" type="noConversion"/>
  </si>
  <si>
    <t>F</t>
    <phoneticPr fontId="171" type="noConversion"/>
  </si>
  <si>
    <t>096-5453997</t>
    <phoneticPr fontId="171" type="noConversion"/>
  </si>
  <si>
    <t>087-760533</t>
    <phoneticPr fontId="171" type="noConversion"/>
  </si>
  <si>
    <t>096-9636833</t>
    <phoneticPr fontId="171" type="noConversion"/>
  </si>
  <si>
    <t>093-630559</t>
    <phoneticPr fontId="171" type="noConversion"/>
  </si>
  <si>
    <t>097-9553615</t>
    <phoneticPr fontId="171" type="noConversion"/>
  </si>
  <si>
    <t>096-3682433</t>
    <phoneticPr fontId="171" type="noConversion"/>
  </si>
  <si>
    <t>086-655071</t>
    <phoneticPr fontId="171" type="noConversion"/>
  </si>
  <si>
    <t>081-951039</t>
    <phoneticPr fontId="171" type="noConversion"/>
  </si>
  <si>
    <t>096-3978826</t>
    <phoneticPr fontId="171" type="noConversion"/>
  </si>
  <si>
    <t>096-7661963</t>
    <phoneticPr fontId="171" type="noConversion"/>
  </si>
  <si>
    <t>061-340252</t>
    <phoneticPr fontId="171" type="noConversion"/>
  </si>
  <si>
    <t>097-6643907</t>
    <phoneticPr fontId="171" type="noConversion"/>
  </si>
  <si>
    <t>096-3784467</t>
    <phoneticPr fontId="171" type="noConversion"/>
  </si>
  <si>
    <t>077-316770</t>
    <phoneticPr fontId="171" type="noConversion"/>
  </si>
  <si>
    <t>098-681580</t>
    <phoneticPr fontId="171" type="noConversion"/>
  </si>
  <si>
    <t>097-8656237</t>
    <phoneticPr fontId="171" type="noConversion"/>
  </si>
  <si>
    <t>089-918530</t>
    <phoneticPr fontId="171" type="noConversion"/>
  </si>
  <si>
    <t>069-354456</t>
    <phoneticPr fontId="171" type="noConversion"/>
  </si>
  <si>
    <t>093-791949</t>
    <phoneticPr fontId="171" type="noConversion"/>
  </si>
  <si>
    <t>088-3708239</t>
    <phoneticPr fontId="171" type="noConversion"/>
  </si>
  <si>
    <t>105-643465</t>
    <phoneticPr fontId="171" type="noConversion"/>
  </si>
  <si>
    <t>070-467328</t>
    <phoneticPr fontId="171" type="noConversion"/>
  </si>
  <si>
    <t>093-881230</t>
    <phoneticPr fontId="171" type="noConversion"/>
  </si>
  <si>
    <t>086-382271</t>
    <phoneticPr fontId="171" type="noConversion"/>
  </si>
  <si>
    <t>092-945003</t>
    <phoneticPr fontId="171" type="noConversion"/>
  </si>
  <si>
    <t>069-276194</t>
    <phoneticPr fontId="171" type="noConversion"/>
  </si>
  <si>
    <t>088-6138574</t>
    <phoneticPr fontId="171" type="noConversion"/>
  </si>
  <si>
    <t>015-231987</t>
    <phoneticPr fontId="171" type="noConversion"/>
  </si>
  <si>
    <t>086-820586</t>
    <phoneticPr fontId="171" type="noConversion"/>
  </si>
  <si>
    <t>097-7441372</t>
    <phoneticPr fontId="171" type="noConversion"/>
  </si>
  <si>
    <t>096-5778228</t>
    <phoneticPr fontId="171" type="noConversion"/>
  </si>
  <si>
    <t>097-9085448</t>
    <phoneticPr fontId="171" type="noConversion"/>
  </si>
  <si>
    <t>081-694300</t>
    <phoneticPr fontId="171" type="noConversion"/>
  </si>
  <si>
    <t>087-401469</t>
    <phoneticPr fontId="171" type="noConversion"/>
  </si>
  <si>
    <t>096-6029023</t>
    <phoneticPr fontId="171" type="noConversion"/>
  </si>
  <si>
    <t>070-718190</t>
    <phoneticPr fontId="171" type="noConversion"/>
  </si>
  <si>
    <t>096-5665867</t>
    <phoneticPr fontId="171" type="noConversion"/>
  </si>
  <si>
    <t>096-9960083</t>
    <phoneticPr fontId="171" type="noConversion"/>
  </si>
  <si>
    <t>061-867885</t>
    <phoneticPr fontId="171" type="noConversion"/>
  </si>
  <si>
    <t>070-830659</t>
    <phoneticPr fontId="171" type="noConversion"/>
  </si>
  <si>
    <t>096-9104587</t>
    <phoneticPr fontId="171" type="noConversion"/>
  </si>
  <si>
    <t>096-9593258</t>
    <phoneticPr fontId="171" type="noConversion"/>
  </si>
  <si>
    <t>096-8611590</t>
    <phoneticPr fontId="171" type="noConversion"/>
  </si>
  <si>
    <t>086-219530</t>
    <phoneticPr fontId="171" type="noConversion"/>
  </si>
  <si>
    <t>097-7487042</t>
    <phoneticPr fontId="171" type="noConversion"/>
  </si>
  <si>
    <t>071-3097684</t>
    <phoneticPr fontId="171" type="noConversion"/>
  </si>
  <si>
    <t>077-300727</t>
    <phoneticPr fontId="171" type="noConversion"/>
  </si>
  <si>
    <t>086-613459</t>
    <phoneticPr fontId="171" type="noConversion"/>
  </si>
  <si>
    <t>097-5197097</t>
    <phoneticPr fontId="171" type="noConversion"/>
  </si>
  <si>
    <t>078-483443</t>
    <phoneticPr fontId="171" type="noConversion"/>
  </si>
  <si>
    <t>096-206444</t>
    <phoneticPr fontId="171" type="noConversion"/>
  </si>
  <si>
    <t>016-631369</t>
    <phoneticPr fontId="171" type="noConversion"/>
  </si>
  <si>
    <t>097-8670629</t>
  </si>
  <si>
    <t>096-9950687</t>
    <phoneticPr fontId="171" type="noConversion"/>
  </si>
  <si>
    <t>015-369225</t>
    <phoneticPr fontId="171" type="noConversion"/>
  </si>
  <si>
    <t>092-546616</t>
    <phoneticPr fontId="171" type="noConversion"/>
  </si>
  <si>
    <t>096-3450598</t>
    <phoneticPr fontId="171" type="noConversion"/>
  </si>
  <si>
    <t>088-7212496</t>
    <phoneticPr fontId="171" type="noConversion"/>
  </si>
  <si>
    <t>015-494396</t>
    <phoneticPr fontId="171" type="noConversion"/>
  </si>
  <si>
    <t>096-9730156</t>
    <phoneticPr fontId="171" type="noConversion"/>
  </si>
  <si>
    <t>097-4536593</t>
    <phoneticPr fontId="171" type="noConversion"/>
  </si>
  <si>
    <t>098-735515</t>
    <phoneticPr fontId="171" type="noConversion"/>
  </si>
  <si>
    <t>096-7880705</t>
    <phoneticPr fontId="171" type="noConversion"/>
  </si>
  <si>
    <t>069-897063</t>
    <phoneticPr fontId="171" type="noConversion"/>
  </si>
  <si>
    <t>096-3368624</t>
    <phoneticPr fontId="171" type="noConversion"/>
  </si>
  <si>
    <t>016-886587</t>
    <phoneticPr fontId="171" type="noConversion"/>
  </si>
  <si>
    <t>097-7618479</t>
  </si>
  <si>
    <t>096-2640000</t>
    <phoneticPr fontId="171" type="noConversion"/>
  </si>
  <si>
    <t>096-5565125</t>
    <phoneticPr fontId="171" type="noConversion"/>
  </si>
  <si>
    <t>088-4229113</t>
    <phoneticPr fontId="171" type="noConversion"/>
  </si>
  <si>
    <t>096-963068</t>
    <phoneticPr fontId="171" type="noConversion"/>
  </si>
  <si>
    <t>085-597968</t>
    <phoneticPr fontId="171" type="noConversion"/>
  </si>
  <si>
    <t>010-734391</t>
    <phoneticPr fontId="171" type="noConversion"/>
  </si>
  <si>
    <t>088-2855236</t>
    <phoneticPr fontId="171" type="noConversion"/>
  </si>
  <si>
    <t>081-961271</t>
    <phoneticPr fontId="171" type="noConversion"/>
  </si>
  <si>
    <t>077-527300</t>
    <phoneticPr fontId="171" type="noConversion"/>
  </si>
  <si>
    <t>087-415133</t>
    <phoneticPr fontId="171" type="noConversion"/>
  </si>
  <si>
    <t>081-219530</t>
    <phoneticPr fontId="171" type="noConversion"/>
  </si>
  <si>
    <t>096-7571865</t>
    <phoneticPr fontId="171" type="noConversion"/>
  </si>
  <si>
    <t>096-9115746</t>
    <phoneticPr fontId="171" type="noConversion"/>
  </si>
  <si>
    <t>096-5373082</t>
    <phoneticPr fontId="171" type="noConversion"/>
  </si>
  <si>
    <t>060-708709</t>
    <phoneticPr fontId="171" type="noConversion"/>
  </si>
  <si>
    <t>096-4916030</t>
    <phoneticPr fontId="171" type="noConversion"/>
  </si>
  <si>
    <t>016-649575</t>
    <phoneticPr fontId="171" type="noConversion"/>
  </si>
  <si>
    <t>088-2122491</t>
    <phoneticPr fontId="171" type="noConversion"/>
  </si>
  <si>
    <t>069-359864</t>
    <phoneticPr fontId="171" type="noConversion"/>
  </si>
  <si>
    <t>089-671575</t>
    <phoneticPr fontId="171" type="noConversion"/>
  </si>
  <si>
    <t>096-7437513</t>
    <phoneticPr fontId="171" type="noConversion"/>
  </si>
  <si>
    <t>096-8574049</t>
    <phoneticPr fontId="171" type="noConversion"/>
  </si>
  <si>
    <t>096-7985193</t>
    <phoneticPr fontId="171" type="noConversion"/>
  </si>
  <si>
    <t>097-5190097</t>
    <phoneticPr fontId="171" type="noConversion"/>
  </si>
  <si>
    <t>096-9905353</t>
    <phoneticPr fontId="171" type="noConversion"/>
  </si>
  <si>
    <t>096-9229835</t>
    <phoneticPr fontId="171" type="noConversion"/>
  </si>
  <si>
    <t>069-224601</t>
    <phoneticPr fontId="171" type="noConversion"/>
  </si>
  <si>
    <t>086-706199</t>
    <phoneticPr fontId="171" type="noConversion"/>
  </si>
  <si>
    <t>092-790602</t>
    <phoneticPr fontId="171" type="noConversion"/>
  </si>
  <si>
    <t>096-9990920</t>
    <phoneticPr fontId="171" type="noConversion"/>
  </si>
  <si>
    <t>015-424187</t>
    <phoneticPr fontId="171" type="noConversion"/>
  </si>
  <si>
    <t>095-283517</t>
    <phoneticPr fontId="171" type="noConversion"/>
  </si>
  <si>
    <t>096-3510095</t>
    <phoneticPr fontId="171" type="noConversion"/>
  </si>
  <si>
    <t>092-910096</t>
    <phoneticPr fontId="171" type="noConversion"/>
  </si>
  <si>
    <t>088-7722909</t>
    <phoneticPr fontId="171" type="noConversion"/>
  </si>
  <si>
    <t>011-521069</t>
    <phoneticPr fontId="171" type="noConversion"/>
  </si>
  <si>
    <t>088-2962180</t>
    <phoneticPr fontId="171" type="noConversion"/>
  </si>
  <si>
    <t>096-5452017</t>
    <phoneticPr fontId="171" type="noConversion"/>
  </si>
  <si>
    <t>097-2995150</t>
    <phoneticPr fontId="171" type="noConversion"/>
  </si>
  <si>
    <t>016-494087</t>
    <phoneticPr fontId="171" type="noConversion"/>
  </si>
  <si>
    <t>088-7680295</t>
    <phoneticPr fontId="171" type="noConversion"/>
  </si>
  <si>
    <t>011-845747</t>
    <phoneticPr fontId="171" type="noConversion"/>
  </si>
  <si>
    <t>086-909399</t>
    <phoneticPr fontId="171" type="noConversion"/>
  </si>
  <si>
    <t>087-984628</t>
    <phoneticPr fontId="171" type="noConversion"/>
  </si>
  <si>
    <t>097-8998111</t>
    <phoneticPr fontId="171" type="noConversion"/>
  </si>
  <si>
    <t>012-665439</t>
    <phoneticPr fontId="171" type="noConversion"/>
  </si>
  <si>
    <t>086-655469</t>
    <phoneticPr fontId="171" type="noConversion"/>
  </si>
  <si>
    <t>099-233035</t>
    <phoneticPr fontId="171" type="noConversion"/>
  </si>
  <si>
    <t>096-2783350</t>
    <phoneticPr fontId="171" type="noConversion"/>
  </si>
  <si>
    <t>070-472011</t>
    <phoneticPr fontId="171" type="noConversion"/>
  </si>
  <si>
    <t>096-6616229</t>
    <phoneticPr fontId="171" type="noConversion"/>
  </si>
  <si>
    <t>087-463492</t>
    <phoneticPr fontId="171" type="noConversion"/>
  </si>
  <si>
    <t>088-8368727</t>
    <phoneticPr fontId="171" type="noConversion"/>
  </si>
  <si>
    <t>088-2459788</t>
    <phoneticPr fontId="171" type="noConversion"/>
  </si>
  <si>
    <t>086-711659</t>
    <phoneticPr fontId="171" type="noConversion"/>
  </si>
  <si>
    <t>096-8431869</t>
    <phoneticPr fontId="171" type="noConversion"/>
  </si>
  <si>
    <t>070-450305</t>
    <phoneticPr fontId="171" type="noConversion"/>
  </si>
  <si>
    <t>093-289025</t>
    <phoneticPr fontId="171" type="noConversion"/>
  </si>
  <si>
    <t>088-9268166</t>
    <phoneticPr fontId="171" type="noConversion"/>
  </si>
  <si>
    <t>EXCHANGE RATE  R 4000</t>
    <phoneticPr fontId="171" type="noConversion"/>
  </si>
  <si>
    <t>TOTAL</t>
    <phoneticPr fontId="171" type="noConversion"/>
  </si>
  <si>
    <t>S5_859</t>
  </si>
  <si>
    <t>សុខចាន់</t>
    <phoneticPr fontId="171" type="noConversion"/>
  </si>
  <si>
    <t>096-8155192</t>
    <phoneticPr fontId="171" type="noConversion"/>
  </si>
  <si>
    <t>F</t>
    <phoneticPr fontId="171" type="noConversion"/>
  </si>
  <si>
    <t>មិត្ត ស្រីនាថ</t>
    <phoneticPr fontId="171" type="noConversion"/>
  </si>
  <si>
    <t>LINE:C</t>
    <phoneticPr fontId="171" type="noConversion"/>
  </si>
  <si>
    <t>S2 769</t>
  </si>
  <si>
    <t>ឈាក សុផេង</t>
  </si>
  <si>
    <t>C096</t>
    <phoneticPr fontId="171" type="noConversion"/>
  </si>
  <si>
    <t>អឹម ចាន់</t>
    <phoneticPr fontId="171" type="noConversion"/>
  </si>
  <si>
    <t>អត្ត.ប្រជាពលរដ្ឋ</t>
  </si>
  <si>
    <t>ភេទ</t>
    <phoneticPr fontId="171" type="noConversion"/>
  </si>
  <si>
    <t>WH007</t>
    <phoneticPr fontId="171" type="noConversion"/>
  </si>
  <si>
    <t>អុល វណ្ណះ</t>
    <phoneticPr fontId="171" type="noConversion"/>
  </si>
  <si>
    <t>M</t>
    <phoneticPr fontId="171" type="noConversion"/>
  </si>
  <si>
    <t>088-3457672</t>
    <phoneticPr fontId="171" type="noConversion"/>
  </si>
  <si>
    <t>កែវ​ ស៊ីថា</t>
  </si>
  <si>
    <t>093-876896</t>
    <phoneticPr fontId="171" type="noConversion"/>
  </si>
  <si>
    <t>50000 Note</t>
    <phoneticPr fontId="171" type="noConversion"/>
  </si>
  <si>
    <t>10000 Note</t>
    <phoneticPr fontId="171" type="noConversion"/>
  </si>
  <si>
    <t>5000 Note</t>
    <phoneticPr fontId="171" type="noConversion"/>
  </si>
  <si>
    <t>1000 Note</t>
    <phoneticPr fontId="171" type="noConversion"/>
  </si>
  <si>
    <t>500 Note</t>
    <phoneticPr fontId="171" type="noConversion"/>
  </si>
  <si>
    <t>5000 Note</t>
    <phoneticPr fontId="171" type="noConversion"/>
  </si>
  <si>
    <t>100 Note</t>
    <phoneticPr fontId="171" type="noConversion"/>
  </si>
  <si>
    <t>50000Note</t>
    <phoneticPr fontId="171" type="noConversion"/>
  </si>
  <si>
    <t>10000Note</t>
    <phoneticPr fontId="171" type="noConversion"/>
  </si>
  <si>
    <t>1000 Note</t>
    <phoneticPr fontId="171" type="noConversion"/>
  </si>
  <si>
    <t>500 Note</t>
    <phoneticPr fontId="171" type="noConversion"/>
  </si>
  <si>
    <t>500 Note</t>
    <phoneticPr fontId="171" type="noConversion"/>
  </si>
  <si>
    <t>50000R</t>
    <phoneticPr fontId="171" type="noConversion"/>
  </si>
  <si>
    <t>10000R</t>
    <phoneticPr fontId="171" type="noConversion"/>
  </si>
  <si>
    <t>5000R</t>
    <phoneticPr fontId="171" type="noConversion"/>
  </si>
  <si>
    <t>1000R</t>
    <phoneticPr fontId="171" type="noConversion"/>
  </si>
  <si>
    <t>500R</t>
    <phoneticPr fontId="171" type="noConversion"/>
  </si>
  <si>
    <t>LINE:QC</t>
    <phoneticPr fontId="171" type="noConversion"/>
  </si>
  <si>
    <t>C097</t>
    <phoneticPr fontId="171" type="noConversion"/>
  </si>
  <si>
    <t>ផន បូរ៉ាន</t>
    <phoneticPr fontId="171" type="noConversion"/>
  </si>
  <si>
    <t>Worker</t>
    <phoneticPr fontId="171" type="noConversion"/>
  </si>
  <si>
    <t>C030</t>
    <phoneticPr fontId="171" type="noConversion"/>
  </si>
  <si>
    <t>S5 999</t>
  </si>
  <si>
    <t>ខន សារ៉េម​​</t>
    <phoneticPr fontId="10" type="noConversion"/>
  </si>
  <si>
    <t>088-3457672</t>
    <phoneticPr fontId="171" type="noConversion"/>
  </si>
  <si>
    <t>S2_788</t>
  </si>
  <si>
    <t>ផាត ម៉េងឆេង</t>
  </si>
  <si>
    <t>M</t>
    <phoneticPr fontId="171" type="noConversion"/>
  </si>
  <si>
    <t>010-231882</t>
    <phoneticPr fontId="171" type="noConversion"/>
  </si>
  <si>
    <t>គឹម ផាន់ណៃ</t>
    <phoneticPr fontId="171" type="noConversion"/>
  </si>
  <si>
    <t>Yam Malia</t>
    <phoneticPr fontId="171" type="noConversion"/>
  </si>
  <si>
    <t>PovLeakhena</t>
    <phoneticPr fontId="171" type="noConversion"/>
  </si>
  <si>
    <t>Sem Theary</t>
    <phoneticPr fontId="171" type="noConversion"/>
  </si>
  <si>
    <t>San Soknang</t>
    <phoneticPr fontId="171" type="noConversion"/>
  </si>
  <si>
    <t>Phal Pisey</t>
    <phoneticPr fontId="171" type="noConversion"/>
  </si>
  <si>
    <t>Chheang Srouy</t>
    <phoneticPr fontId="171" type="noConversion"/>
  </si>
  <si>
    <t>Loem Phally</t>
    <phoneticPr fontId="171" type="noConversion"/>
  </si>
  <si>
    <t>Some Lang</t>
    <phoneticPr fontId="171" type="noConversion"/>
  </si>
  <si>
    <t>Meng LaingBann</t>
    <phoneticPr fontId="171" type="noConversion"/>
  </si>
  <si>
    <t>Kan Kun</t>
    <phoneticPr fontId="171" type="noConversion"/>
  </si>
  <si>
    <t>នាមឡាតាំង</t>
    <phoneticPr fontId="171" type="noConversion"/>
  </si>
  <si>
    <t>គោតនាម និង​</t>
    <phoneticPr fontId="171" type="noConversion"/>
  </si>
  <si>
    <t>Chhoeun​​​​ ​​​SreyRath</t>
    <phoneticPr fontId="171" type="noConversion"/>
  </si>
  <si>
    <t>Khim Nath</t>
    <phoneticPr fontId="171" type="noConversion"/>
  </si>
  <si>
    <t>Yoeurn  Rena</t>
    <phoneticPr fontId="171" type="noConversion"/>
  </si>
  <si>
    <t>Ly SreyNet</t>
    <phoneticPr fontId="171" type="noConversion"/>
  </si>
  <si>
    <t>Soeurng Mealea</t>
    <phoneticPr fontId="171" type="noConversion"/>
  </si>
  <si>
    <t>Sok Channy</t>
    <phoneticPr fontId="171" type="noConversion"/>
  </si>
  <si>
    <t>Doch Sokha</t>
    <phoneticPr fontId="171" type="noConversion"/>
  </si>
  <si>
    <t>Miech Mom</t>
    <phoneticPr fontId="171" type="noConversion"/>
  </si>
  <si>
    <t>Kon Sokuntheaneang</t>
    <phoneticPr fontId="171" type="noConversion"/>
  </si>
  <si>
    <t>Keo Sinet</t>
    <phoneticPr fontId="171" type="noConversion"/>
  </si>
  <si>
    <t>Pho Sinuon</t>
    <phoneticPr fontId="171" type="noConversion"/>
  </si>
  <si>
    <t>Chheak Sopheng</t>
    <phoneticPr fontId="171" type="noConversion"/>
  </si>
  <si>
    <t>Sem Sokny</t>
    <phoneticPr fontId="171" type="noConversion"/>
  </si>
  <si>
    <t>Phat Mengchheng</t>
    <phoneticPr fontId="171" type="noConversion"/>
  </si>
  <si>
    <t>Try Moly</t>
    <phoneticPr fontId="171" type="noConversion"/>
  </si>
  <si>
    <t>Kim Phannai</t>
    <phoneticPr fontId="171" type="noConversion"/>
  </si>
  <si>
    <t>Khat Sorphea</t>
    <phoneticPr fontId="171" type="noConversion"/>
  </si>
  <si>
    <t>Kath Sokun</t>
    <phoneticPr fontId="171" type="noConversion"/>
  </si>
  <si>
    <t>Chum Touch</t>
    <phoneticPr fontId="171" type="noConversion"/>
  </si>
  <si>
    <t>Ty Thoeun</t>
    <phoneticPr fontId="171" type="noConversion"/>
  </si>
  <si>
    <t>Tit Saem</t>
    <phoneticPr fontId="171" type="noConversion"/>
  </si>
  <si>
    <t>Rabb Rom</t>
    <phoneticPr fontId="171" type="noConversion"/>
  </si>
  <si>
    <t>Mean Sokkoeun</t>
    <phoneticPr fontId="171" type="noConversion"/>
  </si>
  <si>
    <t>Thorn SreyMao</t>
    <phoneticPr fontId="171" type="noConversion"/>
  </si>
  <si>
    <t>Nao Sokny</t>
    <phoneticPr fontId="171" type="noConversion"/>
  </si>
  <si>
    <t>Song Roeurn</t>
    <phoneticPr fontId="171" type="noConversion"/>
  </si>
  <si>
    <t>គោតនាម​ និង</t>
    <phoneticPr fontId="171" type="noConversion"/>
  </si>
  <si>
    <t>Cheal Kunthea</t>
    <phoneticPr fontId="171" type="noConversion"/>
  </si>
  <si>
    <t xml:space="preserve">Chum Navy </t>
    <phoneticPr fontId="171" type="noConversion"/>
  </si>
  <si>
    <t>Dork Tieng</t>
    <phoneticPr fontId="171" type="noConversion"/>
  </si>
  <si>
    <t>Chheng Petei</t>
    <phoneticPr fontId="171" type="noConversion"/>
  </si>
  <si>
    <t>Mean Sarun</t>
    <phoneticPr fontId="171" type="noConversion"/>
  </si>
  <si>
    <t>Tob Vanak</t>
    <phoneticPr fontId="171" type="noConversion"/>
  </si>
  <si>
    <t>Sout Thyda</t>
    <phoneticPr fontId="171" type="noConversion"/>
  </si>
  <si>
    <t>Srey Sitha</t>
    <phoneticPr fontId="171" type="noConversion"/>
  </si>
  <si>
    <t>Ngin Nim</t>
    <phoneticPr fontId="171" type="noConversion"/>
  </si>
  <si>
    <t>Koeut SokChan</t>
    <phoneticPr fontId="171" type="noConversion"/>
  </si>
  <si>
    <t>Chory Sokna</t>
    <phoneticPr fontId="171" type="noConversion"/>
  </si>
  <si>
    <t>Meas SreyHoan</t>
    <phoneticPr fontId="171" type="noConversion"/>
  </si>
  <si>
    <t>Phuong Samol</t>
    <phoneticPr fontId="171" type="noConversion"/>
  </si>
  <si>
    <t>Meas Rany</t>
    <phoneticPr fontId="171" type="noConversion"/>
  </si>
  <si>
    <t>Tork Daneath</t>
    <phoneticPr fontId="171" type="noConversion"/>
  </si>
  <si>
    <t>Thy Darou</t>
    <phoneticPr fontId="171" type="noConversion"/>
  </si>
  <si>
    <t>Morm Saven</t>
    <phoneticPr fontId="171" type="noConversion"/>
  </si>
  <si>
    <t>Ut Chanthin</t>
    <phoneticPr fontId="171" type="noConversion"/>
  </si>
  <si>
    <t>ទក ដានី</t>
    <phoneticPr fontId="171" type="noConversion"/>
  </si>
  <si>
    <t>Tok Dany</t>
    <phoneticPr fontId="171" type="noConversion"/>
  </si>
  <si>
    <t>Nai Yat</t>
    <phoneticPr fontId="171" type="noConversion"/>
  </si>
  <si>
    <t>So KimSeang</t>
    <phoneticPr fontId="171" type="noConversion"/>
  </si>
  <si>
    <t>Ny Vanthy</t>
    <phoneticPr fontId="171" type="noConversion"/>
  </si>
  <si>
    <t>Nut SanDara</t>
    <phoneticPr fontId="171" type="noConversion"/>
  </si>
  <si>
    <t>ភូ សុក</t>
    <phoneticPr fontId="171" type="noConversion"/>
  </si>
  <si>
    <t>Pho Sok</t>
    <phoneticPr fontId="171" type="noConversion"/>
  </si>
  <si>
    <t>ប៉ុក លឹម</t>
    <phoneticPr fontId="171" type="noConversion"/>
  </si>
  <si>
    <t>Pok Loem</t>
    <phoneticPr fontId="171" type="noConversion"/>
  </si>
  <si>
    <t>Khorn Vy</t>
    <phoneticPr fontId="171" type="noConversion"/>
  </si>
  <si>
    <t>Nhim Dara</t>
    <phoneticPr fontId="171" type="noConversion"/>
  </si>
  <si>
    <t>Kim Navy</t>
    <phoneticPr fontId="171" type="noConversion"/>
  </si>
  <si>
    <t>So Kong</t>
    <phoneticPr fontId="171" type="noConversion"/>
  </si>
  <si>
    <t>Sok Chan</t>
    <phoneticPr fontId="171" type="noConversion"/>
  </si>
  <si>
    <t>ផាត ដៀវ</t>
    <phoneticPr fontId="171" type="noConversion"/>
  </si>
  <si>
    <t>Phat Diev</t>
    <phoneticPr fontId="171" type="noConversion"/>
  </si>
  <si>
    <t>Nuon Malenda</t>
    <phoneticPr fontId="171" type="noConversion"/>
  </si>
  <si>
    <t>Touch Soklorn</t>
    <phoneticPr fontId="171" type="noConversion"/>
  </si>
  <si>
    <t>ចន ស្រីភណ្ឌ័</t>
    <phoneticPr fontId="171" type="noConversion"/>
  </si>
  <si>
    <t>Chorn Sreyphorn</t>
    <phoneticPr fontId="171" type="noConversion"/>
  </si>
  <si>
    <t>Khorn Sarem</t>
    <phoneticPr fontId="171" type="noConversion"/>
  </si>
  <si>
    <t>Mom Sary</t>
    <phoneticPr fontId="171" type="noConversion"/>
  </si>
  <si>
    <t>Yun an</t>
    <phoneticPr fontId="171" type="noConversion"/>
  </si>
  <si>
    <t>Sok Nim</t>
    <phoneticPr fontId="171" type="noConversion"/>
  </si>
  <si>
    <t>Suon SamBath</t>
    <phoneticPr fontId="171" type="noConversion"/>
  </si>
  <si>
    <t>Khon Sona</t>
    <phoneticPr fontId="171" type="noConversion"/>
  </si>
  <si>
    <t>Yin  Serymao</t>
    <phoneticPr fontId="171" type="noConversion"/>
  </si>
  <si>
    <t>An PhallPhearun</t>
    <phoneticPr fontId="171" type="noConversion"/>
  </si>
  <si>
    <t>Huon SreyAun</t>
    <phoneticPr fontId="171" type="noConversion"/>
  </si>
  <si>
    <t>Chann Chatha</t>
    <phoneticPr fontId="171" type="noConversion"/>
  </si>
  <si>
    <t>Suon Sopheap</t>
    <phoneticPr fontId="171" type="noConversion"/>
  </si>
  <si>
    <t>Mom Sophors</t>
    <phoneticPr fontId="171" type="noConversion"/>
  </si>
  <si>
    <t>Suo Sothea</t>
    <phoneticPr fontId="171" type="noConversion"/>
  </si>
  <si>
    <t>Ngel Doeurn</t>
    <phoneticPr fontId="171" type="noConversion"/>
  </si>
  <si>
    <t>Soeng Phorn</t>
    <phoneticPr fontId="171" type="noConversion"/>
  </si>
  <si>
    <t>Sam savon</t>
    <phoneticPr fontId="171" type="noConversion"/>
  </si>
  <si>
    <t>Suo Sitha</t>
    <phoneticPr fontId="171" type="noConversion"/>
  </si>
  <si>
    <t>Roeun Sokna</t>
    <phoneticPr fontId="171" type="noConversion"/>
  </si>
  <si>
    <t>Lack Sokhom</t>
    <phoneticPr fontId="171" type="noConversion"/>
  </si>
  <si>
    <t>Yann Nit</t>
    <phoneticPr fontId="171" type="noConversion"/>
  </si>
  <si>
    <t>Roeurng Seyha</t>
    <phoneticPr fontId="171" type="noConversion"/>
  </si>
  <si>
    <t>Oem Chann</t>
    <phoneticPr fontId="171" type="noConversion"/>
  </si>
  <si>
    <t>Phorn Bran</t>
    <phoneticPr fontId="171" type="noConversion"/>
  </si>
  <si>
    <t>Khoem Vanna</t>
    <phoneticPr fontId="171" type="noConversion"/>
  </si>
  <si>
    <t>Yem ny</t>
    <phoneticPr fontId="171" type="noConversion"/>
  </si>
  <si>
    <t>Noy Saem</t>
    <phoneticPr fontId="171" type="noConversion"/>
  </si>
  <si>
    <t>Men Seangry</t>
    <phoneticPr fontId="171" type="noConversion"/>
  </si>
  <si>
    <t>Keo Bolin</t>
    <phoneticPr fontId="171" type="noConversion"/>
  </si>
  <si>
    <t>Thy KoemDen</t>
    <phoneticPr fontId="171" type="noConversion"/>
  </si>
  <si>
    <t>Chea Sophorn</t>
    <phoneticPr fontId="171" type="noConversion"/>
  </si>
  <si>
    <t>Ul Vannakk</t>
    <phoneticPr fontId="171" type="noConversion"/>
  </si>
  <si>
    <t>Sor Bora</t>
    <phoneticPr fontId="171" type="noConversion"/>
  </si>
  <si>
    <t>Khuon SaoThan</t>
    <phoneticPr fontId="171" type="noConversion"/>
  </si>
  <si>
    <t>Sorn Noeurn</t>
    <phoneticPr fontId="171" type="noConversion"/>
  </si>
  <si>
    <t>Kim Kea</t>
    <phoneticPr fontId="171" type="noConversion"/>
  </si>
  <si>
    <t xml:space="preserve">Koem SokHieng </t>
    <phoneticPr fontId="171" type="noConversion"/>
  </si>
  <si>
    <t>Nov Sary</t>
    <phoneticPr fontId="171" type="noConversion"/>
  </si>
  <si>
    <t>Khun Nary</t>
    <phoneticPr fontId="171" type="noConversion"/>
  </si>
  <si>
    <t>Suong Kunthea</t>
    <phoneticPr fontId="171" type="noConversion"/>
  </si>
  <si>
    <t>Phourng Chanthea</t>
    <phoneticPr fontId="171" type="noConversion"/>
  </si>
  <si>
    <t>Dork Ly</t>
    <phoneticPr fontId="171" type="noConversion"/>
  </si>
  <si>
    <t>Yeng SreyLeak</t>
    <phoneticPr fontId="171" type="noConversion"/>
  </si>
  <si>
    <t>Sot Ean</t>
    <phoneticPr fontId="171" type="noConversion"/>
  </si>
  <si>
    <t>Somlo Chanda</t>
    <phoneticPr fontId="171" type="noConversion"/>
  </si>
  <si>
    <t>Dork Virak</t>
    <phoneticPr fontId="171" type="noConversion"/>
  </si>
  <si>
    <t>Vong Hen</t>
    <phoneticPr fontId="171" type="noConversion"/>
  </si>
  <si>
    <t>San sory</t>
    <phoneticPr fontId="171" type="noConversion"/>
  </si>
  <si>
    <t>Ek Sokha</t>
    <phoneticPr fontId="171" type="noConversion"/>
  </si>
  <si>
    <t>Chhorn SreyOrn</t>
    <phoneticPr fontId="171" type="noConversion"/>
  </si>
  <si>
    <t>Kory Kay</t>
    <phoneticPr fontId="171" type="noConversion"/>
  </si>
  <si>
    <t>Mith Sreyneat</t>
    <phoneticPr fontId="171" type="noConversion"/>
  </si>
  <si>
    <t>Keo Sitha</t>
    <phoneticPr fontId="171" type="noConversion"/>
  </si>
  <si>
    <t>Sot Bros</t>
    <phoneticPr fontId="171" type="noConversion"/>
  </si>
  <si>
    <t>Tes Veasna</t>
    <phoneticPr fontId="171" type="noConversion"/>
  </si>
  <si>
    <t>Chea Sok</t>
    <phoneticPr fontId="171" type="noConversion"/>
  </si>
  <si>
    <t>Sok Sophal</t>
    <phoneticPr fontId="171" type="noConversion"/>
  </si>
  <si>
    <t>Mao Vanna</t>
    <phoneticPr fontId="171" type="noConversion"/>
  </si>
  <si>
    <t>Sor Bib</t>
    <phoneticPr fontId="171" type="noConversion"/>
  </si>
  <si>
    <t>Yeun Socheata</t>
    <phoneticPr fontId="171" type="noConversion"/>
  </si>
  <si>
    <t>Vorn Puthea</t>
    <phoneticPr fontId="171" type="noConversion"/>
  </si>
  <si>
    <t>Touch Horn</t>
    <phoneticPr fontId="171" type="noConversion"/>
  </si>
  <si>
    <t>Lay Sinech</t>
    <phoneticPr fontId="171" type="noConversion"/>
  </si>
  <si>
    <t>Chhel Long</t>
    <phoneticPr fontId="171" type="noConversion"/>
  </si>
  <si>
    <t>Chuon Mesa</t>
    <phoneticPr fontId="171" type="noConversion"/>
  </si>
  <si>
    <t>ក្រុមហ៊ុន លូស៊ីដា​ (ខេមបូឌា)​ អេនធើប្រាយ</t>
    <phoneticPr fontId="174" type="noConversion"/>
  </si>
  <si>
    <t>富强（柬埔寨）企业有限公司</t>
    <phoneticPr fontId="174" type="noConversion"/>
  </si>
  <si>
    <t>LUCIDA (CAMBODIA) ENTERPRISE CO.,LTD</t>
  </si>
  <si>
    <t>Mentainance</t>
  </si>
  <si>
    <t>Wherehouse</t>
  </si>
  <si>
    <t>Carton</t>
  </si>
  <si>
    <t>N.</t>
    <phoneticPr fontId="171" type="noConversion"/>
  </si>
  <si>
    <t>ក្រុម</t>
    <phoneticPr fontId="203" type="noConversion"/>
  </si>
  <si>
    <t>ប្រាក់កិច្ចសន្យា5%</t>
    <phoneticPr fontId="171" type="noConversion"/>
  </si>
  <si>
    <t>ហេត្ថលេខា</t>
    <phoneticPr fontId="174" type="noConversion"/>
  </si>
  <si>
    <t>គឹម សុខហៀង</t>
    <phoneticPr fontId="171" type="noConversion"/>
  </si>
  <si>
    <t>F</t>
    <phoneticPr fontId="171" type="noConversion"/>
  </si>
  <si>
    <t>ខែម ភា</t>
    <phoneticPr fontId="171" type="noConversion"/>
  </si>
  <si>
    <t>Khem Phea</t>
    <phoneticPr fontId="171" type="noConversion"/>
  </si>
  <si>
    <t>Bo Sophors</t>
    <phoneticPr fontId="171" type="noConversion"/>
  </si>
  <si>
    <t>ស៊ឹម ទ្បាង</t>
    <phoneticPr fontId="11" type="noConversion"/>
  </si>
  <si>
    <t>086-755265</t>
    <phoneticPr fontId="171" type="noConversion"/>
  </si>
  <si>
    <t>016-764918</t>
    <phoneticPr fontId="171" type="noConversion"/>
  </si>
  <si>
    <t xml:space="preserve">     នាម     គោត្តនាម</t>
  </si>
  <si>
    <t>ហុង សុភា</t>
  </si>
  <si>
    <t>S5 090</t>
    <phoneticPr fontId="193" type="noConversion"/>
  </si>
  <si>
    <t>ទ្រី ស៊ីណា</t>
    <phoneticPr fontId="193" type="noConversion"/>
  </si>
  <si>
    <t>Try Sina</t>
  </si>
  <si>
    <t>096-4639646</t>
  </si>
  <si>
    <t>អា​ត ឈាកម៉េង</t>
    <phoneticPr fontId="193" type="noConversion"/>
  </si>
  <si>
    <t>At Chheakmeng</t>
  </si>
  <si>
    <t>093-691158</t>
  </si>
  <si>
    <t>070-686934</t>
  </si>
  <si>
    <t xml:space="preserve">            LINE:5组</t>
  </si>
  <si>
    <t>ហុន សុភា</t>
  </si>
  <si>
    <t xml:space="preserve">   富强（柬埔寨）企业有限公司</t>
  </si>
  <si>
    <t>QCP 215</t>
  </si>
  <si>
    <t>បូ សុភាស់</t>
  </si>
  <si>
    <t>S2 ​563</t>
  </si>
  <si>
    <t>នាក់ ទូច</t>
  </si>
  <si>
    <t>S3 667</t>
  </si>
  <si>
    <t>មឿង ជីម</t>
  </si>
  <si>
    <t>S3 668</t>
  </si>
  <si>
    <t>មាន់ គន្ធា</t>
  </si>
  <si>
    <t>S5 097</t>
  </si>
  <si>
    <t>ធី ណាវី</t>
  </si>
  <si>
    <t>S5 103</t>
  </si>
  <si>
    <t>មាន់ កន</t>
  </si>
  <si>
    <t>S6 180</t>
  </si>
  <si>
    <t>ប៉ែន គន្ធា</t>
  </si>
  <si>
    <t>S2_799</t>
  </si>
  <si>
    <t>S2_800</t>
  </si>
  <si>
    <t>087475213</t>
  </si>
  <si>
    <t>110301019</t>
  </si>
  <si>
    <t>Thy Navy</t>
  </si>
  <si>
    <t>M</t>
  </si>
  <si>
    <t>Pen Konthea</t>
  </si>
  <si>
    <t>0882456143</t>
  </si>
  <si>
    <t>090925095</t>
  </si>
  <si>
    <t>Mann Kounthea</t>
  </si>
  <si>
    <t>Moeun Chim</t>
  </si>
  <si>
    <t>Neak Touch</t>
  </si>
  <si>
    <t>Morn Korn</t>
  </si>
  <si>
    <t>0977489672</t>
  </si>
  <si>
    <t>110393097</t>
  </si>
  <si>
    <t>0889531187</t>
  </si>
  <si>
    <t>110589999</t>
  </si>
  <si>
    <t>ទូច លាងអូន</t>
  </si>
  <si>
    <t>ស៊ីម ប្រសើរ</t>
  </si>
  <si>
    <t>អ៊ុន សូនីតា</t>
  </si>
  <si>
    <t>យ៉មម៉ាឡៃ</t>
  </si>
  <si>
    <t>S5 111</t>
  </si>
  <si>
    <t>Touch Leangaun</t>
  </si>
  <si>
    <t>086706199</t>
  </si>
  <si>
    <t>061740578</t>
  </si>
  <si>
    <t>Sim Praseur</t>
  </si>
  <si>
    <t>087644014</t>
  </si>
  <si>
    <t>140132424</t>
  </si>
  <si>
    <t>Un Sonita</t>
  </si>
  <si>
    <t>087836394</t>
  </si>
  <si>
    <t>101314391</t>
  </si>
  <si>
    <t>S4 104</t>
  </si>
  <si>
    <t>វន់ វណ្ណដា</t>
  </si>
  <si>
    <t>នួន សារ៉ែន</t>
  </si>
  <si>
    <t>S2 ​669</t>
  </si>
  <si>
    <t>Nuon Saren</t>
  </si>
  <si>
    <t>0966300664</t>
  </si>
  <si>
    <t>100874682</t>
  </si>
  <si>
    <t>0977579106</t>
  </si>
  <si>
    <t>051497192</t>
  </si>
  <si>
    <t>S2 565</t>
  </si>
  <si>
    <t>សៅ ជាតា</t>
  </si>
  <si>
    <t>Sao Cheata</t>
  </si>
  <si>
    <t>0719908655</t>
  </si>
  <si>
    <t>S3 712</t>
  </si>
  <si>
    <t>S3 713</t>
  </si>
  <si>
    <t>មេង ចិន្តា</t>
  </si>
  <si>
    <t>សុខ ចាន់ធឿន</t>
  </si>
  <si>
    <t>Meng Chenda</t>
  </si>
  <si>
    <t>Sok Chanthoeun</t>
  </si>
  <si>
    <t>099741608</t>
  </si>
  <si>
    <t>0972887284</t>
  </si>
  <si>
    <t>S4 188</t>
  </si>
  <si>
    <t>S4 189</t>
  </si>
  <si>
    <t>ប៊ុត អន</t>
  </si>
  <si>
    <t>ឆាយ​ ធារី</t>
  </si>
  <si>
    <t>មឿន រដ្ធា</t>
  </si>
  <si>
    <t xml:space="preserve">But On </t>
  </si>
  <si>
    <t>Chhay Theary</t>
  </si>
  <si>
    <t>Moeun Rotha</t>
  </si>
  <si>
    <t>0888310662</t>
  </si>
  <si>
    <t>098333985</t>
  </si>
  <si>
    <t>0967292817</t>
  </si>
  <si>
    <t>S6 198</t>
  </si>
  <si>
    <t>សំអាត សៀកវិន</t>
  </si>
  <si>
    <t>S6 199</t>
  </si>
  <si>
    <t>ធន យួន</t>
  </si>
  <si>
    <t>S6 204</t>
  </si>
  <si>
    <t>ឆន កណ្ដី</t>
  </si>
  <si>
    <t>S6 205</t>
  </si>
  <si>
    <t>យ៉ម លឿម</t>
  </si>
  <si>
    <t>Samat Seakvin</t>
  </si>
  <si>
    <t>Thorn Yuon</t>
  </si>
  <si>
    <t>Chorn Kandy</t>
  </si>
  <si>
    <t>086546513</t>
  </si>
  <si>
    <t>093543478</t>
  </si>
  <si>
    <t>087615298</t>
  </si>
  <si>
    <t>ប៊ុត ចាន់ថុល</t>
  </si>
  <si>
    <t>សេន ដារ៉ា</t>
  </si>
  <si>
    <t>Buth Channthol</t>
  </si>
  <si>
    <t>Sen Dara</t>
  </si>
  <si>
    <t>015327676</t>
  </si>
  <si>
    <t>P284</t>
  </si>
  <si>
    <t>P287</t>
  </si>
  <si>
    <t>រឿង សម្បត្តិ</t>
  </si>
  <si>
    <t>ឆាំ ចន្នី</t>
  </si>
  <si>
    <t>Reoung Sombath</t>
  </si>
  <si>
    <t>Cham Channy</t>
  </si>
  <si>
    <t>0884357891</t>
  </si>
  <si>
    <t>0962119926</t>
  </si>
  <si>
    <t>QCP 157</t>
  </si>
  <si>
    <t>ម៉ាក់ ចន្នី</t>
  </si>
  <si>
    <t>Mak Channy</t>
  </si>
  <si>
    <t>S4​ 771</t>
    <phoneticPr fontId="184" type="noConversion"/>
  </si>
  <si>
    <t>ដូង ចាន់រី</t>
  </si>
  <si>
    <t>F</t>
    <phoneticPr fontId="184" type="noConversion"/>
  </si>
  <si>
    <t>010-250272</t>
    <phoneticPr fontId="184" type="noConversion"/>
  </si>
  <si>
    <t>Doung Chanry</t>
    <phoneticPr fontId="184" type="noConversion"/>
  </si>
  <si>
    <t>110452487</t>
  </si>
  <si>
    <t>171193598</t>
  </si>
  <si>
    <t>030466155</t>
  </si>
  <si>
    <t>061921962</t>
  </si>
  <si>
    <t>ម៉េង ចិន្តា</t>
  </si>
  <si>
    <t>051441237</t>
  </si>
  <si>
    <t>110563446</t>
  </si>
  <si>
    <t>051414790</t>
  </si>
  <si>
    <t>160527872</t>
  </si>
  <si>
    <t>030723976</t>
  </si>
  <si>
    <t>S1 258</t>
  </si>
  <si>
    <t>ឌៀន ចន្ថា</t>
  </si>
  <si>
    <t>S2 567</t>
  </si>
  <si>
    <t>យា​ សុវណ្ណថន</t>
  </si>
  <si>
    <t>Khiev Chantha</t>
  </si>
  <si>
    <t>093-508775</t>
  </si>
  <si>
    <t>Ya Sovanthong</t>
  </si>
  <si>
    <t>S4 261</t>
  </si>
  <si>
    <t>ហួន ស្រីទូច</t>
  </si>
  <si>
    <t>S5 206</t>
  </si>
  <si>
    <t>សឿន ភារ៉ា</t>
  </si>
  <si>
    <t>092-265459</t>
  </si>
  <si>
    <t>Soeurng Pheara</t>
  </si>
  <si>
    <t>រ៉ង សុលីន្ដា</t>
  </si>
  <si>
    <t>ទក ស្រីតូច</t>
  </si>
  <si>
    <t>Rong Solinda</t>
  </si>
  <si>
    <t>Tork Sreytoch</t>
  </si>
  <si>
    <t>096-9542715</t>
  </si>
  <si>
    <t>088-5617108</t>
  </si>
  <si>
    <t>093-480137</t>
  </si>
  <si>
    <t>WH012</t>
  </si>
  <si>
    <t>ខុន ឆាលី</t>
  </si>
  <si>
    <t>Khun Chhaly</t>
  </si>
  <si>
    <t>096-8368938</t>
  </si>
  <si>
    <t>តារាងប្រើប្រាស់បំណាច់ឆ្នាំ​ 2021</t>
  </si>
  <si>
    <t>年假表， 2021年</t>
  </si>
  <si>
    <t>អត្តលេខ</t>
  </si>
  <si>
    <t>ឈ្មោះ</t>
  </si>
  <si>
    <t>ប្រាក់បៀវត្សប្រចាំខែ(មិនទាន់កាត់) 每個月的工資（還沒扣的工資）</t>
  </si>
  <si>
    <t>ប្រាក់ខែ
សរុប12ខែ</t>
  </si>
  <si>
    <t>ប្រាក់ខែជា​​មធ្យម/1ខែ</t>
  </si>
  <si>
    <t>ទឹកប្រាក់ជាមធ្យម/1ថ្ងៃ</t>
  </si>
  <si>
    <t>ហត្ថលេខា</t>
  </si>
  <si>
    <t>姓名</t>
  </si>
  <si>
    <t>進場日期</t>
  </si>
  <si>
    <t>職務</t>
  </si>
  <si>
    <t>ខែ1
一月份</t>
  </si>
  <si>
    <t>ខែ2
二月份</t>
  </si>
  <si>
    <t>ខែ3
三月份</t>
  </si>
  <si>
    <t>ខែ4
四月份</t>
  </si>
  <si>
    <t>ខែ5
五月份</t>
  </si>
  <si>
    <t>ខែ6
六月份</t>
  </si>
  <si>
    <t>ខែ7
七月份</t>
  </si>
  <si>
    <t>ខែ8
八月份</t>
  </si>
  <si>
    <t>ខែ9
九月份</t>
  </si>
  <si>
    <t>ខែ10
十月份</t>
  </si>
  <si>
    <t>ខែ11
十一月份</t>
  </si>
  <si>
    <t>ខែ12
十二月份</t>
  </si>
  <si>
    <t>十二個
月的工資</t>
  </si>
  <si>
    <t>平津
工資</t>
  </si>
  <si>
    <t>一天的
工資</t>
  </si>
  <si>
    <t>簽名</t>
  </si>
  <si>
    <t>ដេរ</t>
  </si>
  <si>
    <t>S1_056</t>
  </si>
  <si>
    <t>S1_066</t>
  </si>
  <si>
    <t>S1_167</t>
  </si>
  <si>
    <t>pp</t>
  </si>
  <si>
    <t>S1_271</t>
  </si>
  <si>
    <t>យ៉ម ម៉ាឡៃ</t>
  </si>
  <si>
    <t>S1_272</t>
  </si>
  <si>
    <t>ពៅ លក្ខណា</t>
  </si>
  <si>
    <t>S1_293</t>
  </si>
  <si>
    <t>S1_411</t>
  </si>
  <si>
    <t>សាន សុខណាង</t>
  </si>
  <si>
    <t>S1_412</t>
  </si>
  <si>
    <t>ផល ពិសី</t>
  </si>
  <si>
    <t>S1_613</t>
  </si>
  <si>
    <t>ប្រធាន</t>
  </si>
  <si>
    <t>S1_743</t>
  </si>
  <si>
    <t>S1_832</t>
  </si>
  <si>
    <t>ស៊ឹម ឡាង</t>
  </si>
  <si>
    <t>S1_882</t>
  </si>
  <si>
    <t>ម៉េង ឡាំងបាន់</t>
  </si>
  <si>
    <t>កាត់ព្រុយ</t>
  </si>
  <si>
    <t>S1_985</t>
  </si>
  <si>
    <t>កាន គុណ</t>
  </si>
  <si>
    <t>ជំនួយការ</t>
  </si>
  <si>
    <t>1000 R</t>
  </si>
  <si>
    <t>500 R</t>
  </si>
  <si>
    <t>已用
（天數）</t>
  </si>
  <si>
    <t>ចំនួនថ្ងៃដែលប្រើប្រាស់</t>
  </si>
  <si>
    <t>合計</t>
  </si>
  <si>
    <t>សរុប</t>
  </si>
  <si>
    <t>S2_105</t>
  </si>
  <si>
    <t>ឈឿន ស្រីរ័ត្ន</t>
  </si>
  <si>
    <t>S2_356</t>
  </si>
  <si>
    <t>S2_406</t>
  </si>
  <si>
    <t>សឿង មាលា</t>
  </si>
  <si>
    <t>S2_536</t>
  </si>
  <si>
    <t>S2_543</t>
  </si>
  <si>
    <t>S2_550</t>
  </si>
  <si>
    <t>S2_560</t>
  </si>
  <si>
    <t>មៀច មុំ</t>
  </si>
  <si>
    <t>S2_563</t>
  </si>
  <si>
    <t>S2_565</t>
  </si>
  <si>
    <t>S2_669</t>
  </si>
  <si>
    <t>S2_674</t>
  </si>
  <si>
    <t>S2_764</t>
  </si>
  <si>
    <t>S2_765</t>
  </si>
  <si>
    <t>S2_769</t>
  </si>
  <si>
    <t>សែម សុខនី</t>
  </si>
  <si>
    <t>S2_791</t>
  </si>
  <si>
    <t>ទ្រី ម៉ូលី</t>
  </si>
  <si>
    <t>S2_792</t>
  </si>
  <si>
    <t>គឹម ផាន់ណៃ</t>
  </si>
  <si>
    <t>ខែម ភា</t>
  </si>
  <si>
    <t>S2_803</t>
  </si>
  <si>
    <t>S2_806</t>
  </si>
  <si>
    <t>ខាត់ សុគន្ធ</t>
  </si>
  <si>
    <t>經理</t>
  </si>
  <si>
    <t>廠長</t>
  </si>
  <si>
    <t>人事部</t>
  </si>
  <si>
    <t>LINE: 03 (第三组)</t>
  </si>
  <si>
    <t>S3_092</t>
  </si>
  <si>
    <t>S3_328</t>
  </si>
  <si>
    <t>S3_426</t>
  </si>
  <si>
    <t>នៅ សុខនី</t>
  </si>
  <si>
    <t>សុង រឿន</t>
  </si>
  <si>
    <t>ជាល គុន្ធា</t>
  </si>
  <si>
    <t>S3_557</t>
  </si>
  <si>
    <t>S3_580</t>
  </si>
  <si>
    <t>S3_597</t>
  </si>
  <si>
    <t>S3_607</t>
  </si>
  <si>
    <t>S3_666</t>
  </si>
  <si>
    <t>តុប វណ្ណៈ</t>
  </si>
  <si>
    <t>S3_667</t>
  </si>
  <si>
    <t>S3_668</t>
  </si>
  <si>
    <t>S3_693</t>
  </si>
  <si>
    <t>S3_712</t>
  </si>
  <si>
    <t>ម៉េង ចន្ដា</t>
  </si>
  <si>
    <t>S3_713</t>
  </si>
  <si>
    <t>S3_942</t>
  </si>
  <si>
    <t>ស្រី ស៊ីថា</t>
  </si>
  <si>
    <t>S3_988</t>
  </si>
  <si>
    <t>ងិន នីម</t>
  </si>
  <si>
    <t>ចំនួនខែ</t>
  </si>
  <si>
    <t>បំ-ឆ្នាំដែលមាន</t>
  </si>
  <si>
    <t>月數</t>
  </si>
  <si>
    <t>年休
（天數）</t>
  </si>
  <si>
    <t>S4_044</t>
  </si>
  <si>
    <t>កើត សុខចាន់</t>
  </si>
  <si>
    <t>S4_075</t>
  </si>
  <si>
    <t>S4_087</t>
  </si>
  <si>
    <t>S4_104</t>
  </si>
  <si>
    <t>មាស​ រ៉ានី</t>
  </si>
  <si>
    <t>S4_188</t>
  </si>
  <si>
    <t>S4_189</t>
  </si>
  <si>
    <t>ឆាយ ធារី</t>
  </si>
  <si>
    <t>S4_245</t>
  </si>
  <si>
    <t>S4_248</t>
  </si>
  <si>
    <t>S4_273</t>
  </si>
  <si>
    <t>S4_275</t>
  </si>
  <si>
    <t>S4_771</t>
  </si>
  <si>
    <t>ដួង ចាន់រី</t>
  </si>
  <si>
    <t>ដូរម្ជុល</t>
  </si>
  <si>
    <t>S4_979</t>
  </si>
  <si>
    <t>LINE: 05 (第五组)</t>
  </si>
  <si>
    <t>S5_018</t>
  </si>
  <si>
    <t>S5_088</t>
  </si>
  <si>
    <t>នី វ៉ាន់ធី</t>
  </si>
  <si>
    <t>S5_090</t>
  </si>
  <si>
    <t>ទ្រី សីណា</t>
  </si>
  <si>
    <t>S5_097</t>
  </si>
  <si>
    <t>S5_103</t>
  </si>
  <si>
    <t>S5_111</t>
  </si>
  <si>
    <t>S5_313</t>
  </si>
  <si>
    <t>S5_360</t>
  </si>
  <si>
    <t>ភូ សុក</t>
  </si>
  <si>
    <t>S5_531</t>
  </si>
  <si>
    <t>ប៉ុក លឹម</t>
  </si>
  <si>
    <t>S5_620</t>
  </si>
  <si>
    <t>ញឹម តារា</t>
  </si>
  <si>
    <t>S5_828</t>
  </si>
  <si>
    <t>S5_835</t>
  </si>
  <si>
    <t>សុខ ចាន់</t>
  </si>
  <si>
    <t>S5_960</t>
  </si>
  <si>
    <t>S5_961</t>
  </si>
  <si>
    <t>S5_966</t>
  </si>
  <si>
    <t>ចន ស្រីភណ្ឌ័</t>
  </si>
  <si>
    <t>S5_999</t>
  </si>
  <si>
    <t>ខន សារ៉េម</t>
  </si>
  <si>
    <t>S6_096</t>
  </si>
  <si>
    <t>S6_149</t>
  </si>
  <si>
    <t>យ៉ុន តាន</t>
  </si>
  <si>
    <t>S6_180</t>
  </si>
  <si>
    <t>S6_198</t>
  </si>
  <si>
    <t>S6_199</t>
  </si>
  <si>
    <t>S6_204</t>
  </si>
  <si>
    <t>ធន កណ្ដី</t>
  </si>
  <si>
    <t>S6_205</t>
  </si>
  <si>
    <t>S6_265</t>
  </si>
  <si>
    <t>S6_291</t>
  </si>
  <si>
    <t>S6_400</t>
  </si>
  <si>
    <t>ឃន សុណា</t>
  </si>
  <si>
    <t>S6_403</t>
  </si>
  <si>
    <t>S6_425</t>
  </si>
  <si>
    <t>អាន ផល្លាភារុណ</t>
  </si>
  <si>
    <t>S6_534</t>
  </si>
  <si>
    <t>S6_555</t>
  </si>
  <si>
    <t>S6_721</t>
  </si>
  <si>
    <t>S6_863</t>
  </si>
  <si>
    <t>ម៉ុម សុភ័ស</t>
  </si>
  <si>
    <t>LINE: Cutting (裁剪)</t>
  </si>
  <si>
    <t>កាត់</t>
  </si>
  <si>
    <t>C026</t>
  </si>
  <si>
    <t>ង៉ិល ឌឿន</t>
  </si>
  <si>
    <t>C030</t>
  </si>
  <si>
    <t>ស៊ឹង ផន</t>
  </si>
  <si>
    <t>C055</t>
  </si>
  <si>
    <t>សាម សាវ៉ុន</t>
  </si>
  <si>
    <t>យ៉ាន់ និត</t>
  </si>
  <si>
    <t>C092</t>
  </si>
  <si>
    <t>រឿង សីហា</t>
  </si>
  <si>
    <t>C096</t>
  </si>
  <si>
    <t>អឹម ចាន់</t>
  </si>
  <si>
    <t>C097</t>
  </si>
  <si>
    <t>ផន បូរ៉ាន</t>
  </si>
  <si>
    <t>C099</t>
  </si>
  <si>
    <t>C101</t>
  </si>
  <si>
    <t>QC5_860</t>
  </si>
  <si>
    <t>អនាម័យ</t>
  </si>
  <si>
    <t>WC010</t>
  </si>
  <si>
    <t>LINE:WC   清潔工</t>
  </si>
  <si>
    <t>ជាងម៉ាស៊ីន</t>
  </si>
  <si>
    <t>ធី គឹមដែន</t>
  </si>
  <si>
    <t>ជាងភ្លើង</t>
  </si>
  <si>
    <t>ជា សុភ័ន្ធ</t>
  </si>
  <si>
    <t>WH007</t>
  </si>
  <si>
    <t>អុល វណ្ណៈ</t>
  </si>
  <si>
    <t>បើកសំភារៈ</t>
  </si>
  <si>
    <t>ស៊បូរ៉ា</t>
    <phoneticPr fontId="0" type="noConversion"/>
  </si>
  <si>
    <t>LINE: WH   倉庫</t>
  </si>
  <si>
    <t>សន នឿន</t>
  </si>
  <si>
    <t>គឹម គា</t>
  </si>
  <si>
    <t>គឹម សុខហៀង</t>
  </si>
  <si>
    <t>នៅ សារី</t>
  </si>
  <si>
    <t>ឃុន ណារី</t>
  </si>
  <si>
    <t>សួង គុន្ធា</t>
  </si>
  <si>
    <t>យ៉េង ស្រីល័ក្ខ</t>
  </si>
  <si>
    <t>សំអុល ចិន្ដា</t>
  </si>
  <si>
    <t>ដោក វីរះ</t>
  </si>
  <si>
    <t>P244</t>
  </si>
  <si>
    <t>វង់ អន</t>
  </si>
  <si>
    <t>សន សូរី</t>
  </si>
  <si>
    <t>ផាត ដៀវ</t>
  </si>
  <si>
    <t>QC6_772</t>
  </si>
  <si>
    <t>QCP_089</t>
  </si>
  <si>
    <t>QCP_157</t>
  </si>
  <si>
    <t>មាក ចន្នី</t>
  </si>
  <si>
    <t>QCP_204</t>
  </si>
  <si>
    <t>សុត ប្រុស</t>
  </si>
  <si>
    <t>QCP_215</t>
  </si>
  <si>
    <t>QCPP_031</t>
  </si>
  <si>
    <t>LINE:S4</t>
  </si>
  <si>
    <t>LINE:S1</t>
  </si>
  <si>
    <t>LINE:S2</t>
  </si>
  <si>
    <t>LINE:S6</t>
  </si>
  <si>
    <t xml:space="preserve">LINE:  R </t>
  </si>
  <si>
    <t>LINE: Carton  (打箱)</t>
  </si>
  <si>
    <t>PP_117</t>
  </si>
  <si>
    <t>ម៉ៅ វណ្ណា</t>
  </si>
  <si>
    <t>វាយឡេវ</t>
  </si>
  <si>
    <t>D013</t>
  </si>
  <si>
    <t>D014</t>
  </si>
  <si>
    <t>ទូច ហន</t>
  </si>
  <si>
    <t>D015</t>
  </si>
  <si>
    <t>ឡាយ ស៊ីនិច</t>
  </si>
  <si>
    <t>D017</t>
  </si>
  <si>
    <t>ឆិល​ ឡន</t>
  </si>
  <si>
    <t xml:space="preserve">LINE: D </t>
  </si>
  <si>
    <t xml:space="preserve">LINE:  T </t>
  </si>
  <si>
    <t>បើកអាវ</t>
  </si>
  <si>
    <t>ហម សុភ័ស្ដ</t>
  </si>
  <si>
    <t>S1 262</t>
  </si>
  <si>
    <t>ធឿន លិខិត</t>
  </si>
  <si>
    <t>thoeurn likhith</t>
  </si>
  <si>
    <t>088-3287747</t>
  </si>
  <si>
    <t>021252299</t>
  </si>
  <si>
    <t>101056091</t>
  </si>
  <si>
    <t>031051381</t>
  </si>
  <si>
    <t>200206719</t>
  </si>
  <si>
    <t>250002539</t>
  </si>
  <si>
    <t>Huon Sreytouch</t>
  </si>
  <si>
    <t>096-8799970</t>
  </si>
  <si>
    <t>Touch KimLong</t>
  </si>
  <si>
    <t>ទូច ហន</t>
  </si>
  <si>
    <t>សួង គន្ធា</t>
  </si>
  <si>
    <t>សំអុល ចិន្តា</t>
  </si>
  <si>
    <t>ដោក វិរះ</t>
  </si>
  <si>
    <t>វង់ អេន</t>
  </si>
  <si>
    <t>ម៉ាក ចន្នី</t>
  </si>
  <si>
    <t>Mean Saothen</t>
  </si>
  <si>
    <t>ជា សុភ័ន្ឋ</t>
  </si>
  <si>
    <t>Hon Sophea</t>
  </si>
  <si>
    <t>ខៀវ ចន្ថា</t>
  </si>
  <si>
    <t>សុង វឿន</t>
  </si>
  <si>
    <t>Yorm Loeurm</t>
  </si>
  <si>
    <t>S2 629</t>
  </si>
  <si>
    <t>ហែ វ៉ាន់</t>
  </si>
  <si>
    <t>S4_373</t>
  </si>
  <si>
    <t>S4_374</t>
  </si>
  <si>
    <t>S4_632</t>
  </si>
  <si>
    <t>ធី ចាន់ណា</t>
  </si>
  <si>
    <t>ដន សុខេន</t>
  </si>
  <si>
    <t>ឈឺន ឈា</t>
  </si>
  <si>
    <t>S5_480</t>
  </si>
  <si>
    <t>S5_490</t>
  </si>
  <si>
    <t>ឪក រតនៈ</t>
  </si>
  <si>
    <t>អាត ធាប្ញទ្ធ</t>
  </si>
  <si>
    <t>S6_284</t>
  </si>
  <si>
    <t>អឹក ស្រីទូច</t>
  </si>
  <si>
    <t>P294</t>
  </si>
  <si>
    <t>P302</t>
  </si>
  <si>
    <t>P303</t>
  </si>
  <si>
    <t>អ៊ុក ម៉ាឡែន</t>
  </si>
  <si>
    <t>លី ស្រីនៀត</t>
  </si>
  <si>
    <t>សេង សុផល</t>
  </si>
  <si>
    <t>អួង ចរិយា</t>
  </si>
  <si>
    <t>មាស ណុប</t>
  </si>
  <si>
    <t>S1_266</t>
  </si>
  <si>
    <t>វី សំអាត</t>
  </si>
  <si>
    <t>Ouc Malen</t>
  </si>
  <si>
    <t>0318070004</t>
  </si>
  <si>
    <t>040357012</t>
  </si>
  <si>
    <t>Ly Sreyneant</t>
  </si>
  <si>
    <t>093770498</t>
  </si>
  <si>
    <t>040357011</t>
  </si>
  <si>
    <t>Seng Sophal</t>
  </si>
  <si>
    <t>092223243</t>
  </si>
  <si>
    <t>030666626</t>
  </si>
  <si>
    <t>Uong Cherya</t>
  </si>
  <si>
    <t>096-3324961</t>
  </si>
  <si>
    <t>030938425</t>
  </si>
  <si>
    <t>Euk Sreytouch</t>
  </si>
  <si>
    <t>0969292844</t>
  </si>
  <si>
    <t>030482851</t>
  </si>
  <si>
    <t>Ork Ratanak</t>
  </si>
  <si>
    <t>0963168108</t>
  </si>
  <si>
    <t>Ath Thearith</t>
  </si>
  <si>
    <t>087877336</t>
  </si>
  <si>
    <t>062091205</t>
  </si>
  <si>
    <t xml:space="preserve">Dan Sokhen </t>
  </si>
  <si>
    <t>0314353259</t>
  </si>
  <si>
    <t>250239134</t>
  </si>
  <si>
    <t>0978824923</t>
  </si>
  <si>
    <t>051235980</t>
  </si>
  <si>
    <t>Thy Channa</t>
  </si>
  <si>
    <t>Chheun Chhea</t>
  </si>
  <si>
    <t>0973797352</t>
  </si>
  <si>
    <t>101421388</t>
  </si>
  <si>
    <t>Heo Van</t>
  </si>
  <si>
    <t>077285604</t>
  </si>
  <si>
    <t>150831022</t>
  </si>
  <si>
    <t>Vy Samat</t>
  </si>
  <si>
    <t>0977959798</t>
  </si>
  <si>
    <t>020674376</t>
  </si>
  <si>
    <t>Meas Nob</t>
  </si>
  <si>
    <t>030938426</t>
  </si>
  <si>
    <t>S6 281</t>
  </si>
  <si>
    <t>S6 282</t>
  </si>
  <si>
    <t>QCP182</t>
  </si>
  <si>
    <t>QCP_301</t>
  </si>
  <si>
    <t>QCP_182</t>
  </si>
  <si>
    <t>LINE: Office</t>
  </si>
  <si>
    <t>សុង​ សុខភី</t>
  </si>
  <si>
    <t>អ្នកចាត់ការ
總務</t>
  </si>
  <si>
    <t>ហម ផល្លា</t>
  </si>
  <si>
    <t>ជំ-ផលិត
生產助理</t>
  </si>
  <si>
    <t>OF 036</t>
  </si>
  <si>
    <t>ខូវ គីមសឿន</t>
  </si>
  <si>
    <t>ជំ-ការឃ្លាំង
倉庫助理</t>
  </si>
  <si>
    <t>OF 041</t>
    <phoneticPr fontId="25" type="noConversion"/>
  </si>
  <si>
    <t>អ៊ួង ធារ៉ា</t>
  </si>
  <si>
    <t>ជំ-រដ្ឋបាល
人事助理</t>
  </si>
  <si>
    <t>OF 045</t>
    <phoneticPr fontId="29" type="noConversion"/>
  </si>
  <si>
    <t>គីន ស៊ីណែត</t>
  </si>
  <si>
    <t>ជំ-កាម៉ង់
跟單助理</t>
  </si>
  <si>
    <t>OF 050</t>
  </si>
  <si>
    <t>ម៉ី កន្និដ្ឋា</t>
  </si>
  <si>
    <t>ឌុកទ័រ
医生</t>
  </si>
  <si>
    <t>OF 051</t>
  </si>
  <si>
    <t>ផង់ ប៉ៅចិន</t>
  </si>
  <si>
    <t>តៃកុង
司机</t>
  </si>
  <si>
    <t>OF 056</t>
  </si>
  <si>
    <t>ម៉េងសុខម៉ាឡៃ</t>
  </si>
  <si>
    <t>សុង​ សុខភី
許成利</t>
  </si>
  <si>
    <t>ហម ផល្លា
張淑清</t>
  </si>
  <si>
    <t>ខូវ គីមសឿន
許國森</t>
  </si>
  <si>
    <t>OF 041</t>
    <phoneticPr fontId="28" type="noConversion"/>
  </si>
  <si>
    <t>អ៊ួង ធារ៉ា
Theara</t>
  </si>
  <si>
    <t>OF 045</t>
    <phoneticPr fontId="32" type="noConversion"/>
  </si>
  <si>
    <t>គីន ស៊ីណែត
小金</t>
  </si>
  <si>
    <t>ម៉ី កន្និដ្ឋា
Mey Kanitha</t>
  </si>
  <si>
    <t>ឌុកទ័រ
Doctor</t>
  </si>
  <si>
    <t>ម៉េង សុខម៉ាឡៃ</t>
  </si>
  <si>
    <t>Song Sokphy</t>
  </si>
  <si>
    <t>Horm Phalla</t>
  </si>
  <si>
    <t>Khov Kimsoeun</t>
  </si>
  <si>
    <t>Uong Theara</t>
  </si>
  <si>
    <t>Ken Sineth</t>
  </si>
  <si>
    <t>Mey Kannitha</t>
  </si>
  <si>
    <t>Phong Phovchin</t>
  </si>
  <si>
    <t>Meng Sokmaliy</t>
  </si>
  <si>
    <t>អ្នកចាត់ការ</t>
  </si>
  <si>
    <t>ជំ-ប្រធានរោងចក្រ</t>
  </si>
  <si>
    <t>ជំ-ឃ្លាំង</t>
  </si>
  <si>
    <t>ជំ-រដ្ឋបាល</t>
  </si>
  <si>
    <t>ជំ-កាម៉ង់ទិញ</t>
  </si>
  <si>
    <t>ពេទ្យ
醫生</t>
  </si>
  <si>
    <t>​</t>
  </si>
  <si>
    <t>序号</t>
    <phoneticPr fontId="8" type="noConversion"/>
  </si>
  <si>
    <t>护照号 （中国员工）/身份证号码/ 户口簿书丛号（柬员工）</t>
  </si>
  <si>
    <t>出生日期</t>
    <phoneticPr fontId="8" type="noConversion"/>
  </si>
  <si>
    <t>电话号码</t>
    <phoneticPr fontId="8" type="noConversion"/>
  </si>
  <si>
    <t>邮箱</t>
    <phoneticPr fontId="8" type="noConversion"/>
  </si>
  <si>
    <t>姓名（身份证上的英文名）</t>
    <phoneticPr fontId="8" type="noConversion"/>
  </si>
  <si>
    <t>性别</t>
    <phoneticPr fontId="8" type="noConversion"/>
  </si>
  <si>
    <t>祖籍</t>
    <phoneticPr fontId="8" type="noConversion"/>
  </si>
  <si>
    <t>20 Note</t>
  </si>
  <si>
    <t>10 Note</t>
  </si>
  <si>
    <t>50000 Note</t>
  </si>
  <si>
    <t>10000 Note</t>
  </si>
  <si>
    <t>5000 Note</t>
  </si>
  <si>
    <t>1000 Note</t>
  </si>
  <si>
    <t>អត្តលេខ/ អត្តសញ្ញាណប័ត្រ/​ លិខិតឆ្លងដែន</t>
  </si>
  <si>
    <t>ថ្ងៃខែឆ្នាំកំនើត</t>
  </si>
  <si>
    <t>លេខទូរស័ព្ទ</t>
  </si>
  <si>
    <t>e mail</t>
  </si>
  <si>
    <t>ភេទ</t>
  </si>
  <si>
    <t>សញ្ញាតិ</t>
  </si>
  <si>
    <t>011-542 552</t>
  </si>
  <si>
    <t>ខ្មែរ</t>
  </si>
  <si>
    <t>096-622 1199</t>
  </si>
  <si>
    <t>015-680 015</t>
  </si>
  <si>
    <t>070-7307 016</t>
  </si>
  <si>
    <t>010-777 458</t>
  </si>
  <si>
    <t>kin-sineth@lucida.com.cn</t>
  </si>
  <si>
    <t>012-505 196</t>
  </si>
  <si>
    <t>087-500 687</t>
  </si>
  <si>
    <t>097-435 5815</t>
  </si>
  <si>
    <t>ma.lai64@yahoo.com</t>
  </si>
  <si>
    <t>S1 506</t>
  </si>
  <si>
    <t>អាត ដាវីត</t>
  </si>
  <si>
    <t>ចក់ រី</t>
  </si>
  <si>
    <t>Ath Davit</t>
  </si>
  <si>
    <t>Chork Ry</t>
  </si>
  <si>
    <t>087752148</t>
  </si>
  <si>
    <t>0966218457</t>
  </si>
  <si>
    <t>P305</t>
  </si>
  <si>
    <t>សាក់ សំ</t>
  </si>
  <si>
    <t>Sak Sam</t>
  </si>
  <si>
    <t>098212295</t>
  </si>
  <si>
    <t>S2_468</t>
  </si>
  <si>
    <t>ឡាញ់ស្រីស្អាត</t>
  </si>
  <si>
    <t>ញឹម ស្រីទូច</t>
  </si>
  <si>
    <t>បកប្រែ
翻译</t>
  </si>
  <si>
    <t>062234762</t>
  </si>
  <si>
    <t>021211478</t>
  </si>
  <si>
    <t>Lanh SreySaat</t>
    <phoneticPr fontId="173" type="noConversion"/>
  </si>
  <si>
    <t>F</t>
    <phoneticPr fontId="173" type="noConversion"/>
  </si>
  <si>
    <t>099-233035</t>
    <phoneticPr fontId="173" type="noConversion"/>
  </si>
  <si>
    <t>51360904</t>
  </si>
  <si>
    <t>F</t>
    <phoneticPr fontId="173" type="noConversion"/>
  </si>
  <si>
    <t>C001</t>
  </si>
  <si>
    <t>ជុំ សុឃឿន</t>
  </si>
  <si>
    <t>ភឿង ចន្រ្ទា</t>
  </si>
  <si>
    <t>S6 315</t>
  </si>
  <si>
    <t>ម៉ីន គីហួន</t>
  </si>
  <si>
    <t>S1 510</t>
  </si>
  <si>
    <t>S2_636</t>
  </si>
  <si>
    <t>វ៉េន សុរ៉ង</t>
  </si>
  <si>
    <t>S4_637</t>
  </si>
  <si>
    <t>អួន ណាវី</t>
  </si>
  <si>
    <t>P308</t>
  </si>
  <si>
    <t>ថៃ ពិសិត</t>
  </si>
  <si>
    <t>S1 516</t>
  </si>
  <si>
    <t>វង ស្រីម៉ៅ</t>
  </si>
  <si>
    <t>S3_716</t>
  </si>
  <si>
    <t>គី សូវង់</t>
  </si>
  <si>
    <t>S6_317</t>
  </si>
  <si>
    <t>សំ សុភី</t>
  </si>
  <si>
    <t>P315</t>
  </si>
  <si>
    <t>P318</t>
  </si>
  <si>
    <t>P320</t>
  </si>
  <si>
    <t>P322</t>
  </si>
  <si>
    <t>ផុង កែវ</t>
  </si>
  <si>
    <t>រិន មឿន</t>
  </si>
  <si>
    <t>កង ចន្ធី</t>
  </si>
  <si>
    <t>ឡាយ ភីន</t>
  </si>
  <si>
    <t>ចំនួនខែថ្ងៃ</t>
  </si>
  <si>
    <t>ចំនួនថ្ងៃ</t>
  </si>
  <si>
    <t>QCT 010</t>
  </si>
  <si>
    <t>Min Koemhoung</t>
  </si>
  <si>
    <t>060772642</t>
  </si>
  <si>
    <t>0975025690</t>
  </si>
  <si>
    <t>Ky Sovong</t>
  </si>
  <si>
    <t>0974399274</t>
  </si>
  <si>
    <t>160513709</t>
  </si>
  <si>
    <t>Vorng Sreymoa</t>
  </si>
  <si>
    <t>0962458130</t>
  </si>
  <si>
    <t>051616733</t>
  </si>
  <si>
    <t>Sam Sophy</t>
  </si>
  <si>
    <t>0714248624</t>
  </si>
  <si>
    <t>Rin Moeurn</t>
  </si>
  <si>
    <t>0977375371</t>
  </si>
  <si>
    <t>Lay Pin</t>
  </si>
  <si>
    <t>030955357</t>
  </si>
  <si>
    <t>0962498945</t>
  </si>
  <si>
    <t>Kng Chhny</t>
  </si>
  <si>
    <t>060637061</t>
  </si>
  <si>
    <t>Phong Kev</t>
  </si>
  <si>
    <t>040356977</t>
  </si>
  <si>
    <t>Thai Pisit</t>
  </si>
  <si>
    <t>Horm Sophos</t>
  </si>
  <si>
    <t>Phourng Chanthrea</t>
  </si>
  <si>
    <t>010839284</t>
  </si>
  <si>
    <t>Uon Navy</t>
  </si>
  <si>
    <t>Ven Sorong</t>
  </si>
  <si>
    <t>LINE:OFFICE</t>
  </si>
  <si>
    <t>S5_499</t>
  </si>
  <si>
    <t>ខេង សុខឃីម</t>
  </si>
  <si>
    <t>S6_319</t>
  </si>
  <si>
    <t>ញ៉ែម ស្រីម៉ៅ</t>
  </si>
  <si>
    <t>S2_643</t>
  </si>
  <si>
    <t>ស៊នស៊្រាង</t>
  </si>
  <si>
    <t>WC029</t>
  </si>
  <si>
    <t>ណែត គឿន</t>
  </si>
  <si>
    <t>WH_013</t>
  </si>
  <si>
    <t>ថាត សុវណ្ណដា</t>
  </si>
  <si>
    <t>P330</t>
  </si>
  <si>
    <t>សេង ស្រីនឿន</t>
  </si>
  <si>
    <t>S5_500</t>
  </si>
  <si>
    <t>សាក់ ស្រីមុំ</t>
  </si>
  <si>
    <t>Sorn Sreang</t>
  </si>
  <si>
    <t>096-6289375</t>
  </si>
  <si>
    <t>069-904966</t>
  </si>
  <si>
    <t>071-7559607</t>
  </si>
  <si>
    <t>Kheng Sokkhim</t>
  </si>
  <si>
    <t>Sak Sreymom</t>
  </si>
  <si>
    <t>Nhem Sreymao</t>
  </si>
  <si>
    <t>096-8083481</t>
  </si>
  <si>
    <t>071-3006564</t>
  </si>
  <si>
    <t>Net Koeurn</t>
  </si>
  <si>
    <t>069-709654</t>
  </si>
  <si>
    <t>That Sovanda</t>
  </si>
  <si>
    <t>Seng Sreynoeurn</t>
  </si>
  <si>
    <t>096-8987830</t>
  </si>
  <si>
    <t>093-559416</t>
  </si>
  <si>
    <t>WH013</t>
  </si>
  <si>
    <t>QCT_010</t>
  </si>
  <si>
    <t>OF 014</t>
  </si>
  <si>
    <t>OF 002</t>
  </si>
  <si>
    <t>OF 060</t>
  </si>
  <si>
    <t>D_013</t>
  </si>
  <si>
    <t>D_014</t>
  </si>
  <si>
    <t>D_015</t>
  </si>
  <si>
    <t>D_017</t>
  </si>
  <si>
    <t>PP_087</t>
  </si>
  <si>
    <t>PP_165</t>
  </si>
  <si>
    <t>PP_174</t>
  </si>
  <si>
    <t>PP_177</t>
  </si>
  <si>
    <t>PP_184</t>
  </si>
  <si>
    <t>សន​ នឿន</t>
  </si>
  <si>
    <t>S6_281</t>
  </si>
  <si>
    <t>S6_282</t>
  </si>
  <si>
    <t>S6_315</t>
  </si>
  <si>
    <t>S5_206</t>
  </si>
  <si>
    <t>S5​_961</t>
  </si>
  <si>
    <t>S4_261</t>
  </si>
  <si>
    <t>S1_258</t>
  </si>
  <si>
    <t>S1_262</t>
  </si>
  <si>
    <t>S1_506</t>
  </si>
  <si>
    <t>S1_510</t>
  </si>
  <si>
    <t>S1_516</t>
  </si>
  <si>
    <t>S2_​560</t>
  </si>
  <si>
    <t>S2​_563</t>
  </si>
  <si>
    <t>S2_567</t>
  </si>
  <si>
    <t>S2_629</t>
  </si>
  <si>
    <t>S5_501</t>
  </si>
  <si>
    <t>អ៊ិត ស្រីគួយ</t>
  </si>
  <si>
    <t>D 020</t>
  </si>
  <si>
    <t>ចាន់ សុផុន</t>
  </si>
  <si>
    <t>It Sreykuoy</t>
  </si>
  <si>
    <t>092-585898</t>
  </si>
  <si>
    <t>011177588</t>
  </si>
  <si>
    <t>061457547</t>
  </si>
  <si>
    <t>093-556090</t>
  </si>
  <si>
    <t>Chan Sophon</t>
  </si>
  <si>
    <t>P332</t>
  </si>
  <si>
    <t>តាយ ផេន</t>
  </si>
  <si>
    <t>PP_187</t>
  </si>
  <si>
    <t>ហាត​ ហេង</t>
  </si>
  <si>
    <t>D_020</t>
  </si>
  <si>
    <t>QA_031</t>
  </si>
  <si>
    <t>ID No    工号</t>
  </si>
  <si>
    <t>Basic Salary 底薪</t>
  </si>
  <si>
    <t>Starting  Date           入厂日期</t>
  </si>
  <si>
    <t xml:space="preserve">          Name                   姓名</t>
  </si>
  <si>
    <t>ទឹក​បា្រក់​​Amount 总金额</t>
  </si>
  <si>
    <t>ចំនួនថែមម៉ោងOT  Hour加班费</t>
  </si>
  <si>
    <t>ទឹកប្រាក់Amount总金额</t>
  </si>
  <si>
    <r>
      <rPr>
        <sz val="10"/>
        <rFont val="Khmer OS Battambang"/>
      </rPr>
      <t xml:space="preserve">ថៃ្ងឈប់សំរាកមាន​បា្រក់ឈ្ន​​​​​​​​​​​​​​​​​​​​​​​​​​​​​ល </t>
    </r>
    <r>
      <rPr>
        <sz val="10"/>
        <rFont val="DaunPenh"/>
        <family val="2"/>
      </rPr>
      <t xml:space="preserve"> </t>
    </r>
    <r>
      <rPr>
        <sz val="10"/>
        <rFont val="Times New Roman"/>
        <family val="1"/>
      </rPr>
      <t xml:space="preserve"> Paid Leave 假日有工资</t>
    </r>
  </si>
  <si>
    <t>ចំនួនប្រើ used天数</t>
  </si>
  <si>
    <t>ចំនួនថ្ងៃឈប់天数</t>
  </si>
  <si>
    <t>ទឹក​បា្រក់​                ​Amount总金额</t>
  </si>
  <si>
    <t>Total Days1个月总天数</t>
  </si>
  <si>
    <t>OT amount加班餐费</t>
  </si>
  <si>
    <r>
      <rPr>
        <sz val="9"/>
        <rFont val="Khmer OS Battambang"/>
      </rPr>
      <t xml:space="preserve">បា្រក់បាយថ្ងៃត្រង់   </t>
    </r>
    <r>
      <rPr>
        <sz val="9"/>
        <rFont val="DaunPenh"/>
        <family val="2"/>
      </rPr>
      <t xml:space="preserve"> Food Expenses​交通费 10$</t>
    </r>
  </si>
  <si>
    <r>
      <rPr>
        <sz val="8"/>
        <rFont val="Khmer OS Battambang"/>
      </rPr>
      <t>ថ្លៃធ្វើដំនើរ និង ស្នាក់នៅ</t>
    </r>
    <r>
      <rPr>
        <sz val="8"/>
        <rFont val="Times New Roman"/>
        <family val="1"/>
      </rPr>
      <t>Transportation &amp; Housing Allowance $生活费 10</t>
    </r>
  </si>
  <si>
    <t>Job Title   职位</t>
  </si>
  <si>
    <t>Duty Gold 职务金</t>
  </si>
  <si>
    <t xml:space="preserve">ថ្ងៃធ្វើការWorking Day 天数       </t>
  </si>
  <si>
    <t>បា្រក់ខែBS/WD 一天/$</t>
  </si>
  <si>
    <t>អត្រា/ម៉ Rate/    hrs1 小时/$</t>
  </si>
  <si>
    <t>ចំនួនម៉ោងHoliday Hour 小时数</t>
  </si>
  <si>
    <t>អត្រា/ថ្ងៃ​ Rate/ day1 天/$</t>
  </si>
  <si>
    <t>ទឹកប្រាក់Amount 总金额</t>
  </si>
  <si>
    <t>ទឹកប្រាក់Amount 金额</t>
  </si>
  <si>
    <r>
      <rPr>
        <sz val="8"/>
        <rFont val="Khmer OS Battambang"/>
      </rPr>
      <t>ថ្ងៃឈប់គ្មានប្រាក់ឈ្នួល</t>
    </r>
    <r>
      <rPr>
        <sz val="9"/>
        <rFont val="Times New Roman"/>
        <family val="1"/>
      </rPr>
      <t>Unpaid leave( Day)    旷工</t>
    </r>
  </si>
  <si>
    <r>
      <rPr>
        <sz val="9"/>
        <rFont val="Khmer OS Battambang"/>
      </rPr>
      <t xml:space="preserve">បា្រក់អតីតភាពការងារ </t>
    </r>
    <r>
      <rPr>
        <sz val="9"/>
        <rFont val="Times New Roman"/>
        <family val="1"/>
      </rPr>
      <t>Seniority Bonus  年资</t>
    </r>
  </si>
  <si>
    <r>
      <rPr>
        <sz val="9"/>
        <rFont val="Khmer OS Battambang"/>
      </rPr>
      <t>បា្រក់​វង្វាន់ទៀងទាត់</t>
    </r>
    <r>
      <rPr>
        <sz val="9"/>
        <rFont val="DaunPenh"/>
        <family val="2"/>
      </rPr>
      <t xml:space="preserve"> </t>
    </r>
    <r>
      <rPr>
        <sz val="9"/>
        <rFont val="Limon S3"/>
        <family val="2"/>
      </rPr>
      <t xml:space="preserve"> </t>
    </r>
    <r>
      <rPr>
        <sz val="9"/>
        <rFont val="Times New Roman"/>
        <family val="1"/>
      </rPr>
      <t>Attendance Bonus  全勤奖   $10</t>
    </r>
  </si>
  <si>
    <r>
      <rPr>
        <sz val="9"/>
        <rFont val="Khmer OS Battambang"/>
      </rPr>
      <t>ចំនួនទឹកប្រាក់សរុបមិនទាន់កាត់</t>
    </r>
    <r>
      <rPr>
        <sz val="9"/>
        <rFont val="Times New Roman"/>
        <family val="1"/>
      </rPr>
      <t xml:space="preserve"> Total      Amount      总共</t>
    </r>
  </si>
  <si>
    <t>ភាគទានសហជីព(ជារៀល)  Union Fee (Riel) 工会费</t>
  </si>
  <si>
    <t>តារាងកាត់លុយ 半薪</t>
  </si>
  <si>
    <t>ពន្ធលើប្រាក់បៀវត្ស
 Tax On Salary 工资税</t>
  </si>
  <si>
    <t>ទឹកប្រាក់សរុបដែលត្រូវបើក
 Net Pay 总共薪资</t>
  </si>
  <si>
    <t xml:space="preserve">   ហត្ថលេខា      Signature 签名</t>
  </si>
  <si>
    <r>
      <rPr>
        <sz val="9"/>
        <rFont val="Khmer OS Battambang"/>
      </rPr>
      <t xml:space="preserve">  សរុបរួម ​​​​​​​​​​​​​​​​​​​​​​​​​​​​​​​​​​​​​​​​​​​​​​​​​​​​​​​​​​</t>
    </r>
    <r>
      <rPr>
        <sz val="9"/>
        <rFont val="Times New Roman"/>
        <family val="1"/>
      </rPr>
      <t xml:space="preserve">           ​​​​​​​​​​​​​​​​​​​​​​​​​​       ​​​​​​​Grand Total</t>
    </r>
  </si>
  <si>
    <t>ឈប់បំណាច់ឆ្នាំ ឬច្បាប់ពិសេស AL OR SP  年假</t>
  </si>
  <si>
    <r>
      <rPr>
        <sz val="10"/>
        <rFont val="Khmer OS Battambang"/>
      </rPr>
      <t xml:space="preserve">ការឈប់សំរាក​ស៊ី​ </t>
    </r>
    <r>
      <rPr>
        <sz val="10"/>
        <rFont val="Times New Roman"/>
        <family val="1"/>
      </rPr>
      <t>50% 放半薪</t>
    </r>
  </si>
  <si>
    <t>លុយរង្វាន់ 奖金</t>
  </si>
  <si>
    <t>ច្បាប់-ឈឺ-បុណ្យSL​​​​  /PHD</t>
  </si>
  <si>
    <t>OT amount 加班餐费</t>
  </si>
  <si>
    <t>ចំនួនថែមម៉ោងOT  Hour 加班费</t>
  </si>
  <si>
    <t>អត្រា/ម៉ Rate/  hrs1 小时/$</t>
  </si>
  <si>
    <t>អត្រា/ម៉ Rate/ hrs1 小时/$</t>
  </si>
  <si>
    <t>ច្បាប់ឈឺ-បុណ្យAL/SL​​​​  /PHD</t>
  </si>
  <si>
    <t>ចំនួនប្រើ used 天数</t>
  </si>
  <si>
    <r>
      <rPr>
        <sz val="9"/>
        <rFont val="Khmer OS Battambang"/>
      </rPr>
      <t xml:space="preserve">បា្រក់បាយថ្ងៃត្រង់ </t>
    </r>
    <r>
      <rPr>
        <sz val="9"/>
        <rFont val="DaunPenh"/>
        <family val="2"/>
      </rPr>
      <t xml:space="preserve"> Food Expenses  ​交通费 10$</t>
    </r>
  </si>
  <si>
    <r>
      <t xml:space="preserve">   ហត្ថលេខា      Signature </t>
    </r>
    <r>
      <rPr>
        <sz val="11"/>
        <rFont val="Khmer OS Battambang"/>
      </rPr>
      <t>签名</t>
    </r>
  </si>
  <si>
    <r>
      <rPr>
        <sz val="10"/>
        <rFont val="Khmer OS Battambang"/>
      </rPr>
      <t xml:space="preserve">         ប្រាក់ខែសំរាប់ថ្ងៃ​ធ្វើការ​    </t>
    </r>
    <r>
      <rPr>
        <sz val="10"/>
        <rFont val="Times New Roman"/>
        <family val="1"/>
      </rPr>
      <t>BS &amp; PR  per working day 天数工资</t>
    </r>
  </si>
  <si>
    <r>
      <rPr>
        <sz val="10"/>
        <rFont val="Khmer OS Battambang"/>
      </rPr>
      <t xml:space="preserve">     ធើ្វការថែមម៉ោ </t>
    </r>
    <r>
      <rPr>
        <sz val="10"/>
        <rFont val="Times New Roman"/>
        <family val="1"/>
      </rPr>
      <t>OT Work 加班费</t>
    </r>
  </si>
  <si>
    <r>
      <t xml:space="preserve"> </t>
    </r>
    <r>
      <rPr>
        <sz val="10"/>
        <rFont val="Khmer OS Battambang"/>
      </rPr>
      <t xml:space="preserve">   ធ្វើការថ្ងៃអាទិត្រ ​</t>
    </r>
    <r>
      <rPr>
        <sz val="10"/>
        <rFont val="Times New Roman"/>
        <family val="1"/>
      </rPr>
      <t xml:space="preserve">Sunday Work  礼拜天 </t>
    </r>
  </si>
  <si>
    <r>
      <rPr>
        <sz val="10"/>
        <rFont val="Khmer OS Battambang"/>
      </rPr>
      <t>ធ្វើការថ្ងៃបុណ្យ, ​</t>
    </r>
    <r>
      <rPr>
        <sz val="10"/>
        <rFont val="Times New Roman"/>
        <family val="1"/>
      </rPr>
      <t>Holiday Work  节日</t>
    </r>
  </si>
  <si>
    <r>
      <rPr>
        <sz val="10"/>
        <rFont val="Khmer OS Battambang"/>
      </rPr>
      <t xml:space="preserve">  សរុបរួម ​​​​​​​​​​​​​​​​​​​​​​​​​​​​​​​​​​​​​​​​​​​​​​​​​​​​​​​​​​</t>
    </r>
    <r>
      <rPr>
        <sz val="10"/>
        <rFont val="Times New Roman"/>
        <family val="1"/>
      </rPr>
      <t xml:space="preserve">           ​​​​​​​​​​​​​​​​​​​​​​​​​​       ​​​​​​​Grand Total</t>
    </r>
  </si>
  <si>
    <r>
      <rPr>
        <sz val="11"/>
        <rFont val="Khmer OS Battambang"/>
      </rPr>
      <t>ចំនួនទឹកប្រាក់សរុបមិនទាន់កាត់</t>
    </r>
    <r>
      <rPr>
        <sz val="10"/>
        <rFont val="Times New Roman"/>
        <family val="1"/>
      </rPr>
      <t xml:space="preserve"> Total   Amount  总共</t>
    </r>
  </si>
  <si>
    <r>
      <rPr>
        <sz val="9"/>
        <rFont val="Khmer OS Battambang"/>
      </rPr>
      <t>ថ្លៃធ្វើដំនើរ និង ស្នាក់នៅ</t>
    </r>
    <r>
      <rPr>
        <sz val="8"/>
        <rFont val="Times New Roman"/>
        <family val="1"/>
      </rPr>
      <t>Transportation &amp; Housing Allowance $生活费 10</t>
    </r>
  </si>
  <si>
    <t xml:space="preserve">          Name                 姓名</t>
  </si>
  <si>
    <t>Starting  Date       入厂日期</t>
  </si>
  <si>
    <t>Job Title  职位</t>
  </si>
  <si>
    <r>
      <rPr>
        <sz val="8"/>
        <rFont val="Khmer OS Battambang"/>
      </rPr>
      <t>ថ្ងៃឈប់គ្មានប្រាក់ឈ្នួល</t>
    </r>
    <r>
      <rPr>
        <sz val="9"/>
        <rFont val="Times New Roman"/>
        <family val="1"/>
      </rPr>
      <t>Unpaid leave( Day)   旷工</t>
    </r>
  </si>
  <si>
    <t>ហត្ថលេខា     Signature 签名</t>
  </si>
  <si>
    <t>Starting  Date 入厂日期</t>
  </si>
  <si>
    <r>
      <rPr>
        <sz val="8"/>
        <rFont val="Khmer OS Battambang"/>
      </rPr>
      <t>ថ្ងៃឈប់គ្មានប្រាក់ឈ្នួល</t>
    </r>
    <r>
      <rPr>
        <sz val="9"/>
        <rFont val="Times New Roman"/>
        <family val="1"/>
      </rPr>
      <t>Unpaid leave   ( Day)    旷工</t>
    </r>
  </si>
  <si>
    <r>
      <rPr>
        <sz val="9"/>
        <rFont val="Khmer OS Battambang"/>
      </rPr>
      <t xml:space="preserve">ថ្លៃធ្វើដំនើរ និង ស្នាក់នៅ </t>
    </r>
    <r>
      <rPr>
        <sz val="9"/>
        <rFont val="Times New Roman"/>
        <family val="1"/>
      </rPr>
      <t>Transportation &amp; Housing Allowance  生活费 10 $</t>
    </r>
  </si>
  <si>
    <r>
      <rPr>
        <sz val="10"/>
        <rFont val="Khmer OS Battambang"/>
      </rPr>
      <t>ចំនួនទឹកប្រាក់សរុបមិនទាន់កាត់</t>
    </r>
    <r>
      <rPr>
        <sz val="10"/>
        <rFont val="Times New Roman"/>
        <family val="1"/>
      </rPr>
      <t xml:space="preserve"> Total  Amount  总共</t>
    </r>
  </si>
  <si>
    <r>
      <rPr>
        <sz val="9"/>
        <rFont val="Khmer OS Siemreap"/>
      </rPr>
      <t xml:space="preserve">សរុប​​បា្រក់
(ជាដុល្លា) 
</t>
    </r>
    <r>
      <rPr>
        <sz val="9"/>
        <rFont val="Times New Roman"/>
        <family val="1"/>
      </rPr>
      <t>Amount  (US$) 美元</t>
    </r>
  </si>
  <si>
    <t>Job Title 职位</t>
  </si>
  <si>
    <t>ID No  工号</t>
  </si>
  <si>
    <r>
      <rPr>
        <sz val="8"/>
        <rFont val="Khmer OS Battambang"/>
      </rPr>
      <t>ថ្ងៃឈប់គ្មានប្រាក់ឈ្នួល</t>
    </r>
    <r>
      <rPr>
        <sz val="8"/>
        <rFont val="Times New Roman"/>
        <family val="1"/>
      </rPr>
      <t>Unpaid leave( Day) 旷工</t>
    </r>
  </si>
  <si>
    <r>
      <rPr>
        <sz val="10"/>
        <rFont val="Khmer OS Battambang"/>
      </rPr>
      <t>ចំនួនទឹកប្រាក់សរុបមិនទាន់កាត់</t>
    </r>
    <r>
      <rPr>
        <sz val="10"/>
        <rFont val="Times New Roman"/>
        <family val="1"/>
      </rPr>
      <t xml:space="preserve"> Total   Amount   总共</t>
    </r>
  </si>
  <si>
    <r>
      <rPr>
        <sz val="9"/>
        <rFont val="Khmer OS Siemreap"/>
      </rPr>
      <t xml:space="preserve">សរុប​​បា្រក់
(ជារៀល) 
</t>
    </r>
    <r>
      <rPr>
        <sz val="9"/>
        <rFont val="Times New Roman"/>
        <family val="1"/>
      </rPr>
      <t>Amount  (Riel)  柬币</t>
    </r>
  </si>
  <si>
    <t>Name 姓名</t>
  </si>
  <si>
    <t>ទឹក​បា្រក់​ ​Amount总金额</t>
  </si>
  <si>
    <t>ទឹក​បា្រក់​Amount总金额</t>
  </si>
  <si>
    <t>ទឹក​បា្រក់​Amount 总金额</t>
  </si>
  <si>
    <t>ទឹក​បា្រក់​ ​Amount 总金额</t>
  </si>
  <si>
    <r>
      <rPr>
        <sz val="9"/>
        <rFont val="Khmer OS Battambang"/>
      </rPr>
      <t>ពន្ធលើប្រាក់បៀវត្ស</t>
    </r>
    <r>
      <rPr>
        <sz val="9"/>
        <rFont val="Khmer OS Siemreap"/>
      </rPr>
      <t xml:space="preserve">
 Tax On Salary 工资税</t>
    </r>
  </si>
  <si>
    <r>
      <rPr>
        <sz val="9"/>
        <rFont val="Khmer OS Battambang"/>
      </rPr>
      <t>ទឹកប្រាក់សរុបដែលត្រូវបើក</t>
    </r>
    <r>
      <rPr>
        <sz val="9"/>
        <rFont val="Khmer OS Siemreap"/>
      </rPr>
      <t xml:space="preserve">
 Net Pay 总共薪资</t>
    </r>
  </si>
  <si>
    <r>
      <rPr>
        <sz val="9"/>
        <rFont val="Khmer OS Battambang"/>
      </rPr>
      <t xml:space="preserve">សរុប​​បា្រក់
(ជារៀល) </t>
    </r>
    <r>
      <rPr>
        <sz val="9"/>
        <rFont val="Khmer OS Siemreap"/>
      </rPr>
      <t xml:space="preserve">
</t>
    </r>
    <r>
      <rPr>
        <sz val="9"/>
        <rFont val="Times New Roman"/>
        <family val="1"/>
      </rPr>
      <t>Amount  (Riel)  柬币</t>
    </r>
  </si>
  <si>
    <r>
      <rPr>
        <sz val="9"/>
        <rFont val="Khmer OS Battambang"/>
      </rPr>
      <t xml:space="preserve">សរុប​​បា្រក់
(ជាដុល្លា) </t>
    </r>
    <r>
      <rPr>
        <sz val="9"/>
        <rFont val="Khmer OS Siemreap"/>
      </rPr>
      <t xml:space="preserve">
</t>
    </r>
    <r>
      <rPr>
        <sz val="9"/>
        <rFont val="Times New Roman"/>
        <family val="1"/>
      </rPr>
      <t>Amount  (US$) 美元</t>
    </r>
  </si>
  <si>
    <r>
      <rPr>
        <sz val="10"/>
        <rFont val="Khmer OS Battambang"/>
      </rPr>
      <t>ពន្ធលើប្រាក់បៀវត្ស</t>
    </r>
    <r>
      <rPr>
        <sz val="10"/>
        <rFont val="Khmer OS Siemreap"/>
      </rPr>
      <t xml:space="preserve">
 Tax On Salary 工资税</t>
    </r>
  </si>
  <si>
    <r>
      <rPr>
        <sz val="9"/>
        <rFont val="Khmer OS Battambang"/>
      </rPr>
      <t>សរុប​​បា្រក់
(ជារៀល)</t>
    </r>
    <r>
      <rPr>
        <sz val="9"/>
        <rFont val="Khmer OS Siemreap"/>
      </rPr>
      <t xml:space="preserve"> 
</t>
    </r>
    <r>
      <rPr>
        <sz val="9"/>
        <rFont val="Times New Roman"/>
        <family val="1"/>
      </rPr>
      <t>Amount  (Riel)  柬币</t>
    </r>
  </si>
  <si>
    <r>
      <rPr>
        <sz val="10"/>
        <rFont val="Khmer OS Battambang"/>
      </rPr>
      <t>តារាងកាត់លុយ</t>
    </r>
    <r>
      <rPr>
        <sz val="10"/>
        <rFont val="Khmer OS Siemreap"/>
      </rPr>
      <t xml:space="preserve"> 半薪</t>
    </r>
  </si>
  <si>
    <r>
      <rPr>
        <sz val="9"/>
        <rFont val="Khmer OS Battambang"/>
      </rPr>
      <t>សរុប​​បា្រក់
(ជារៀល)</t>
    </r>
    <r>
      <rPr>
        <sz val="9"/>
        <rFont val="Khmer OS Siemreap"/>
      </rPr>
      <t xml:space="preserve"> 
</t>
    </r>
    <r>
      <rPr>
        <sz val="9"/>
        <rFont val="Times New Roman"/>
        <family val="1"/>
      </rPr>
      <t>Amount  (Riel)    柬币</t>
    </r>
  </si>
  <si>
    <r>
      <rPr>
        <sz val="9"/>
        <rFont val="Khmer OS Battambang"/>
      </rPr>
      <t>សរុប​​បា្រក់
(ជាដុល្លា)</t>
    </r>
    <r>
      <rPr>
        <sz val="9"/>
        <rFont val="Khmer OS Siemreap"/>
      </rPr>
      <t xml:space="preserve"> 
</t>
    </r>
    <r>
      <rPr>
        <sz val="9"/>
        <rFont val="Times New Roman"/>
        <family val="1"/>
      </rPr>
      <t>Amount  (US$) 美元</t>
    </r>
  </si>
  <si>
    <t>Starting  Date    入厂日期</t>
  </si>
  <si>
    <r>
      <rPr>
        <sz val="9"/>
        <rFont val="Khmer OS Battambang"/>
      </rPr>
      <t>ថ្លៃធ្វើដំនើរ និង ស្នាក់នៅ</t>
    </r>
    <r>
      <rPr>
        <sz val="9"/>
        <rFont val="Times New Roman"/>
        <family val="1"/>
      </rPr>
      <t>Transportation &amp; Housing Allowance 生活费 10$</t>
    </r>
  </si>
  <si>
    <r>
      <rPr>
        <sz val="10"/>
        <rFont val="Khmer OS Battambang"/>
      </rPr>
      <t>ចំនួនទឹកប្រាក់សរុបមិនទាន់កាត់</t>
    </r>
    <r>
      <rPr>
        <sz val="10"/>
        <rFont val="Times New Roman"/>
        <family val="1"/>
      </rPr>
      <t xml:space="preserve"> Total  Amount 总共</t>
    </r>
  </si>
  <si>
    <t>ទឹក​បា្រក់​   ​Amount 总金额</t>
  </si>
  <si>
    <t>ទឹក​បា្រក់​ Amount 总金额</t>
  </si>
  <si>
    <r>
      <rPr>
        <sz val="8"/>
        <rFont val="Khmer OS Battambang"/>
      </rPr>
      <t>ថ្លៃធ្វើដំនើរ និង ស្នាក់នៅ</t>
    </r>
    <r>
      <rPr>
        <sz val="8"/>
        <rFont val="Times New Roman"/>
        <family val="1"/>
      </rPr>
      <t>Transportation &amp; Housing Allowance 生活费 $10</t>
    </r>
  </si>
  <si>
    <r>
      <rPr>
        <sz val="9"/>
        <rFont val="Khmer OS Battambang"/>
      </rPr>
      <t xml:space="preserve">បា្រក់បាយថ្ងៃត្រង់   </t>
    </r>
    <r>
      <rPr>
        <sz val="9"/>
        <rFont val="DaunPenh"/>
        <family val="2"/>
      </rPr>
      <t xml:space="preserve"> Food Expenses​交通费 $10</t>
    </r>
  </si>
  <si>
    <t>Starting  Date  入厂日期</t>
  </si>
  <si>
    <t>Name  姓名</t>
  </si>
  <si>
    <t>Basic Salary  底薪</t>
  </si>
  <si>
    <t>ID No 工号</t>
  </si>
  <si>
    <r>
      <rPr>
        <sz val="9"/>
        <rFont val="Khmer OS Battambang"/>
      </rPr>
      <t xml:space="preserve"> ប្រាក់ខែសំរាប់ថ្ងៃ​ធ្វើការ​ </t>
    </r>
    <r>
      <rPr>
        <sz val="9"/>
        <rFont val="Times New Roman"/>
        <family val="1"/>
      </rPr>
      <t>BS &amp; PR  per working day  天数工资</t>
    </r>
  </si>
  <si>
    <r>
      <rPr>
        <sz val="10"/>
        <rFont val="Khmer OS Battambang"/>
      </rPr>
      <t xml:space="preserve">ធើ្វការថែមម៉ោ </t>
    </r>
    <r>
      <rPr>
        <sz val="10"/>
        <rFont val="Times New Roman"/>
        <family val="1"/>
      </rPr>
      <t>OT Work  加班费</t>
    </r>
  </si>
  <si>
    <r>
      <t xml:space="preserve"> </t>
    </r>
    <r>
      <rPr>
        <sz val="10"/>
        <rFont val="Khmer OS Battambang"/>
      </rPr>
      <t xml:space="preserve">   ធ្វើការថ្ងៃអាទិត្រ ​    </t>
    </r>
    <r>
      <rPr>
        <sz val="10"/>
        <rFont val="Times New Roman"/>
        <family val="1"/>
      </rPr>
      <t xml:space="preserve">  Sunday Work  礼拜天 </t>
    </r>
  </si>
  <si>
    <t xml:space="preserve"> នាម គោត្តនាម</t>
  </si>
  <si>
    <r>
      <rPr>
        <sz val="10"/>
        <rFont val="Khmer OS Battambang"/>
      </rPr>
      <t xml:space="preserve">ថៃ្ងឈប់សំរាកមាន​បា្រក់ឈ្នួ​​​​​​​​​​​​​​​​​​​​​​​​​​​​​ល </t>
    </r>
    <r>
      <rPr>
        <sz val="10"/>
        <rFont val="DaunPenh"/>
        <family val="2"/>
      </rPr>
      <t xml:space="preserve"> </t>
    </r>
    <r>
      <rPr>
        <sz val="10"/>
        <rFont val="Times New Roman"/>
        <family val="1"/>
      </rPr>
      <t xml:space="preserve"> Paid Leave 假日有工资</t>
    </r>
  </si>
  <si>
    <t>ទឹក​បា្រក់​  ​Amount​​ 总金额</t>
  </si>
  <si>
    <r>
      <rPr>
        <sz val="8"/>
        <rFont val="Khmer OS Battambang"/>
      </rPr>
      <t>ថ្ងៃឈប់គ្មានប្រាក់ឈ្នួល</t>
    </r>
    <r>
      <rPr>
        <sz val="9"/>
        <rFont val="Times New Roman"/>
        <family val="1"/>
      </rPr>
      <t>Unpaid leave( Day) 旷工</t>
    </r>
  </si>
  <si>
    <t>Total Days1 个月总天数</t>
  </si>
  <si>
    <t xml:space="preserve"> Name  姓名</t>
  </si>
  <si>
    <r>
      <rPr>
        <sz val="9"/>
        <rFont val="Khmer OS Battambang"/>
      </rPr>
      <t>ចំនួនទឹកប្រាក់សរុបមិនទាន់កាត់</t>
    </r>
    <r>
      <rPr>
        <sz val="9"/>
        <rFont val="Times New Roman"/>
        <family val="1"/>
      </rPr>
      <t xml:space="preserve"> Total  Amount 总共</t>
    </r>
  </si>
  <si>
    <r>
      <rPr>
        <sz val="10"/>
        <rFont val="Khmer OS Battambang"/>
      </rPr>
      <t xml:space="preserve"> ប្រាក់ខែសំរាប់ថ្ងៃ​ធ្វើការ​ </t>
    </r>
    <r>
      <rPr>
        <sz val="10"/>
        <rFont val="Times New Roman"/>
        <family val="1"/>
      </rPr>
      <t>BS &amp; PR  per working day 天数工资</t>
    </r>
  </si>
  <si>
    <r>
      <rPr>
        <sz val="10"/>
        <rFont val="Khmer OS Battambang"/>
      </rPr>
      <t xml:space="preserve">ធើ្វការថែមម៉ោ </t>
    </r>
    <r>
      <rPr>
        <sz val="10"/>
        <rFont val="Times New Roman"/>
        <family val="1"/>
      </rPr>
      <t>OT Work 加班费</t>
    </r>
  </si>
  <si>
    <t>ទឹកប្រាក់ Amount 总金额</t>
  </si>
  <si>
    <r>
      <rPr>
        <sz val="10"/>
        <rFont val="Khmer OS Siemreap"/>
      </rPr>
      <t xml:space="preserve">សរុប​​បា្រក់
(ជារៀល) 
</t>
    </r>
    <r>
      <rPr>
        <sz val="10"/>
        <rFont val="Times New Roman"/>
        <family val="1"/>
      </rPr>
      <t>Amount  (Riel)  柬币</t>
    </r>
  </si>
  <si>
    <r>
      <rPr>
        <sz val="10"/>
        <rFont val="Khmer OS Siemreap"/>
      </rPr>
      <t xml:space="preserve">សរុប​​បា្រក់
(ជាដុល្លា) 
</t>
    </r>
    <r>
      <rPr>
        <sz val="10"/>
        <rFont val="Times New Roman"/>
        <family val="1"/>
      </rPr>
      <t>Amount  (US$) 美元</t>
    </r>
  </si>
  <si>
    <r>
      <rPr>
        <sz val="10"/>
        <rFont val="Khmer OS Battambang"/>
      </rPr>
      <t xml:space="preserve">ប្រាក់ខែសំរាប់ថ្ងៃ​ធ្វើការ​ </t>
    </r>
    <r>
      <rPr>
        <sz val="10"/>
        <rFont val="Times New Roman"/>
        <family val="1"/>
      </rPr>
      <t>BS &amp; PR  per working day 天数工资</t>
    </r>
  </si>
  <si>
    <r>
      <rPr>
        <sz val="10"/>
        <rFont val="Khmer OS Battambang"/>
      </rPr>
      <t>ធ្វើការថ្ងៃបុណ្យ, ​</t>
    </r>
    <r>
      <rPr>
        <sz val="10"/>
        <rFont val="Times New Roman"/>
        <family val="1"/>
      </rPr>
      <t xml:space="preserve">Holiday Work 节日 </t>
    </r>
  </si>
  <si>
    <r>
      <t xml:space="preserve"> </t>
    </r>
    <r>
      <rPr>
        <sz val="10"/>
        <rFont val="Khmer OS Battambang"/>
      </rPr>
      <t xml:space="preserve">   ធ្វើការថ្ងៃអាទិត្រ ​    </t>
    </r>
    <r>
      <rPr>
        <sz val="10"/>
        <rFont val="Times New Roman"/>
        <family val="1"/>
      </rPr>
      <t xml:space="preserve">  Sunday Work  礼拜天</t>
    </r>
  </si>
  <si>
    <r>
      <rPr>
        <sz val="10"/>
        <rFont val="Khmer OS Battambang"/>
      </rPr>
      <t>ថៃ្ងឈប់សំរាកមាន​បា្រក់ឈ្ន​​​​​​​​​​​​​​​​​​​​​​​​​​​​​ល</t>
    </r>
    <r>
      <rPr>
        <sz val="10"/>
        <rFont val="Times New Roman"/>
        <family val="1"/>
      </rPr>
      <t xml:space="preserve"> Paid Leave 假日有工资</t>
    </r>
  </si>
  <si>
    <r>
      <rPr>
        <sz val="9"/>
        <rFont val="Khmer OS Battambang"/>
      </rPr>
      <t>ចំនួនទឹកប្រាក់សរុបមិនទាន់កាត់</t>
    </r>
    <r>
      <rPr>
        <sz val="9"/>
        <rFont val="Times New Roman"/>
        <family val="1"/>
      </rPr>
      <t xml:space="preserve"> Total Amount 总共</t>
    </r>
  </si>
  <si>
    <t xml:space="preserve"> Name 姓名</t>
  </si>
  <si>
    <t>ទឹក​បា្រក់​                ​Amount 总金额</t>
  </si>
  <si>
    <r>
      <rPr>
        <sz val="9"/>
        <rFont val="Khmer OS Battambang"/>
      </rPr>
      <t>បា្រក់បាយថ្ងៃត្រង់</t>
    </r>
    <r>
      <rPr>
        <sz val="9"/>
        <rFont val="DaunPenh"/>
        <family val="2"/>
      </rPr>
      <t xml:space="preserve"> Food Expenses ​交通费 10$</t>
    </r>
  </si>
  <si>
    <r>
      <rPr>
        <sz val="9"/>
        <rFont val="Khmer OS Battambang"/>
      </rPr>
      <t xml:space="preserve">ប្រាក់ខែសំរាប់ថ្ងៃ​ធ្វើការ​ </t>
    </r>
    <r>
      <rPr>
        <sz val="9"/>
        <rFont val="Times New Roman"/>
        <family val="1"/>
      </rPr>
      <t>BS &amp; PR  per working day 天数工资</t>
    </r>
  </si>
  <si>
    <r>
      <rPr>
        <sz val="10"/>
        <rFont val="Khmer OS Battambang"/>
      </rPr>
      <t xml:space="preserve">ប្រាក់ខែសំរាប់ថ្ងៃ​ធ្វើការ​ </t>
    </r>
    <r>
      <rPr>
        <sz val="10"/>
        <rFont val="Times New Roman"/>
        <family val="1"/>
      </rPr>
      <t>BS &amp; PR  per working day  天数工资</t>
    </r>
  </si>
  <si>
    <r>
      <rPr>
        <sz val="10"/>
        <rFont val="Khmer OS Battambang"/>
      </rPr>
      <t>ធ្វើការថ្ងៃអាទិត្រ ​</t>
    </r>
    <r>
      <rPr>
        <sz val="10"/>
        <rFont val="Times New Roman"/>
        <family val="1"/>
      </rPr>
      <t>Sunday Work 礼拜天</t>
    </r>
  </si>
  <si>
    <r>
      <rPr>
        <sz val="10"/>
        <rFont val="Khmer OS Battambang"/>
      </rPr>
      <t xml:space="preserve">ថៃ្ងឈប់សំរាកមាន​បា្រក់ឈ្ន​​​​​​​​​​​​​​​​​​​​​​​​​​​​​ល </t>
    </r>
    <r>
      <rPr>
        <sz val="10"/>
        <rFont val="Times New Roman"/>
        <family val="1"/>
      </rPr>
      <t>Paid Leave 假日有工资</t>
    </r>
  </si>
  <si>
    <r>
      <t xml:space="preserve"> </t>
    </r>
    <r>
      <rPr>
        <sz val="10"/>
        <rFont val="Khmer OS Battambang"/>
      </rPr>
      <t xml:space="preserve">   ធ្វើការថ្ងៃអាទិត្រ ​    </t>
    </r>
    <r>
      <rPr>
        <sz val="10"/>
        <rFont val="Times New Roman"/>
        <family val="1"/>
      </rPr>
      <t xml:space="preserve">  Sunday Work 礼拜天</t>
    </r>
  </si>
  <si>
    <r>
      <rPr>
        <sz val="10"/>
        <rFont val="Khmer OS Battambang"/>
      </rPr>
      <t>ថៃ្ងឈប់សំរាកមាន​បា្រក់ឈ្ន​​​​​​​​​​​​​​​​​​​​​​​​​​​​​ល</t>
    </r>
    <r>
      <rPr>
        <sz val="10"/>
        <rFont val="Times New Roman"/>
        <family val="1"/>
      </rPr>
      <t>Paid Leave 假日有工资</t>
    </r>
  </si>
  <si>
    <r>
      <rPr>
        <sz val="10"/>
        <rFont val="Khmer OS Battambang"/>
      </rPr>
      <t xml:space="preserve">ធ្វើការថ្ងៃអាទិត្រ </t>
    </r>
    <r>
      <rPr>
        <sz val="10"/>
        <rFont val="Times New Roman"/>
        <family val="1"/>
      </rPr>
      <t>Sunday Work 礼拜天</t>
    </r>
  </si>
  <si>
    <t xml:space="preserve">   ហត្ថលេខា Signature 签名</t>
  </si>
  <si>
    <r>
      <rPr>
        <sz val="10"/>
        <rFont val="Khmer OS Battambang"/>
      </rPr>
      <t xml:space="preserve">  សរុបរួម ​​​​​​​​​​​​​​​​​​​​​​​​​​​​​​​​​​​​​​​​​​​​​​​​​​​​​​​​​​</t>
    </r>
    <r>
      <rPr>
        <sz val="10"/>
        <rFont val="Times New Roman"/>
        <family val="1"/>
      </rPr>
      <t xml:space="preserve"> ​​​​​​​​​​​​​Grand Total</t>
    </r>
  </si>
  <si>
    <t>ចំនួនថែមម៉ោងOTHour-加班费</t>
  </si>
  <si>
    <t>អត្រា/ម៉ Rate/hrs1 小时/$</t>
  </si>
  <si>
    <r>
      <rPr>
        <sz val="9"/>
        <rFont val="Khmer OS Battambang"/>
      </rPr>
      <t xml:space="preserve">បា្រក់បាយថ្ងៃត្រង់ </t>
    </r>
    <r>
      <rPr>
        <sz val="9"/>
        <rFont val="DaunPenh"/>
        <family val="2"/>
      </rPr>
      <t>Food Expenses​交通费 10$</t>
    </r>
  </si>
  <si>
    <r>
      <rPr>
        <sz val="8"/>
        <rFont val="Khmer OS Battambang"/>
      </rPr>
      <t>ថ្លៃធ្វើដំនើរ និង ស្នាក់នៅ</t>
    </r>
    <r>
      <rPr>
        <sz val="8"/>
        <rFont val="Times New Roman"/>
        <family val="1"/>
      </rPr>
      <t>Transportation &amp; Housing Allowance 生活费  $10</t>
    </r>
  </si>
  <si>
    <r>
      <rPr>
        <sz val="9"/>
        <rFont val="Khmer OS Battambang"/>
      </rPr>
      <t xml:space="preserve">បា្រក់បាយថ្ងៃត្រង់ </t>
    </r>
    <r>
      <rPr>
        <sz val="9"/>
        <rFont val="DaunPenh"/>
        <family val="2"/>
      </rPr>
      <t>Food Expenses ​交通费 10$</t>
    </r>
  </si>
  <si>
    <r>
      <rPr>
        <sz val="9"/>
        <rFont val="Khmer OS Battambang"/>
      </rPr>
      <t>ចំនួនទឹកប្រាក់សរុបមិនទាន់កាត់</t>
    </r>
    <r>
      <rPr>
        <sz val="9"/>
        <rFont val="Times New Roman"/>
        <family val="1"/>
      </rPr>
      <t xml:space="preserve"> Total Amount  总共</t>
    </r>
  </si>
  <si>
    <t>ហត្ថលេខា  Signature 签名</t>
  </si>
  <si>
    <r>
      <rPr>
        <sz val="10"/>
        <rFont val="Khmer OS Battambang"/>
      </rPr>
      <t>ធ្វើការថ្ងៃបុណ្យ, ​</t>
    </r>
    <r>
      <rPr>
        <sz val="10"/>
        <rFont val="Times New Roman"/>
        <family val="1"/>
      </rPr>
      <t xml:space="preserve">Holiday Work  节日 </t>
    </r>
  </si>
  <si>
    <r>
      <rPr>
        <sz val="10"/>
        <rFont val="Khmer OS Battambang"/>
      </rPr>
      <t>ធ្វើការថ្ងៃអាទិត្រ  ​</t>
    </r>
    <r>
      <rPr>
        <sz val="10"/>
        <rFont val="Times New Roman"/>
        <family val="1"/>
      </rPr>
      <t>Sunday Work 礼拜天</t>
    </r>
  </si>
  <si>
    <r>
      <rPr>
        <sz val="8"/>
        <rFont val="Khmer OS Battambang"/>
      </rPr>
      <t>ថ្លៃធ្វើដំនើរ និង ស្នាក់នៅ</t>
    </r>
    <r>
      <rPr>
        <sz val="8"/>
        <rFont val="Times New Roman"/>
        <family val="1"/>
      </rPr>
      <t>Transportation &amp; Housing Allowance 生活费$10</t>
    </r>
  </si>
  <si>
    <r>
      <rPr>
        <sz val="10"/>
        <rFont val="Khmer OS Battambang"/>
      </rPr>
      <t xml:space="preserve">ថៃ្ងឈប់សំរាកមាន​បា្រក់ឈ្ន​​​​​​​​​​​​​​​​​​​​​​​​​​​​​ល </t>
    </r>
    <r>
      <rPr>
        <sz val="10"/>
        <rFont val="Times New Roman"/>
        <family val="1"/>
      </rPr>
      <t xml:space="preserve"> Paid Leave 假日有工资</t>
    </r>
  </si>
  <si>
    <r>
      <rPr>
        <sz val="10"/>
        <rFont val="Khmer OS Battambang"/>
      </rPr>
      <t>ធ្វើការថ្ងៃអាទិត្រ ​</t>
    </r>
    <r>
      <rPr>
        <sz val="10"/>
        <rFont val="Times New Roman"/>
        <family val="1"/>
      </rPr>
      <t xml:space="preserve">Sunday Work  礼拜天 </t>
    </r>
  </si>
  <si>
    <r>
      <rPr>
        <sz val="10"/>
        <rFont val="Khmer OS Battambang"/>
      </rPr>
      <t xml:space="preserve">ថៃ្ងឈប់សំរាកមាន​បា្រក់ឈ្ន​​​​​​​​​​​​​​​​​​​​​​​​​​​​​ល </t>
    </r>
    <r>
      <rPr>
        <sz val="10"/>
        <rFont val="DaunPenh"/>
        <family val="2"/>
      </rPr>
      <t xml:space="preserve"> </t>
    </r>
    <r>
      <rPr>
        <sz val="10"/>
        <rFont val="Times New Roman"/>
        <family val="1"/>
      </rPr>
      <t>Paid Leave 假日有工资</t>
    </r>
  </si>
  <si>
    <t>ID No   工号</t>
  </si>
  <si>
    <r>
      <rPr>
        <sz val="8"/>
        <rFont val="Khmer OS Battambang"/>
      </rPr>
      <t>ថ្ងៃឈប់គ្មានប្រាក់ឈ្នួល</t>
    </r>
    <r>
      <rPr>
        <sz val="9"/>
        <rFont val="Times New Roman"/>
        <family val="1"/>
      </rPr>
      <t>Unpaid leave( Day)  旷工</t>
    </r>
  </si>
  <si>
    <t>C028</t>
  </si>
  <si>
    <t>WC030</t>
  </si>
  <si>
    <t>សាន វិរះ</t>
  </si>
  <si>
    <r>
      <t>合</t>
    </r>
    <r>
      <rPr>
        <sz val="20"/>
        <rFont val="Limon S2"/>
      </rPr>
      <t xml:space="preserve"> </t>
    </r>
    <r>
      <rPr>
        <sz val="20"/>
        <rFont val="宋体"/>
        <family val="3"/>
        <charset val="134"/>
      </rPr>
      <t>計</t>
    </r>
    <r>
      <rPr>
        <sz val="20"/>
        <rFont val="Limon S2"/>
      </rPr>
      <t>srub</t>
    </r>
  </si>
  <si>
    <t>071-8115655</t>
  </si>
  <si>
    <t>Nhim srey thoch</t>
  </si>
  <si>
    <t>081-765883</t>
  </si>
  <si>
    <t>62175294</t>
  </si>
  <si>
    <t>Tay Sopheng</t>
  </si>
  <si>
    <t>Hat Heng</t>
  </si>
  <si>
    <t>ទ្រី សុខី</t>
  </si>
  <si>
    <t>Try sokne</t>
  </si>
  <si>
    <t>មួន និត</t>
  </si>
  <si>
    <t>70260450</t>
  </si>
  <si>
    <t>Chum Sokhoeun</t>
  </si>
  <si>
    <t>80061882</t>
  </si>
  <si>
    <t>101376682</t>
  </si>
  <si>
    <t>30985095</t>
  </si>
  <si>
    <t>100874017</t>
  </si>
  <si>
    <t>100757154</t>
  </si>
  <si>
    <t>10463404</t>
  </si>
  <si>
    <t>30827539</t>
  </si>
  <si>
    <t>61821656</t>
  </si>
  <si>
    <t>110573783</t>
  </si>
  <si>
    <t>21183024</t>
  </si>
  <si>
    <t>ប្រាក់សោធននិវត្តិន៍ 退休费</t>
  </si>
  <si>
    <t>($)</t>
  </si>
  <si>
    <t xml:space="preserve">      LUCIDA (CAMBODIA) ENTERPRISE CO.,LTD</t>
  </si>
  <si>
    <t>OFFICE</t>
  </si>
  <si>
    <r>
      <t xml:space="preserve">អត្រាប្តូរប្រាក់
</t>
    </r>
    <r>
      <rPr>
        <sz val="10"/>
        <color theme="1"/>
        <rFont val="Times New Roman"/>
        <family val="1"/>
      </rPr>
      <t xml:space="preserve">Exchange Rate   汇率 </t>
    </r>
    <r>
      <rPr>
        <sz val="10"/>
        <color theme="1"/>
        <rFont val="Khmer OS Muol Light"/>
      </rPr>
      <t>(៛)</t>
    </r>
  </si>
  <si>
    <r>
      <t xml:space="preserve">ថ្ងៃខែឆ្នាំកំណើត </t>
    </r>
    <r>
      <rPr>
        <sz val="10"/>
        <rFont val="Times New Roman"/>
        <family val="1"/>
      </rPr>
      <t xml:space="preserve"> Date of birth   出生日期</t>
    </r>
  </si>
  <si>
    <r>
      <t>ថ្ងៃខែឆ្នាំបច្ចុប្បន្ន</t>
    </r>
    <r>
      <rPr>
        <sz val="10"/>
        <rFont val="Times New Roman"/>
        <family val="1"/>
      </rPr>
      <t xml:space="preserve"> Current date  当前的日期</t>
    </r>
  </si>
  <si>
    <r>
      <t xml:space="preserve">ទឹកប្រាក់សរុប​​​​  </t>
    </r>
    <r>
      <rPr>
        <sz val="10"/>
        <color theme="1"/>
        <rFont val="Times New Roman"/>
        <family val="1"/>
      </rPr>
      <t>Total Amount    总共 ($)</t>
    </r>
  </si>
  <si>
    <r>
      <t>ប្រាក់សោធននិវត្តិន៍</t>
    </r>
    <r>
      <rPr>
        <sz val="11"/>
        <color theme="1"/>
        <rFont val="Khmer OS Muol Light"/>
      </rPr>
      <t xml:space="preserve"> P</t>
    </r>
    <r>
      <rPr>
        <sz val="11"/>
        <color theme="1"/>
        <rFont val="Times New Roman"/>
        <family val="1"/>
      </rPr>
      <t>ension</t>
    </r>
    <r>
      <rPr>
        <sz val="11"/>
        <color theme="1"/>
        <rFont val="Khmer OS Muol Light"/>
      </rPr>
      <t xml:space="preserve">  </t>
    </r>
    <r>
      <rPr>
        <sz val="10"/>
        <color theme="1"/>
        <rFont val="Khmer OS Muol Light"/>
      </rPr>
      <t>退休费(៛)</t>
    </r>
  </si>
  <si>
    <t>ប្រាក់សោធននិវត្តិន៍ Pension   退休费($)</t>
  </si>
  <si>
    <t>ប្រាក់បាយថ្ងៃត្រង់   交通费 10$</t>
  </si>
  <si>
    <t>ប្រាក់ថ្លៃធ្វើដំណើរ生活费$10</t>
  </si>
  <si>
    <t>ប្រាក់សោធននិវត្តិន៏ 退休费</t>
  </si>
  <si>
    <t>សរុបទឹកប្រាក់     总共$</t>
  </si>
  <si>
    <t>S5_505</t>
  </si>
  <si>
    <t>គឿន រ៉ុន</t>
  </si>
  <si>
    <t>097-4800195</t>
  </si>
  <si>
    <t>Koeur​n​ Ron</t>
  </si>
  <si>
    <t>QC1_ 781</t>
  </si>
  <si>
    <t>ភុន សាវន់</t>
  </si>
  <si>
    <t>097-3082518</t>
    <phoneticPr fontId="172" type="noConversion"/>
  </si>
  <si>
    <t>Phun Savun</t>
    <phoneticPr fontId="172" type="noConversion"/>
  </si>
  <si>
    <t>F</t>
    <phoneticPr fontId="172" type="noConversion"/>
  </si>
  <si>
    <t xml:space="preserve"> </t>
  </si>
  <si>
    <t>SUB TOTAL</t>
  </si>
  <si>
    <t>ហ៊ុន គឹមល័ក្ខណា</t>
  </si>
  <si>
    <t>Hun Koemleakhana</t>
    <phoneticPr fontId="173" type="noConversion"/>
  </si>
  <si>
    <t>ថ្លៃទឹកដោះគោកូន</t>
  </si>
  <si>
    <t>喂奶费</t>
  </si>
  <si>
    <t>ថ្លៃទឹកដោះគោកូន 喂奶费</t>
  </si>
  <si>
    <t>ប្រាក់បាយថែមម៉ោង</t>
  </si>
  <si>
    <t>ក្រុមហ៊ុន លូស៊ីដា​ (ខេមបូឌា)​ អេនធើប្រាយ</t>
  </si>
  <si>
    <t>ពន្ធលើប្រាក់បៀវត្តន៍</t>
  </si>
  <si>
    <t>សហាជីព工会费</t>
  </si>
  <si>
    <t>លុយរង្វាន់  AR/AP  Others奖金</t>
  </si>
  <si>
    <t>លុយរង្វាន់  AR/AP  Others 奖金</t>
  </si>
  <si>
    <t>年假表， 2023年</t>
  </si>
  <si>
    <t>OF 062</t>
  </si>
  <si>
    <t>ម៉ី ស្រីនាង</t>
  </si>
  <si>
    <t>គិលានុដ្ឋាយិកា
護士</t>
  </si>
  <si>
    <t>'011171387</t>
  </si>
  <si>
    <t>010-635205</t>
  </si>
  <si>
    <t>srey Neang</t>
  </si>
  <si>
    <t>ប្រាក់បៀវត្តន៏យកទៅប្រកាសពន្ធ</t>
  </si>
  <si>
    <t>ជំ.គណនេយ្យ
Account</t>
  </si>
  <si>
    <t>S5_203</t>
  </si>
  <si>
    <t>ត្រុង ចាន់ធឿន</t>
  </si>
  <si>
    <t>089-233620</t>
  </si>
  <si>
    <t>ការចំណាយប្រចាំខែសម្រាប់កម្មករ</t>
  </si>
  <si>
    <t>Wearhouse</t>
  </si>
  <si>
    <t>P335</t>
  </si>
  <si>
    <t>P337</t>
  </si>
  <si>
    <t>P339</t>
  </si>
  <si>
    <t>P341</t>
  </si>
  <si>
    <t>P343</t>
  </si>
  <si>
    <t>P344</t>
  </si>
  <si>
    <t>P345</t>
  </si>
  <si>
    <t>P346</t>
  </si>
  <si>
    <t>ហៀងឧត្តមបញ្ញា</t>
  </si>
  <si>
    <t>បានមនោ</t>
  </si>
  <si>
    <t>វង់អ៊ីសាង</t>
  </si>
  <si>
    <t>នួនចំរើន</t>
  </si>
  <si>
    <t>ទឹមស្រីលី</t>
  </si>
  <si>
    <t>ពៅសំអុល</t>
  </si>
  <si>
    <t>សុនរ៉េន</t>
  </si>
  <si>
    <t>គឹមកញ្ញា</t>
  </si>
  <si>
    <t>Heang Odompanha</t>
  </si>
  <si>
    <t>Ban Monao</t>
  </si>
  <si>
    <t>Vong Eseang</t>
  </si>
  <si>
    <t>Nuon Chamroeun</t>
  </si>
  <si>
    <t xml:space="preserve">Tim Sreyly </t>
  </si>
  <si>
    <t>Pov Sam ol</t>
  </si>
  <si>
    <t>Son Ren</t>
  </si>
  <si>
    <t>Kim Kanha</t>
  </si>
  <si>
    <t>071-6517941</t>
  </si>
  <si>
    <t>097-6365141</t>
  </si>
  <si>
    <t>096-8420843</t>
  </si>
  <si>
    <t>096-8393980</t>
  </si>
  <si>
    <t>096-9215641</t>
  </si>
  <si>
    <t>015-439675</t>
  </si>
  <si>
    <t>012-715183</t>
  </si>
  <si>
    <t>093-402568</t>
  </si>
  <si>
    <t>097-6113765</t>
  </si>
  <si>
    <t>T-022</t>
  </si>
  <si>
    <t>ឌីន ស្រីតូច</t>
  </si>
  <si>
    <t>Din Sreytouch</t>
  </si>
  <si>
    <t>S6_197</t>
  </si>
  <si>
    <t>សំ ដានី</t>
  </si>
  <si>
    <t>QCP_199</t>
  </si>
  <si>
    <t>ថៃ ម៉ាលីន</t>
  </si>
  <si>
    <t>160548900</t>
  </si>
  <si>
    <t>40176968</t>
  </si>
  <si>
    <t>62336026</t>
  </si>
  <si>
    <t>120040909</t>
  </si>
  <si>
    <t>90916600</t>
  </si>
  <si>
    <t>51214429</t>
  </si>
  <si>
    <t>90670968</t>
  </si>
  <si>
    <t>11001736</t>
  </si>
  <si>
    <t>31037902</t>
  </si>
  <si>
    <t>Sam Dany</t>
  </si>
  <si>
    <t>0966241408</t>
  </si>
  <si>
    <t>110504259</t>
  </si>
  <si>
    <t>Thia Malin</t>
    <phoneticPr fontId="170" type="noConversion"/>
  </si>
  <si>
    <t>F</t>
    <phoneticPr fontId="170" type="noConversion"/>
  </si>
  <si>
    <t>097-9782810</t>
    <phoneticPr fontId="170" type="noConversion"/>
  </si>
  <si>
    <t>S1_201</t>
  </si>
  <si>
    <t>សយ លី</t>
  </si>
  <si>
    <t>S1_210</t>
  </si>
  <si>
    <t>ហង្ស ចំរើន</t>
  </si>
  <si>
    <t>SORY LY</t>
  </si>
  <si>
    <t>HANG CHAMROEUN</t>
  </si>
  <si>
    <t>078495234</t>
  </si>
  <si>
    <t>070818979</t>
  </si>
  <si>
    <t>PP</t>
  </si>
  <si>
    <t>នួន ចំរើន</t>
  </si>
  <si>
    <t>ទឹម ស្រីលី</t>
  </si>
  <si>
    <t>ពៅ សំអុល</t>
  </si>
  <si>
    <t>សុន រ៉េន</t>
  </si>
  <si>
    <t>គឹម កញ្ញា</t>
  </si>
  <si>
    <t>វង់ អ៊ីសាង</t>
  </si>
  <si>
    <t>បាន មនោ</t>
  </si>
  <si>
    <t>ហៀង ឧត្តមបញ្ញា</t>
  </si>
  <si>
    <t>P258</t>
  </si>
  <si>
    <t>វង សុភី</t>
  </si>
  <si>
    <t>Vong Sophy</t>
    <phoneticPr fontId="171" type="noConversion"/>
  </si>
  <si>
    <t>011-758100</t>
    <phoneticPr fontId="171" type="noConversion"/>
  </si>
  <si>
    <t>ស៊ន ស៊្រាង</t>
  </si>
  <si>
    <r>
      <rPr>
        <sz val="10"/>
        <rFont val="Khmer OS Battambang"/>
      </rPr>
      <t xml:space="preserve">  សរុបរួម ​​​​​​​​​​​​​​​​​​​​​​​​​​​​​​​​​​​​​​​​​​​​​​​​​​​​​​​​​​</t>
    </r>
    <r>
      <rPr>
        <sz val="10"/>
        <rFont val="Times New Roman"/>
        <family val="1"/>
      </rPr>
      <t xml:space="preserve">           ​​​​​​​​​​​​​​​​​​Grand Total</t>
    </r>
  </si>
  <si>
    <r>
      <rPr>
        <sz val="11"/>
        <rFont val="Khmer OS Battambang"/>
      </rPr>
      <t xml:space="preserve">  សរុបរួម ​​​​​​​​​​​​​​​​​​​​​​​​​​​​​​​​​​​​​​​​​​​​​​​​​​​​​​​​​​</t>
    </r>
    <r>
      <rPr>
        <sz val="11"/>
        <rFont val="Times New Roman"/>
        <family val="1"/>
      </rPr>
      <t xml:space="preserve">           ​​​​​​​​​​​​​​​​​​​​​​​​​​       ​​​​​​​Grand Total</t>
    </r>
  </si>
  <si>
    <r>
      <rPr>
        <sz val="12"/>
        <rFont val="Khmer OS Battambang"/>
      </rPr>
      <t xml:space="preserve">  សរុបរួម ​​​​​​​​​​​​​​​​​​​​​​​​​​​​​​​​​​​​​​​​​​​​​​​​​​​​​​​</t>
    </r>
    <r>
      <rPr>
        <sz val="12"/>
        <rFont val="Times New Roman"/>
        <family val="1"/>
      </rPr>
      <t>Grand Total</t>
    </r>
  </si>
  <si>
    <r>
      <rPr>
        <sz val="12"/>
        <rFont val="Khmer OS Battambang"/>
      </rPr>
      <t xml:space="preserve">  សរុបរួម ​​​​​​​​​​​​​​​​​​​​​​​​​​​​​​​​​​​​​​​​​​​​​​​​​​​​​​​​​ </t>
    </r>
    <r>
      <rPr>
        <sz val="12"/>
        <rFont val="Times New Roman"/>
        <family val="1"/>
      </rPr>
      <t>​​​​​​​​​​​​​​​​​​​​​​​​​​Grand Total</t>
    </r>
  </si>
  <si>
    <r>
      <rPr>
        <sz val="11"/>
        <rFont val="Khmer OS Battambang"/>
      </rPr>
      <t xml:space="preserve">  សរុបរួម ​​​​​​​​​​​​​​​​​​​​​​​​​​​​​​​​​​​​​​​​​​​​​​​​​​​​​​​​​</t>
    </r>
    <r>
      <rPr>
        <sz val="11"/>
        <rFont val="Times New Roman"/>
        <family val="1"/>
      </rPr>
      <t>​​​​ ​​Grand Total</t>
    </r>
  </si>
  <si>
    <t>101287758</t>
  </si>
  <si>
    <t>11056133</t>
  </si>
  <si>
    <t>S6_627</t>
  </si>
  <si>
    <t>ជា រដ្ឋា</t>
  </si>
  <si>
    <t>Chea Ratha</t>
    <phoneticPr fontId="171" type="noConversion"/>
  </si>
  <si>
    <t>F</t>
    <phoneticPr fontId="171" type="noConversion"/>
  </si>
  <si>
    <t>061-750240</t>
    <phoneticPr fontId="171" type="noConversion"/>
  </si>
  <si>
    <t>C107</t>
  </si>
  <si>
    <t>អាន ផល្លា</t>
  </si>
  <si>
    <t>An Phalla</t>
  </si>
  <si>
    <t>ផា ចំណាប់</t>
  </si>
  <si>
    <t>Pha Channab</t>
  </si>
  <si>
    <t>070-525924</t>
  </si>
  <si>
    <t>T_023</t>
  </si>
  <si>
    <t>មួង អាត</t>
  </si>
  <si>
    <t>Moung Art</t>
  </si>
  <si>
    <t>096-5440096</t>
  </si>
  <si>
    <t>S6_193</t>
  </si>
  <si>
    <t>ស៊ាង ចន្ទរ៉ា</t>
  </si>
  <si>
    <t>Siang Chanra</t>
  </si>
  <si>
    <t>F</t>
    <phoneticPr fontId="170" type="noConversion"/>
  </si>
  <si>
    <t>0979174385</t>
  </si>
  <si>
    <t>250139805</t>
  </si>
  <si>
    <t>Throng Chanthoeun</t>
  </si>
  <si>
    <t>0978670416</t>
  </si>
  <si>
    <t>110489834</t>
  </si>
  <si>
    <t>S1_211</t>
  </si>
  <si>
    <t>ពៅសុខលី</t>
  </si>
  <si>
    <t>POV SOKLY</t>
  </si>
  <si>
    <t>096-7857597</t>
  </si>
  <si>
    <t>S3_094</t>
  </si>
  <si>
    <t>ហុន សុគន្ធា</t>
  </si>
  <si>
    <t>S3_098</t>
  </si>
  <si>
    <t>គឹម នាង</t>
  </si>
  <si>
    <t>070-547102</t>
  </si>
  <si>
    <t>097-8603139</t>
  </si>
  <si>
    <t>HON SOKHUNTHEA</t>
  </si>
  <si>
    <t>KHIM NEANG</t>
  </si>
  <si>
    <t>S5_1000</t>
  </si>
  <si>
    <t>ហៀន សុខនិច</t>
  </si>
  <si>
    <t>HEAN SOKNICH</t>
  </si>
  <si>
    <t>096-2164545</t>
  </si>
  <si>
    <t>030652722</t>
  </si>
  <si>
    <t>QC6_864</t>
  </si>
  <si>
    <t>Yam Sara</t>
  </si>
  <si>
    <t>096-286573</t>
  </si>
  <si>
    <t>020711855</t>
  </si>
  <si>
    <t>យុំា សារ៉ា</t>
  </si>
  <si>
    <t>T_024</t>
  </si>
  <si>
    <t>ជួប រ៉ាម៉ាញ</t>
  </si>
  <si>
    <t>Chuob Ramanh</t>
  </si>
  <si>
    <t>051370695</t>
  </si>
  <si>
    <t>051580877</t>
  </si>
  <si>
    <t>050785459</t>
  </si>
  <si>
    <t>051372048</t>
  </si>
  <si>
    <t>096-4618152</t>
  </si>
  <si>
    <t>061960336</t>
  </si>
  <si>
    <t>Khon Sok An</t>
  </si>
  <si>
    <t>S3_101</t>
  </si>
  <si>
    <t>កន សុខអាន</t>
  </si>
  <si>
    <t>160377843</t>
  </si>
  <si>
    <t>031065794</t>
  </si>
  <si>
    <t>150899838</t>
  </si>
  <si>
    <t>S6_865</t>
  </si>
  <si>
    <t>ហឿន ស្រីនាង</t>
  </si>
  <si>
    <t>Hoeurn SreyNeang</t>
  </si>
  <si>
    <t>096-5491688</t>
  </si>
  <si>
    <t>061908143</t>
  </si>
  <si>
    <t>OF 053</t>
  </si>
  <si>
    <t>បានស្រីលីម</t>
  </si>
  <si>
    <t>071-968 1666</t>
  </si>
  <si>
    <t>Ban Sreylim</t>
  </si>
  <si>
    <t>PP_190</t>
  </si>
  <si>
    <t>PP 087</t>
  </si>
  <si>
    <t>PP 165</t>
  </si>
  <si>
    <t>PP 174</t>
  </si>
  <si>
    <t>PP 177</t>
  </si>
  <si>
    <t>PP 184</t>
  </si>
  <si>
    <t>PP 187</t>
  </si>
  <si>
    <t>PP 190</t>
  </si>
  <si>
    <t>Starting  Date                入厂日期</t>
  </si>
  <si>
    <t>S3 328</t>
  </si>
  <si>
    <t>T 022</t>
  </si>
  <si>
    <t>T 023</t>
  </si>
  <si>
    <t>T 024</t>
  </si>
  <si>
    <t>PP187</t>
  </si>
  <si>
    <t>QC1 781</t>
  </si>
  <si>
    <t>QC5 860</t>
  </si>
  <si>
    <t>QC6 864</t>
  </si>
  <si>
    <t>QCP 182</t>
  </si>
  <si>
    <t>QCP 199</t>
  </si>
  <si>
    <t>QCP 301</t>
  </si>
  <si>
    <t>S6 197</t>
  </si>
  <si>
    <t>S6 284</t>
  </si>
  <si>
    <t>S6 317</t>
  </si>
  <si>
    <t>S6 319</t>
  </si>
  <si>
    <t>S6 627</t>
  </si>
  <si>
    <t>S6 865</t>
  </si>
  <si>
    <t>S5 203</t>
  </si>
  <si>
    <t>S5 490</t>
  </si>
  <si>
    <t>S5 499</t>
  </si>
  <si>
    <t>S5 500</t>
  </si>
  <si>
    <t>S5 501</t>
  </si>
  <si>
    <t>S5 505</t>
  </si>
  <si>
    <t>S5 594</t>
  </si>
  <si>
    <t>S5 859</t>
  </si>
  <si>
    <t>S5 1000</t>
  </si>
  <si>
    <t>S4 129</t>
  </si>
  <si>
    <t>S4 133</t>
  </si>
  <si>
    <t>S4 245</t>
  </si>
  <si>
    <t>S4 373</t>
  </si>
  <si>
    <t>S4 374</t>
  </si>
  <si>
    <t>S4 632</t>
  </si>
  <si>
    <t>S4 637</t>
  </si>
  <si>
    <t>S3 094</t>
  </si>
  <si>
    <t>S3 098</t>
  </si>
  <si>
    <t>S3 101</t>
  </si>
  <si>
    <t>S3 237</t>
  </si>
  <si>
    <t>S3 238</t>
  </si>
  <si>
    <t>S3 243</t>
  </si>
  <si>
    <t>S3 445</t>
  </si>
  <si>
    <t>S3 449</t>
  </si>
  <si>
    <t>S3 495</t>
  </si>
  <si>
    <t>S3 716</t>
  </si>
  <si>
    <t>S2 468</t>
  </si>
  <si>
    <t>S2 469</t>
  </si>
  <si>
    <t>S2 636</t>
  </si>
  <si>
    <t>S2 643</t>
  </si>
  <si>
    <t>S2 788</t>
  </si>
  <si>
    <t>S2 799</t>
  </si>
  <si>
    <t>S2 800</t>
  </si>
  <si>
    <t>S1 056</t>
  </si>
  <si>
    <t>S1 066</t>
  </si>
  <si>
    <t>S1 167</t>
  </si>
  <si>
    <t>S1 201</t>
  </si>
  <si>
    <t>S1 210</t>
  </si>
  <si>
    <t>S1 211</t>
  </si>
  <si>
    <t>S1 266</t>
  </si>
  <si>
    <t>S4​_771</t>
  </si>
  <si>
    <t>QC1_781</t>
  </si>
  <si>
    <t>T_022</t>
  </si>
  <si>
    <t>OT amoun t加班餐费</t>
  </si>
  <si>
    <t>ជំ គណនយ្យ
会计</t>
  </si>
  <si>
    <t>OF063</t>
  </si>
  <si>
    <t>សេង ស៊្រន់</t>
  </si>
  <si>
    <t>OF 063</t>
  </si>
  <si>
    <t>C012</t>
  </si>
  <si>
    <t>សៅ សុខខេង</t>
  </si>
  <si>
    <t>Seo Sokheng</t>
    <phoneticPr fontId="170" type="noConversion"/>
  </si>
  <si>
    <t>M</t>
    <phoneticPr fontId="170" type="noConversion"/>
  </si>
  <si>
    <t>085-362466</t>
    <phoneticPr fontId="170" type="noConversion"/>
  </si>
  <si>
    <t>077-367327</t>
  </si>
  <si>
    <t>ចុង ភៅ
廚娘</t>
  </si>
  <si>
    <t>Seng Srorn</t>
  </si>
  <si>
    <t>061727220</t>
  </si>
  <si>
    <t>S6_316</t>
  </si>
  <si>
    <t>ព្រុំ រស្មី</t>
  </si>
  <si>
    <t>S6_169</t>
  </si>
  <si>
    <t>រ៉ង វ៉ាន់និការ</t>
    <phoneticPr fontId="171" type="noConversion"/>
  </si>
  <si>
    <t>Rorng Vannika</t>
    <phoneticPr fontId="171" type="noConversion"/>
  </si>
  <si>
    <t>F</t>
    <phoneticPr fontId="171" type="noConversion"/>
  </si>
  <si>
    <t>016-997680</t>
    <phoneticPr fontId="171" type="noConversion"/>
  </si>
  <si>
    <t>Prum Rsaksmry</t>
  </si>
  <si>
    <t>016379243</t>
  </si>
  <si>
    <t>090686121</t>
  </si>
  <si>
    <t>S2_782</t>
  </si>
  <si>
    <t>ឌឿន វាន់ឌី</t>
  </si>
  <si>
    <t>ឌឿន វ៉ាន់ឌី</t>
  </si>
  <si>
    <t>នាក់ សុខខៃ</t>
  </si>
  <si>
    <t>Doeurn Vanndy</t>
    <phoneticPr fontId="171" type="noConversion"/>
  </si>
  <si>
    <t>F</t>
    <phoneticPr fontId="171" type="noConversion"/>
  </si>
  <si>
    <t>096-3052072</t>
    <phoneticPr fontId="171" type="noConversion"/>
  </si>
  <si>
    <t>年假表， 2024年</t>
  </si>
  <si>
    <t>តារាងប្រើប្រាស់បំណាច់ឆ្នាំ​ 2024</t>
  </si>
  <si>
    <t>Muon Nith</t>
  </si>
  <si>
    <t>S2​_460</t>
  </si>
  <si>
    <t>លី ស្រីណែត</t>
  </si>
  <si>
    <t>Ly SreyNet</t>
    <phoneticPr fontId="171" type="noConversion"/>
  </si>
  <si>
    <t>F</t>
    <phoneticPr fontId="171" type="noConversion"/>
  </si>
  <si>
    <t>081-533868</t>
    <phoneticPr fontId="171" type="noConversion"/>
  </si>
  <si>
    <t>S2​ 460</t>
  </si>
  <si>
    <t>S4_121</t>
  </si>
  <si>
    <t>តេត ចន្ថា</t>
  </si>
  <si>
    <t>Tet Chantha</t>
    <phoneticPr fontId="171" type="noConversion"/>
  </si>
  <si>
    <t>088-8765797</t>
    <phoneticPr fontId="171" type="noConversion"/>
  </si>
  <si>
    <t>S6_196</t>
  </si>
  <si>
    <t>ថន ចន្ដា</t>
  </si>
  <si>
    <t>Thorn Chenda</t>
  </si>
  <si>
    <t>F</t>
    <phoneticPr fontId="171" type="noConversion"/>
  </si>
  <si>
    <t>069405515</t>
  </si>
  <si>
    <t>170915224</t>
  </si>
  <si>
    <t>P288</t>
  </si>
  <si>
    <t>ទឹម ស្រីលីន</t>
  </si>
  <si>
    <t>Tim Sreylin</t>
  </si>
  <si>
    <t>069563385</t>
  </si>
  <si>
    <t>090659916</t>
  </si>
  <si>
    <t>S4_648</t>
  </si>
  <si>
    <t>ទ្រី ស្រីម៉ៅ</t>
  </si>
  <si>
    <t>Try Sreymao</t>
  </si>
  <si>
    <t>096-7845406</t>
  </si>
  <si>
    <t>061821654</t>
  </si>
  <si>
    <t>S4_649</t>
  </si>
  <si>
    <t>គង់ ស្រីមុំ</t>
  </si>
  <si>
    <t>Kong Sreymom</t>
  </si>
  <si>
    <t>101388215</t>
  </si>
  <si>
    <t>070-737017</t>
  </si>
  <si>
    <t>សួ ហេន</t>
  </si>
  <si>
    <t>Sour Hen</t>
  </si>
  <si>
    <t>098-681562</t>
  </si>
  <si>
    <t>051526285</t>
  </si>
  <si>
    <t>S4_651</t>
  </si>
  <si>
    <t>S4_652</t>
  </si>
  <si>
    <t>ម៉ាង ស្រីរឹម</t>
  </si>
  <si>
    <t>Mang Sreyroem</t>
  </si>
  <si>
    <t>096-3159199</t>
  </si>
  <si>
    <t>030790346</t>
  </si>
  <si>
    <t>S4_653</t>
  </si>
  <si>
    <t>គង់ ស្រីម៉ាច</t>
  </si>
  <si>
    <t>Kong Sreymach</t>
  </si>
  <si>
    <t>069-728764</t>
  </si>
  <si>
    <t>100737275</t>
  </si>
  <si>
    <t>R008</t>
  </si>
  <si>
    <t>សាំង រិទ្ធី</t>
  </si>
  <si>
    <t>Sang Rithy</t>
  </si>
  <si>
    <t>098-445868</t>
  </si>
  <si>
    <t>010851000</t>
  </si>
  <si>
    <t>S3_715</t>
  </si>
  <si>
    <t>មាន​ ស្រីពៅ</t>
  </si>
  <si>
    <t>Mean sreypov</t>
  </si>
  <si>
    <t>0975804771</t>
  </si>
  <si>
    <t>011318611</t>
  </si>
  <si>
    <t>副理</t>
  </si>
  <si>
    <t>QC2_086</t>
  </si>
  <si>
    <t>S1_384</t>
  </si>
  <si>
    <t>ង៉ែត ស៊ីនួន</t>
  </si>
  <si>
    <t>Nget Sinun</t>
    <phoneticPr fontId="171" type="noConversion"/>
  </si>
  <si>
    <t>F</t>
    <phoneticPr fontId="171" type="noConversion"/>
  </si>
  <si>
    <t>070-472067</t>
    <phoneticPr fontId="171" type="noConversion"/>
  </si>
  <si>
    <t>S1 384</t>
  </si>
  <si>
    <t>S2_480</t>
  </si>
  <si>
    <t>S4_633</t>
  </si>
  <si>
    <t xml:space="preserve">វ៉ឺង ប៉ន
</t>
  </si>
  <si>
    <t>Worker</t>
    <phoneticPr fontId="171" type="noConversion"/>
  </si>
  <si>
    <t>Voeng Pun</t>
  </si>
  <si>
    <t>0962864843</t>
  </si>
  <si>
    <t>150743567</t>
  </si>
  <si>
    <t>S6_752</t>
  </si>
  <si>
    <t>សាក់ ស៊ីនាត</t>
  </si>
  <si>
    <t>Sak Sineat</t>
    <phoneticPr fontId="171" type="noConversion"/>
  </si>
  <si>
    <t>F</t>
    <phoneticPr fontId="171" type="noConversion"/>
  </si>
  <si>
    <t>011-485905</t>
    <phoneticPr fontId="171" type="noConversion"/>
  </si>
  <si>
    <t>ប្រាក់បាយថែមម៉ោង​​ 加班餐费</t>
  </si>
  <si>
    <t>QCC_504</t>
  </si>
  <si>
    <t>C173</t>
  </si>
  <si>
    <t>P285</t>
  </si>
  <si>
    <t>ស្រី ស៊ីណា</t>
  </si>
  <si>
    <t>Srey Sina</t>
  </si>
  <si>
    <t>081792606</t>
  </si>
  <si>
    <t>070321175</t>
  </si>
  <si>
    <t>S3_414</t>
  </si>
  <si>
    <t>Neak Sokhay</t>
  </si>
  <si>
    <t>096-8810691</t>
  </si>
  <si>
    <t>QC3_309</t>
  </si>
  <si>
    <t>QC4_141</t>
  </si>
  <si>
    <t>P350</t>
  </si>
  <si>
    <t>បាន ស្រីនិច</t>
  </si>
  <si>
    <t>Ban sreynich</t>
  </si>
  <si>
    <t>097-4203209</t>
  </si>
  <si>
    <t>040385708</t>
  </si>
  <si>
    <t>LINE:6</t>
  </si>
  <si>
    <t>C108</t>
  </si>
  <si>
    <t>អ៊ីម សីហា</t>
  </si>
  <si>
    <t>096-6130010</t>
  </si>
  <si>
    <t>020159576</t>
  </si>
  <si>
    <t>070-445038</t>
  </si>
  <si>
    <t>062184382</t>
  </si>
  <si>
    <t>Im seyha</t>
  </si>
  <si>
    <t>ហុន យិន</t>
  </si>
  <si>
    <t>Hon yin</t>
  </si>
  <si>
    <t>S3_102</t>
  </si>
  <si>
    <t>P352</t>
  </si>
  <si>
    <t>P353</t>
  </si>
  <si>
    <t>P354</t>
  </si>
  <si>
    <t>P355</t>
  </si>
  <si>
    <t>ប៊ី ឃីម</t>
  </si>
  <si>
    <t>ផល សារី</t>
  </si>
  <si>
    <t>អុន ចំណាន</t>
  </si>
  <si>
    <t>ហ៊ន ណារ៉ុង</t>
  </si>
  <si>
    <t>By khym</t>
  </si>
  <si>
    <t>Phal sary</t>
  </si>
  <si>
    <t>Un chamnan</t>
  </si>
  <si>
    <t>Horn narong</t>
  </si>
  <si>
    <t>070-248564</t>
  </si>
  <si>
    <t>097-4993108</t>
  </si>
  <si>
    <t>096-5117896</t>
  </si>
  <si>
    <t>081-553419</t>
  </si>
  <si>
    <t>130149628</t>
  </si>
  <si>
    <t>010928915</t>
  </si>
  <si>
    <t>021349017</t>
  </si>
  <si>
    <t>101517205</t>
  </si>
  <si>
    <t>យ៉ាន ដា</t>
  </si>
  <si>
    <t>គង់ ពិស័ក្ត</t>
  </si>
  <si>
    <t>PP_191</t>
  </si>
  <si>
    <t>PP_192</t>
  </si>
  <si>
    <t>PP_193</t>
  </si>
  <si>
    <t>PP_195</t>
  </si>
  <si>
    <t>yan da</t>
  </si>
  <si>
    <t>Kong pisak</t>
  </si>
  <si>
    <t>Kim trang</t>
  </si>
  <si>
    <t>Hun heu</t>
  </si>
  <si>
    <t>គឹម ត្រាង</t>
  </si>
  <si>
    <t>ហ៊ុន ហ៊ឺ</t>
  </si>
  <si>
    <t>086-724533</t>
  </si>
  <si>
    <t>097-9082066</t>
  </si>
  <si>
    <t>096-8511788</t>
  </si>
  <si>
    <t>101245095</t>
  </si>
  <si>
    <t>011216908</t>
  </si>
  <si>
    <t>170773117</t>
  </si>
  <si>
    <t>030508650</t>
  </si>
  <si>
    <t>096-8340366</t>
  </si>
  <si>
    <t>S1_212</t>
  </si>
  <si>
    <t>ឯម ម៉ៅ</t>
  </si>
  <si>
    <t>Em mao</t>
  </si>
  <si>
    <t>097-9145202</t>
  </si>
  <si>
    <t>101089097</t>
  </si>
  <si>
    <t>S2_644</t>
  </si>
  <si>
    <t>ស្រី ស៊ីណាល់</t>
  </si>
  <si>
    <t>087-772654</t>
  </si>
  <si>
    <t>070282327</t>
  </si>
  <si>
    <t>Srey Sinal</t>
  </si>
  <si>
    <t>S3_113</t>
  </si>
  <si>
    <t>S3_116</t>
  </si>
  <si>
    <t>ប៉ាក ស្រីនិច</t>
  </si>
  <si>
    <t>ទ្រី ស្រីរ័ត្ន</t>
  </si>
  <si>
    <t>Pak sreynich</t>
  </si>
  <si>
    <t>Try sreyroth</t>
  </si>
  <si>
    <t>066-258556</t>
  </si>
  <si>
    <t>100781156</t>
  </si>
  <si>
    <t>096-7215327</t>
  </si>
  <si>
    <t>021051580</t>
  </si>
  <si>
    <t>S4_654</t>
  </si>
  <si>
    <t>S4_655</t>
  </si>
  <si>
    <t>S4_656</t>
  </si>
  <si>
    <t>ស៊ីម មួយហេង</t>
  </si>
  <si>
    <t>សុខ ស្រីរ័ត្ន</t>
  </si>
  <si>
    <t>សៀង ស្រីតូច</t>
  </si>
  <si>
    <t>Sim muoyheng</t>
  </si>
  <si>
    <t>Sok sreyroth</t>
  </si>
  <si>
    <t>Seang sreytoch</t>
  </si>
  <si>
    <t>096-7427981</t>
  </si>
  <si>
    <t>051171116</t>
  </si>
  <si>
    <t>096-6495585</t>
  </si>
  <si>
    <t>030587742</t>
  </si>
  <si>
    <t>096-8473464</t>
  </si>
  <si>
    <t>030509991</t>
  </si>
  <si>
    <t>S5_216</t>
  </si>
  <si>
    <t>ត្រុង ឌា</t>
  </si>
  <si>
    <t>Trong dea</t>
  </si>
  <si>
    <t>096-5669675</t>
  </si>
  <si>
    <t>110654519</t>
  </si>
  <si>
    <t>ពិន ស្រីនិច</t>
  </si>
  <si>
    <t>Pin SreyNich</t>
  </si>
  <si>
    <t>51214130</t>
  </si>
  <si>
    <t>S2_487</t>
  </si>
  <si>
    <t>បូរ ភ័ណ្ឌ</t>
  </si>
  <si>
    <t>Bo Phorn</t>
    <phoneticPr fontId="171" type="noConversion"/>
  </si>
  <si>
    <t>096-5611767</t>
    <phoneticPr fontId="171" type="noConversion"/>
  </si>
  <si>
    <t>WH002</t>
  </si>
  <si>
    <t>QCP 277</t>
  </si>
  <si>
    <t>QCP_277</t>
  </si>
  <si>
    <t>P203</t>
  </si>
  <si>
    <t>S3_118</t>
  </si>
  <si>
    <t>S3_119</t>
  </si>
  <si>
    <t>កាយ អៃ</t>
  </si>
  <si>
    <t>ហាក់ លីទា</t>
  </si>
  <si>
    <t>Kay ai</t>
  </si>
  <si>
    <t>Hak lyta</t>
  </si>
  <si>
    <t>086-287328</t>
  </si>
  <si>
    <t>150617540</t>
  </si>
  <si>
    <t>086-380661</t>
  </si>
  <si>
    <t>070390917</t>
  </si>
  <si>
    <t>C109</t>
  </si>
  <si>
    <t>ឃាន់ ភក្រ្តា័</t>
  </si>
  <si>
    <t>Khorn pheaktra</t>
  </si>
  <si>
    <t>076-8946448</t>
  </si>
  <si>
    <t>062189545</t>
  </si>
  <si>
    <t>ស៊ឺង ផន</t>
  </si>
  <si>
    <t>S2_630</t>
  </si>
  <si>
    <t>យ៉ាន សំអូន</t>
  </si>
  <si>
    <t>Yan Saman</t>
  </si>
  <si>
    <t>087751689</t>
  </si>
  <si>
    <t>101072076</t>
  </si>
  <si>
    <t>S4_176</t>
  </si>
  <si>
    <t>វឿន សុខនា</t>
  </si>
  <si>
    <t>Voerun Soknea</t>
  </si>
  <si>
    <t>0972743509</t>
  </si>
  <si>
    <t>250216171</t>
  </si>
  <si>
    <t>S1_651</t>
  </si>
  <si>
    <t>T_212</t>
  </si>
  <si>
    <t>PP_196</t>
  </si>
  <si>
    <t>សេង ចាន់រ៉ុម</t>
  </si>
  <si>
    <t>097-6668629</t>
  </si>
  <si>
    <t>170714527</t>
  </si>
  <si>
    <t>Seng channrom</t>
  </si>
  <si>
    <t>Payroll of -10/2024</t>
  </si>
  <si>
    <r>
      <t xml:space="preserve">     2024</t>
    </r>
    <r>
      <rPr>
        <sz val="14"/>
        <rFont val="FangSong"/>
        <family val="3"/>
        <charset val="134"/>
      </rPr>
      <t>年10月份薪资表</t>
    </r>
  </si>
  <si>
    <r>
      <t xml:space="preserve">                          2024</t>
    </r>
    <r>
      <rPr>
        <sz val="14"/>
        <rFont val="FangSong"/>
        <family val="3"/>
        <charset val="134"/>
      </rPr>
      <t>年10月份薪资表</t>
    </r>
    <r>
      <rPr>
        <sz val="14"/>
        <rFont val="Times New Roman"/>
        <family val="1"/>
      </rPr>
      <t xml:space="preserve"> </t>
    </r>
  </si>
  <si>
    <r>
      <t xml:space="preserve">                             2024</t>
    </r>
    <r>
      <rPr>
        <sz val="14"/>
        <rFont val="FangSong"/>
        <family val="3"/>
        <charset val="134"/>
      </rPr>
      <t>年10月份薪资表</t>
    </r>
  </si>
  <si>
    <r>
      <t xml:space="preserve">          2024</t>
    </r>
    <r>
      <rPr>
        <sz val="14"/>
        <rFont val="FangSong"/>
        <family val="3"/>
        <charset val="134"/>
      </rPr>
      <t>年10月份薪资表</t>
    </r>
  </si>
  <si>
    <r>
      <t xml:space="preserve"> 2024</t>
    </r>
    <r>
      <rPr>
        <sz val="14"/>
        <rFont val="FangSong"/>
        <family val="3"/>
        <charset val="134"/>
      </rPr>
      <t>年10月份薪资表</t>
    </r>
  </si>
  <si>
    <t xml:space="preserve">發放日期：2023-2024年  09月份   </t>
  </si>
  <si>
    <t>發放日期：2023-2024年  09月份</t>
  </si>
  <si>
    <t xml:space="preserve">    2024年10月份总表</t>
  </si>
  <si>
    <t>Date:10.2024</t>
  </si>
  <si>
    <t xml:space="preserve">  2024年10月份薪资表</t>
  </si>
  <si>
    <t xml:space="preserve">     2024年10月份薪资表</t>
  </si>
  <si>
    <t xml:space="preserve"> 2024年10月份薪资表</t>
  </si>
  <si>
    <r>
      <t xml:space="preserve">     2024</t>
    </r>
    <r>
      <rPr>
        <sz val="14"/>
        <color indexed="8"/>
        <rFont val="FangSong"/>
        <family val="3"/>
        <charset val="134"/>
      </rPr>
      <t>年10月份薪资表</t>
    </r>
  </si>
  <si>
    <t>.</t>
  </si>
  <si>
    <t xml:space="preserve">   2024年10月份薪资表</t>
  </si>
  <si>
    <t xml:space="preserve"> 20234年10月份薪资表</t>
  </si>
  <si>
    <t>S1_214</t>
  </si>
  <si>
    <t>សិទ្ធ សាក់</t>
  </si>
  <si>
    <t>S1_217</t>
  </si>
  <si>
    <t>ថែ ណាក់</t>
  </si>
  <si>
    <t>S1_218</t>
  </si>
  <si>
    <t>ម៉ន ស្រីនិច</t>
  </si>
  <si>
    <t>S1_219</t>
  </si>
  <si>
    <t>ទេព ណារី</t>
  </si>
  <si>
    <t>S1_213</t>
  </si>
  <si>
    <t>គី សុខវីន</t>
  </si>
  <si>
    <t>ki Sokvin</t>
  </si>
  <si>
    <t>Seth Sakk</t>
  </si>
  <si>
    <t xml:space="preserve">The Nak </t>
  </si>
  <si>
    <t>Man SreyNich</t>
  </si>
  <si>
    <t>Tep nary</t>
  </si>
  <si>
    <t>088-2218702</t>
  </si>
  <si>
    <t>071-4108945</t>
  </si>
  <si>
    <t>097-7119426</t>
  </si>
  <si>
    <t>010-725005</t>
  </si>
  <si>
    <t>096-5308526</t>
  </si>
  <si>
    <t>S4_659</t>
  </si>
  <si>
    <t>ខឺម កុសល</t>
  </si>
  <si>
    <t>Worker</t>
    <phoneticPr fontId="173" type="noConversion"/>
  </si>
  <si>
    <t>Khoem</t>
  </si>
  <si>
    <t>096-2507826</t>
  </si>
  <si>
    <t>QCP_220</t>
  </si>
  <si>
    <t>ម៉េង ស៊ីឡាវ</t>
    <phoneticPr fontId="172" type="noConversion"/>
  </si>
  <si>
    <t>Meng SiLaw</t>
    <phoneticPr fontId="171" type="noConversion"/>
  </si>
  <si>
    <t>097-6108382</t>
    <phoneticPr fontId="171" type="noConversion"/>
  </si>
  <si>
    <t>P239</t>
  </si>
  <si>
    <t>សែម ចាន់នី</t>
  </si>
  <si>
    <t>Sem Channy</t>
    <phoneticPr fontId="170" type="noConversion"/>
  </si>
  <si>
    <t>069-743771</t>
    <phoneticPr fontId="170" type="noConversion"/>
  </si>
  <si>
    <t>R009</t>
  </si>
  <si>
    <t>ឈិន រិទ្ធី</t>
  </si>
  <si>
    <t>Chhin Rithy</t>
  </si>
  <si>
    <t>088-9221563</t>
  </si>
  <si>
    <t>S5_221</t>
  </si>
  <si>
    <t>ភឿន ប៉ាយីន</t>
  </si>
  <si>
    <t>Phoeurn Payen</t>
  </si>
  <si>
    <t>096-2864843</t>
  </si>
  <si>
    <t>110634195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</si>
</sst>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 &quot;$&quot;* #,##0.00_ ;_ &quot;$&quot;* \-#,##0.00_ ;_ &quot;$&quot;* &quot;-&quot;??_ ;_ @_ "/>
    <numFmt numFmtId="167" formatCode="0_);[Red]\(0\)"/>
    <numFmt numFmtId="168" formatCode="0.0_);[Red]\(0.0\)"/>
    <numFmt numFmtId="169" formatCode="0_ "/>
    <numFmt numFmtId="170" formatCode="0.00_ "/>
    <numFmt numFmtId="171" formatCode="0.000_ "/>
    <numFmt numFmtId="172" formatCode="0.00_);[Red]\(0.00\)"/>
    <numFmt numFmtId="173" formatCode="0000"/>
    <numFmt numFmtId="174" formatCode="\$0"/>
    <numFmt numFmtId="175" formatCode="_-* #,##0_-;\-* #,##0_-;_-* &quot;-&quot;??_-;_-@_-"/>
    <numFmt numFmtId="176" formatCode="\$0.00"/>
    <numFmt numFmtId="177" formatCode="\R0"/>
    <numFmt numFmtId="178" formatCode="[$-409]d/mmm/yy;@"/>
    <numFmt numFmtId="179" formatCode="0.0"/>
    <numFmt numFmtId="180" formatCode="_(* #,##0.0_);_(* \(#,##0.0\);_(* &quot;-&quot;?_);_(@_)"/>
    <numFmt numFmtId="181" formatCode="00000"/>
    <numFmt numFmtId="182" formatCode="00"/>
    <numFmt numFmtId="183" formatCode="#,##0.00;[Red]#,##0.00"/>
    <numFmt numFmtId="184" formatCode="_-&quot;$&quot;* #,##0_-;\-&quot;$&quot;* #,##0_-;_-&quot;$&quot;* &quot;-&quot;??_-;_-@_-"/>
    <numFmt numFmtId="185" formatCode="[$R-436]\ #,##0.00"/>
    <numFmt numFmtId="186" formatCode="[$R-436]\ #,##0"/>
    <numFmt numFmtId="187" formatCode="_-&quot;$&quot;* #,##0.00_-;\-&quot;$&quot;* #,##0.00_-;_-&quot;$&quot;* &quot;-&quot;??_-;_-@_-"/>
    <numFmt numFmtId="188" formatCode="[$-409]dd/mmm/yy;@"/>
    <numFmt numFmtId="189" formatCode="_(* #,##0_);_(* \(#,##0\);_(* &quot;-&quot;??_);_(@_)"/>
    <numFmt numFmtId="190" formatCode="_(* #,##0.0_);_(* \(#,##0.0\);_(* &quot;-&quot;??_);_(@_)"/>
    <numFmt numFmtId="191" formatCode="_(&quot;$&quot;* #,##0.0_);_(&quot;$&quot;* \(#,##0.0\);_(&quot;$&quot;* &quot;-&quot;??_);_(@_)"/>
    <numFmt numFmtId="192" formatCode="\$#,##0;\-\$#,##0"/>
    <numFmt numFmtId="193" formatCode="[$R-436]\ #,##0.00;[Red][$R-436]\ #,##0.00"/>
    <numFmt numFmtId="194" formatCode="&quot;$&quot;#,##0.00"/>
    <numFmt numFmtId="195" formatCode="_ &quot;$&quot;* #,##0_ ;_ &quot;$&quot;* \-#,##0_ ;_ &quot;$&quot;* &quot;-&quot;??_ ;_ @_ "/>
    <numFmt numFmtId="196" formatCode="_(&quot;$&quot;* #,##0.00_);_(&quot;$&quot;* \(#,##0.00\);_(&quot;$&quot;* &quot;-&quot;_);_(@_)"/>
    <numFmt numFmtId="197" formatCode="dd/mmm/yyyy"/>
    <numFmt numFmtId="198" formatCode="_ [$R-435]\ * #,##0.00_ ;_ [$R-435]\ * \-#,##0.00_ ;_ [$R-435]\ * &quot;-&quot;??_ ;_ @_ "/>
    <numFmt numFmtId="199" formatCode="_ [$R-46C]\ * #,##0_ ;_ [$R-46C]\ * \-#,##0_ ;_ [$R-46C]\ * &quot;-&quot;??_ ;_ @_ "/>
    <numFmt numFmtId="200" formatCode="_ [$R-436]\ * #,##0_ ;_ [$R-436]\ * \-#,##0_ ;_ [$R-436]\ * &quot;-&quot;_ ;_ @_ "/>
    <numFmt numFmtId="201" formatCode="_(&quot;$&quot;* #,##0.0_);_(&quot;$&quot;* \(#,##0.0\);_(&quot;$&quot;* &quot;-&quot;?_);_(@_)"/>
    <numFmt numFmtId="202" formatCode="#0000000"/>
    <numFmt numFmtId="203" formatCode="dd\-mmm\-yyyy"/>
    <numFmt numFmtId="204" formatCode="_ [$R-436]\ * #,##0_ ;_ [$R-436]\ * \-#,##0_ ;_ [$R-436]\ * &quot;-&quot;??_ ;_ @_ "/>
    <numFmt numFmtId="205" formatCode="_ [$R-434]\ * #,##0_ ;_ [$R-434]\ * \-#,##0_ ;_ [$R-434]\ * &quot;-&quot;_ ;_ @_ "/>
    <numFmt numFmtId="206" formatCode="_ [$R-436]\ * #,##0.00_ ;_ [$R-436]\ * \-#,##0.00_ ;_ [$R-436]\ * &quot;-&quot;_ ;_ @_ "/>
    <numFmt numFmtId="207" formatCode="[$-409]d\-mmm\-yyyy;@"/>
    <numFmt numFmtId="208" formatCode="[$R-436]\ #,##0.00;[$R-436]\ \-#,##0.00"/>
    <numFmt numFmtId="209" formatCode="_(&quot;$&quot;* #,##0_);_(&quot;$&quot;* \(#,##0\);_(&quot;$&quot;* &quot;-&quot;?_);_(@_)"/>
    <numFmt numFmtId="210" formatCode="dd/mmm/yy"/>
    <numFmt numFmtId="211" formatCode="_(&quot;$&quot;* #,##0_);_(&quot;$&quot;* \(#,##0\);_(&quot;$&quot;* &quot;-&quot;??_);_(@_)"/>
  </numFmts>
  <fonts count="296">
    <font>
      <sz val="12"/>
      <name val="宋体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宋体"/>
    </font>
    <font>
      <sz val="14"/>
      <name val="Limon S1"/>
    </font>
    <font>
      <sz val="12"/>
      <name val="Limon S1"/>
    </font>
    <font>
      <sz val="14"/>
      <name val="新細明體"/>
      <family val="1"/>
      <charset val="134"/>
    </font>
    <font>
      <sz val="6"/>
      <name val="宋体"/>
    </font>
    <font>
      <sz val="6"/>
      <name val="標楷體"/>
      <family val="4"/>
    </font>
    <font>
      <sz val="7"/>
      <name val="Times New Roman"/>
      <family val="1"/>
    </font>
    <font>
      <sz val="6"/>
      <name val="Times New Roman"/>
      <family val="1"/>
    </font>
    <font>
      <sz val="8"/>
      <name val="宋体"/>
    </font>
    <font>
      <sz val="8"/>
      <name val="Times New Roman"/>
      <family val="1"/>
    </font>
    <font>
      <sz val="8"/>
      <name val="新細明體"/>
      <family val="1"/>
      <charset val="134"/>
    </font>
    <font>
      <sz val="7"/>
      <name val="新細明體"/>
      <family val="1"/>
      <charset val="134"/>
    </font>
    <font>
      <sz val="7"/>
      <name val="宋体"/>
    </font>
    <font>
      <b/>
      <sz val="7"/>
      <name val="Times New Roman"/>
      <family val="1"/>
    </font>
    <font>
      <sz val="7"/>
      <color indexed="8"/>
      <name val="Times New Roman"/>
      <family val="1"/>
    </font>
    <font>
      <sz val="15"/>
      <name val="宋体"/>
    </font>
    <font>
      <sz val="15"/>
      <name val="Limon S1"/>
    </font>
    <font>
      <sz val="15"/>
      <name val="新細明體"/>
      <family val="1"/>
      <charset val="134"/>
    </font>
    <font>
      <sz val="7"/>
      <name val="Limon S1"/>
    </font>
    <font>
      <sz val="6"/>
      <name val="Limon S1"/>
    </font>
    <font>
      <sz val="6"/>
      <name val="新細明體"/>
      <family val="1"/>
      <charset val="134"/>
    </font>
    <font>
      <sz val="12"/>
      <color indexed="8"/>
      <name val="宋体"/>
    </font>
    <font>
      <sz val="8"/>
      <name val="Limon S1"/>
    </font>
    <font>
      <b/>
      <sz val="8"/>
      <color indexed="8"/>
      <name val="Times New Roman"/>
      <family val="1"/>
    </font>
    <font>
      <sz val="8"/>
      <color indexed="8"/>
      <name val="宋体"/>
    </font>
    <font>
      <sz val="15"/>
      <color indexed="8"/>
      <name val="Limon S1"/>
    </font>
    <font>
      <sz val="6"/>
      <color indexed="8"/>
      <name val="新細明體"/>
      <family val="1"/>
      <charset val="134"/>
    </font>
    <font>
      <sz val="5"/>
      <name val="宋体"/>
    </font>
    <font>
      <b/>
      <sz val="8"/>
      <name val="標楷體"/>
      <family val="4"/>
    </font>
    <font>
      <b/>
      <sz val="7"/>
      <name val="新細明體"/>
      <family val="1"/>
      <charset val="134"/>
    </font>
    <font>
      <sz val="13"/>
      <name val="宋体"/>
    </font>
    <font>
      <sz val="13"/>
      <name val="Times New Roman"/>
      <family val="1"/>
    </font>
    <font>
      <sz val="13"/>
      <name val="標楷體"/>
      <family val="4"/>
    </font>
    <font>
      <sz val="8"/>
      <color indexed="8"/>
      <name val="Times New Roman"/>
      <family val="1"/>
    </font>
    <font>
      <sz val="7"/>
      <color indexed="8"/>
      <name val="新細明體"/>
      <family val="1"/>
      <charset val="134"/>
    </font>
    <font>
      <b/>
      <sz val="8"/>
      <color indexed="8"/>
      <name val="新細明體"/>
      <family val="1"/>
      <charset val="134"/>
    </font>
    <font>
      <sz val="25"/>
      <name val="Limon F1"/>
    </font>
    <font>
      <sz val="14"/>
      <name val="Limon S4"/>
    </font>
    <font>
      <sz val="14"/>
      <name val="Limon S7"/>
    </font>
    <font>
      <sz val="12"/>
      <name val="Limon S4"/>
    </font>
    <font>
      <b/>
      <sz val="10"/>
      <name val="Limon S4"/>
    </font>
    <font>
      <sz val="10"/>
      <name val="Limon S4"/>
    </font>
    <font>
      <sz val="9"/>
      <name val="Limon S4"/>
    </font>
    <font>
      <sz val="12"/>
      <name val="Times New Roman"/>
      <family val="1"/>
    </font>
    <font>
      <sz val="12"/>
      <name val="新細明體"/>
      <family val="1"/>
      <charset val="136"/>
    </font>
    <font>
      <b/>
      <sz val="8"/>
      <name val="Arial Narrow"/>
      <family val="2"/>
    </font>
    <font>
      <b/>
      <sz val="8"/>
      <color indexed="12"/>
      <name val="Arial Narrow"/>
      <family val="2"/>
    </font>
    <font>
      <sz val="8"/>
      <name val="Arial Narrow"/>
      <family val="2"/>
    </font>
    <font>
      <b/>
      <sz val="8"/>
      <color indexed="12"/>
      <name val="宋体"/>
    </font>
    <font>
      <sz val="16"/>
      <name val="Limon S1"/>
    </font>
    <font>
      <sz val="8"/>
      <name val="楷体_GB2312"/>
      <family val="3"/>
      <charset val="134"/>
    </font>
    <font>
      <sz val="5"/>
      <name val="新細明體"/>
      <family val="1"/>
      <charset val="134"/>
    </font>
    <font>
      <sz val="5"/>
      <color indexed="8"/>
      <name val="Times New Roman"/>
      <family val="1"/>
    </font>
    <font>
      <sz val="5"/>
      <name val="Limon S1"/>
    </font>
    <font>
      <b/>
      <sz val="6"/>
      <name val="新細明體"/>
      <family val="1"/>
      <charset val="134"/>
    </font>
    <font>
      <sz val="8"/>
      <name val="Limon F1"/>
    </font>
    <font>
      <sz val="8"/>
      <color indexed="8"/>
      <name val="新細明體"/>
      <family val="1"/>
      <charset val="136"/>
    </font>
    <font>
      <i/>
      <sz val="14"/>
      <name val="Calibri"/>
      <family val="2"/>
      <scheme val="minor"/>
    </font>
    <font>
      <sz val="10"/>
      <name val="Arial"/>
      <family val="2"/>
    </font>
    <font>
      <sz val="16"/>
      <name val="Times New Roman"/>
      <family val="1"/>
    </font>
    <font>
      <sz val="14"/>
      <name val="Times New Roman"/>
      <family val="1"/>
    </font>
    <font>
      <sz val="12"/>
      <name val="Limon F1"/>
    </font>
    <font>
      <sz val="15"/>
      <name val="Shruti"/>
      <family val="2"/>
    </font>
    <font>
      <b/>
      <sz val="8"/>
      <name val="宋体"/>
    </font>
    <font>
      <sz val="7"/>
      <color indexed="8"/>
      <name val="宋体"/>
    </font>
    <font>
      <b/>
      <sz val="10"/>
      <name val="宋体"/>
    </font>
    <font>
      <b/>
      <sz val="7"/>
      <name val="宋体"/>
    </font>
    <font>
      <sz val="5"/>
      <color indexed="8"/>
      <name val="新細明體"/>
      <family val="1"/>
      <charset val="134"/>
    </font>
    <font>
      <sz val="8"/>
      <name val="Limon S4"/>
    </font>
    <font>
      <sz val="4"/>
      <name val="宋体"/>
    </font>
    <font>
      <b/>
      <sz val="8"/>
      <name val="新細明體"/>
      <family val="1"/>
      <charset val="134"/>
    </font>
    <font>
      <sz val="8"/>
      <color indexed="8"/>
      <name val="新細明體"/>
      <family val="1"/>
      <charset val="134"/>
    </font>
    <font>
      <sz val="8.5"/>
      <name val="Limon S1"/>
    </font>
    <font>
      <sz val="7"/>
      <color rgb="FFFF0000"/>
      <name val="Times New Roman"/>
      <family val="1"/>
    </font>
    <font>
      <sz val="7"/>
      <color rgb="FFC00000"/>
      <name val="Times New Roman"/>
      <family val="1"/>
    </font>
    <font>
      <sz val="6"/>
      <color indexed="8"/>
      <name val="Times New Roman"/>
      <family val="1"/>
    </font>
    <font>
      <sz val="6"/>
      <color indexed="8"/>
      <name val="宋体"/>
    </font>
    <font>
      <sz val="6"/>
      <color indexed="8"/>
      <name val="Limon S1"/>
    </font>
    <font>
      <sz val="6"/>
      <color rgb="FFFF0000"/>
      <name val="宋体"/>
    </font>
    <font>
      <sz val="14"/>
      <color rgb="FFFF0000"/>
      <name val="Limon S1"/>
    </font>
    <font>
      <sz val="5"/>
      <name val="Times New Roman"/>
      <family val="1"/>
    </font>
    <font>
      <sz val="5"/>
      <color theme="5" tint="-0.249977111117893"/>
      <name val="Times New Roman"/>
      <family val="1"/>
    </font>
    <font>
      <sz val="7"/>
      <color theme="5" tint="-0.249977111117893"/>
      <name val="Times New Roman"/>
      <family val="1"/>
    </font>
    <font>
      <sz val="12"/>
      <color theme="1"/>
      <name val="Limon S4"/>
    </font>
    <font>
      <sz val="12"/>
      <color theme="1"/>
      <name val="Limon S1"/>
    </font>
    <font>
      <sz val="6"/>
      <color theme="1"/>
      <name val="宋体"/>
    </font>
    <font>
      <sz val="7"/>
      <color theme="1"/>
      <name val="Times New Roman"/>
      <family val="1"/>
    </font>
    <font>
      <sz val="6"/>
      <color theme="1"/>
      <name val="Times New Roman"/>
      <family val="1"/>
    </font>
    <font>
      <sz val="12"/>
      <color theme="1"/>
      <name val="宋体"/>
    </font>
    <font>
      <sz val="11"/>
      <color theme="1"/>
      <name val="Calibri"/>
      <family val="2"/>
      <scheme val="minor"/>
    </font>
    <font>
      <sz val="6"/>
      <color theme="1"/>
      <name val="Limon S1"/>
    </font>
    <font>
      <sz val="12"/>
      <color rgb="FFFF0000"/>
      <name val="宋体"/>
    </font>
    <font>
      <sz val="28"/>
      <name val="Limon S1"/>
    </font>
    <font>
      <b/>
      <sz val="7"/>
      <name val="Limon S1"/>
    </font>
    <font>
      <sz val="10"/>
      <name val="Times New Roman"/>
      <family val="1"/>
    </font>
    <font>
      <sz val="10"/>
      <name val="宋体"/>
    </font>
    <font>
      <sz val="9"/>
      <name val="Times New Roman"/>
      <family val="1"/>
    </font>
    <font>
      <sz val="9"/>
      <color indexed="8"/>
      <name val="Limon S1"/>
    </font>
    <font>
      <b/>
      <sz val="11"/>
      <color theme="1"/>
      <name val="Calibri"/>
      <family val="3"/>
      <charset val="129"/>
      <scheme val="minor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10"/>
      <color theme="1"/>
      <name val="宋体"/>
    </font>
    <font>
      <sz val="10"/>
      <color indexed="8"/>
      <name val="宋体"/>
    </font>
    <font>
      <b/>
      <sz val="7"/>
      <color indexed="8"/>
      <name val="新細明體"/>
      <family val="1"/>
      <charset val="134"/>
    </font>
    <font>
      <b/>
      <sz val="7"/>
      <color indexed="8"/>
      <name val="Times New Roman"/>
      <family val="1"/>
    </font>
    <font>
      <b/>
      <sz val="8"/>
      <color indexed="8"/>
      <name val="新細明體"/>
      <family val="1"/>
      <charset val="136"/>
    </font>
    <font>
      <b/>
      <sz val="12"/>
      <color indexed="8"/>
      <name val="宋体"/>
    </font>
    <font>
      <b/>
      <sz val="7"/>
      <color indexed="8"/>
      <name val="宋体"/>
    </font>
    <font>
      <sz val="7"/>
      <color theme="1"/>
      <name val="Limon S1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Times New Roman"/>
      <family val="1"/>
    </font>
    <font>
      <b/>
      <sz val="8"/>
      <name val="Limon S1"/>
    </font>
    <font>
      <sz val="4"/>
      <name val="Limon S1"/>
    </font>
    <font>
      <sz val="9"/>
      <name val="Limon S1"/>
    </font>
    <font>
      <b/>
      <sz val="6"/>
      <name val="Limon S1"/>
    </font>
    <font>
      <b/>
      <sz val="10"/>
      <name val="Limon S1"/>
    </font>
    <font>
      <sz val="10"/>
      <name val="Limon S1"/>
    </font>
    <font>
      <b/>
      <sz val="9"/>
      <color indexed="12"/>
      <name val="Times New Roman"/>
      <family val="1"/>
    </font>
    <font>
      <sz val="9"/>
      <color rgb="FFFF0000"/>
      <name val="Times New Roman"/>
      <family val="1"/>
    </font>
    <font>
      <sz val="16"/>
      <name val="新細明體"/>
      <family val="1"/>
      <charset val="134"/>
    </font>
    <font>
      <sz val="16"/>
      <color theme="1"/>
      <name val="宋体"/>
    </font>
    <font>
      <b/>
      <sz val="7"/>
      <name val="宋体"/>
    </font>
    <font>
      <b/>
      <sz val="10"/>
      <name val="新細明體"/>
      <family val="1"/>
      <charset val="134"/>
    </font>
    <font>
      <b/>
      <sz val="10"/>
      <name val="Times New Roman"/>
      <family val="1"/>
    </font>
    <font>
      <sz val="10"/>
      <name val="Khmer OS"/>
    </font>
    <font>
      <sz val="10"/>
      <color theme="1"/>
      <name val="Khmer OS"/>
    </font>
    <font>
      <sz val="6"/>
      <color rgb="FFFF0000"/>
      <name val="Limon S1"/>
    </font>
    <font>
      <sz val="6"/>
      <color rgb="FFFF0000"/>
      <name val="Times New Roman"/>
      <family val="1"/>
    </font>
    <font>
      <sz val="13"/>
      <name val="Limon S1"/>
    </font>
    <font>
      <sz val="13"/>
      <color theme="1"/>
      <name val="Limon S1"/>
    </font>
    <font>
      <sz val="7"/>
      <name val="Leelawadee"/>
      <family val="2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5"/>
      <color indexed="8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Khmer OS Muol Light"/>
    </font>
    <font>
      <sz val="9"/>
      <color theme="1"/>
      <name val="新細明體"/>
      <family val="1"/>
      <charset val="136"/>
    </font>
    <font>
      <b/>
      <sz val="9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Khmer OS Muol Light"/>
    </font>
    <font>
      <b/>
      <sz val="10"/>
      <color theme="1"/>
      <name val="Times New Roman"/>
      <family val="1"/>
    </font>
    <font>
      <sz val="10"/>
      <color theme="1"/>
      <name val="新細明體"/>
      <family val="1"/>
      <charset val="136"/>
    </font>
    <font>
      <sz val="8"/>
      <name val="Khmer OS Battambang"/>
    </font>
    <font>
      <b/>
      <sz val="12"/>
      <color indexed="8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charset val="134"/>
      <scheme val="minor"/>
    </font>
    <font>
      <sz val="12"/>
      <name val="Calibri"/>
      <family val="2"/>
      <charset val="134"/>
      <scheme val="minor"/>
    </font>
    <font>
      <sz val="11"/>
      <name val="Calibri"/>
      <family val="2"/>
      <charset val="134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1"/>
      <charset val="136"/>
      <scheme val="minor"/>
    </font>
    <font>
      <sz val="18"/>
      <name val="Calibri"/>
      <family val="2"/>
      <charset val="134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name val="宋体"/>
    </font>
    <font>
      <sz val="14"/>
      <name val="Calibri"/>
      <family val="2"/>
      <scheme val="minor"/>
    </font>
    <font>
      <sz val="9"/>
      <name val="宋体"/>
    </font>
    <font>
      <sz val="9"/>
      <name val="Calibri"/>
      <family val="2"/>
      <charset val="134"/>
      <scheme val="minor"/>
    </font>
    <font>
      <sz val="14"/>
      <color indexed="8"/>
      <name val="FangSong"/>
      <family val="3"/>
      <charset val="134"/>
    </font>
    <font>
      <sz val="9"/>
      <name val="Calibri"/>
      <family val="3"/>
      <charset val="134"/>
      <scheme val="minor"/>
    </font>
    <font>
      <sz val="9"/>
      <name val="Khmer OS Battambang"/>
    </font>
    <font>
      <sz val="14"/>
      <name val="Calibri"/>
      <family val="2"/>
      <scheme val="minor"/>
    </font>
    <font>
      <sz val="9"/>
      <color theme="1"/>
      <name val="Khmer OS Battambang"/>
    </font>
    <font>
      <sz val="10"/>
      <name val="Khmer OS Battambang"/>
    </font>
    <font>
      <sz val="15"/>
      <name val="Times New Roman"/>
      <family val="1"/>
    </font>
    <font>
      <sz val="14"/>
      <name val="FangSong"/>
      <family val="3"/>
      <charset val="134"/>
    </font>
    <font>
      <b/>
      <sz val="12"/>
      <name val="Times New Roman"/>
      <family val="1"/>
    </font>
    <font>
      <sz val="7"/>
      <name val="Limon S3"/>
      <family val="2"/>
    </font>
    <font>
      <sz val="11"/>
      <name val="新細明體"/>
      <family val="1"/>
      <charset val="136"/>
    </font>
    <font>
      <sz val="7"/>
      <name val="Limon S3"/>
    </font>
    <font>
      <sz val="11"/>
      <name val="Khmer OS Battambang"/>
    </font>
    <font>
      <b/>
      <sz val="16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Khmer OS Battambang"/>
    </font>
    <font>
      <sz val="16"/>
      <name val="NSimSun"/>
      <family val="3"/>
      <charset val="134"/>
    </font>
    <font>
      <sz val="10"/>
      <name val="新細明體"/>
      <family val="1"/>
      <charset val="136"/>
    </font>
    <font>
      <b/>
      <sz val="6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Khmer OS Battambang"/>
    </font>
    <font>
      <sz val="9"/>
      <name val="Khmer OS Siemreap"/>
    </font>
    <font>
      <sz val="8"/>
      <name val="Limon S3"/>
      <family val="2"/>
    </font>
    <font>
      <sz val="9"/>
      <name val="Khmer OS Content"/>
    </font>
    <font>
      <sz val="14"/>
      <color theme="1"/>
      <name val="Khmer OS Muol Light"/>
    </font>
    <font>
      <b/>
      <sz val="14"/>
      <color theme="1"/>
      <name val="宋体"/>
      <family val="3"/>
      <charset val="134"/>
    </font>
    <font>
      <b/>
      <sz val="14"/>
      <color theme="1"/>
      <name val="Khmer OS Muol Light"/>
    </font>
    <font>
      <sz val="12"/>
      <name val="宋体"/>
      <family val="3"/>
      <charset val="134"/>
    </font>
    <font>
      <sz val="16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8"/>
      <color theme="1"/>
      <name val="Times New Roman"/>
      <family val="1"/>
    </font>
    <font>
      <sz val="14"/>
      <name val="Khmer OS Muol Light"/>
    </font>
    <font>
      <b/>
      <sz val="14"/>
      <name val="宋体"/>
    </font>
    <font>
      <sz val="10"/>
      <name val="Khmer OS Siemreap"/>
    </font>
    <font>
      <sz val="10"/>
      <name val="Khmer OS Content"/>
    </font>
    <font>
      <sz val="12"/>
      <name val="Khmer OS Battambang"/>
    </font>
    <font>
      <sz val="10"/>
      <name val="DaunPenh"/>
      <family val="2"/>
    </font>
    <font>
      <sz val="9"/>
      <name val="Limon S3"/>
      <family val="2"/>
    </font>
    <font>
      <sz val="9"/>
      <name val="DaunPenh"/>
      <family val="2"/>
    </font>
    <font>
      <sz val="20"/>
      <name val="Limon S2"/>
    </font>
    <font>
      <sz val="18"/>
      <name val="Times New Roman"/>
      <family val="1"/>
    </font>
    <font>
      <sz val="9"/>
      <name val="新細明體"/>
      <family val="1"/>
      <charset val="136"/>
    </font>
    <font>
      <sz val="10"/>
      <name val="Limon S3"/>
      <family val="2"/>
    </font>
    <font>
      <sz val="16"/>
      <name val="新細明體"/>
      <family val="1"/>
      <charset val="136"/>
    </font>
    <font>
      <sz val="11"/>
      <name val="Khmer OS Siemreap"/>
    </font>
    <font>
      <b/>
      <sz val="12"/>
      <color theme="1"/>
      <name val="Times New Roman"/>
      <family val="1"/>
    </font>
    <font>
      <sz val="14"/>
      <color indexed="8"/>
      <name val="Khmer OS Battambang"/>
    </font>
    <font>
      <sz val="12"/>
      <color indexed="8"/>
      <name val="Times New Roman"/>
      <family val="1"/>
    </font>
    <font>
      <sz val="8"/>
      <color indexed="8"/>
      <name val="Khmer OS Battambang"/>
    </font>
    <font>
      <sz val="9"/>
      <color indexed="8"/>
      <name val="Khmer OS Battambang"/>
    </font>
    <font>
      <sz val="8"/>
      <color indexed="8"/>
      <name val="Calibri"/>
      <family val="2"/>
      <scheme val="minor"/>
    </font>
    <font>
      <sz val="8"/>
      <color indexed="8"/>
      <name val="Limon S3"/>
      <family val="2"/>
    </font>
    <font>
      <sz val="12"/>
      <color rgb="FFC00000"/>
      <name val="Times New Roman"/>
      <family val="1"/>
    </font>
    <font>
      <sz val="8"/>
      <color theme="1"/>
      <name val="新細明體"/>
      <family val="1"/>
      <charset val="136"/>
    </font>
    <font>
      <sz val="8"/>
      <name val="Calibri"/>
      <family val="2"/>
      <scheme val="minor"/>
    </font>
    <font>
      <sz val="7"/>
      <color indexed="8"/>
      <name val="Limon S3"/>
      <family val="2"/>
    </font>
    <font>
      <sz val="8"/>
      <color theme="1"/>
      <name val="Khmer OS Battambang"/>
    </font>
    <font>
      <sz val="9"/>
      <color indexed="8"/>
      <name val="Calibri"/>
      <family val="2"/>
      <scheme val="minor"/>
    </font>
    <font>
      <sz val="10"/>
      <name val="Kokila"/>
      <family val="2"/>
    </font>
    <font>
      <b/>
      <sz val="9"/>
      <color rgb="FFFF0000"/>
      <name val="Times New Roman"/>
      <family val="1"/>
    </font>
    <font>
      <sz val="8"/>
      <name val="Kokila"/>
      <family val="2"/>
    </font>
    <font>
      <sz val="8"/>
      <name val="新細明體"/>
      <family val="1"/>
      <charset val="136"/>
    </font>
    <font>
      <sz val="11"/>
      <color indexed="8"/>
      <name val="Khmer OS Battambang"/>
    </font>
    <font>
      <sz val="12"/>
      <color theme="1"/>
      <name val="新細明體"/>
      <family val="1"/>
      <charset val="136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9"/>
      <color rgb="FF000000"/>
      <name val="ËÎÌå"/>
    </font>
    <font>
      <sz val="9"/>
      <color rgb="FF000000"/>
      <name val="ºÚÌå"/>
    </font>
    <font>
      <b/>
      <sz val="12"/>
      <color rgb="FFFF0000"/>
      <name val="Times New Roman"/>
      <family val="1"/>
    </font>
    <font>
      <sz val="8"/>
      <name val="宋体"/>
      <charset val="134"/>
    </font>
    <font>
      <sz val="9"/>
      <name val="Limon S3"/>
    </font>
    <font>
      <sz val="10"/>
      <name val="Limon S3"/>
    </font>
    <font>
      <sz val="20"/>
      <name val="宋体"/>
      <family val="3"/>
      <charset val="134"/>
    </font>
    <font>
      <sz val="14"/>
      <name val="Khmer OS Battambang"/>
    </font>
    <font>
      <sz val="11"/>
      <color theme="1"/>
      <name val="Khmer OS Muol Light"/>
    </font>
    <font>
      <sz val="11"/>
      <color theme="1"/>
      <name val="តិម"/>
    </font>
    <font>
      <sz val="14"/>
      <color theme="1"/>
      <name val="Times New Roman"/>
      <family val="1"/>
    </font>
    <font>
      <sz val="10"/>
      <name val="Khmer OS Muol Light"/>
    </font>
    <font>
      <sz val="16"/>
      <name val="宋体"/>
      <charset val="134"/>
    </font>
    <font>
      <sz val="10"/>
      <color rgb="FFFF0000"/>
      <name val="Times New Roman"/>
      <family val="1"/>
    </font>
    <font>
      <sz val="18"/>
      <color theme="1"/>
      <name val="Khmer OS Muol Light"/>
    </font>
    <font>
      <sz val="10"/>
      <name val="宋体"/>
      <charset val="134"/>
    </font>
    <font>
      <sz val="14"/>
      <name val="新細明體"/>
      <family val="1"/>
      <charset val="136"/>
    </font>
    <font>
      <sz val="14"/>
      <name val="宋体"/>
    </font>
    <font>
      <sz val="11"/>
      <color rgb="FF00B0F0"/>
      <name val="Times New Roman"/>
      <family val="1"/>
    </font>
    <font>
      <sz val="11"/>
      <name val="宋体"/>
      <charset val="134"/>
    </font>
    <font>
      <sz val="12"/>
      <color rgb="FF00B050"/>
      <name val="Times New Roman"/>
      <family val="1"/>
    </font>
    <font>
      <sz val="11"/>
      <color rgb="FFFF0000"/>
      <name val="Khmer OS Battambang"/>
    </font>
    <font>
      <sz val="12"/>
      <color rgb="FFFF0000"/>
      <name val="Calibri"/>
      <family val="2"/>
      <scheme val="minor"/>
    </font>
    <font>
      <sz val="12"/>
      <color rgb="FFFF0000"/>
      <name val="Khmer OS Battambang"/>
    </font>
    <font>
      <sz val="10"/>
      <color indexed="8"/>
      <name val="Times New Roman"/>
      <family val="1"/>
    </font>
    <font>
      <sz val="11"/>
      <color rgb="FFFF0000"/>
      <name val="Times New Roman"/>
      <family val="1"/>
    </font>
    <font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name val="តិម"/>
    </font>
    <font>
      <sz val="11"/>
      <name val="宋体"/>
    </font>
    <font>
      <b/>
      <sz val="16"/>
      <color theme="1"/>
      <name val="Times New Roman"/>
      <family val="1"/>
    </font>
    <font>
      <b/>
      <sz val="9"/>
      <color theme="5"/>
      <name val="Times New Roman"/>
      <family val="1"/>
    </font>
    <font>
      <sz val="12"/>
      <color rgb="FF00B0F0"/>
      <name val="Times New Roman"/>
      <family val="1"/>
    </font>
    <font>
      <b/>
      <sz val="18"/>
      <name val="Times New Roman"/>
      <family val="1"/>
    </font>
    <font>
      <sz val="18"/>
      <color rgb="FFFF0000"/>
      <name val="Times New Roman"/>
      <family val="1"/>
    </font>
    <font>
      <sz val="8"/>
      <color theme="0"/>
      <name val="宋体"/>
      <charset val="134"/>
    </font>
    <font>
      <sz val="11"/>
      <color indexed="8"/>
      <name val="Calibri"/>
      <family val="2"/>
      <scheme val="minor"/>
    </font>
    <font>
      <sz val="11"/>
      <name val="Kokila"/>
      <family val="2"/>
    </font>
    <font>
      <sz val="14"/>
      <color rgb="FF00B0F0"/>
      <name val="Times New Roman"/>
      <family val="1"/>
    </font>
    <font>
      <sz val="12"/>
      <color rgb="FF00B0F0"/>
      <name val="Khmer OS Battambang"/>
    </font>
    <font>
      <sz val="11"/>
      <color rgb="FF00B0F0"/>
      <name val="Khmer OS Battambang"/>
    </font>
    <font>
      <sz val="16"/>
      <color rgb="FF00B0F0"/>
      <name val="Times New Roman"/>
      <family val="1"/>
    </font>
    <font>
      <sz val="16"/>
      <color rgb="FF00B0F0"/>
      <name val="Khmer OS Battambang"/>
    </font>
    <font>
      <sz val="14"/>
      <color rgb="FFFF0000"/>
      <name val="Times New Roman"/>
      <family val="1"/>
    </font>
    <font>
      <sz val="12"/>
      <color theme="1"/>
      <name val="Khmer OS Battambang"/>
    </font>
    <font>
      <b/>
      <sz val="8"/>
      <name val="Times New Roman"/>
      <family val="1"/>
    </font>
    <font>
      <sz val="12"/>
      <color rgb="FF7030A0"/>
      <name val="Times New Roman"/>
      <family val="1"/>
    </font>
    <font>
      <sz val="12"/>
      <color rgb="FF7030A0"/>
      <name val="Khmer OS Battambang"/>
    </font>
    <font>
      <sz val="12"/>
      <color rgb="FF7030A0"/>
      <name val="Calibri"/>
      <family val="2"/>
      <scheme val="minor"/>
    </font>
    <font>
      <sz val="16"/>
      <name val="Khmer OS Battambang"/>
    </font>
    <font>
      <sz val="12"/>
      <name val="宋体"/>
      <charset val="134"/>
    </font>
    <font>
      <sz val="14"/>
      <color theme="1"/>
      <name val="Khmer OS Battambang"/>
    </font>
    <font>
      <sz val="12"/>
      <color rgb="FFFF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21">
    <xf numFmtId="178" fontId="0" fillId="0" borderId="0"/>
    <xf numFmtId="178" fontId="51" fillId="0" borderId="0"/>
    <xf numFmtId="178" fontId="52" fillId="0" borderId="0"/>
    <xf numFmtId="165" fontId="8" fillId="0" borderId="0" applyFont="0" applyFill="0" applyBorder="0" applyAlignment="0" applyProtection="0"/>
    <xf numFmtId="178" fontId="29" fillId="0" borderId="0"/>
    <xf numFmtId="166" fontId="8" fillId="0" borderId="0" applyFont="0" applyFill="0" applyBorder="0" applyAlignment="0" applyProtection="0"/>
    <xf numFmtId="178" fontId="66" fillId="0" borderId="0" applyProtection="0"/>
    <xf numFmtId="165" fontId="97" fillId="0" borderId="0"/>
    <xf numFmtId="165" fontId="8" fillId="0" borderId="0" applyFont="0" applyFill="0" applyBorder="0" applyAlignment="0" applyProtection="0"/>
    <xf numFmtId="0" fontId="118" fillId="0" borderId="0"/>
    <xf numFmtId="44" fontId="118" fillId="0" borderId="0" applyFont="0" applyFill="0" applyBorder="0" applyAlignment="0" applyProtection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8" fillId="0" borderId="0"/>
    <xf numFmtId="0" fontId="7" fillId="0" borderId="0"/>
    <xf numFmtId="166" fontId="8" fillId="0" borderId="0" applyFont="0" applyFill="0" applyBorder="0" applyAlignment="0" applyProtection="0"/>
    <xf numFmtId="0" fontId="142" fillId="0" borderId="0"/>
    <xf numFmtId="0" fontId="51" fillId="0" borderId="0"/>
    <xf numFmtId="44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87" fontId="143" fillId="0" borderId="0" applyFont="0" applyFill="0" applyBorder="0" applyAlignment="0" applyProtection="0">
      <alignment vertical="center"/>
    </xf>
    <xf numFmtId="9" fontId="66" fillId="0" borderId="0" applyFont="0" applyFill="0" applyBorder="0" applyAlignment="0" applyProtection="0"/>
    <xf numFmtId="0" fontId="52" fillId="0" borderId="0"/>
    <xf numFmtId="0" fontId="241" fillId="0" borderId="0" applyNumberFormat="0" applyFill="0" applyBorder="0" applyAlignment="0" applyProtection="0"/>
    <xf numFmtId="0" fontId="242" fillId="0" borderId="0">
      <alignment vertical="center"/>
    </xf>
    <xf numFmtId="0" fontId="6" fillId="0" borderId="0"/>
    <xf numFmtId="188" fontId="201" fillId="0" borderId="0"/>
    <xf numFmtId="188" fontId="242" fillId="0" borderId="0">
      <alignment vertical="center"/>
    </xf>
    <xf numFmtId="0" fontId="243" fillId="18" borderId="0">
      <alignment horizontal="left" vertical="center"/>
    </xf>
    <xf numFmtId="0" fontId="243" fillId="18" borderId="0">
      <alignment horizontal="left" vertical="center"/>
    </xf>
    <xf numFmtId="0" fontId="243" fillId="18" borderId="0">
      <alignment horizontal="center" vertical="top"/>
    </xf>
    <xf numFmtId="0" fontId="243" fillId="18" borderId="0">
      <alignment horizontal="center" vertical="top"/>
    </xf>
    <xf numFmtId="0" fontId="243" fillId="19" borderId="0">
      <alignment horizontal="center" vertical="top"/>
    </xf>
    <xf numFmtId="0" fontId="244" fillId="18" borderId="0">
      <alignment horizontal="right" vertical="center"/>
    </xf>
    <xf numFmtId="0" fontId="244" fillId="18" borderId="0">
      <alignment horizontal="right" vertical="center"/>
    </xf>
    <xf numFmtId="0" fontId="242" fillId="0" borderId="0">
      <alignment vertical="center"/>
    </xf>
    <xf numFmtId="44" fontId="242" fillId="0" borderId="0" applyFont="0" applyFill="0" applyBorder="0" applyAlignment="0" applyProtection="0"/>
    <xf numFmtId="0" fontId="6" fillId="0" borderId="0"/>
    <xf numFmtId="0" fontId="242" fillId="0" borderId="0">
      <alignment vertical="center"/>
    </xf>
    <xf numFmtId="188" fontId="201" fillId="0" borderId="0"/>
    <xf numFmtId="188" fontId="242" fillId="0" borderId="0">
      <alignment vertical="center"/>
    </xf>
    <xf numFmtId="0" fontId="6" fillId="0" borderId="0"/>
    <xf numFmtId="0" fontId="6" fillId="0" borderId="0"/>
    <xf numFmtId="188" fontId="201" fillId="0" borderId="0"/>
    <xf numFmtId="188" fontId="242" fillId="0" borderId="0">
      <alignment vertical="center"/>
    </xf>
    <xf numFmtId="0" fontId="242" fillId="0" borderId="0">
      <alignment vertical="center"/>
    </xf>
    <xf numFmtId="188" fontId="201" fillId="0" borderId="0"/>
    <xf numFmtId="188" fontId="242" fillId="0" borderId="0">
      <alignment vertical="center"/>
    </xf>
    <xf numFmtId="0" fontId="242" fillId="0" borderId="0">
      <alignment vertical="center"/>
    </xf>
    <xf numFmtId="0" fontId="5" fillId="0" borderId="0"/>
    <xf numFmtId="188" fontId="201" fillId="0" borderId="0"/>
    <xf numFmtId="188" fontId="242" fillId="0" borderId="0">
      <alignment vertical="center"/>
    </xf>
    <xf numFmtId="188" fontId="242" fillId="0" borderId="0">
      <alignment vertical="center"/>
    </xf>
    <xf numFmtId="0" fontId="5" fillId="0" borderId="0"/>
    <xf numFmtId="0" fontId="242" fillId="0" borderId="0">
      <alignment vertical="center"/>
    </xf>
    <xf numFmtId="0" fontId="242" fillId="0" borderId="0">
      <alignment vertical="center"/>
    </xf>
    <xf numFmtId="0" fontId="2" fillId="0" borderId="0"/>
    <xf numFmtId="0" fontId="242" fillId="0" borderId="0">
      <alignment vertical="center"/>
    </xf>
    <xf numFmtId="0" fontId="242" fillId="0" borderId="0">
      <alignment vertical="center"/>
    </xf>
    <xf numFmtId="0" fontId="242" fillId="0" borderId="0">
      <alignment vertical="center"/>
    </xf>
    <xf numFmtId="0" fontId="242" fillId="0" borderId="0">
      <alignment vertical="center"/>
    </xf>
    <xf numFmtId="0" fontId="242" fillId="0" borderId="0">
      <alignment vertical="center"/>
    </xf>
    <xf numFmtId="0" fontId="1" fillId="0" borderId="0"/>
    <xf numFmtId="0" fontId="242" fillId="0" borderId="0">
      <alignment vertical="center"/>
    </xf>
    <xf numFmtId="0" fontId="242" fillId="0" borderId="0">
      <alignment vertical="center"/>
    </xf>
    <xf numFmtId="0" fontId="1" fillId="0" borderId="0"/>
    <xf numFmtId="0" fontId="201" fillId="0" borderId="0"/>
    <xf numFmtId="0" fontId="242" fillId="0" borderId="0">
      <alignment vertical="center"/>
    </xf>
    <xf numFmtId="178" fontId="293" fillId="0" borderId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" fillId="0" borderId="0"/>
    <xf numFmtId="0" fontId="118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1" fillId="0" borderId="0"/>
    <xf numFmtId="0" fontId="242" fillId="0" borderId="0">
      <alignment vertical="center"/>
    </xf>
    <xf numFmtId="0" fontId="242" fillId="0" borderId="0">
      <alignment vertical="center"/>
    </xf>
    <xf numFmtId="0" fontId="1" fillId="0" borderId="0"/>
    <xf numFmtId="178" fontId="293" fillId="0" borderId="0"/>
    <xf numFmtId="0" fontId="1" fillId="0" borderId="0"/>
    <xf numFmtId="0" fontId="24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2" fillId="0" borderId="0">
      <alignment vertical="center"/>
    </xf>
    <xf numFmtId="0" fontId="242" fillId="0" borderId="0">
      <alignment vertical="center"/>
    </xf>
    <xf numFmtId="0" fontId="242" fillId="0" borderId="0">
      <alignment vertical="center"/>
    </xf>
    <xf numFmtId="0" fontId="242" fillId="0" borderId="0">
      <alignment vertical="center"/>
    </xf>
    <xf numFmtId="0" fontId="242" fillId="0" borderId="0">
      <alignment vertical="center"/>
    </xf>
  </cellStyleXfs>
  <cellXfs count="2233">
    <xf numFmtId="178" fontId="0" fillId="0" borderId="0" xfId="0"/>
    <xf numFmtId="178" fontId="16" fillId="0" borderId="4" xfId="0" applyFont="1" applyBorder="1" applyAlignment="1">
      <alignment horizontal="center"/>
    </xf>
    <xf numFmtId="178" fontId="20" fillId="0" borderId="0" xfId="0" applyFont="1"/>
    <xf numFmtId="178" fontId="0" fillId="0" borderId="0" xfId="0" applyAlignment="1">
      <alignment horizontal="center"/>
    </xf>
    <xf numFmtId="178" fontId="0" fillId="0" borderId="0" xfId="0" applyFill="1"/>
    <xf numFmtId="178" fontId="16" fillId="0" borderId="0" xfId="0" applyFont="1"/>
    <xf numFmtId="178" fontId="10" fillId="0" borderId="5" xfId="0" applyFont="1" applyBorder="1" applyAlignment="1">
      <alignment horizontal="center"/>
    </xf>
    <xf numFmtId="178" fontId="9" fillId="0" borderId="5" xfId="0" applyFont="1" applyBorder="1" applyAlignment="1">
      <alignment horizontal="center"/>
    </xf>
    <xf numFmtId="178" fontId="12" fillId="0" borderId="4" xfId="0" applyFont="1" applyBorder="1" applyAlignment="1">
      <alignment horizontal="center"/>
    </xf>
    <xf numFmtId="178" fontId="24" fillId="0" borderId="7" xfId="0" applyFont="1" applyBorder="1" applyAlignment="1">
      <alignment horizontal="center"/>
    </xf>
    <xf numFmtId="178" fontId="25" fillId="0" borderId="2" xfId="0" applyFont="1" applyBorder="1" applyAlignment="1">
      <alignment horizontal="center"/>
    </xf>
    <xf numFmtId="178" fontId="23" fillId="0" borderId="0" xfId="0" applyFont="1"/>
    <xf numFmtId="172" fontId="9" fillId="0" borderId="2" xfId="0" applyNumberFormat="1" applyFont="1" applyFill="1" applyBorder="1" applyAlignment="1">
      <alignment horizontal="center"/>
    </xf>
    <xf numFmtId="172" fontId="12" fillId="0" borderId="3" xfId="0" applyNumberFormat="1" applyFont="1" applyFill="1" applyBorder="1" applyAlignment="1">
      <alignment horizontal="center"/>
    </xf>
    <xf numFmtId="172" fontId="0" fillId="0" borderId="0" xfId="0" applyNumberFormat="1" applyFill="1"/>
    <xf numFmtId="178" fontId="12" fillId="0" borderId="0" xfId="0" applyFont="1"/>
    <xf numFmtId="168" fontId="20" fillId="0" borderId="0" xfId="0" applyNumberFormat="1" applyFont="1"/>
    <xf numFmtId="178" fontId="30" fillId="0" borderId="7" xfId="0" applyFont="1" applyBorder="1" applyAlignment="1">
      <alignment horizontal="center"/>
    </xf>
    <xf numFmtId="178" fontId="18" fillId="0" borderId="2" xfId="0" applyFont="1" applyBorder="1" applyAlignment="1">
      <alignment horizontal="center"/>
    </xf>
    <xf numFmtId="178" fontId="16" fillId="0" borderId="3" xfId="0" applyFont="1" applyBorder="1" applyAlignment="1">
      <alignment horizontal="center"/>
    </xf>
    <xf numFmtId="178" fontId="31" fillId="0" borderId="8" xfId="0" applyFont="1" applyFill="1" applyBorder="1" applyAlignment="1">
      <alignment horizontal="center"/>
    </xf>
    <xf numFmtId="178" fontId="32" fillId="0" borderId="8" xfId="4" applyFont="1" applyFill="1" applyBorder="1" applyAlignment="1">
      <alignment wrapText="1"/>
    </xf>
    <xf numFmtId="178" fontId="23" fillId="0" borderId="3" xfId="0" applyFont="1" applyBorder="1" applyAlignment="1">
      <alignment horizontal="center"/>
    </xf>
    <xf numFmtId="178" fontId="33" fillId="0" borderId="8" xfId="4" applyFont="1" applyFill="1" applyBorder="1" applyAlignment="1">
      <alignment wrapText="1"/>
    </xf>
    <xf numFmtId="178" fontId="26" fillId="0" borderId="7" xfId="0" applyNumberFormat="1" applyFont="1" applyBorder="1" applyAlignment="1">
      <alignment horizontal="center"/>
    </xf>
    <xf numFmtId="178" fontId="19" fillId="0" borderId="2" xfId="0" applyNumberFormat="1" applyFont="1" applyBorder="1" applyAlignment="1">
      <alignment horizontal="center"/>
    </xf>
    <xf numFmtId="178" fontId="20" fillId="0" borderId="3" xfId="0" applyNumberFormat="1" applyFont="1" applyBorder="1" applyAlignment="1">
      <alignment horizontal="center"/>
    </xf>
    <xf numFmtId="178" fontId="20" fillId="0" borderId="0" xfId="0" applyNumberFormat="1" applyFont="1"/>
    <xf numFmtId="178" fontId="10" fillId="0" borderId="2" xfId="0" applyFont="1" applyBorder="1" applyAlignment="1"/>
    <xf numFmtId="178" fontId="10" fillId="0" borderId="9" xfId="0" applyFont="1" applyBorder="1" applyAlignment="1"/>
    <xf numFmtId="178" fontId="27" fillId="0" borderId="10" xfId="0" applyFont="1" applyBorder="1" applyAlignment="1">
      <alignment horizontal="center"/>
    </xf>
    <xf numFmtId="178" fontId="38" fillId="0" borderId="13" xfId="0" applyFont="1" applyFill="1" applyBorder="1" applyAlignment="1"/>
    <xf numFmtId="178" fontId="40" fillId="0" borderId="0" xfId="0" applyFont="1" applyFill="1" applyBorder="1" applyAlignment="1">
      <alignment horizontal="left"/>
    </xf>
    <xf numFmtId="167" fontId="17" fillId="0" borderId="0" xfId="5" applyNumberFormat="1" applyFont="1" applyFill="1" applyBorder="1"/>
    <xf numFmtId="167" fontId="14" fillId="0" borderId="0" xfId="5" applyNumberFormat="1" applyFont="1" applyFill="1" applyBorder="1"/>
    <xf numFmtId="49" fontId="39" fillId="0" borderId="0" xfId="5" applyNumberFormat="1" applyFont="1" applyFill="1" applyBorder="1"/>
    <xf numFmtId="168" fontId="0" fillId="0" borderId="0" xfId="0" applyNumberFormat="1" applyFont="1" applyFill="1" applyBorder="1" applyAlignment="1"/>
    <xf numFmtId="168" fontId="0" fillId="0" borderId="0" xfId="0" applyNumberFormat="1" applyFont="1" applyFill="1" applyBorder="1"/>
    <xf numFmtId="178" fontId="39" fillId="0" borderId="0" xfId="0" applyFont="1" applyFill="1" applyBorder="1"/>
    <xf numFmtId="164" fontId="0" fillId="0" borderId="13" xfId="0" applyNumberFormat="1" applyFont="1" applyFill="1" applyBorder="1" applyAlignment="1">
      <alignment horizontal="left"/>
    </xf>
    <xf numFmtId="164" fontId="28" fillId="0" borderId="13" xfId="0" applyNumberFormat="1" applyFont="1" applyFill="1" applyBorder="1" applyAlignment="1">
      <alignment horizontal="left"/>
    </xf>
    <xf numFmtId="164" fontId="19" fillId="0" borderId="13" xfId="0" applyNumberFormat="1" applyFont="1" applyFill="1" applyBorder="1" applyAlignment="1">
      <alignment horizontal="left"/>
    </xf>
    <xf numFmtId="178" fontId="28" fillId="0" borderId="13" xfId="0" applyFont="1" applyFill="1" applyBorder="1"/>
    <xf numFmtId="178" fontId="28" fillId="0" borderId="13" xfId="0" applyNumberFormat="1" applyFont="1" applyFill="1" applyBorder="1"/>
    <xf numFmtId="178" fontId="0" fillId="0" borderId="13" xfId="0" applyNumberFormat="1" applyFill="1" applyBorder="1"/>
    <xf numFmtId="178" fontId="35" fillId="0" borderId="3" xfId="0" applyFont="1" applyBorder="1" applyAlignment="1">
      <alignment horizontal="center" textRotation="90"/>
    </xf>
    <xf numFmtId="178" fontId="35" fillId="0" borderId="6" xfId="0" applyFont="1" applyBorder="1" applyAlignment="1">
      <alignment textRotation="90"/>
    </xf>
    <xf numFmtId="178" fontId="31" fillId="0" borderId="8" xfId="0" applyNumberFormat="1" applyFont="1" applyFill="1" applyBorder="1" applyAlignment="1">
      <alignment horizontal="left"/>
    </xf>
    <xf numFmtId="178" fontId="22" fillId="0" borderId="8" xfId="0" applyNumberFormat="1" applyFont="1" applyFill="1" applyBorder="1" applyAlignment="1">
      <alignment horizontal="center"/>
    </xf>
    <xf numFmtId="178" fontId="33" fillId="0" borderId="8" xfId="0" applyFont="1" applyFill="1" applyBorder="1" applyAlignment="1">
      <alignment horizontal="center"/>
    </xf>
    <xf numFmtId="168" fontId="34" fillId="0" borderId="8" xfId="0" applyNumberFormat="1" applyFont="1" applyFill="1" applyBorder="1" applyAlignment="1">
      <alignment shrinkToFit="1"/>
    </xf>
    <xf numFmtId="172" fontId="42" fillId="0" borderId="15" xfId="0" applyNumberFormat="1" applyFont="1" applyBorder="1" applyAlignment="1">
      <alignment shrinkToFit="1"/>
    </xf>
    <xf numFmtId="172" fontId="43" fillId="0" borderId="8" xfId="0" applyNumberFormat="1" applyFont="1" applyBorder="1" applyAlignment="1">
      <alignment horizontal="center"/>
    </xf>
    <xf numFmtId="178" fontId="29" fillId="0" borderId="0" xfId="0" applyFont="1" applyFill="1"/>
    <xf numFmtId="178" fontId="21" fillId="0" borderId="5" xfId="0" applyFont="1" applyBorder="1" applyAlignment="1">
      <alignment horizontal="center"/>
    </xf>
    <xf numFmtId="178" fontId="36" fillId="0" borderId="4" xfId="0" applyFont="1" applyBorder="1" applyAlignment="1">
      <alignment horizontal="center"/>
    </xf>
    <xf numFmtId="172" fontId="0" fillId="0" borderId="0" xfId="0" applyNumberFormat="1" applyAlignment="1">
      <alignment horizontal="center"/>
    </xf>
    <xf numFmtId="178" fontId="11" fillId="2" borderId="2" xfId="0" applyFont="1" applyFill="1" applyBorder="1" applyAlignment="1">
      <alignment horizontal="center"/>
    </xf>
    <xf numFmtId="178" fontId="12" fillId="2" borderId="3" xfId="0" applyFont="1" applyFill="1" applyBorder="1" applyAlignment="1">
      <alignment horizontal="center"/>
    </xf>
    <xf numFmtId="167" fontId="0" fillId="2" borderId="0" xfId="0" applyNumberFormat="1" applyFill="1" applyBorder="1"/>
    <xf numFmtId="178" fontId="16" fillId="2" borderId="0" xfId="0" applyFont="1" applyFill="1"/>
    <xf numFmtId="172" fontId="0" fillId="2" borderId="15" xfId="0" applyNumberFormat="1" applyFont="1" applyFill="1" applyBorder="1" applyAlignment="1">
      <alignment horizontal="center"/>
    </xf>
    <xf numFmtId="178" fontId="44" fillId="0" borderId="0" xfId="0" applyFont="1" applyAlignment="1">
      <alignment horizontal="center"/>
    </xf>
    <xf numFmtId="172" fontId="45" fillId="0" borderId="7" xfId="0" applyNumberFormat="1" applyFont="1" applyFill="1" applyBorder="1" applyAlignment="1">
      <alignment horizontal="center"/>
    </xf>
    <xf numFmtId="178" fontId="47" fillId="0" borderId="1" xfId="0" applyFont="1" applyBorder="1" applyAlignment="1">
      <alignment horizontal="center"/>
    </xf>
    <xf numFmtId="178" fontId="47" fillId="0" borderId="5" xfId="0" applyFont="1" applyBorder="1" applyAlignment="1">
      <alignment horizontal="center"/>
    </xf>
    <xf numFmtId="172" fontId="45" fillId="0" borderId="2" xfId="0" applyNumberFormat="1" applyFont="1" applyFill="1" applyBorder="1" applyAlignment="1">
      <alignment horizontal="center"/>
    </xf>
    <xf numFmtId="178" fontId="47" fillId="0" borderId="10" xfId="0" applyFont="1" applyBorder="1" applyAlignment="1">
      <alignment horizontal="center"/>
    </xf>
    <xf numFmtId="178" fontId="45" fillId="2" borderId="7" xfId="0" applyFont="1" applyFill="1" applyBorder="1" applyAlignment="1">
      <alignment horizontal="center"/>
    </xf>
    <xf numFmtId="178" fontId="50" fillId="0" borderId="12" xfId="0" applyFont="1" applyBorder="1" applyAlignment="1">
      <alignment horizontal="center"/>
    </xf>
    <xf numFmtId="174" fontId="53" fillId="3" borderId="8" xfId="1" applyNumberFormat="1" applyFont="1" applyFill="1" applyBorder="1" applyAlignment="1" applyProtection="1">
      <alignment horizontal="center"/>
    </xf>
    <xf numFmtId="174" fontId="54" fillId="4" borderId="2" xfId="1" applyNumberFormat="1" applyFont="1" applyFill="1" applyBorder="1" applyAlignment="1" applyProtection="1">
      <alignment horizontal="center"/>
    </xf>
    <xf numFmtId="176" fontId="58" fillId="0" borderId="18" xfId="0" applyNumberFormat="1" applyFont="1" applyBorder="1" applyAlignment="1">
      <alignment horizontal="center" vertical="center"/>
    </xf>
    <xf numFmtId="176" fontId="58" fillId="0" borderId="19" xfId="0" applyNumberFormat="1" applyFont="1" applyBorder="1" applyAlignment="1">
      <alignment horizontal="center" vertical="center"/>
    </xf>
    <xf numFmtId="178" fontId="59" fillId="0" borderId="2" xfId="0" applyFont="1" applyBorder="1" applyAlignment="1">
      <alignment horizontal="center"/>
    </xf>
    <xf numFmtId="178" fontId="60" fillId="0" borderId="8" xfId="0" applyFont="1" applyFill="1" applyBorder="1"/>
    <xf numFmtId="178" fontId="61" fillId="2" borderId="0" xfId="0" applyFont="1" applyFill="1" applyBorder="1" applyAlignment="1">
      <alignment horizontal="center"/>
    </xf>
    <xf numFmtId="178" fontId="35" fillId="0" borderId="0" xfId="0" applyFont="1"/>
    <xf numFmtId="1" fontId="62" fillId="0" borderId="8" xfId="0" applyNumberFormat="1" applyFont="1" applyBorder="1" applyAlignment="1">
      <alignment horizontal="center"/>
    </xf>
    <xf numFmtId="169" fontId="62" fillId="0" borderId="8" xfId="0" applyNumberFormat="1" applyFont="1" applyBorder="1" applyAlignment="1">
      <alignment horizontal="center"/>
    </xf>
    <xf numFmtId="178" fontId="63" fillId="0" borderId="0" xfId="0" applyFont="1" applyAlignment="1">
      <alignment horizontal="center"/>
    </xf>
    <xf numFmtId="178" fontId="16" fillId="0" borderId="0" xfId="0" applyFont="1" applyAlignment="1">
      <alignment horizontal="center"/>
    </xf>
    <xf numFmtId="178" fontId="16" fillId="0" borderId="0" xfId="0" applyFont="1" applyFill="1"/>
    <xf numFmtId="167" fontId="0" fillId="2" borderId="0" xfId="0" applyNumberFormat="1" applyFill="1" applyBorder="1" applyAlignment="1">
      <alignment horizontal="center"/>
    </xf>
    <xf numFmtId="178" fontId="16" fillId="2" borderId="0" xfId="0" applyFont="1" applyFill="1" applyAlignment="1">
      <alignment horizontal="center"/>
    </xf>
    <xf numFmtId="178" fontId="17" fillId="2" borderId="7" xfId="0" applyFont="1" applyFill="1" applyBorder="1" applyAlignment="1">
      <alignment horizontal="center"/>
    </xf>
    <xf numFmtId="178" fontId="12" fillId="0" borderId="8" xfId="0" applyFont="1" applyBorder="1" applyAlignment="1">
      <alignment horizontal="center" vertical="top"/>
    </xf>
    <xf numFmtId="178" fontId="12" fillId="0" borderId="8" xfId="0" applyNumberFormat="1" applyFont="1" applyBorder="1" applyAlignment="1">
      <alignment horizontal="center" vertical="top"/>
    </xf>
    <xf numFmtId="173" fontId="41" fillId="2" borderId="4" xfId="0" applyNumberFormat="1" applyFont="1" applyFill="1" applyBorder="1" applyAlignment="1">
      <alignment horizontal="center"/>
    </xf>
    <xf numFmtId="178" fontId="45" fillId="0" borderId="1" xfId="0" applyFont="1" applyBorder="1" applyAlignment="1">
      <alignment horizontal="center"/>
    </xf>
    <xf numFmtId="178" fontId="11" fillId="0" borderId="5" xfId="0" applyFont="1" applyBorder="1" applyAlignment="1">
      <alignment horizontal="center"/>
    </xf>
    <xf numFmtId="178" fontId="17" fillId="2" borderId="2" xfId="0" applyFont="1" applyFill="1" applyBorder="1" applyAlignment="1">
      <alignment horizontal="center"/>
    </xf>
    <xf numFmtId="49" fontId="12" fillId="0" borderId="8" xfId="0" applyNumberFormat="1" applyFont="1" applyBorder="1" applyAlignment="1">
      <alignment horizontal="center" vertical="top"/>
    </xf>
    <xf numFmtId="178" fontId="9" fillId="0" borderId="8" xfId="0" applyFont="1" applyBorder="1" applyAlignment="1">
      <alignment horizontal="center" vertical="top"/>
    </xf>
    <xf numFmtId="178" fontId="12" fillId="0" borderId="8" xfId="0" applyFont="1" applyBorder="1" applyAlignment="1">
      <alignment horizontal="center" vertical="center"/>
    </xf>
    <xf numFmtId="178" fontId="12" fillId="0" borderId="8" xfId="0" applyNumberFormat="1" applyFont="1" applyBorder="1" applyAlignment="1">
      <alignment horizontal="center" vertical="center"/>
    </xf>
    <xf numFmtId="173" fontId="41" fillId="2" borderId="4" xfId="0" applyNumberFormat="1" applyFont="1" applyFill="1" applyBorder="1" applyAlignment="1">
      <alignment horizontal="center" vertical="center"/>
    </xf>
    <xf numFmtId="178" fontId="48" fillId="0" borderId="12" xfId="0" applyFont="1" applyBorder="1" applyAlignment="1">
      <alignment horizontal="center"/>
    </xf>
    <xf numFmtId="172" fontId="16" fillId="0" borderId="27" xfId="0" applyNumberFormat="1" applyFont="1" applyBorder="1" applyAlignment="1">
      <alignment horizontal="center"/>
    </xf>
    <xf numFmtId="178" fontId="9" fillId="0" borderId="9" xfId="0" applyFont="1" applyBorder="1" applyAlignment="1">
      <alignment horizontal="center"/>
    </xf>
    <xf numFmtId="172" fontId="16" fillId="0" borderId="28" xfId="0" applyNumberFormat="1" applyFont="1" applyBorder="1" applyAlignment="1">
      <alignment horizontal="center"/>
    </xf>
    <xf numFmtId="178" fontId="69" fillId="0" borderId="0" xfId="0" applyFont="1" applyBorder="1" applyAlignment="1"/>
    <xf numFmtId="178" fontId="69" fillId="0" borderId="0" xfId="0" applyFont="1" applyAlignment="1"/>
    <xf numFmtId="167" fontId="56" fillId="8" borderId="17" xfId="2" applyNumberFormat="1" applyFont="1" applyFill="1" applyBorder="1" applyProtection="1">
      <protection hidden="1"/>
    </xf>
    <xf numFmtId="167" fontId="56" fillId="8" borderId="16" xfId="2" applyNumberFormat="1" applyFont="1" applyFill="1" applyBorder="1" applyProtection="1">
      <protection hidden="1"/>
    </xf>
    <xf numFmtId="177" fontId="54" fillId="4" borderId="8" xfId="1" applyNumberFormat="1" applyFont="1" applyFill="1" applyBorder="1" applyAlignment="1" applyProtection="1">
      <alignment horizontal="center"/>
    </xf>
    <xf numFmtId="167" fontId="56" fillId="5" borderId="8" xfId="2" applyNumberFormat="1" applyFont="1" applyFill="1" applyBorder="1" applyProtection="1">
      <protection hidden="1"/>
    </xf>
    <xf numFmtId="2" fontId="71" fillId="0" borderId="15" xfId="0" applyNumberFormat="1" applyFont="1" applyFill="1" applyBorder="1" applyAlignment="1">
      <alignment horizontal="center"/>
    </xf>
    <xf numFmtId="178" fontId="65" fillId="0" borderId="0" xfId="0" applyFont="1" applyBorder="1" applyAlignment="1">
      <alignment horizontal="center"/>
    </xf>
    <xf numFmtId="175" fontId="64" fillId="0" borderId="29" xfId="3" applyNumberFormat="1" applyFont="1" applyBorder="1" applyAlignment="1" applyProtection="1">
      <alignment horizontal="center" vertical="center" shrinkToFit="1"/>
    </xf>
    <xf numFmtId="172" fontId="0" fillId="2" borderId="8" xfId="0" applyNumberFormat="1" applyFont="1" applyFill="1" applyBorder="1" applyAlignment="1">
      <alignment horizontal="center"/>
    </xf>
    <xf numFmtId="178" fontId="49" fillId="0" borderId="8" xfId="0" applyFont="1" applyBorder="1" applyAlignment="1">
      <alignment horizontal="center"/>
    </xf>
    <xf numFmtId="169" fontId="42" fillId="0" borderId="12" xfId="0" applyNumberFormat="1" applyFont="1" applyFill="1" applyBorder="1" applyAlignment="1">
      <alignment shrinkToFit="1"/>
    </xf>
    <xf numFmtId="178" fontId="22" fillId="0" borderId="14" xfId="0" applyNumberFormat="1" applyFont="1" applyFill="1" applyBorder="1" applyAlignment="1">
      <alignment shrinkToFit="1"/>
    </xf>
    <xf numFmtId="178" fontId="42" fillId="0" borderId="14" xfId="0" applyFont="1" applyFill="1" applyBorder="1" applyAlignment="1">
      <alignment shrinkToFit="1"/>
    </xf>
    <xf numFmtId="178" fontId="22" fillId="0" borderId="14" xfId="0" applyFont="1" applyFill="1" applyBorder="1" applyAlignment="1">
      <alignment shrinkToFit="1"/>
    </xf>
    <xf numFmtId="169" fontId="42" fillId="0" borderId="15" xfId="0" applyNumberFormat="1" applyFont="1" applyFill="1" applyBorder="1" applyAlignment="1">
      <alignment shrinkToFit="1"/>
    </xf>
    <xf numFmtId="172" fontId="19" fillId="0" borderId="8" xfId="0" applyNumberFormat="1" applyFont="1" applyFill="1" applyBorder="1" applyAlignment="1">
      <alignment shrinkToFit="1"/>
    </xf>
    <xf numFmtId="171" fontId="19" fillId="2" borderId="8" xfId="0" applyNumberFormat="1" applyFont="1" applyFill="1" applyBorder="1" applyAlignment="1">
      <alignment shrinkToFit="1"/>
    </xf>
    <xf numFmtId="172" fontId="19" fillId="2" borderId="8" xfId="0" applyNumberFormat="1" applyFont="1" applyFill="1" applyBorder="1" applyAlignment="1">
      <alignment horizontal="center" shrinkToFit="1"/>
    </xf>
    <xf numFmtId="164" fontId="19" fillId="2" borderId="8" xfId="0" applyNumberFormat="1" applyFont="1" applyFill="1" applyBorder="1" applyAlignment="1">
      <alignment horizontal="center" shrinkToFit="1"/>
    </xf>
    <xf numFmtId="2" fontId="72" fillId="2" borderId="8" xfId="0" applyNumberFormat="1" applyFont="1" applyFill="1" applyBorder="1" applyAlignment="1">
      <alignment shrinkToFit="1"/>
    </xf>
    <xf numFmtId="168" fontId="19" fillId="0" borderId="12" xfId="0" applyNumberFormat="1" applyFont="1" applyFill="1" applyBorder="1" applyAlignment="1">
      <alignment shrinkToFit="1"/>
    </xf>
    <xf numFmtId="175" fontId="55" fillId="9" borderId="8" xfId="1" applyNumberFormat="1" applyFont="1" applyFill="1" applyBorder="1" applyAlignment="1" applyProtection="1">
      <alignment horizontal="center"/>
    </xf>
    <xf numFmtId="175" fontId="55" fillId="10" borderId="8" xfId="1" applyNumberFormat="1" applyFont="1" applyFill="1" applyBorder="1" applyAlignment="1" applyProtection="1">
      <alignment horizontal="center"/>
    </xf>
    <xf numFmtId="167" fontId="16" fillId="11" borderId="0" xfId="0" applyNumberFormat="1" applyFont="1" applyFill="1" applyAlignment="1">
      <alignment horizontal="center"/>
    </xf>
    <xf numFmtId="178" fontId="16" fillId="12" borderId="8" xfId="0" applyFont="1" applyFill="1" applyBorder="1"/>
    <xf numFmtId="178" fontId="16" fillId="13" borderId="8" xfId="0" applyFont="1" applyFill="1" applyBorder="1" applyAlignment="1">
      <alignment horizontal="center"/>
    </xf>
    <xf numFmtId="2" fontId="73" fillId="0" borderId="8" xfId="0" applyNumberFormat="1" applyFont="1" applyFill="1" applyBorder="1" applyAlignment="1">
      <alignment horizontal="center"/>
    </xf>
    <xf numFmtId="1" fontId="74" fillId="0" borderId="15" xfId="0" applyNumberFormat="1" applyFont="1" applyFill="1" applyBorder="1" applyAlignment="1">
      <alignment horizontal="center"/>
    </xf>
    <xf numFmtId="178" fontId="12" fillId="0" borderId="3" xfId="0" applyFont="1" applyBorder="1" applyAlignment="1">
      <alignment horizontal="center"/>
    </xf>
    <xf numFmtId="170" fontId="75" fillId="0" borderId="8" xfId="0" applyNumberFormat="1" applyFont="1" applyFill="1" applyBorder="1" applyAlignment="1">
      <alignment shrinkToFit="1"/>
    </xf>
    <xf numFmtId="172" fontId="76" fillId="0" borderId="13" xfId="0" applyNumberFormat="1" applyFont="1" applyBorder="1" applyAlignment="1">
      <alignment horizontal="center"/>
    </xf>
    <xf numFmtId="172" fontId="76" fillId="0" borderId="0" xfId="0" applyNumberFormat="1" applyFont="1" applyBorder="1" applyAlignment="1">
      <alignment horizontal="center"/>
    </xf>
    <xf numFmtId="178" fontId="76" fillId="0" borderId="1" xfId="0" applyFont="1" applyBorder="1" applyAlignment="1">
      <alignment horizontal="center"/>
    </xf>
    <xf numFmtId="178" fontId="76" fillId="0" borderId="5" xfId="0" applyFont="1" applyBorder="1" applyAlignment="1">
      <alignment horizontal="center"/>
    </xf>
    <xf numFmtId="178" fontId="9" fillId="0" borderId="8" xfId="0" applyFont="1" applyBorder="1" applyAlignment="1">
      <alignment horizontal="center"/>
    </xf>
    <xf numFmtId="178" fontId="35" fillId="0" borderId="11" xfId="0" applyFont="1" applyBorder="1" applyAlignment="1">
      <alignment horizontal="center"/>
    </xf>
    <xf numFmtId="169" fontId="37" fillId="0" borderId="8" xfId="0" applyNumberFormat="1" applyFont="1" applyBorder="1" applyAlignment="1">
      <alignment horizontal="center"/>
    </xf>
    <xf numFmtId="170" fontId="78" fillId="0" borderId="8" xfId="0" applyNumberFormat="1" applyFont="1" applyBorder="1" applyAlignment="1">
      <alignment horizontal="center"/>
    </xf>
    <xf numFmtId="178" fontId="0" fillId="7" borderId="0" xfId="0" applyFill="1"/>
    <xf numFmtId="178" fontId="19" fillId="7" borderId="4" xfId="0" applyFont="1" applyFill="1" applyBorder="1" applyAlignment="1">
      <alignment horizontal="center"/>
    </xf>
    <xf numFmtId="178" fontId="69" fillId="7" borderId="0" xfId="0" applyFont="1" applyFill="1" applyBorder="1" applyAlignment="1"/>
    <xf numFmtId="178" fontId="46" fillId="7" borderId="7" xfId="0" applyFont="1" applyFill="1" applyBorder="1" applyAlignment="1">
      <alignment horizontal="center"/>
    </xf>
    <xf numFmtId="178" fontId="11" fillId="7" borderId="2" xfId="0" applyFont="1" applyFill="1" applyBorder="1" applyAlignment="1">
      <alignment horizontal="center"/>
    </xf>
    <xf numFmtId="178" fontId="12" fillId="7" borderId="4" xfId="0" applyFont="1" applyFill="1" applyBorder="1" applyAlignment="1">
      <alignment horizontal="center"/>
    </xf>
    <xf numFmtId="178" fontId="18" fillId="0" borderId="13" xfId="0" applyNumberFormat="1" applyFont="1" applyFill="1" applyBorder="1"/>
    <xf numFmtId="178" fontId="83" fillId="0" borderId="8" xfId="0" applyNumberFormat="1" applyFont="1" applyFill="1" applyBorder="1" applyAlignment="1">
      <alignment horizontal="left"/>
    </xf>
    <xf numFmtId="178" fontId="83" fillId="0" borderId="8" xfId="0" applyFont="1" applyFill="1" applyBorder="1" applyAlignment="1">
      <alignment horizontal="center"/>
    </xf>
    <xf numFmtId="178" fontId="84" fillId="0" borderId="8" xfId="4" applyFont="1" applyFill="1" applyBorder="1" applyAlignment="1">
      <alignment wrapText="1"/>
    </xf>
    <xf numFmtId="178" fontId="85" fillId="0" borderId="8" xfId="4" applyFont="1" applyFill="1" applyBorder="1" applyAlignment="1">
      <alignment wrapText="1"/>
    </xf>
    <xf numFmtId="178" fontId="83" fillId="0" borderId="8" xfId="0" applyNumberFormat="1" applyFont="1" applyFill="1" applyBorder="1" applyAlignment="1">
      <alignment horizontal="center"/>
    </xf>
    <xf numFmtId="178" fontId="85" fillId="0" borderId="8" xfId="0" applyFont="1" applyFill="1" applyBorder="1" applyAlignment="1">
      <alignment horizontal="center"/>
    </xf>
    <xf numFmtId="173" fontId="15" fillId="2" borderId="4" xfId="0" applyNumberFormat="1" applyFont="1" applyFill="1" applyBorder="1" applyAlignment="1">
      <alignment horizontal="center"/>
    </xf>
    <xf numFmtId="173" fontId="15" fillId="2" borderId="4" xfId="0" applyNumberFormat="1" applyFont="1" applyFill="1" applyBorder="1" applyAlignment="1">
      <alignment horizontal="center" vertical="center"/>
    </xf>
    <xf numFmtId="178" fontId="27" fillId="0" borderId="8" xfId="0" applyFont="1" applyFill="1" applyBorder="1" applyAlignment="1">
      <alignment horizontal="center"/>
    </xf>
    <xf numFmtId="178" fontId="15" fillId="0" borderId="8" xfId="0" applyFont="1" applyFill="1" applyBorder="1"/>
    <xf numFmtId="168" fontId="28" fillId="0" borderId="8" xfId="0" applyNumberFormat="1" applyFont="1" applyFill="1" applyBorder="1" applyAlignment="1">
      <alignment shrinkToFit="1"/>
    </xf>
    <xf numFmtId="178" fontId="15" fillId="0" borderId="14" xfId="0" applyNumberFormat="1" applyFont="1" applyFill="1" applyBorder="1" applyAlignment="1">
      <alignment shrinkToFit="1"/>
    </xf>
    <xf numFmtId="178" fontId="28" fillId="0" borderId="14" xfId="0" applyFont="1" applyFill="1" applyBorder="1" applyAlignment="1">
      <alignment shrinkToFit="1"/>
    </xf>
    <xf numFmtId="178" fontId="15" fillId="0" borderId="14" xfId="0" applyFont="1" applyFill="1" applyBorder="1" applyAlignment="1">
      <alignment shrinkToFit="1"/>
    </xf>
    <xf numFmtId="172" fontId="28" fillId="0" borderId="8" xfId="0" applyNumberFormat="1" applyFont="1" applyFill="1" applyBorder="1" applyAlignment="1">
      <alignment shrinkToFit="1"/>
    </xf>
    <xf numFmtId="171" fontId="28" fillId="2" borderId="8" xfId="0" applyNumberFormat="1" applyFont="1" applyFill="1" applyBorder="1" applyAlignment="1">
      <alignment shrinkToFit="1"/>
    </xf>
    <xf numFmtId="2" fontId="12" fillId="2" borderId="8" xfId="0" applyNumberFormat="1" applyFont="1" applyFill="1" applyBorder="1" applyAlignment="1">
      <alignment shrinkToFit="1"/>
    </xf>
    <xf numFmtId="170" fontId="28" fillId="0" borderId="8" xfId="0" applyNumberFormat="1" applyFont="1" applyFill="1" applyBorder="1" applyAlignment="1">
      <alignment shrinkToFit="1"/>
    </xf>
    <xf numFmtId="168" fontId="28" fillId="0" borderId="12" xfId="0" applyNumberFormat="1" applyFont="1" applyFill="1" applyBorder="1" applyAlignment="1">
      <alignment shrinkToFit="1"/>
    </xf>
    <xf numFmtId="169" fontId="28" fillId="0" borderId="8" xfId="0" applyNumberFormat="1" applyFont="1" applyBorder="1" applyAlignment="1">
      <alignment horizontal="center"/>
    </xf>
    <xf numFmtId="172" fontId="34" fillId="0" borderId="8" xfId="0" applyNumberFormat="1" applyFont="1" applyBorder="1" applyAlignment="1">
      <alignment horizontal="center"/>
    </xf>
    <xf numFmtId="178" fontId="84" fillId="0" borderId="0" xfId="0" applyFont="1" applyFill="1"/>
    <xf numFmtId="178" fontId="86" fillId="7" borderId="8" xfId="0" applyNumberFormat="1" applyFont="1" applyFill="1" applyBorder="1" applyAlignment="1">
      <alignment horizontal="center" vertical="top"/>
    </xf>
    <xf numFmtId="49" fontId="86" fillId="7" borderId="8" xfId="0" applyNumberFormat="1" applyFont="1" applyFill="1" applyBorder="1" applyAlignment="1">
      <alignment horizontal="center" vertical="top"/>
    </xf>
    <xf numFmtId="178" fontId="86" fillId="7" borderId="8" xfId="0" applyFont="1" applyFill="1" applyBorder="1" applyAlignment="1">
      <alignment horizontal="center" vertical="center"/>
    </xf>
    <xf numFmtId="178" fontId="87" fillId="7" borderId="8" xfId="0" applyFont="1" applyFill="1" applyBorder="1" applyAlignment="1">
      <alignment horizontal="center" vertical="top"/>
    </xf>
    <xf numFmtId="178" fontId="12" fillId="7" borderId="8" xfId="0" applyNumberFormat="1" applyFont="1" applyFill="1" applyBorder="1" applyAlignment="1">
      <alignment horizontal="center" vertical="top"/>
    </xf>
    <xf numFmtId="49" fontId="12" fillId="7" borderId="8" xfId="0" applyNumberFormat="1" applyFont="1" applyFill="1" applyBorder="1" applyAlignment="1">
      <alignment horizontal="center" vertical="top"/>
    </xf>
    <xf numFmtId="178" fontId="12" fillId="7" borderId="8" xfId="0" applyFont="1" applyFill="1" applyBorder="1" applyAlignment="1">
      <alignment horizontal="center" vertical="center"/>
    </xf>
    <xf numFmtId="178" fontId="9" fillId="7" borderId="8" xfId="0" applyFont="1" applyFill="1" applyBorder="1" applyAlignment="1">
      <alignment horizontal="center" vertical="top"/>
    </xf>
    <xf numFmtId="178" fontId="60" fillId="7" borderId="8" xfId="0" applyFont="1" applyFill="1" applyBorder="1"/>
    <xf numFmtId="14" fontId="22" fillId="7" borderId="8" xfId="0" applyNumberFormat="1" applyFont="1" applyFill="1" applyBorder="1" applyAlignment="1">
      <alignment horizontal="center"/>
    </xf>
    <xf numFmtId="173" fontId="41" fillId="7" borderId="4" xfId="0" applyNumberFormat="1" applyFont="1" applyFill="1" applyBorder="1" applyAlignment="1">
      <alignment horizontal="center"/>
    </xf>
    <xf numFmtId="173" fontId="41" fillId="7" borderId="4" xfId="0" applyNumberFormat="1" applyFont="1" applyFill="1" applyBorder="1" applyAlignment="1">
      <alignment horizontal="center" vertical="center"/>
    </xf>
    <xf numFmtId="173" fontId="17" fillId="7" borderId="12" xfId="0" applyNumberFormat="1" applyFont="1" applyFill="1" applyBorder="1" applyAlignment="1">
      <alignment horizontal="center"/>
    </xf>
    <xf numFmtId="173" fontId="17" fillId="7" borderId="8" xfId="0" applyNumberFormat="1" applyFont="1" applyFill="1" applyBorder="1" applyAlignment="1">
      <alignment horizontal="center"/>
    </xf>
    <xf numFmtId="178" fontId="89" fillId="0" borderId="8" xfId="0" applyFont="1" applyFill="1" applyBorder="1"/>
    <xf numFmtId="14" fontId="14" fillId="7" borderId="8" xfId="0" applyNumberFormat="1" applyFont="1" applyFill="1" applyBorder="1" applyAlignment="1">
      <alignment horizontal="center"/>
    </xf>
    <xf numFmtId="168" fontId="34" fillId="7" borderId="8" xfId="0" applyNumberFormat="1" applyFont="1" applyFill="1" applyBorder="1" applyAlignment="1">
      <alignment shrinkToFit="1"/>
    </xf>
    <xf numFmtId="178" fontId="12" fillId="7" borderId="8" xfId="0" applyNumberFormat="1" applyFont="1" applyFill="1" applyBorder="1" applyAlignment="1">
      <alignment horizontal="center" vertical="center"/>
    </xf>
    <xf numFmtId="178" fontId="85" fillId="7" borderId="8" xfId="0" applyFont="1" applyFill="1" applyBorder="1" applyAlignment="1">
      <alignment horizontal="center"/>
    </xf>
    <xf numFmtId="178" fontId="27" fillId="7" borderId="8" xfId="0" applyFont="1" applyFill="1" applyBorder="1" applyAlignment="1">
      <alignment horizontal="center"/>
    </xf>
    <xf numFmtId="168" fontId="19" fillId="7" borderId="12" xfId="0" applyNumberFormat="1" applyFont="1" applyFill="1" applyBorder="1" applyAlignment="1">
      <alignment shrinkToFit="1"/>
    </xf>
    <xf numFmtId="178" fontId="89" fillId="7" borderId="8" xfId="0" applyFont="1" applyFill="1" applyBorder="1"/>
    <xf numFmtId="2" fontId="42" fillId="7" borderId="8" xfId="0" applyNumberFormat="1" applyFont="1" applyFill="1" applyBorder="1" applyAlignment="1">
      <alignment shrinkToFit="1"/>
    </xf>
    <xf numFmtId="173" fontId="15" fillId="7" borderId="8" xfId="0" applyNumberFormat="1" applyFont="1" applyFill="1" applyBorder="1" applyAlignment="1">
      <alignment horizontal="center"/>
    </xf>
    <xf numFmtId="178" fontId="47" fillId="7" borderId="13" xfId="0" applyNumberFormat="1" applyFont="1" applyFill="1" applyBorder="1" applyAlignment="1">
      <alignment horizontal="center"/>
    </xf>
    <xf numFmtId="178" fontId="47" fillId="7" borderId="0" xfId="0" applyNumberFormat="1" applyFont="1" applyFill="1" applyBorder="1" applyAlignment="1">
      <alignment horizontal="center"/>
    </xf>
    <xf numFmtId="178" fontId="35" fillId="7" borderId="6" xfId="0" applyNumberFormat="1" applyFont="1" applyFill="1" applyBorder="1" applyAlignment="1">
      <alignment horizontal="center"/>
    </xf>
    <xf numFmtId="178" fontId="12" fillId="7" borderId="13" xfId="0" applyNumberFormat="1" applyFont="1" applyFill="1" applyBorder="1" applyAlignment="1">
      <alignment horizontal="center"/>
    </xf>
    <xf numFmtId="178" fontId="0" fillId="7" borderId="0" xfId="0" applyNumberFormat="1" applyFill="1"/>
    <xf numFmtId="170" fontId="79" fillId="7" borderId="8" xfId="0" applyNumberFormat="1" applyFont="1" applyFill="1" applyBorder="1" applyAlignment="1">
      <alignment shrinkToFit="1"/>
    </xf>
    <xf numFmtId="170" fontId="28" fillId="7" borderId="8" xfId="0" applyNumberFormat="1" applyFont="1" applyFill="1" applyBorder="1" applyAlignment="1">
      <alignment shrinkToFit="1"/>
    </xf>
    <xf numFmtId="178" fontId="18" fillId="7" borderId="13" xfId="0" applyNumberFormat="1" applyFont="1" applyFill="1" applyBorder="1"/>
    <xf numFmtId="178" fontId="16" fillId="7" borderId="0" xfId="0" applyFont="1" applyFill="1"/>
    <xf numFmtId="178" fontId="88" fillId="7" borderId="8" xfId="0" applyFont="1" applyFill="1" applyBorder="1"/>
    <xf numFmtId="178" fontId="70" fillId="0" borderId="0" xfId="0" applyFont="1" applyBorder="1" applyAlignment="1">
      <alignment horizontal="center" vertical="center"/>
    </xf>
    <xf numFmtId="178" fontId="47" fillId="0" borderId="7" xfId="0" applyFont="1" applyBorder="1" applyAlignment="1">
      <alignment horizontal="center"/>
    </xf>
    <xf numFmtId="178" fontId="44" fillId="0" borderId="0" xfId="0" applyFont="1" applyBorder="1" applyAlignment="1">
      <alignment horizontal="center"/>
    </xf>
    <xf numFmtId="178" fontId="47" fillId="0" borderId="12" xfId="0" applyFont="1" applyBorder="1" applyAlignment="1">
      <alignment horizontal="center"/>
    </xf>
    <xf numFmtId="49" fontId="49" fillId="7" borderId="7" xfId="0" applyNumberFormat="1" applyFont="1" applyFill="1" applyBorder="1" applyAlignment="1">
      <alignment horizontal="center"/>
    </xf>
    <xf numFmtId="49" fontId="49" fillId="7" borderId="2" xfId="0" applyNumberFormat="1" applyFont="1" applyFill="1" applyBorder="1" applyAlignment="1">
      <alignment horizontal="center"/>
    </xf>
    <xf numFmtId="49" fontId="26" fillId="7" borderId="2" xfId="0" applyNumberFormat="1" applyFont="1" applyFill="1" applyBorder="1" applyAlignment="1">
      <alignment horizontal="center"/>
    </xf>
    <xf numFmtId="49" fontId="20" fillId="7" borderId="3" xfId="0" applyNumberFormat="1" applyFont="1" applyFill="1" applyBorder="1" applyAlignment="1">
      <alignment horizontal="center"/>
    </xf>
    <xf numFmtId="14" fontId="81" fillId="7" borderId="8" xfId="0" applyNumberFormat="1" applyFont="1" applyFill="1" applyBorder="1" applyAlignment="1">
      <alignment horizontal="center"/>
    </xf>
    <xf numFmtId="14" fontId="90" fillId="7" borderId="8" xfId="0" applyNumberFormat="1" applyFont="1" applyFill="1" applyBorder="1" applyAlignment="1">
      <alignment horizontal="center"/>
    </xf>
    <xf numFmtId="14" fontId="82" fillId="7" borderId="8" xfId="0" applyNumberFormat="1" applyFont="1" applyFill="1" applyBorder="1" applyAlignment="1">
      <alignment horizontal="center"/>
    </xf>
    <xf numFmtId="14" fontId="15" fillId="7" borderId="8" xfId="0" applyNumberFormat="1" applyFont="1" applyFill="1" applyBorder="1" applyAlignment="1">
      <alignment horizontal="center"/>
    </xf>
    <xf numFmtId="178" fontId="39" fillId="7" borderId="0" xfId="0" applyFont="1" applyFill="1" applyBorder="1"/>
    <xf numFmtId="178" fontId="20" fillId="7" borderId="0" xfId="0" applyFont="1" applyFill="1"/>
    <xf numFmtId="178" fontId="91" fillId="7" borderId="7" xfId="0" applyFont="1" applyFill="1" applyBorder="1" applyAlignment="1">
      <alignment horizontal="center"/>
    </xf>
    <xf numFmtId="178" fontId="91" fillId="7" borderId="5" xfId="0" applyFont="1" applyFill="1" applyBorder="1" applyAlignment="1">
      <alignment horizontal="center"/>
    </xf>
    <xf numFmtId="178" fontId="92" fillId="7" borderId="2" xfId="0" applyFont="1" applyFill="1" applyBorder="1" applyAlignment="1">
      <alignment horizontal="center"/>
    </xf>
    <xf numFmtId="178" fontId="93" fillId="7" borderId="3" xfId="0" applyFont="1" applyFill="1" applyBorder="1" applyAlignment="1">
      <alignment horizontal="center"/>
    </xf>
    <xf numFmtId="178" fontId="94" fillId="7" borderId="8" xfId="0" applyFont="1" applyFill="1" applyBorder="1" applyAlignment="1">
      <alignment horizontal="center"/>
    </xf>
    <xf numFmtId="178" fontId="95" fillId="7" borderId="8" xfId="0" applyFont="1" applyFill="1" applyBorder="1" applyAlignment="1">
      <alignment horizontal="center"/>
    </xf>
    <xf numFmtId="168" fontId="96" fillId="7" borderId="0" xfId="0" applyNumberFormat="1" applyFont="1" applyFill="1" applyBorder="1"/>
    <xf numFmtId="178" fontId="96" fillId="7" borderId="0" xfId="0" applyFont="1" applyFill="1"/>
    <xf numFmtId="178" fontId="29" fillId="7" borderId="0" xfId="0" applyFont="1" applyFill="1"/>
    <xf numFmtId="0" fontId="0" fillId="7" borderId="0" xfId="0" applyNumberFormat="1" applyFill="1"/>
    <xf numFmtId="2" fontId="96" fillId="7" borderId="0" xfId="0" applyNumberFormat="1" applyFont="1" applyFill="1"/>
    <xf numFmtId="1" fontId="96" fillId="7" borderId="0" xfId="0" applyNumberFormat="1" applyFont="1" applyFill="1"/>
    <xf numFmtId="2" fontId="0" fillId="7" borderId="0" xfId="0" applyNumberFormat="1" applyFill="1"/>
    <xf numFmtId="2" fontId="20" fillId="7" borderId="0" xfId="0" applyNumberFormat="1" applyFont="1" applyFill="1"/>
    <xf numFmtId="2" fontId="16" fillId="7" borderId="0" xfId="0" applyNumberFormat="1" applyFont="1" applyFill="1"/>
    <xf numFmtId="2" fontId="16" fillId="7" borderId="0" xfId="0" applyNumberFormat="1" applyFont="1" applyFill="1" applyBorder="1"/>
    <xf numFmtId="178" fontId="99" fillId="7" borderId="0" xfId="0" applyFont="1" applyFill="1"/>
    <xf numFmtId="178" fontId="29" fillId="7" borderId="0" xfId="0" applyFont="1" applyFill="1" applyAlignment="1">
      <alignment horizontal="right"/>
    </xf>
    <xf numFmtId="178" fontId="22" fillId="7" borderId="8" xfId="0" applyNumberFormat="1" applyFont="1" applyFill="1" applyBorder="1" applyAlignment="1">
      <alignment horizontal="center" vertical="center" wrapText="1" shrinkToFit="1"/>
    </xf>
    <xf numFmtId="1" fontId="42" fillId="7" borderId="12" xfId="0" applyNumberFormat="1" applyFont="1" applyFill="1" applyBorder="1" applyAlignment="1">
      <alignment horizontal="center" vertical="center" wrapText="1" shrinkToFit="1"/>
    </xf>
    <xf numFmtId="178" fontId="22" fillId="7" borderId="15" xfId="0" applyFont="1" applyFill="1" applyBorder="1" applyAlignment="1">
      <alignment horizontal="center" vertical="center" wrapText="1" shrinkToFit="1"/>
    </xf>
    <xf numFmtId="0" fontId="42" fillId="7" borderId="14" xfId="0" applyNumberFormat="1" applyFont="1" applyFill="1" applyBorder="1" applyAlignment="1">
      <alignment horizontal="center" vertical="center" wrapText="1" shrinkToFit="1"/>
    </xf>
    <xf numFmtId="178" fontId="22" fillId="7" borderId="14" xfId="0" applyFont="1" applyFill="1" applyBorder="1" applyAlignment="1">
      <alignment horizontal="center" vertical="center" wrapText="1" shrinkToFit="1"/>
    </xf>
    <xf numFmtId="180" fontId="42" fillId="7" borderId="8" xfId="0" applyNumberFormat="1" applyFont="1" applyFill="1" applyBorder="1" applyAlignment="1">
      <alignment horizontal="center" vertical="center" wrapText="1" shrinkToFit="1"/>
    </xf>
    <xf numFmtId="169" fontId="42" fillId="7" borderId="8" xfId="0" applyNumberFormat="1" applyFont="1" applyFill="1" applyBorder="1" applyAlignment="1">
      <alignment horizontal="center" vertical="center" wrapText="1" shrinkToFit="1"/>
    </xf>
    <xf numFmtId="44" fontId="42" fillId="7" borderId="15" xfId="0" applyNumberFormat="1" applyFont="1" applyFill="1" applyBorder="1" applyAlignment="1">
      <alignment horizontal="center" vertical="center" wrapText="1" shrinkToFit="1"/>
    </xf>
    <xf numFmtId="169" fontId="62" fillId="7" borderId="8" xfId="0" applyNumberFormat="1" applyFont="1" applyFill="1" applyBorder="1" applyAlignment="1">
      <alignment horizontal="center" vertical="center" wrapText="1"/>
    </xf>
    <xf numFmtId="169" fontId="37" fillId="7" borderId="8" xfId="0" applyNumberFormat="1" applyFont="1" applyFill="1" applyBorder="1" applyAlignment="1">
      <alignment horizontal="center" vertical="center" wrapText="1"/>
    </xf>
    <xf numFmtId="172" fontId="43" fillId="7" borderId="8" xfId="0" applyNumberFormat="1" applyFont="1" applyFill="1" applyBorder="1" applyAlignment="1">
      <alignment horizontal="center" vertical="center" wrapText="1"/>
    </xf>
    <xf numFmtId="180" fontId="72" fillId="7" borderId="12" xfId="0" applyNumberFormat="1" applyFont="1" applyFill="1" applyBorder="1" applyAlignment="1">
      <alignment horizontal="center" vertical="center" wrapText="1"/>
    </xf>
    <xf numFmtId="178" fontId="29" fillId="7" borderId="0" xfId="0" applyFont="1" applyFill="1" applyAlignment="1">
      <alignment horizontal="center" vertical="center" wrapText="1"/>
    </xf>
    <xf numFmtId="178" fontId="72" fillId="7" borderId="12" xfId="0" applyFont="1" applyFill="1" applyBorder="1" applyAlignment="1">
      <alignment horizontal="center" vertical="center" wrapText="1"/>
    </xf>
    <xf numFmtId="0" fontId="72" fillId="7" borderId="14" xfId="0" applyNumberFormat="1" applyFont="1" applyFill="1" applyBorder="1" applyAlignment="1">
      <alignment horizontal="center" vertical="center" wrapText="1"/>
    </xf>
    <xf numFmtId="178" fontId="29" fillId="7" borderId="8" xfId="0" applyFont="1" applyFill="1" applyBorder="1" applyAlignment="1">
      <alignment horizontal="center" vertical="center" wrapText="1"/>
    </xf>
    <xf numFmtId="178" fontId="22" fillId="7" borderId="0" xfId="0" applyNumberFormat="1" applyFont="1" applyFill="1" applyBorder="1" applyAlignment="1">
      <alignment horizontal="center" vertical="center" wrapText="1" shrinkToFit="1"/>
    </xf>
    <xf numFmtId="178" fontId="72" fillId="7" borderId="0" xfId="0" applyFont="1" applyFill="1" applyBorder="1" applyAlignment="1">
      <alignment horizontal="center" vertical="center" wrapText="1"/>
    </xf>
    <xf numFmtId="178" fontId="22" fillId="7" borderId="0" xfId="0" applyFont="1" applyFill="1" applyBorder="1" applyAlignment="1">
      <alignment horizontal="center" vertical="center" wrapText="1" shrinkToFit="1"/>
    </xf>
    <xf numFmtId="0" fontId="72" fillId="7" borderId="0" xfId="0" applyNumberFormat="1" applyFont="1" applyFill="1" applyBorder="1" applyAlignment="1">
      <alignment horizontal="center" vertical="center" wrapText="1"/>
    </xf>
    <xf numFmtId="180" fontId="72" fillId="7" borderId="0" xfId="0" applyNumberFormat="1" applyFont="1" applyFill="1" applyBorder="1" applyAlignment="1">
      <alignment horizontal="center" vertical="center" wrapText="1"/>
    </xf>
    <xf numFmtId="169" fontId="42" fillId="7" borderId="0" xfId="0" applyNumberFormat="1" applyFont="1" applyFill="1" applyBorder="1" applyAlignment="1">
      <alignment horizontal="center" vertical="center" wrapText="1" shrinkToFit="1"/>
    </xf>
    <xf numFmtId="178" fontId="29" fillId="7" borderId="0" xfId="0" applyFont="1" applyFill="1" applyBorder="1" applyAlignment="1">
      <alignment horizontal="center" vertical="center" wrapText="1"/>
    </xf>
    <xf numFmtId="179" fontId="0" fillId="7" borderId="0" xfId="0" applyNumberFormat="1" applyFill="1"/>
    <xf numFmtId="170" fontId="78" fillId="7" borderId="8" xfId="0" applyNumberFormat="1" applyFont="1" applyFill="1" applyBorder="1" applyAlignment="1">
      <alignment horizontal="center" vertical="center" wrapText="1"/>
    </xf>
    <xf numFmtId="41" fontId="62" fillId="7" borderId="8" xfId="0" applyNumberFormat="1" applyFont="1" applyFill="1" applyBorder="1" applyAlignment="1">
      <alignment horizontal="center" vertical="center" wrapText="1"/>
    </xf>
    <xf numFmtId="0" fontId="19" fillId="7" borderId="0" xfId="0" applyNumberFormat="1" applyFont="1" applyFill="1" applyBorder="1" applyAlignment="1">
      <alignment horizontal="center" wrapText="1"/>
    </xf>
    <xf numFmtId="1" fontId="94" fillId="7" borderId="0" xfId="0" applyNumberFormat="1" applyFont="1" applyFill="1" applyBorder="1" applyAlignment="1">
      <alignment horizontal="center" wrapText="1"/>
    </xf>
    <xf numFmtId="14" fontId="94" fillId="7" borderId="0" xfId="0" applyNumberFormat="1" applyFont="1" applyFill="1" applyBorder="1" applyAlignment="1">
      <alignment horizontal="center" wrapText="1"/>
    </xf>
    <xf numFmtId="49" fontId="103" fillId="7" borderId="0" xfId="0" applyNumberFormat="1" applyFont="1" applyFill="1" applyBorder="1" applyAlignment="1">
      <alignment horizontal="center" vertical="center" wrapText="1"/>
    </xf>
    <xf numFmtId="179" fontId="42" fillId="7" borderId="0" xfId="0" applyNumberFormat="1" applyFont="1" applyFill="1" applyBorder="1" applyAlignment="1">
      <alignment horizontal="center" wrapText="1" shrinkToFit="1"/>
    </xf>
    <xf numFmtId="178" fontId="22" fillId="7" borderId="0" xfId="0" applyFont="1" applyFill="1" applyBorder="1" applyAlignment="1">
      <alignment horizontal="center" wrapText="1" shrinkToFit="1"/>
    </xf>
    <xf numFmtId="172" fontId="19" fillId="7" borderId="0" xfId="0" applyNumberFormat="1" applyFont="1" applyFill="1" applyBorder="1" applyAlignment="1">
      <alignment horizontal="center" wrapText="1" shrinkToFit="1"/>
    </xf>
    <xf numFmtId="170" fontId="79" fillId="7" borderId="0" xfId="0" applyNumberFormat="1" applyFont="1" applyFill="1" applyBorder="1" applyAlignment="1">
      <alignment horizontal="center" wrapText="1" shrinkToFit="1"/>
    </xf>
    <xf numFmtId="178" fontId="18" fillId="7" borderId="0" xfId="0" applyNumberFormat="1" applyFont="1" applyFill="1" applyBorder="1"/>
    <xf numFmtId="1" fontId="107" fillId="7" borderId="0" xfId="0" applyNumberFormat="1" applyFont="1" applyFill="1" applyBorder="1"/>
    <xf numFmtId="178" fontId="104" fillId="7" borderId="0" xfId="0" applyNumberFormat="1" applyFont="1" applyFill="1" applyBorder="1"/>
    <xf numFmtId="178" fontId="108" fillId="7" borderId="0" xfId="0" applyFont="1" applyFill="1"/>
    <xf numFmtId="44" fontId="42" fillId="7" borderId="23" xfId="0" applyNumberFormat="1" applyFont="1" applyFill="1" applyBorder="1" applyAlignment="1">
      <alignment horizontal="center" vertical="center" wrapText="1" shrinkToFit="1"/>
    </xf>
    <xf numFmtId="169" fontId="62" fillId="7" borderId="1" xfId="0" applyNumberFormat="1" applyFont="1" applyFill="1" applyBorder="1" applyAlignment="1">
      <alignment horizontal="center" vertical="center" wrapText="1"/>
    </xf>
    <xf numFmtId="1" fontId="103" fillId="7" borderId="0" xfId="0" applyNumberFormat="1" applyFont="1" applyFill="1"/>
    <xf numFmtId="1" fontId="109" fillId="7" borderId="0" xfId="0" applyNumberFormat="1" applyFont="1" applyFill="1"/>
    <xf numFmtId="1" fontId="110" fillId="7" borderId="0" xfId="0" applyNumberFormat="1" applyFont="1" applyFill="1"/>
    <xf numFmtId="178" fontId="114" fillId="7" borderId="0" xfId="0" applyFont="1" applyFill="1" applyAlignment="1">
      <alignment horizontal="center" vertical="center" wrapText="1"/>
    </xf>
    <xf numFmtId="178" fontId="112" fillId="7" borderId="0" xfId="0" applyNumberFormat="1" applyFont="1" applyFill="1" applyBorder="1" applyAlignment="1">
      <alignment horizontal="center" vertical="center" wrapText="1" shrinkToFit="1"/>
    </xf>
    <xf numFmtId="178" fontId="115" fillId="7" borderId="0" xfId="0" applyFont="1" applyFill="1" applyBorder="1" applyAlignment="1">
      <alignment horizontal="center" vertical="center" wrapText="1"/>
    </xf>
    <xf numFmtId="178" fontId="112" fillId="7" borderId="0" xfId="0" applyFont="1" applyFill="1" applyBorder="1" applyAlignment="1">
      <alignment horizontal="center" vertical="center" wrapText="1" shrinkToFit="1"/>
    </xf>
    <xf numFmtId="0" fontId="115" fillId="7" borderId="0" xfId="0" applyNumberFormat="1" applyFont="1" applyFill="1" applyBorder="1" applyAlignment="1">
      <alignment horizontal="center" vertical="center" wrapText="1"/>
    </xf>
    <xf numFmtId="180" fontId="115" fillId="7" borderId="0" xfId="0" applyNumberFormat="1" applyFont="1" applyFill="1" applyBorder="1" applyAlignment="1">
      <alignment horizontal="center" vertical="center" wrapText="1"/>
    </xf>
    <xf numFmtId="169" fontId="111" fillId="7" borderId="0" xfId="0" applyNumberFormat="1" applyFont="1" applyFill="1" applyBorder="1" applyAlignment="1">
      <alignment horizontal="center" vertical="center" wrapText="1" shrinkToFit="1"/>
    </xf>
    <xf numFmtId="44" fontId="111" fillId="7" borderId="15" xfId="0" applyNumberFormat="1" applyFont="1" applyFill="1" applyBorder="1" applyAlignment="1">
      <alignment horizontal="center" vertical="center" wrapText="1" shrinkToFit="1"/>
    </xf>
    <xf numFmtId="178" fontId="114" fillId="7" borderId="0" xfId="0" applyFont="1" applyFill="1" applyBorder="1" applyAlignment="1">
      <alignment horizontal="center" vertical="center" wrapText="1"/>
    </xf>
    <xf numFmtId="4" fontId="43" fillId="7" borderId="8" xfId="0" applyNumberFormat="1" applyFont="1" applyFill="1" applyBorder="1" applyAlignment="1">
      <alignment horizontal="center" vertical="center" wrapText="1"/>
    </xf>
    <xf numFmtId="167" fontId="56" fillId="7" borderId="2" xfId="2" applyNumberFormat="1" applyFont="1" applyFill="1" applyBorder="1" applyAlignment="1" applyProtection="1">
      <alignment horizontal="center" vertical="center" wrapText="1"/>
      <protection hidden="1"/>
    </xf>
    <xf numFmtId="167" fontId="56" fillId="7" borderId="5" xfId="2" applyNumberFormat="1" applyFont="1" applyFill="1" applyBorder="1" applyAlignment="1" applyProtection="1">
      <alignment horizontal="center" vertical="center" wrapText="1"/>
      <protection hidden="1"/>
    </xf>
    <xf numFmtId="167" fontId="56" fillId="7" borderId="8" xfId="2" applyNumberFormat="1" applyFont="1" applyFill="1" applyBorder="1" applyAlignment="1" applyProtection="1">
      <alignment horizontal="center" vertical="center" wrapText="1"/>
      <protection hidden="1"/>
    </xf>
    <xf numFmtId="169" fontId="37" fillId="7" borderId="0" xfId="0" applyNumberFormat="1" applyFont="1" applyFill="1" applyBorder="1" applyAlignment="1">
      <alignment horizontal="center" vertical="center" wrapText="1"/>
    </xf>
    <xf numFmtId="170" fontId="79" fillId="7" borderId="8" xfId="0" applyNumberFormat="1" applyFont="1" applyFill="1" applyBorder="1" applyAlignment="1">
      <alignment horizontal="center" vertical="center" wrapText="1" shrinkToFit="1"/>
    </xf>
    <xf numFmtId="175" fontId="64" fillId="7" borderId="0" xfId="3" applyNumberFormat="1" applyFont="1" applyFill="1" applyBorder="1" applyAlignment="1" applyProtection="1">
      <alignment horizontal="center" vertical="center" wrapText="1" shrinkToFit="1"/>
    </xf>
    <xf numFmtId="172" fontId="0" fillId="7" borderId="0" xfId="0" applyNumberFormat="1" applyFill="1" applyAlignment="1">
      <alignment horizontal="center"/>
    </xf>
    <xf numFmtId="2" fontId="0" fillId="7" borderId="0" xfId="0" applyNumberFormat="1" applyFill="1" applyAlignment="1">
      <alignment horizontal="center"/>
    </xf>
    <xf numFmtId="178" fontId="9" fillId="7" borderId="2" xfId="0" applyFont="1" applyFill="1" applyBorder="1" applyAlignment="1">
      <alignment horizontal="center"/>
    </xf>
    <xf numFmtId="0" fontId="19" fillId="7" borderId="4" xfId="0" applyNumberFormat="1" applyFont="1" applyFill="1" applyBorder="1" applyAlignment="1">
      <alignment horizontal="center" vertical="center" wrapText="1"/>
    </xf>
    <xf numFmtId="1" fontId="103" fillId="13" borderId="8" xfId="0" applyNumberFormat="1" applyFont="1" applyFill="1" applyBorder="1" applyAlignment="1">
      <alignment horizontal="center"/>
    </xf>
    <xf numFmtId="168" fontId="20" fillId="7" borderId="0" xfId="0" applyNumberFormat="1" applyFont="1" applyFill="1" applyBorder="1" applyAlignment="1">
      <alignment horizontal="center"/>
    </xf>
    <xf numFmtId="2" fontId="119" fillId="7" borderId="0" xfId="0" applyNumberFormat="1" applyFont="1" applyFill="1" applyBorder="1" applyAlignment="1">
      <alignment horizontal="center"/>
    </xf>
    <xf numFmtId="178" fontId="14" fillId="7" borderId="0" xfId="0" applyFont="1" applyFill="1" applyBorder="1" applyAlignment="1">
      <alignment horizontal="center"/>
    </xf>
    <xf numFmtId="172" fontId="43" fillId="7" borderId="0" xfId="0" applyNumberFormat="1" applyFont="1" applyFill="1" applyBorder="1" applyAlignment="1">
      <alignment horizontal="center" vertical="center" wrapText="1"/>
    </xf>
    <xf numFmtId="183" fontId="19" fillId="7" borderId="0" xfId="0" applyNumberFormat="1" applyFont="1" applyFill="1" applyBorder="1" applyAlignment="1">
      <alignment horizontal="center" wrapText="1" shrinkToFit="1"/>
    </xf>
    <xf numFmtId="178" fontId="27" fillId="7" borderId="3" xfId="0" applyFont="1" applyFill="1" applyBorder="1" applyAlignment="1">
      <alignment horizontal="center"/>
    </xf>
    <xf numFmtId="178" fontId="123" fillId="7" borderId="4" xfId="0" applyFont="1" applyFill="1" applyBorder="1" applyAlignment="1">
      <alignment horizontal="center" vertical="center" wrapText="1"/>
    </xf>
    <xf numFmtId="49" fontId="27" fillId="7" borderId="3" xfId="0" applyNumberFormat="1" applyFont="1" applyFill="1" applyBorder="1" applyAlignment="1">
      <alignment horizontal="center" vertical="center" wrapText="1"/>
    </xf>
    <xf numFmtId="1" fontId="98" fillId="7" borderId="3" xfId="0" applyNumberFormat="1" applyFont="1" applyFill="1" applyBorder="1" applyAlignment="1">
      <alignment horizontal="center" vertical="center" wrapText="1"/>
    </xf>
    <xf numFmtId="49" fontId="15" fillId="7" borderId="8" xfId="0" applyNumberFormat="1" applyFont="1" applyFill="1" applyBorder="1" applyAlignment="1">
      <alignment horizontal="center" vertical="center" wrapText="1"/>
    </xf>
    <xf numFmtId="1" fontId="95" fillId="7" borderId="8" xfId="0" applyNumberFormat="1" applyFont="1" applyFill="1" applyBorder="1" applyAlignment="1">
      <alignment horizontal="center" vertical="center" textRotation="90" wrapText="1"/>
    </xf>
    <xf numFmtId="178" fontId="105" fillId="0" borderId="8" xfId="0" applyFont="1" applyFill="1" applyBorder="1" applyAlignment="1">
      <alignment horizontal="center" vertical="center" wrapText="1"/>
    </xf>
    <xf numFmtId="178" fontId="29" fillId="0" borderId="0" xfId="0" applyFont="1" applyFill="1" applyAlignment="1">
      <alignment horizontal="center" vertical="center" wrapText="1"/>
    </xf>
    <xf numFmtId="178" fontId="72" fillId="0" borderId="12" xfId="0" applyFont="1" applyFill="1" applyBorder="1" applyAlignment="1">
      <alignment horizontal="center" vertical="center" wrapText="1"/>
    </xf>
    <xf numFmtId="178" fontId="22" fillId="0" borderId="15" xfId="0" applyFont="1" applyFill="1" applyBorder="1" applyAlignment="1">
      <alignment horizontal="center" vertical="center" wrapText="1" shrinkToFit="1"/>
    </xf>
    <xf numFmtId="0" fontId="72" fillId="0" borderId="14" xfId="0" applyNumberFormat="1" applyFont="1" applyFill="1" applyBorder="1" applyAlignment="1">
      <alignment horizontal="center" vertical="center" wrapText="1"/>
    </xf>
    <xf numFmtId="178" fontId="29" fillId="0" borderId="8" xfId="0" applyFont="1" applyFill="1" applyBorder="1" applyAlignment="1">
      <alignment horizontal="center" vertical="center" wrapText="1"/>
    </xf>
    <xf numFmtId="178" fontId="55" fillId="6" borderId="5" xfId="0" applyFont="1" applyFill="1" applyBorder="1" applyAlignment="1">
      <alignment horizontal="center" vertical="center"/>
    </xf>
    <xf numFmtId="178" fontId="55" fillId="6" borderId="26" xfId="0" applyFont="1" applyFill="1" applyBorder="1" applyAlignment="1">
      <alignment horizontal="center" vertical="center"/>
    </xf>
    <xf numFmtId="178" fontId="44" fillId="0" borderId="0" xfId="0" applyFont="1" applyBorder="1" applyAlignment="1">
      <alignment horizontal="center"/>
    </xf>
    <xf numFmtId="178" fontId="70" fillId="0" borderId="0" xfId="0" applyFont="1" applyBorder="1" applyAlignment="1">
      <alignment horizontal="center" vertical="center"/>
    </xf>
    <xf numFmtId="1" fontId="103" fillId="7" borderId="0" xfId="0" applyNumberFormat="1" applyFont="1" applyFill="1" applyAlignment="1">
      <alignment horizontal="center"/>
    </xf>
    <xf numFmtId="178" fontId="26" fillId="7" borderId="3" xfId="0" applyFont="1" applyFill="1" applyBorder="1" applyAlignment="1">
      <alignment horizontal="center" vertical="center" wrapText="1"/>
    </xf>
    <xf numFmtId="178" fontId="9" fillId="7" borderId="7" xfId="0" applyFont="1" applyFill="1" applyBorder="1" applyAlignment="1">
      <alignment horizontal="center"/>
    </xf>
    <xf numFmtId="178" fontId="9" fillId="7" borderId="2" xfId="0" applyFont="1" applyFill="1" applyBorder="1" applyAlignment="1">
      <alignment horizontal="center" vertical="center" wrapText="1"/>
    </xf>
    <xf numFmtId="178" fontId="0" fillId="0" borderId="0" xfId="0" applyAlignment="1">
      <alignment horizontal="center"/>
    </xf>
    <xf numFmtId="178" fontId="27" fillId="7" borderId="3" xfId="0" applyFont="1" applyFill="1" applyBorder="1" applyAlignment="1">
      <alignment horizontal="center" vertical="center" wrapText="1"/>
    </xf>
    <xf numFmtId="170" fontId="78" fillId="7" borderId="0" xfId="0" applyNumberFormat="1" applyFont="1" applyFill="1" applyBorder="1" applyAlignment="1">
      <alignment horizontal="center" wrapText="1"/>
    </xf>
    <xf numFmtId="164" fontId="10" fillId="7" borderId="0" xfId="0" applyNumberFormat="1" applyFont="1" applyFill="1" applyBorder="1" applyAlignment="1">
      <alignment horizontal="center"/>
    </xf>
    <xf numFmtId="178" fontId="15" fillId="7" borderId="8" xfId="0" applyFont="1" applyFill="1" applyBorder="1" applyAlignment="1">
      <alignment horizontal="center" vertical="center" wrapText="1"/>
    </xf>
    <xf numFmtId="178" fontId="0" fillId="0" borderId="0" xfId="0" applyAlignment="1">
      <alignment horizontal="right"/>
    </xf>
    <xf numFmtId="172" fontId="10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 vertical="center" wrapText="1"/>
    </xf>
    <xf numFmtId="178" fontId="20" fillId="0" borderId="0" xfId="0" applyFont="1" applyAlignment="1">
      <alignment horizontal="left"/>
    </xf>
    <xf numFmtId="178" fontId="12" fillId="0" borderId="0" xfId="0" applyFont="1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right"/>
    </xf>
    <xf numFmtId="2" fontId="16" fillId="0" borderId="0" xfId="0" applyNumberFormat="1" applyFont="1"/>
    <xf numFmtId="2" fontId="0" fillId="0" borderId="0" xfId="0" applyNumberFormat="1" applyAlignment="1">
      <alignment horizontal="center"/>
    </xf>
    <xf numFmtId="2" fontId="103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left"/>
    </xf>
    <xf numFmtId="2" fontId="12" fillId="0" borderId="0" xfId="0" applyNumberFormat="1" applyFont="1" applyAlignment="1">
      <alignment horizontal="left"/>
    </xf>
    <xf numFmtId="2" fontId="16" fillId="2" borderId="0" xfId="0" applyNumberFormat="1" applyFont="1" applyFill="1"/>
    <xf numFmtId="2" fontId="0" fillId="0" borderId="0" xfId="0" applyNumberFormat="1" applyFill="1"/>
    <xf numFmtId="2" fontId="0" fillId="0" borderId="0" xfId="0" applyNumberFormat="1" applyFill="1" applyAlignment="1">
      <alignment horizontal="right"/>
    </xf>
    <xf numFmtId="1" fontId="103" fillId="7" borderId="0" xfId="0" applyNumberFormat="1" applyFont="1" applyFill="1" applyAlignment="1"/>
    <xf numFmtId="1" fontId="103" fillId="0" borderId="0" xfId="0" applyNumberFormat="1" applyFont="1"/>
    <xf numFmtId="1" fontId="103" fillId="13" borderId="15" xfId="0" applyNumberFormat="1" applyFont="1" applyFill="1" applyBorder="1" applyAlignment="1">
      <alignment horizontal="center"/>
    </xf>
    <xf numFmtId="1" fontId="103" fillId="0" borderId="0" xfId="0" applyNumberFormat="1" applyFont="1" applyAlignment="1">
      <alignment horizontal="center"/>
    </xf>
    <xf numFmtId="167" fontId="104" fillId="0" borderId="0" xfId="0" applyNumberFormat="1" applyFont="1" applyFill="1" applyBorder="1" applyAlignment="1"/>
    <xf numFmtId="164" fontId="104" fillId="0" borderId="0" xfId="0" applyNumberFormat="1" applyFont="1" applyFill="1" applyBorder="1" applyAlignment="1">
      <alignment horizontal="left"/>
    </xf>
    <xf numFmtId="177" fontId="126" fillId="4" borderId="0" xfId="1" applyNumberFormat="1" applyFont="1" applyFill="1" applyBorder="1" applyAlignment="1" applyProtection="1">
      <alignment horizontal="center"/>
    </xf>
    <xf numFmtId="174" fontId="119" fillId="3" borderId="0" xfId="1" applyNumberFormat="1" applyFont="1" applyFill="1" applyBorder="1" applyAlignment="1" applyProtection="1">
      <alignment horizontal="center"/>
    </xf>
    <xf numFmtId="43" fontId="108" fillId="7" borderId="0" xfId="0" applyNumberFormat="1" applyFont="1" applyFill="1" applyBorder="1" applyAlignment="1">
      <alignment horizontal="center"/>
    </xf>
    <xf numFmtId="178" fontId="108" fillId="7" borderId="0" xfId="0" applyFont="1" applyFill="1" applyBorder="1" applyAlignment="1">
      <alignment horizontal="center"/>
    </xf>
    <xf numFmtId="178" fontId="127" fillId="7" borderId="0" xfId="0" applyFont="1" applyFill="1"/>
    <xf numFmtId="178" fontId="108" fillId="7" borderId="0" xfId="0" applyFont="1" applyFill="1" applyAlignment="1">
      <alignment horizontal="right"/>
    </xf>
    <xf numFmtId="174" fontId="119" fillId="3" borderId="8" xfId="1" applyNumberFormat="1" applyFont="1" applyFill="1" applyBorder="1" applyAlignment="1" applyProtection="1">
      <alignment horizontal="center"/>
    </xf>
    <xf numFmtId="175" fontId="108" fillId="0" borderId="0" xfId="3" applyNumberFormat="1" applyFont="1" applyBorder="1" applyAlignment="1" applyProtection="1">
      <alignment horizontal="center" vertical="center" wrapText="1" shrinkToFit="1"/>
    </xf>
    <xf numFmtId="172" fontId="104" fillId="2" borderId="0" xfId="0" applyNumberFormat="1" applyFont="1" applyFill="1" applyBorder="1" applyAlignment="1">
      <alignment horizontal="center"/>
    </xf>
    <xf numFmtId="167" fontId="57" fillId="0" borderId="0" xfId="0" applyNumberFormat="1" applyFont="1" applyFill="1" applyBorder="1" applyAlignment="1"/>
    <xf numFmtId="164" fontId="128" fillId="0" borderId="0" xfId="0" applyNumberFormat="1" applyFont="1" applyFill="1" applyBorder="1" applyAlignment="1">
      <alignment horizontal="left"/>
    </xf>
    <xf numFmtId="1" fontId="129" fillId="7" borderId="0" xfId="0" applyNumberFormat="1" applyFont="1" applyFill="1" applyBorder="1"/>
    <xf numFmtId="178" fontId="57" fillId="7" borderId="0" xfId="0" applyFont="1" applyFill="1" applyBorder="1" applyAlignment="1">
      <alignment horizontal="center"/>
    </xf>
    <xf numFmtId="177" fontId="54" fillId="4" borderId="4" xfId="1" applyNumberFormat="1" applyFont="1" applyFill="1" applyBorder="1" applyAlignment="1" applyProtection="1">
      <alignment horizontal="center"/>
    </xf>
    <xf numFmtId="174" fontId="53" fillId="3" borderId="4" xfId="1" applyNumberFormat="1" applyFont="1" applyFill="1" applyBorder="1" applyAlignment="1" applyProtection="1">
      <alignment horizontal="center"/>
    </xf>
    <xf numFmtId="175" fontId="64" fillId="0" borderId="33" xfId="3" applyNumberFormat="1" applyFont="1" applyBorder="1" applyAlignment="1" applyProtection="1">
      <alignment horizontal="center" vertical="center" wrapText="1" shrinkToFit="1"/>
    </xf>
    <xf numFmtId="172" fontId="0" fillId="2" borderId="0" xfId="0" applyNumberFormat="1" applyFont="1" applyFill="1" applyBorder="1" applyAlignment="1">
      <alignment horizontal="center"/>
    </xf>
    <xf numFmtId="178" fontId="18" fillId="0" borderId="0" xfId="0" applyNumberFormat="1" applyFont="1" applyFill="1" applyBorder="1"/>
    <xf numFmtId="2" fontId="130" fillId="7" borderId="0" xfId="0" applyNumberFormat="1" applyFont="1" applyFill="1" applyBorder="1" applyAlignment="1">
      <alignment horizontal="center"/>
    </xf>
    <xf numFmtId="167" fontId="56" fillId="15" borderId="1" xfId="2" applyNumberFormat="1" applyFont="1" applyFill="1" applyBorder="1" applyAlignment="1" applyProtection="1">
      <alignment horizontal="center" vertical="center" wrapText="1"/>
      <protection hidden="1"/>
    </xf>
    <xf numFmtId="167" fontId="56" fillId="8" borderId="5" xfId="2" applyNumberFormat="1" applyFont="1" applyFill="1" applyBorder="1" applyAlignment="1" applyProtection="1">
      <alignment horizontal="center" vertical="center" wrapText="1"/>
      <protection hidden="1"/>
    </xf>
    <xf numFmtId="167" fontId="56" fillId="8" borderId="2" xfId="2" applyNumberFormat="1" applyFont="1" applyFill="1" applyBorder="1" applyAlignment="1" applyProtection="1">
      <alignment horizontal="center" vertical="center" wrapText="1"/>
      <protection hidden="1"/>
    </xf>
    <xf numFmtId="175" fontId="64" fillId="0" borderId="0" xfId="3" applyNumberFormat="1" applyFont="1" applyBorder="1" applyAlignment="1" applyProtection="1">
      <alignment horizontal="center" vertical="center" wrapText="1" shrinkToFit="1"/>
    </xf>
    <xf numFmtId="169" fontId="37" fillId="0" borderId="0" xfId="0" applyNumberFormat="1" applyFont="1" applyBorder="1" applyAlignment="1">
      <alignment horizontal="center" vertical="center" wrapText="1"/>
    </xf>
    <xf numFmtId="41" fontId="62" fillId="0" borderId="1" xfId="0" applyNumberFormat="1" applyFont="1" applyBorder="1" applyAlignment="1">
      <alignment horizontal="center" vertical="center" wrapText="1"/>
    </xf>
    <xf numFmtId="170" fontId="78" fillId="0" borderId="1" xfId="0" applyNumberFormat="1" applyFont="1" applyBorder="1" applyAlignment="1">
      <alignment horizontal="center" vertical="center" wrapText="1"/>
    </xf>
    <xf numFmtId="167" fontId="56" fillId="5" borderId="8" xfId="2" applyNumberFormat="1" applyFont="1" applyFill="1" applyBorder="1" applyAlignment="1" applyProtection="1">
      <alignment horizontal="center" vertical="center" wrapText="1"/>
      <protection hidden="1"/>
    </xf>
    <xf numFmtId="167" fontId="56" fillId="8" borderId="8" xfId="2" applyNumberFormat="1" applyFont="1" applyFill="1" applyBorder="1" applyAlignment="1" applyProtection="1">
      <alignment horizontal="center" vertical="center" wrapText="1"/>
      <protection hidden="1"/>
    </xf>
    <xf numFmtId="181" fontId="131" fillId="0" borderId="0" xfId="0" applyNumberFormat="1" applyFont="1" applyBorder="1" applyAlignment="1">
      <alignment horizontal="center" wrapText="1"/>
    </xf>
    <xf numFmtId="169" fontId="131" fillId="0" borderId="0" xfId="0" applyNumberFormat="1" applyFont="1" applyBorder="1" applyAlignment="1">
      <alignment horizontal="center" wrapText="1"/>
    </xf>
    <xf numFmtId="1" fontId="131" fillId="0" borderId="0" xfId="0" applyNumberFormat="1" applyFont="1" applyBorder="1" applyAlignment="1">
      <alignment horizontal="center" wrapText="1"/>
    </xf>
    <xf numFmtId="1" fontId="42" fillId="0" borderId="0" xfId="0" applyNumberFormat="1" applyFont="1" applyFill="1" applyBorder="1" applyAlignment="1">
      <alignment horizontal="center" vertical="center" wrapText="1" shrinkToFit="1"/>
    </xf>
    <xf numFmtId="178" fontId="22" fillId="0" borderId="0" xfId="0" applyFont="1" applyFill="1" applyBorder="1" applyAlignment="1">
      <alignment horizontal="center" wrapText="1" shrinkToFit="1"/>
    </xf>
    <xf numFmtId="178" fontId="116" fillId="0" borderId="0" xfId="0" applyFont="1" applyFill="1" applyBorder="1" applyAlignment="1">
      <alignment horizontal="left" vertical="center" wrapText="1"/>
    </xf>
    <xf numFmtId="178" fontId="98" fillId="0" borderId="0" xfId="0" applyFont="1" applyFill="1" applyBorder="1" applyAlignment="1">
      <alignment horizontal="left" vertical="center" wrapText="1"/>
    </xf>
    <xf numFmtId="167" fontId="56" fillId="15" borderId="8" xfId="2" applyNumberFormat="1" applyFont="1" applyFill="1" applyBorder="1" applyAlignment="1" applyProtection="1">
      <alignment horizontal="center" vertical="center" wrapText="1"/>
      <protection hidden="1"/>
    </xf>
    <xf numFmtId="175" fontId="113" fillId="0" borderId="0" xfId="3" applyNumberFormat="1" applyFont="1" applyBorder="1" applyAlignment="1" applyProtection="1">
      <alignment horizontal="center" vertical="center" wrapText="1" shrinkToFit="1"/>
    </xf>
    <xf numFmtId="41" fontId="62" fillId="0" borderId="8" xfId="0" applyNumberFormat="1" applyFont="1" applyBorder="1" applyAlignment="1">
      <alignment horizontal="center" vertical="center" wrapText="1"/>
    </xf>
    <xf numFmtId="170" fontId="78" fillId="0" borderId="8" xfId="0" applyNumberFormat="1" applyFont="1" applyBorder="1" applyAlignment="1">
      <alignment horizontal="center" vertical="center" wrapText="1"/>
    </xf>
    <xf numFmtId="4" fontId="113" fillId="0" borderId="8" xfId="3" applyNumberFormat="1" applyFont="1" applyBorder="1" applyAlignment="1" applyProtection="1">
      <alignment horizontal="center" vertical="center" wrapText="1" shrinkToFit="1"/>
    </xf>
    <xf numFmtId="4" fontId="131" fillId="0" borderId="8" xfId="0" applyNumberFormat="1" applyFont="1" applyBorder="1" applyAlignment="1">
      <alignment horizontal="center" vertical="center" wrapText="1"/>
    </xf>
    <xf numFmtId="4" fontId="21" fillId="7" borderId="8" xfId="0" applyNumberFormat="1" applyFont="1" applyFill="1" applyBorder="1" applyAlignment="1">
      <alignment horizontal="center" vertical="center" wrapText="1" shrinkToFit="1"/>
    </xf>
    <xf numFmtId="167" fontId="56" fillId="8" borderId="16" xfId="2" applyNumberFormat="1" applyFont="1" applyFill="1" applyBorder="1" applyAlignment="1" applyProtection="1">
      <alignment horizontal="center" vertical="center" wrapText="1"/>
      <protection hidden="1"/>
    </xf>
    <xf numFmtId="167" fontId="56" fillId="8" borderId="17" xfId="2" applyNumberFormat="1" applyFont="1" applyFill="1" applyBorder="1" applyAlignment="1" applyProtection="1">
      <alignment horizontal="center" vertical="center" wrapText="1"/>
      <protection hidden="1"/>
    </xf>
    <xf numFmtId="181" fontId="132" fillId="7" borderId="8" xfId="0" applyNumberFormat="1" applyFont="1" applyFill="1" applyBorder="1" applyAlignment="1">
      <alignment horizontal="center" vertical="center" wrapText="1"/>
    </xf>
    <xf numFmtId="169" fontId="131" fillId="0" borderId="4" xfId="0" applyNumberFormat="1" applyFont="1" applyBorder="1" applyAlignment="1">
      <alignment horizontal="center" vertical="center" wrapText="1"/>
    </xf>
    <xf numFmtId="1" fontId="131" fillId="0" borderId="4" xfId="0" applyNumberFormat="1" applyFont="1" applyBorder="1" applyAlignment="1">
      <alignment horizontal="center" vertical="center" wrapText="1"/>
    </xf>
    <xf numFmtId="170" fontId="79" fillId="14" borderId="8" xfId="0" applyNumberFormat="1" applyFont="1" applyFill="1" applyBorder="1" applyAlignment="1">
      <alignment horizontal="center" vertical="center" wrapText="1" shrinkToFit="1"/>
    </xf>
    <xf numFmtId="172" fontId="19" fillId="7" borderId="8" xfId="0" applyNumberFormat="1" applyFont="1" applyFill="1" applyBorder="1" applyAlignment="1">
      <alignment horizontal="center" vertical="center" wrapText="1" shrinkToFit="1"/>
    </xf>
    <xf numFmtId="1" fontId="42" fillId="0" borderId="15" xfId="0" applyNumberFormat="1" applyFont="1" applyFill="1" applyBorder="1" applyAlignment="1">
      <alignment horizontal="center" vertical="center" wrapText="1" shrinkToFit="1"/>
    </xf>
    <xf numFmtId="49" fontId="20" fillId="7" borderId="12" xfId="0" applyNumberFormat="1" applyFont="1" applyFill="1" applyBorder="1" applyAlignment="1">
      <alignment horizontal="center" vertical="center" wrapText="1"/>
    </xf>
    <xf numFmtId="49" fontId="20" fillId="7" borderId="14" xfId="0" applyNumberFormat="1" applyFont="1" applyFill="1" applyBorder="1" applyAlignment="1">
      <alignment horizontal="center" vertical="center" wrapText="1"/>
    </xf>
    <xf numFmtId="14" fontId="14" fillId="7" borderId="8" xfId="0" applyNumberFormat="1" applyFont="1" applyFill="1" applyBorder="1" applyAlignment="1">
      <alignment horizontal="center" vertical="center" wrapText="1"/>
    </xf>
    <xf numFmtId="3" fontId="20" fillId="0" borderId="8" xfId="5" applyNumberFormat="1" applyFont="1" applyBorder="1" applyAlignment="1">
      <alignment horizontal="center" vertical="center" wrapText="1"/>
    </xf>
    <xf numFmtId="178" fontId="133" fillId="0" borderId="8" xfId="0" applyFont="1" applyBorder="1" applyAlignment="1">
      <alignment horizontal="left" vertical="center" wrapText="1"/>
    </xf>
    <xf numFmtId="49" fontId="103" fillId="7" borderId="8" xfId="0" applyNumberFormat="1" applyFont="1" applyFill="1" applyBorder="1" applyAlignment="1">
      <alignment horizontal="center" vertical="center" wrapText="1"/>
    </xf>
    <xf numFmtId="14" fontId="14" fillId="7" borderId="14" xfId="0" applyNumberFormat="1" applyFont="1" applyFill="1" applyBorder="1" applyAlignment="1">
      <alignment horizontal="center" vertical="center" wrapText="1"/>
    </xf>
    <xf numFmtId="3" fontId="20" fillId="7" borderId="8" xfId="5" applyNumberFormat="1" applyFont="1" applyFill="1" applyBorder="1" applyAlignment="1">
      <alignment horizontal="center" vertical="center" wrapText="1"/>
    </xf>
    <xf numFmtId="178" fontId="133" fillId="7" borderId="8" xfId="0" applyFont="1" applyFill="1" applyBorder="1" applyAlignment="1">
      <alignment horizontal="left" vertical="center" wrapText="1"/>
    </xf>
    <xf numFmtId="175" fontId="64" fillId="0" borderId="29" xfId="3" applyNumberFormat="1" applyFont="1" applyBorder="1" applyAlignment="1" applyProtection="1">
      <alignment horizontal="center" vertical="center" wrapText="1" shrinkToFit="1"/>
    </xf>
    <xf numFmtId="49" fontId="103" fillId="0" borderId="8" xfId="0" applyNumberFormat="1" applyFont="1" applyBorder="1" applyAlignment="1">
      <alignment horizontal="center" vertical="center" wrapText="1"/>
    </xf>
    <xf numFmtId="178" fontId="134" fillId="0" borderId="8" xfId="0" applyFont="1" applyBorder="1" applyAlignment="1">
      <alignment horizontal="left" vertical="center" wrapText="1"/>
    </xf>
    <xf numFmtId="14" fontId="14" fillId="0" borderId="8" xfId="0" applyNumberFormat="1" applyFont="1" applyBorder="1" applyAlignment="1">
      <alignment horizontal="center" vertical="center" wrapText="1"/>
    </xf>
    <xf numFmtId="172" fontId="43" fillId="0" borderId="8" xfId="0" applyNumberFormat="1" applyFont="1" applyBorder="1" applyAlignment="1">
      <alignment horizontal="center" vertical="center" wrapText="1"/>
    </xf>
    <xf numFmtId="3" fontId="20" fillId="7" borderId="12" xfId="5" applyNumberFormat="1" applyFont="1" applyFill="1" applyBorder="1" applyAlignment="1">
      <alignment horizontal="center" vertical="center" wrapText="1"/>
    </xf>
    <xf numFmtId="178" fontId="134" fillId="7" borderId="8" xfId="0" applyFont="1" applyFill="1" applyBorder="1" applyAlignment="1">
      <alignment horizontal="left" vertical="center" wrapText="1"/>
    </xf>
    <xf numFmtId="178" fontId="30" fillId="0" borderId="4" xfId="0" applyFont="1" applyBorder="1" applyAlignment="1">
      <alignment horizontal="center"/>
    </xf>
    <xf numFmtId="176" fontId="30" fillId="0" borderId="19" xfId="0" applyNumberFormat="1" applyFont="1" applyBorder="1" applyAlignment="1">
      <alignment horizontal="center" vertical="center"/>
    </xf>
    <xf numFmtId="176" fontId="30" fillId="0" borderId="18" xfId="0" applyNumberFormat="1" applyFont="1" applyBorder="1" applyAlignment="1">
      <alignment horizontal="center" vertical="center"/>
    </xf>
    <xf numFmtId="178" fontId="120" fillId="0" borderId="4" xfId="0" applyFont="1" applyBorder="1" applyAlignment="1">
      <alignment horizontal="center"/>
    </xf>
    <xf numFmtId="178" fontId="27" fillId="0" borderId="22" xfId="0" applyFont="1" applyBorder="1" applyAlignment="1">
      <alignment horizontal="center"/>
    </xf>
    <xf numFmtId="178" fontId="27" fillId="0" borderId="4" xfId="0" applyFont="1" applyBorder="1" applyAlignment="1">
      <alignment horizontal="center"/>
    </xf>
    <xf numFmtId="178" fontId="61" fillId="0" borderId="0" xfId="0" applyFont="1" applyBorder="1" applyAlignment="1">
      <alignment horizontal="center"/>
    </xf>
    <xf numFmtId="178" fontId="61" fillId="0" borderId="22" xfId="0" applyFont="1" applyBorder="1" applyAlignment="1">
      <alignment horizontal="center"/>
    </xf>
    <xf numFmtId="178" fontId="121" fillId="0" borderId="6" xfId="0" applyFont="1" applyBorder="1" applyAlignment="1">
      <alignment horizontal="center"/>
    </xf>
    <xf numFmtId="178" fontId="121" fillId="0" borderId="3" xfId="0" applyFont="1" applyBorder="1" applyAlignment="1">
      <alignment horizontal="center"/>
    </xf>
    <xf numFmtId="178" fontId="122" fillId="0" borderId="4" xfId="0" applyFont="1" applyBorder="1" applyAlignment="1">
      <alignment horizontal="center"/>
    </xf>
    <xf numFmtId="178" fontId="30" fillId="0" borderId="4" xfId="0" applyFont="1" applyBorder="1" applyAlignment="1">
      <alignment horizontal="center" vertical="center" wrapText="1"/>
    </xf>
    <xf numFmtId="178" fontId="27" fillId="0" borderId="4" xfId="0" applyFont="1" applyBorder="1" applyAlignment="1">
      <alignment horizontal="center" vertical="center" wrapText="1"/>
    </xf>
    <xf numFmtId="178" fontId="27" fillId="2" borderId="22" xfId="0" applyFont="1" applyFill="1" applyBorder="1" applyAlignment="1">
      <alignment horizontal="center" vertical="center" wrapText="1"/>
    </xf>
    <xf numFmtId="176" fontId="125" fillId="0" borderId="4" xfId="0" applyNumberFormat="1" applyFont="1" applyBorder="1" applyAlignment="1">
      <alignment horizontal="center" vertical="center" wrapText="1"/>
    </xf>
    <xf numFmtId="9" fontId="15" fillId="14" borderId="4" xfId="0" applyNumberFormat="1" applyFont="1" applyFill="1" applyBorder="1" applyAlignment="1">
      <alignment horizontal="center" vertical="center" wrapText="1"/>
    </xf>
    <xf numFmtId="9" fontId="15" fillId="0" borderId="4" xfId="0" applyNumberFormat="1" applyFont="1" applyBorder="1" applyAlignment="1">
      <alignment horizontal="center" vertical="center" wrapText="1"/>
    </xf>
    <xf numFmtId="178" fontId="27" fillId="0" borderId="4" xfId="0" applyFont="1" applyBorder="1" applyAlignment="1">
      <alignment horizontal="center" vertical="center" textRotation="90" wrapText="1"/>
    </xf>
    <xf numFmtId="1" fontId="27" fillId="0" borderId="11" xfId="0" applyNumberFormat="1" applyFont="1" applyBorder="1" applyAlignment="1">
      <alignment horizontal="center" vertical="center" wrapText="1"/>
    </xf>
    <xf numFmtId="178" fontId="27" fillId="7" borderId="3" xfId="0" applyFont="1" applyFill="1" applyBorder="1" applyAlignment="1">
      <alignment horizontal="left" vertical="center" wrapText="1"/>
    </xf>
    <xf numFmtId="178" fontId="0" fillId="0" borderId="0" xfId="0" applyAlignment="1">
      <alignment horizontal="center" vertical="center" wrapText="1"/>
    </xf>
    <xf numFmtId="174" fontId="54" fillId="4" borderId="2" xfId="1" applyNumberFormat="1" applyFont="1" applyFill="1" applyBorder="1" applyAlignment="1" applyProtection="1">
      <alignment horizontal="center" vertical="center" wrapText="1"/>
    </xf>
    <xf numFmtId="174" fontId="53" fillId="3" borderId="8" xfId="1" applyNumberFormat="1" applyFont="1" applyFill="1" applyBorder="1" applyAlignment="1" applyProtection="1">
      <alignment horizontal="center" vertical="center" wrapText="1"/>
    </xf>
    <xf numFmtId="178" fontId="55" fillId="6" borderId="5" xfId="0" applyFont="1" applyFill="1" applyBorder="1" applyAlignment="1">
      <alignment horizontal="center" vertical="center" wrapText="1"/>
    </xf>
    <xf numFmtId="178" fontId="9" fillId="0" borderId="5" xfId="0" applyFont="1" applyBorder="1" applyAlignment="1">
      <alignment horizontal="center" vertical="center" wrapText="1"/>
    </xf>
    <xf numFmtId="178" fontId="101" fillId="0" borderId="5" xfId="0" applyFont="1" applyBorder="1" applyAlignment="1">
      <alignment horizontal="center" vertical="center" wrapText="1"/>
    </xf>
    <xf numFmtId="178" fontId="9" fillId="0" borderId="0" xfId="0" applyFont="1" applyBorder="1" applyAlignment="1">
      <alignment horizontal="center" vertical="center" wrapText="1"/>
    </xf>
    <xf numFmtId="178" fontId="9" fillId="0" borderId="9" xfId="0" applyFont="1" applyBorder="1" applyAlignment="1">
      <alignment horizontal="center" vertical="center" wrapText="1"/>
    </xf>
    <xf numFmtId="178" fontId="9" fillId="0" borderId="2" xfId="0" applyFont="1" applyBorder="1" applyAlignment="1">
      <alignment horizontal="center" vertical="center" wrapText="1"/>
    </xf>
    <xf numFmtId="174" fontId="54" fillId="4" borderId="8" xfId="1" applyNumberFormat="1" applyFont="1" applyFill="1" applyBorder="1" applyAlignment="1" applyProtection="1">
      <alignment horizontal="center" vertical="center" wrapText="1"/>
    </xf>
    <xf numFmtId="178" fontId="104" fillId="0" borderId="8" xfId="0" applyFont="1" applyBorder="1" applyAlignment="1">
      <alignment horizontal="center" vertical="center" wrapText="1"/>
    </xf>
    <xf numFmtId="178" fontId="14" fillId="0" borderId="8" xfId="0" applyFont="1" applyBorder="1" applyAlignment="1">
      <alignment horizontal="center" vertical="center" wrapText="1"/>
    </xf>
    <xf numFmtId="178" fontId="14" fillId="2" borderId="8" xfId="0" applyFont="1" applyFill="1" applyBorder="1" applyAlignment="1">
      <alignment horizontal="center" vertical="center" wrapText="1"/>
    </xf>
    <xf numFmtId="176" fontId="102" fillId="0" borderId="8" xfId="0" applyNumberFormat="1" applyFont="1" applyBorder="1" applyAlignment="1">
      <alignment horizontal="center" vertical="center" wrapText="1"/>
    </xf>
    <xf numFmtId="178" fontId="15" fillId="0" borderId="4" xfId="0" applyFont="1" applyBorder="1" applyAlignment="1">
      <alignment horizontal="center" vertical="center" wrapText="1"/>
    </xf>
    <xf numFmtId="178" fontId="15" fillId="0" borderId="8" xfId="0" applyFont="1" applyBorder="1" applyAlignment="1">
      <alignment horizontal="center" vertical="center" wrapText="1"/>
    </xf>
    <xf numFmtId="1" fontId="15" fillId="0" borderId="8" xfId="0" applyNumberFormat="1" applyFont="1" applyBorder="1" applyAlignment="1">
      <alignment horizontal="center" vertical="center" wrapText="1"/>
    </xf>
    <xf numFmtId="172" fontId="30" fillId="0" borderId="28" xfId="0" applyNumberFormat="1" applyFont="1" applyBorder="1" applyAlignment="1">
      <alignment horizontal="center"/>
    </xf>
    <xf numFmtId="172" fontId="30" fillId="0" borderId="27" xfId="0" applyNumberFormat="1" applyFont="1" applyBorder="1" applyAlignment="1">
      <alignment horizontal="center"/>
    </xf>
    <xf numFmtId="178" fontId="124" fillId="0" borderId="12" xfId="0" applyFont="1" applyBorder="1" applyAlignment="1">
      <alignment horizontal="center"/>
    </xf>
    <xf numFmtId="178" fontId="9" fillId="0" borderId="1" xfId="0" applyFont="1" applyBorder="1" applyAlignment="1">
      <alignment horizontal="center"/>
    </xf>
    <xf numFmtId="178" fontId="9" fillId="0" borderId="0" xfId="0" applyFont="1" applyBorder="1" applyAlignment="1">
      <alignment horizontal="center"/>
    </xf>
    <xf numFmtId="178" fontId="9" fillId="0" borderId="2" xfId="0" applyFont="1" applyBorder="1" applyAlignment="1">
      <alignment horizontal="center"/>
    </xf>
    <xf numFmtId="178" fontId="9" fillId="0" borderId="1" xfId="0" applyFont="1" applyBorder="1" applyAlignment="1"/>
    <xf numFmtId="174" fontId="54" fillId="4" borderId="8" xfId="1" applyNumberFormat="1" applyFont="1" applyFill="1" applyBorder="1" applyAlignment="1" applyProtection="1">
      <alignment horizontal="center"/>
    </xf>
    <xf numFmtId="178" fontId="30" fillId="0" borderId="15" xfId="0" applyFont="1" applyBorder="1" applyAlignment="1">
      <alignment horizontal="center"/>
    </xf>
    <xf numFmtId="178" fontId="16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178" fontId="69" fillId="0" borderId="0" xfId="0" applyFont="1" applyAlignment="1">
      <alignment horizontal="right"/>
    </xf>
    <xf numFmtId="178" fontId="44" fillId="0" borderId="0" xfId="0" applyFont="1" applyAlignment="1">
      <alignment horizontal="right"/>
    </xf>
    <xf numFmtId="182" fontId="15" fillId="7" borderId="8" xfId="0" applyNumberFormat="1" applyFont="1" applyFill="1" applyBorder="1" applyAlignment="1">
      <alignment horizontal="center" vertical="center" wrapText="1"/>
    </xf>
    <xf numFmtId="182" fontId="27" fillId="7" borderId="4" xfId="0" applyNumberFormat="1" applyFont="1" applyFill="1" applyBorder="1" applyAlignment="1">
      <alignment horizontal="center" vertical="center" wrapText="1"/>
    </xf>
    <xf numFmtId="182" fontId="19" fillId="7" borderId="4" xfId="0" applyNumberFormat="1" applyFont="1" applyFill="1" applyBorder="1" applyAlignment="1">
      <alignment horizontal="center" vertical="center" wrapText="1"/>
    </xf>
    <xf numFmtId="182" fontId="19" fillId="7" borderId="0" xfId="0" applyNumberFormat="1" applyFont="1" applyFill="1" applyBorder="1" applyAlignment="1">
      <alignment horizontal="center" wrapText="1"/>
    </xf>
    <xf numFmtId="182" fontId="0" fillId="7" borderId="0" xfId="0" applyNumberFormat="1" applyFill="1"/>
    <xf numFmtId="182" fontId="104" fillId="7" borderId="0" xfId="0" applyNumberFormat="1" applyFont="1" applyFill="1"/>
    <xf numFmtId="182" fontId="103" fillId="7" borderId="0" xfId="0" applyNumberFormat="1" applyFont="1" applyFill="1"/>
    <xf numFmtId="0" fontId="0" fillId="0" borderId="0" xfId="0" applyNumberFormat="1"/>
    <xf numFmtId="0" fontId="142" fillId="0" borderId="0" xfId="90"/>
    <xf numFmtId="0" fontId="142" fillId="0" borderId="0" xfId="90" applyFont="1" applyAlignment="1">
      <alignment vertical="center"/>
    </xf>
    <xf numFmtId="0" fontId="142" fillId="0" borderId="0" xfId="90" applyAlignment="1">
      <alignment vertical="center"/>
    </xf>
    <xf numFmtId="0" fontId="142" fillId="0" borderId="0" xfId="90" applyAlignment="1">
      <alignment horizontal="center" vertical="center"/>
    </xf>
    <xf numFmtId="0" fontId="104" fillId="0" borderId="8" xfId="91" applyFont="1" applyBorder="1" applyAlignment="1">
      <alignment horizontal="center" vertical="center"/>
    </xf>
    <xf numFmtId="0" fontId="144" fillId="0" borderId="0" xfId="90" applyFont="1" applyAlignment="1">
      <alignment vertical="center"/>
    </xf>
    <xf numFmtId="0" fontId="141" fillId="0" borderId="8" xfId="0" applyNumberFormat="1" applyFont="1" applyBorder="1" applyAlignment="1">
      <alignment horizontal="center" vertical="center"/>
    </xf>
    <xf numFmtId="0" fontId="141" fillId="0" borderId="0" xfId="0" applyNumberFormat="1" applyFont="1" applyAlignment="1">
      <alignment horizontal="center" vertical="center"/>
    </xf>
    <xf numFmtId="0" fontId="148" fillId="0" borderId="8" xfId="0" applyNumberFormat="1" applyFont="1" applyBorder="1" applyAlignment="1">
      <alignment horizontal="center" vertical="center" wrapText="1"/>
    </xf>
    <xf numFmtId="0" fontId="149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50" fillId="0" borderId="8" xfId="0" applyNumberFormat="1" applyFont="1" applyBorder="1" applyAlignment="1">
      <alignment horizontal="center" vertical="center"/>
    </xf>
    <xf numFmtId="0" fontId="150" fillId="0" borderId="8" xfId="0" applyNumberFormat="1" applyFont="1" applyBorder="1" applyAlignment="1">
      <alignment horizontal="center" vertical="center" wrapText="1"/>
    </xf>
    <xf numFmtId="0" fontId="107" fillId="0" borderId="0" xfId="0" applyNumberFormat="1" applyFont="1" applyAlignment="1">
      <alignment horizontal="center" vertical="center"/>
    </xf>
    <xf numFmtId="186" fontId="141" fillId="0" borderId="8" xfId="0" applyNumberFormat="1" applyFont="1" applyBorder="1" applyAlignment="1">
      <alignment horizontal="center" vertical="center"/>
    </xf>
    <xf numFmtId="9" fontId="102" fillId="0" borderId="8" xfId="95" applyFont="1" applyFill="1" applyBorder="1" applyAlignment="1" applyProtection="1">
      <alignment horizontal="center" vertical="center"/>
    </xf>
    <xf numFmtId="186" fontId="147" fillId="0" borderId="8" xfId="0" applyNumberFormat="1" applyFont="1" applyBorder="1" applyAlignment="1">
      <alignment horizontal="center" vertical="center"/>
    </xf>
    <xf numFmtId="44" fontId="147" fillId="0" borderId="8" xfId="0" applyNumberFormat="1" applyFont="1" applyBorder="1" applyAlignment="1">
      <alignment horizontal="center" vertical="center"/>
    </xf>
    <xf numFmtId="0" fontId="150" fillId="0" borderId="1" xfId="0" applyNumberFormat="1" applyFont="1" applyBorder="1" applyAlignment="1">
      <alignment horizontal="center" vertical="center"/>
    </xf>
    <xf numFmtId="0" fontId="150" fillId="0" borderId="1" xfId="0" applyNumberFormat="1" applyFont="1" applyBorder="1" applyAlignment="1">
      <alignment horizontal="center" vertical="center" wrapText="1"/>
    </xf>
    <xf numFmtId="44" fontId="141" fillId="0" borderId="8" xfId="90" applyNumberFormat="1" applyFont="1" applyBorder="1" applyAlignment="1">
      <alignment horizontal="center" vertical="center"/>
    </xf>
    <xf numFmtId="0" fontId="141" fillId="0" borderId="8" xfId="90" applyFont="1" applyBorder="1" applyAlignment="1">
      <alignment horizontal="center" vertical="center"/>
    </xf>
    <xf numFmtId="186" fontId="151" fillId="0" borderId="8" xfId="90" applyNumberFormat="1" applyFont="1" applyBorder="1" applyAlignment="1">
      <alignment horizontal="center" vertical="center"/>
    </xf>
    <xf numFmtId="44" fontId="151" fillId="0" borderId="8" xfId="90" applyNumberFormat="1" applyFont="1" applyBorder="1" applyAlignment="1">
      <alignment horizontal="center" vertical="center"/>
    </xf>
    <xf numFmtId="0" fontId="152" fillId="0" borderId="8" xfId="0" applyNumberFormat="1" applyFont="1" applyBorder="1" applyAlignment="1">
      <alignment horizontal="center" vertical="center" wrapText="1"/>
    </xf>
    <xf numFmtId="0" fontId="153" fillId="0" borderId="1" xfId="0" applyNumberFormat="1" applyFont="1" applyBorder="1" applyAlignment="1">
      <alignment horizontal="center" vertical="center" wrapText="1"/>
    </xf>
    <xf numFmtId="0" fontId="154" fillId="0" borderId="0" xfId="90" applyFont="1"/>
    <xf numFmtId="0" fontId="104" fillId="0" borderId="0" xfId="91" applyFont="1" applyFill="1" applyBorder="1" applyAlignment="1">
      <alignment vertical="center"/>
    </xf>
    <xf numFmtId="0" fontId="104" fillId="0" borderId="8" xfId="91" applyFont="1" applyFill="1" applyBorder="1" applyAlignment="1">
      <alignment horizontal="center" vertical="center"/>
    </xf>
    <xf numFmtId="44" fontId="119" fillId="0" borderId="8" xfId="93" applyNumberFormat="1" applyFont="1" applyFill="1" applyBorder="1" applyAlignment="1">
      <alignment horizontal="center" vertical="center"/>
    </xf>
    <xf numFmtId="0" fontId="104" fillId="0" borderId="0" xfId="91" applyFont="1" applyFill="1" applyBorder="1" applyAlignment="1">
      <alignment horizontal="center" vertical="center"/>
    </xf>
    <xf numFmtId="44" fontId="104" fillId="0" borderId="0" xfId="91" applyNumberFormat="1" applyFont="1" applyFill="1" applyBorder="1" applyAlignment="1">
      <alignment horizontal="center" vertical="center"/>
    </xf>
    <xf numFmtId="0" fontId="104" fillId="0" borderId="15" xfId="91" applyFont="1" applyFill="1" applyBorder="1" applyAlignment="1">
      <alignment vertical="center"/>
    </xf>
    <xf numFmtId="44" fontId="119" fillId="0" borderId="8" xfId="91" applyNumberFormat="1" applyFont="1" applyFill="1" applyBorder="1" applyAlignment="1">
      <alignment horizontal="center" vertical="center"/>
    </xf>
    <xf numFmtId="0" fontId="51" fillId="0" borderId="0" xfId="91" applyFont="1" applyFill="1" applyAlignment="1">
      <alignment vertical="center"/>
    </xf>
    <xf numFmtId="44" fontId="104" fillId="0" borderId="8" xfId="91" applyNumberFormat="1" applyFont="1" applyFill="1" applyBorder="1" applyAlignment="1">
      <alignment horizontal="center" vertical="center"/>
    </xf>
    <xf numFmtId="43" fontId="104" fillId="0" borderId="8" xfId="93" applyFont="1" applyFill="1" applyBorder="1" applyAlignment="1">
      <alignment horizontal="center" vertical="center"/>
    </xf>
    <xf numFmtId="42" fontId="119" fillId="0" borderId="8" xfId="91" applyNumberFormat="1" applyFont="1" applyFill="1" applyBorder="1" applyAlignment="1">
      <alignment horizontal="center" vertical="center"/>
    </xf>
    <xf numFmtId="188" fontId="51" fillId="0" borderId="8" xfId="90" applyNumberFormat="1" applyFont="1" applyFill="1" applyBorder="1" applyAlignment="1">
      <alignment horizontal="center" vertical="center"/>
    </xf>
    <xf numFmtId="15" fontId="104" fillId="0" borderId="39" xfId="91" applyNumberFormat="1" applyFont="1" applyBorder="1" applyAlignment="1">
      <alignment horizontal="center" vertical="center"/>
    </xf>
    <xf numFmtId="188" fontId="158" fillId="0" borderId="8" xfId="0" applyNumberFormat="1" applyFont="1" applyFill="1" applyBorder="1" applyAlignment="1">
      <alignment horizontal="center" vertical="center"/>
    </xf>
    <xf numFmtId="188" fontId="51" fillId="0" borderId="8" xfId="0" applyNumberFormat="1" applyFont="1" applyFill="1" applyBorder="1" applyAlignment="1">
      <alignment horizontal="center" vertical="center"/>
    </xf>
    <xf numFmtId="188" fontId="159" fillId="0" borderId="8" xfId="0" applyNumberFormat="1" applyFont="1" applyFill="1" applyBorder="1" applyAlignment="1">
      <alignment horizontal="center" vertical="center"/>
    </xf>
    <xf numFmtId="188" fontId="102" fillId="0" borderId="8" xfId="0" applyNumberFormat="1" applyFont="1" applyFill="1" applyBorder="1" applyAlignment="1">
      <alignment horizontal="center" vertical="center"/>
    </xf>
    <xf numFmtId="0" fontId="51" fillId="0" borderId="8" xfId="0" applyNumberFormat="1" applyFont="1" applyFill="1" applyBorder="1" applyAlignment="1">
      <alignment horizontal="center" vertical="center"/>
    </xf>
    <xf numFmtId="1" fontId="161" fillId="0" borderId="8" xfId="0" applyNumberFormat="1" applyFont="1" applyFill="1" applyBorder="1" applyAlignment="1">
      <alignment horizontal="center"/>
    </xf>
    <xf numFmtId="1" fontId="161" fillId="0" borderId="8" xfId="0" applyNumberFormat="1" applyFont="1" applyFill="1" applyBorder="1" applyAlignment="1">
      <alignment horizontal="center" vertical="center"/>
    </xf>
    <xf numFmtId="1" fontId="162" fillId="0" borderId="8" xfId="0" applyNumberFormat="1" applyFont="1" applyFill="1" applyBorder="1" applyAlignment="1">
      <alignment horizontal="center" vertical="center"/>
    </xf>
    <xf numFmtId="184" fontId="165" fillId="7" borderId="8" xfId="94" applyNumberFormat="1" applyFont="1" applyFill="1" applyBorder="1" applyAlignment="1">
      <alignment horizontal="center" vertical="center"/>
    </xf>
    <xf numFmtId="1" fontId="166" fillId="0" borderId="8" xfId="0" applyNumberFormat="1" applyFont="1" applyFill="1" applyBorder="1" applyAlignment="1">
      <alignment horizontal="center" vertical="center"/>
    </xf>
    <xf numFmtId="1" fontId="163" fillId="0" borderId="8" xfId="0" applyNumberFormat="1" applyFont="1" applyBorder="1" applyAlignment="1">
      <alignment horizontal="center" vertical="center"/>
    </xf>
    <xf numFmtId="1" fontId="118" fillId="0" borderId="8" xfId="0" applyNumberFormat="1" applyFont="1" applyBorder="1" applyAlignment="1">
      <alignment horizontal="center" vertical="center"/>
    </xf>
    <xf numFmtId="1" fontId="160" fillId="0" borderId="8" xfId="0" applyNumberFormat="1" applyFont="1" applyBorder="1" applyAlignment="1">
      <alignment horizontal="center" vertical="center"/>
    </xf>
    <xf numFmtId="15" fontId="104" fillId="0" borderId="8" xfId="91" applyNumberFormat="1" applyFont="1" applyBorder="1" applyAlignment="1">
      <alignment horizontal="center" vertical="center"/>
    </xf>
    <xf numFmtId="44" fontId="119" fillId="0" borderId="42" xfId="0" applyNumberFormat="1" applyFont="1" applyFill="1" applyBorder="1" applyAlignment="1">
      <alignment horizontal="center" vertical="center" shrinkToFit="1"/>
    </xf>
    <xf numFmtId="1" fontId="170" fillId="0" borderId="8" xfId="0" applyNumberFormat="1" applyFont="1" applyFill="1" applyBorder="1" applyAlignment="1">
      <alignment horizontal="center"/>
    </xf>
    <xf numFmtId="178" fontId="51" fillId="0" borderId="8" xfId="0" applyNumberFormat="1" applyFont="1" applyFill="1" applyBorder="1" applyAlignment="1">
      <alignment horizontal="center" vertical="center"/>
    </xf>
    <xf numFmtId="0" fontId="175" fillId="0" borderId="8" xfId="0" applyNumberFormat="1" applyFont="1" applyFill="1" applyBorder="1" applyAlignment="1">
      <alignment horizontal="center" vertical="center"/>
    </xf>
    <xf numFmtId="1" fontId="176" fillId="0" borderId="8" xfId="0" applyNumberFormat="1" applyFont="1" applyFill="1" applyBorder="1" applyAlignment="1">
      <alignment horizontal="center"/>
    </xf>
    <xf numFmtId="0" fontId="159" fillId="0" borderId="8" xfId="0" applyNumberFormat="1" applyFont="1" applyFill="1" applyBorder="1" applyAlignment="1">
      <alignment horizontal="center" vertical="center"/>
    </xf>
    <xf numFmtId="49" fontId="141" fillId="0" borderId="8" xfId="0" applyNumberFormat="1" applyFont="1" applyFill="1" applyBorder="1" applyAlignment="1">
      <alignment horizontal="center" vertical="center"/>
    </xf>
    <xf numFmtId="0" fontId="119" fillId="0" borderId="12" xfId="91" applyFont="1" applyFill="1" applyBorder="1" applyAlignment="1">
      <alignment vertical="center"/>
    </xf>
    <xf numFmtId="0" fontId="119" fillId="0" borderId="14" xfId="91" applyFont="1" applyFill="1" applyBorder="1" applyAlignment="1">
      <alignment vertical="center"/>
    </xf>
    <xf numFmtId="44" fontId="119" fillId="0" borderId="15" xfId="91" applyNumberFormat="1" applyFont="1" applyFill="1" applyBorder="1" applyAlignment="1">
      <alignment vertical="center"/>
    </xf>
    <xf numFmtId="0" fontId="153" fillId="0" borderId="8" xfId="0" applyNumberFormat="1" applyFont="1" applyBorder="1" applyAlignment="1">
      <alignment horizontal="center" vertical="center" wrapText="1"/>
    </xf>
    <xf numFmtId="42" fontId="104" fillId="0" borderId="8" xfId="91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vertical="center"/>
    </xf>
    <xf numFmtId="0" fontId="159" fillId="0" borderId="0" xfId="90" applyFont="1" applyFill="1" applyAlignment="1">
      <alignment vertical="center"/>
    </xf>
    <xf numFmtId="0" fontId="51" fillId="0" borderId="0" xfId="90" applyFont="1" applyFill="1" applyBorder="1" applyAlignment="1">
      <alignment horizontal="left" vertical="center"/>
    </xf>
    <xf numFmtId="189" fontId="182" fillId="0" borderId="0" xfId="93" applyNumberFormat="1" applyFont="1" applyFill="1" applyBorder="1" applyAlignment="1" applyProtection="1">
      <alignment horizontal="center" vertical="center" wrapText="1"/>
    </xf>
    <xf numFmtId="0" fontId="183" fillId="0" borderId="0" xfId="90" applyFont="1" applyFill="1"/>
    <xf numFmtId="190" fontId="155" fillId="0" borderId="8" xfId="93" applyNumberFormat="1" applyFont="1" applyFill="1" applyBorder="1" applyAlignment="1" applyProtection="1">
      <alignment horizontal="center" vertical="center" wrapText="1"/>
    </xf>
    <xf numFmtId="43" fontId="155" fillId="0" borderId="8" xfId="93" applyFont="1" applyFill="1" applyBorder="1" applyAlignment="1" applyProtection="1">
      <alignment horizontal="center" vertical="center" wrapText="1"/>
    </xf>
    <xf numFmtId="0" fontId="155" fillId="0" borderId="8" xfId="91" applyFont="1" applyFill="1" applyBorder="1" applyAlignment="1" applyProtection="1">
      <alignment horizontal="center" vertical="center" wrapText="1"/>
    </xf>
    <xf numFmtId="0" fontId="104" fillId="0" borderId="8" xfId="90" applyFont="1" applyFill="1" applyBorder="1" applyAlignment="1">
      <alignment horizontal="center" vertical="center"/>
    </xf>
    <xf numFmtId="0" fontId="119" fillId="0" borderId="8" xfId="90" applyFont="1" applyFill="1" applyBorder="1" applyAlignment="1">
      <alignment horizontal="center" vertical="center"/>
    </xf>
    <xf numFmtId="0" fontId="183" fillId="0" borderId="0" xfId="90" applyFont="1" applyFill="1" applyAlignment="1">
      <alignment horizontal="center" vertical="center"/>
    </xf>
    <xf numFmtId="44" fontId="119" fillId="0" borderId="8" xfId="93" applyNumberFormat="1" applyFont="1" applyFill="1" applyBorder="1" applyAlignment="1">
      <alignment horizontal="right" vertical="center"/>
    </xf>
    <xf numFmtId="0" fontId="51" fillId="0" borderId="0" xfId="91" applyFont="1" applyFill="1"/>
    <xf numFmtId="185" fontId="119" fillId="0" borderId="8" xfId="90" applyNumberFormat="1" applyFont="1" applyFill="1" applyBorder="1" applyAlignment="1">
      <alignment horizontal="center" vertical="center"/>
    </xf>
    <xf numFmtId="184" fontId="51" fillId="0" borderId="0" xfId="91" applyNumberFormat="1" applyFont="1" applyFill="1" applyAlignment="1">
      <alignment vertical="center"/>
    </xf>
    <xf numFmtId="0" fontId="183" fillId="0" borderId="0" xfId="90" applyFont="1" applyFill="1" applyAlignment="1">
      <alignment vertical="center"/>
    </xf>
    <xf numFmtId="184" fontId="183" fillId="0" borderId="0" xfId="90" applyNumberFormat="1" applyFont="1" applyFill="1" applyAlignment="1">
      <alignment vertical="center"/>
    </xf>
    <xf numFmtId="15" fontId="104" fillId="0" borderId="8" xfId="91" applyNumberFormat="1" applyFont="1" applyFill="1" applyBorder="1" applyAlignment="1">
      <alignment horizontal="center" vertical="center"/>
    </xf>
    <xf numFmtId="44" fontId="119" fillId="0" borderId="8" xfId="91" applyNumberFormat="1" applyFont="1" applyFill="1" applyBorder="1" applyAlignment="1">
      <alignment vertical="center"/>
    </xf>
    <xf numFmtId="49" fontId="159" fillId="0" borderId="8" xfId="0" applyNumberFormat="1" applyFont="1" applyFill="1" applyBorder="1" applyAlignment="1">
      <alignment horizontal="center" vertical="center"/>
    </xf>
    <xf numFmtId="44" fontId="119" fillId="0" borderId="8" xfId="92" applyNumberFormat="1" applyFont="1" applyFill="1" applyBorder="1" applyAlignment="1">
      <alignment horizontal="center" vertical="center"/>
    </xf>
    <xf numFmtId="0" fontId="159" fillId="0" borderId="8" xfId="90" applyNumberFormat="1" applyFont="1" applyFill="1" applyBorder="1" applyAlignment="1">
      <alignment horizontal="center" vertical="center"/>
    </xf>
    <xf numFmtId="0" fontId="107" fillId="0" borderId="1" xfId="0" applyNumberFormat="1" applyFont="1" applyBorder="1" applyAlignment="1">
      <alignment horizontal="center" vertical="center" wrapText="1"/>
    </xf>
    <xf numFmtId="1" fontId="170" fillId="0" borderId="8" xfId="0" applyNumberFormat="1" applyFont="1" applyFill="1" applyBorder="1" applyAlignment="1">
      <alignment horizontal="center" vertical="center"/>
    </xf>
    <xf numFmtId="0" fontId="144" fillId="0" borderId="0" xfId="90" applyFont="1" applyAlignment="1">
      <alignment horizontal="center" vertical="center"/>
    </xf>
    <xf numFmtId="1" fontId="164" fillId="0" borderId="8" xfId="0" applyNumberFormat="1" applyFont="1" applyFill="1" applyBorder="1" applyAlignment="1">
      <alignment horizontal="center" vertical="center"/>
    </xf>
    <xf numFmtId="0" fontId="181" fillId="0" borderId="22" xfId="90" applyFont="1" applyFill="1" applyBorder="1" applyAlignment="1">
      <alignment vertical="center"/>
    </xf>
    <xf numFmtId="0" fontId="51" fillId="0" borderId="0" xfId="91" applyFont="1" applyFill="1" applyAlignment="1">
      <alignment horizontal="center" vertical="center"/>
    </xf>
    <xf numFmtId="44" fontId="119" fillId="0" borderId="4" xfId="93" applyNumberFormat="1" applyFont="1" applyFill="1" applyBorder="1" applyAlignment="1">
      <alignment horizontal="center" vertical="center"/>
    </xf>
    <xf numFmtId="43" fontId="104" fillId="0" borderId="4" xfId="93" applyFont="1" applyFill="1" applyBorder="1" applyAlignment="1">
      <alignment horizontal="center" vertical="center"/>
    </xf>
    <xf numFmtId="184" fontId="51" fillId="0" borderId="0" xfId="91" applyNumberFormat="1" applyFont="1" applyFill="1" applyAlignment="1">
      <alignment horizontal="center" vertical="center"/>
    </xf>
    <xf numFmtId="184" fontId="183" fillId="0" borderId="0" xfId="90" applyNumberFormat="1" applyFont="1" applyFill="1" applyAlignment="1">
      <alignment horizontal="center" vertical="center"/>
    </xf>
    <xf numFmtId="49" fontId="51" fillId="0" borderId="8" xfId="0" applyNumberFormat="1" applyFont="1" applyFill="1" applyBorder="1" applyAlignment="1">
      <alignment horizontal="center" vertical="center"/>
    </xf>
    <xf numFmtId="0" fontId="119" fillId="0" borderId="8" xfId="91" applyFont="1" applyFill="1" applyBorder="1" applyAlignment="1">
      <alignment horizontal="center" vertical="center"/>
    </xf>
    <xf numFmtId="0" fontId="168" fillId="0" borderId="14" xfId="91" applyFont="1" applyFill="1" applyBorder="1" applyAlignment="1">
      <alignment horizontal="center" vertical="center"/>
    </xf>
    <xf numFmtId="0" fontId="159" fillId="0" borderId="0" xfId="91" applyFont="1" applyFill="1" applyAlignment="1">
      <alignment horizontal="center" vertical="center"/>
    </xf>
    <xf numFmtId="0" fontId="186" fillId="0" borderId="14" xfId="91" applyFont="1" applyFill="1" applyBorder="1" applyAlignment="1">
      <alignment vertical="center"/>
    </xf>
    <xf numFmtId="0" fontId="67" fillId="0" borderId="0" xfId="91" applyFont="1" applyFill="1"/>
    <xf numFmtId="0" fontId="185" fillId="0" borderId="8" xfId="0" applyNumberFormat="1" applyFont="1" applyFill="1" applyBorder="1" applyAlignment="1">
      <alignment horizontal="center" vertical="center"/>
    </xf>
    <xf numFmtId="186" fontId="119" fillId="0" borderId="8" xfId="90" applyNumberFormat="1" applyFont="1" applyFill="1" applyBorder="1" applyAlignment="1">
      <alignment horizontal="center" vertical="center"/>
    </xf>
    <xf numFmtId="188" fontId="185" fillId="0" borderId="8" xfId="90" applyNumberFormat="1" applyFont="1" applyFill="1" applyBorder="1" applyAlignment="1">
      <alignment horizontal="center" vertical="center"/>
    </xf>
    <xf numFmtId="188" fontId="185" fillId="0" borderId="8" xfId="0" applyNumberFormat="1" applyFont="1" applyFill="1" applyBorder="1" applyAlignment="1">
      <alignment horizontal="center" vertical="center"/>
    </xf>
    <xf numFmtId="0" fontId="185" fillId="0" borderId="8" xfId="90" applyNumberFormat="1" applyFont="1" applyFill="1" applyBorder="1" applyAlignment="1">
      <alignment horizontal="center" vertical="center"/>
    </xf>
    <xf numFmtId="188" fontId="189" fillId="0" borderId="8" xfId="0" applyNumberFormat="1" applyFont="1" applyFill="1" applyBorder="1" applyAlignment="1">
      <alignment horizontal="center" vertical="center"/>
    </xf>
    <xf numFmtId="0" fontId="189" fillId="0" borderId="8" xfId="0" applyNumberFormat="1" applyFont="1" applyFill="1" applyBorder="1" applyAlignment="1">
      <alignment horizontal="center" vertical="center"/>
    </xf>
    <xf numFmtId="188" fontId="185" fillId="0" borderId="8" xfId="91" applyNumberFormat="1" applyFont="1" applyFill="1" applyBorder="1" applyAlignment="1">
      <alignment horizontal="center" vertical="center"/>
    </xf>
    <xf numFmtId="188" fontId="189" fillId="0" borderId="8" xfId="91" applyNumberFormat="1" applyFont="1" applyFill="1" applyBorder="1" applyAlignment="1">
      <alignment horizontal="center" vertical="center"/>
    </xf>
    <xf numFmtId="49" fontId="185" fillId="0" borderId="8" xfId="0" applyNumberFormat="1" applyFont="1" applyFill="1" applyBorder="1" applyAlignment="1">
      <alignment horizontal="center" vertical="center"/>
    </xf>
    <xf numFmtId="188" fontId="185" fillId="0" borderId="15" xfId="0" applyNumberFormat="1" applyFont="1" applyFill="1" applyBorder="1" applyAlignment="1">
      <alignment horizontal="center" vertical="center"/>
    </xf>
    <xf numFmtId="0" fontId="185" fillId="0" borderId="4" xfId="0" applyNumberFormat="1" applyFont="1" applyFill="1" applyBorder="1" applyAlignment="1">
      <alignment horizontal="center" vertical="center"/>
    </xf>
    <xf numFmtId="15" fontId="175" fillId="0" borderId="8" xfId="91" applyNumberFormat="1" applyFont="1" applyFill="1" applyBorder="1" applyAlignment="1">
      <alignment horizontal="center" vertical="center"/>
    </xf>
    <xf numFmtId="49" fontId="158" fillId="0" borderId="8" xfId="0" applyNumberFormat="1" applyFont="1" applyFill="1" applyBorder="1" applyAlignment="1">
      <alignment horizontal="center" vertical="center"/>
    </xf>
    <xf numFmtId="0" fontId="102" fillId="0" borderId="1" xfId="0" applyNumberFormat="1" applyFont="1" applyFill="1" applyBorder="1" applyAlignment="1">
      <alignment horizontal="center" vertical="center"/>
    </xf>
    <xf numFmtId="0" fontId="104" fillId="0" borderId="1" xfId="0" applyNumberFormat="1" applyFont="1" applyFill="1" applyBorder="1" applyAlignment="1">
      <alignment horizontal="center" vertical="center" shrinkToFit="1"/>
    </xf>
    <xf numFmtId="44" fontId="104" fillId="0" borderId="8" xfId="93" applyNumberFormat="1" applyFont="1" applyFill="1" applyBorder="1" applyAlignment="1" applyProtection="1">
      <alignment horizontal="center" vertical="center"/>
      <protection hidden="1"/>
    </xf>
    <xf numFmtId="193" fontId="104" fillId="0" borderId="8" xfId="96" applyNumberFormat="1" applyFont="1" applyFill="1" applyBorder="1" applyAlignment="1" applyProtection="1">
      <alignment horizontal="center" vertical="center"/>
      <protection hidden="1"/>
    </xf>
    <xf numFmtId="0" fontId="104" fillId="0" borderId="1" xfId="0" applyNumberFormat="1" applyFont="1" applyFill="1" applyBorder="1" applyAlignment="1">
      <alignment horizontal="center" vertical="center"/>
    </xf>
    <xf numFmtId="44" fontId="179" fillId="0" borderId="0" xfId="90" applyNumberFormat="1" applyFont="1" applyFill="1" applyAlignment="1">
      <alignment horizontal="center" vertical="center"/>
    </xf>
    <xf numFmtId="44" fontId="68" fillId="0" borderId="0" xfId="90" applyNumberFormat="1" applyFont="1" applyFill="1" applyAlignment="1">
      <alignment horizontal="center" vertical="center"/>
    </xf>
    <xf numFmtId="44" fontId="155" fillId="0" borderId="0" xfId="93" applyNumberFormat="1" applyFont="1" applyFill="1" applyBorder="1" applyAlignment="1" applyProtection="1">
      <alignment horizontal="center" vertical="center" wrapText="1"/>
    </xf>
    <xf numFmtId="44" fontId="182" fillId="0" borderId="0" xfId="93" applyNumberFormat="1" applyFont="1" applyFill="1" applyBorder="1" applyAlignment="1" applyProtection="1">
      <alignment horizontal="center" vertical="center" wrapText="1"/>
    </xf>
    <xf numFmtId="44" fontId="104" fillId="0" borderId="0" xfId="91" applyNumberFormat="1" applyFont="1" applyFill="1" applyBorder="1" applyAlignment="1">
      <alignment vertical="center"/>
    </xf>
    <xf numFmtId="44" fontId="51" fillId="0" borderId="0" xfId="91" applyNumberFormat="1" applyFont="1" applyFill="1"/>
    <xf numFmtId="44" fontId="183" fillId="0" borderId="0" xfId="90" applyNumberFormat="1" applyFont="1" applyFill="1"/>
    <xf numFmtId="189" fontId="175" fillId="0" borderId="0" xfId="93" applyNumberFormat="1" applyFont="1" applyFill="1" applyBorder="1" applyAlignment="1" applyProtection="1">
      <alignment horizontal="center" vertical="center" wrapText="1"/>
    </xf>
    <xf numFmtId="44" fontId="175" fillId="0" borderId="0" xfId="93" applyNumberFormat="1" applyFont="1" applyFill="1" applyBorder="1" applyAlignment="1" applyProtection="1">
      <alignment horizontal="center" vertical="center" wrapText="1"/>
    </xf>
    <xf numFmtId="44" fontId="104" fillId="0" borderId="15" xfId="91" applyNumberFormat="1" applyFont="1" applyFill="1" applyBorder="1" applyAlignment="1">
      <alignment vertical="center"/>
    </xf>
    <xf numFmtId="191" fontId="102" fillId="0" borderId="4" xfId="92" applyNumberFormat="1" applyFont="1" applyFill="1" applyBorder="1" applyAlignment="1" applyProtection="1">
      <alignment horizontal="center" vertical="top" wrapText="1"/>
    </xf>
    <xf numFmtId="0" fontId="132" fillId="0" borderId="14" xfId="91" applyFont="1" applyFill="1" applyBorder="1" applyAlignment="1">
      <alignment vertical="center"/>
    </xf>
    <xf numFmtId="0" fontId="102" fillId="0" borderId="0" xfId="91" applyFont="1" applyFill="1"/>
    <xf numFmtId="0" fontId="191" fillId="0" borderId="0" xfId="90" applyFont="1" applyFill="1"/>
    <xf numFmtId="44" fontId="183" fillId="0" borderId="0" xfId="90" applyNumberFormat="1" applyFont="1" applyFill="1" applyAlignment="1">
      <alignment horizontal="center" vertical="center"/>
    </xf>
    <xf numFmtId="0" fontId="104" fillId="7" borderId="8" xfId="91" applyFont="1" applyFill="1" applyBorder="1" applyAlignment="1">
      <alignment horizontal="center" vertical="center"/>
    </xf>
    <xf numFmtId="0" fontId="189" fillId="7" borderId="8" xfId="0" applyNumberFormat="1" applyFont="1" applyFill="1" applyBorder="1" applyAlignment="1">
      <alignment horizontal="center" vertical="center"/>
    </xf>
    <xf numFmtId="15" fontId="104" fillId="7" borderId="8" xfId="91" applyNumberFormat="1" applyFont="1" applyFill="1" applyBorder="1" applyAlignment="1">
      <alignment horizontal="center" vertical="center"/>
    </xf>
    <xf numFmtId="188" fontId="189" fillId="7" borderId="8" xfId="0" applyNumberFormat="1" applyFont="1" applyFill="1" applyBorder="1" applyAlignment="1">
      <alignment horizontal="center" vertical="center"/>
    </xf>
    <xf numFmtId="197" fontId="104" fillId="0" borderId="8" xfId="0" applyNumberFormat="1" applyFont="1" applyFill="1" applyBorder="1" applyAlignment="1">
      <alignment horizontal="center" vertical="center"/>
    </xf>
    <xf numFmtId="184" fontId="181" fillId="0" borderId="8" xfId="94" applyNumberFormat="1" applyFont="1" applyFill="1" applyBorder="1" applyAlignment="1">
      <alignment horizontal="center" vertical="center"/>
    </xf>
    <xf numFmtId="44" fontId="132" fillId="0" borderId="8" xfId="93" applyNumberFormat="1" applyFont="1" applyFill="1" applyBorder="1" applyAlignment="1">
      <alignment horizontal="center" vertical="center"/>
    </xf>
    <xf numFmtId="184" fontId="168" fillId="0" borderId="8" xfId="94" applyNumberFormat="1" applyFont="1" applyFill="1" applyBorder="1" applyAlignment="1">
      <alignment horizontal="center" vertical="center"/>
    </xf>
    <xf numFmtId="184" fontId="181" fillId="0" borderId="14" xfId="94" applyNumberFormat="1" applyFont="1" applyFill="1" applyBorder="1" applyAlignment="1">
      <alignment horizontal="center" vertical="center"/>
    </xf>
    <xf numFmtId="195" fontId="181" fillId="0" borderId="8" xfId="5" applyNumberFormat="1" applyFont="1" applyFill="1" applyBorder="1" applyAlignment="1">
      <alignment horizontal="center" vertical="center"/>
    </xf>
    <xf numFmtId="44" fontId="132" fillId="0" borderId="8" xfId="91" applyNumberFormat="1" applyFont="1" applyFill="1" applyBorder="1" applyAlignment="1">
      <alignment vertical="center"/>
    </xf>
    <xf numFmtId="44" fontId="132" fillId="0" borderId="8" xfId="93" applyNumberFormat="1" applyFont="1" applyFill="1" applyBorder="1" applyAlignment="1">
      <alignment horizontal="right" vertical="center"/>
    </xf>
    <xf numFmtId="188" fontId="159" fillId="7" borderId="8" xfId="0" applyNumberFormat="1" applyFont="1" applyFill="1" applyBorder="1" applyAlignment="1">
      <alignment horizontal="center" vertical="center"/>
    </xf>
    <xf numFmtId="188" fontId="185" fillId="7" borderId="8" xfId="0" applyNumberFormat="1" applyFont="1" applyFill="1" applyBorder="1" applyAlignment="1">
      <alignment horizontal="center" vertical="center"/>
    </xf>
    <xf numFmtId="0" fontId="159" fillId="7" borderId="8" xfId="0" applyNumberFormat="1" applyFont="1" applyFill="1" applyBorder="1" applyAlignment="1">
      <alignment horizontal="center" vertical="center"/>
    </xf>
    <xf numFmtId="0" fontId="178" fillId="7" borderId="8" xfId="0" applyNumberFormat="1" applyFont="1" applyFill="1" applyBorder="1" applyAlignment="1">
      <alignment horizontal="center" vertical="center"/>
    </xf>
    <xf numFmtId="0" fontId="185" fillId="7" borderId="8" xfId="0" applyNumberFormat="1" applyFont="1" applyFill="1" applyBorder="1" applyAlignment="1">
      <alignment horizontal="center" vertical="center"/>
    </xf>
    <xf numFmtId="0" fontId="104" fillId="0" borderId="0" xfId="91" applyFont="1" applyFill="1"/>
    <xf numFmtId="184" fontId="132" fillId="0" borderId="8" xfId="94" applyNumberFormat="1" applyFont="1" applyFill="1" applyBorder="1" applyAlignment="1">
      <alignment horizontal="center" vertical="center"/>
    </xf>
    <xf numFmtId="15" fontId="178" fillId="0" borderId="8" xfId="91" applyNumberFormat="1" applyFont="1" applyFill="1" applyBorder="1" applyAlignment="1">
      <alignment horizontal="center" vertical="center"/>
    </xf>
    <xf numFmtId="0" fontId="155" fillId="0" borderId="8" xfId="0" applyNumberFormat="1" applyFont="1" applyFill="1" applyBorder="1" applyAlignment="1">
      <alignment horizontal="center" vertical="center"/>
    </xf>
    <xf numFmtId="184" fontId="181" fillId="0" borderId="4" xfId="94" applyNumberFormat="1" applyFont="1" applyFill="1" applyBorder="1" applyAlignment="1">
      <alignment horizontal="center" vertical="center"/>
    </xf>
    <xf numFmtId="44" fontId="104" fillId="0" borderId="8" xfId="91" applyNumberFormat="1" applyFont="1" applyFill="1" applyBorder="1" applyAlignment="1">
      <alignment vertical="center"/>
    </xf>
    <xf numFmtId="0" fontId="104" fillId="0" borderId="8" xfId="91" applyFont="1" applyFill="1" applyBorder="1" applyAlignment="1">
      <alignment vertical="center"/>
    </xf>
    <xf numFmtId="44" fontId="142" fillId="0" borderId="0" xfId="90" applyNumberFormat="1"/>
    <xf numFmtId="0" fontId="168" fillId="0" borderId="8" xfId="0" applyNumberFormat="1" applyFont="1" applyFill="1" applyBorder="1" applyAlignment="1">
      <alignment horizontal="center" vertical="center"/>
    </xf>
    <xf numFmtId="0" fontId="104" fillId="0" borderId="8" xfId="0" applyNumberFormat="1" applyFont="1" applyFill="1" applyBorder="1" applyAlignment="1">
      <alignment horizontal="center" vertical="center"/>
    </xf>
    <xf numFmtId="15" fontId="175" fillId="0" borderId="40" xfId="91" applyNumberFormat="1" applyFont="1" applyBorder="1" applyAlignment="1">
      <alignment horizontal="center" vertical="center"/>
    </xf>
    <xf numFmtId="15" fontId="175" fillId="0" borderId="39" xfId="91" applyNumberFormat="1" applyFont="1" applyBorder="1" applyAlignment="1">
      <alignment horizontal="center" vertical="center"/>
    </xf>
    <xf numFmtId="166" fontId="119" fillId="0" borderId="8" xfId="5" applyFont="1" applyFill="1" applyBorder="1" applyAlignment="1">
      <alignment horizontal="center" vertical="center"/>
    </xf>
    <xf numFmtId="198" fontId="119" fillId="0" borderId="8" xfId="91" applyNumberFormat="1" applyFont="1" applyFill="1" applyBorder="1" applyAlignment="1">
      <alignment horizontal="center" vertical="center"/>
    </xf>
    <xf numFmtId="191" fontId="178" fillId="0" borderId="1" xfId="92" applyNumberFormat="1" applyFont="1" applyFill="1" applyBorder="1" applyAlignment="1" applyProtection="1">
      <alignment horizontal="center" wrapText="1"/>
    </xf>
    <xf numFmtId="0" fontId="104" fillId="0" borderId="14" xfId="91" applyFont="1" applyFill="1" applyBorder="1" applyAlignment="1">
      <alignment vertical="center"/>
    </xf>
    <xf numFmtId="0" fontId="158" fillId="7" borderId="8" xfId="0" applyNumberFormat="1" applyFont="1" applyFill="1" applyBorder="1" applyAlignment="1">
      <alignment horizontal="center" vertical="center"/>
    </xf>
    <xf numFmtId="49" fontId="158" fillId="7" borderId="8" xfId="0" applyNumberFormat="1" applyFont="1" applyFill="1" applyBorder="1" applyAlignment="1">
      <alignment horizontal="center" vertical="center"/>
    </xf>
    <xf numFmtId="0" fontId="175" fillId="0" borderId="8" xfId="0" quotePrefix="1" applyNumberFormat="1" applyFont="1" applyFill="1" applyBorder="1" applyAlignment="1">
      <alignment horizontal="center" vertical="center"/>
    </xf>
    <xf numFmtId="44" fontId="132" fillId="0" borderId="4" xfId="93" applyNumberFormat="1" applyFont="1" applyFill="1" applyBorder="1" applyAlignment="1">
      <alignment horizontal="center" vertical="center"/>
    </xf>
    <xf numFmtId="188" fontId="185" fillId="0" borderId="4" xfId="0" applyNumberFormat="1" applyFont="1" applyFill="1" applyBorder="1" applyAlignment="1">
      <alignment horizontal="center" vertical="center"/>
    </xf>
    <xf numFmtId="0" fontId="198" fillId="0" borderId="0" xfId="0" applyNumberFormat="1" applyFont="1" applyAlignment="1">
      <alignment horizontal="center" vertical="center"/>
    </xf>
    <xf numFmtId="0" fontId="198" fillId="0" borderId="0" xfId="0" applyNumberFormat="1" applyFont="1"/>
    <xf numFmtId="0" fontId="163" fillId="0" borderId="0" xfId="0" applyNumberFormat="1" applyFont="1" applyAlignment="1">
      <alignment horizontal="center" vertical="center"/>
    </xf>
    <xf numFmtId="0" fontId="204" fillId="0" borderId="0" xfId="0" applyNumberFormat="1" applyFont="1" applyFill="1" applyAlignment="1">
      <alignment vertical="center" wrapText="1"/>
    </xf>
    <xf numFmtId="0" fontId="202" fillId="0" borderId="4" xfId="0" applyNumberFormat="1" applyFont="1" applyFill="1" applyBorder="1" applyAlignment="1">
      <alignment horizontal="center" vertical="center" shrinkToFit="1"/>
    </xf>
    <xf numFmtId="0" fontId="132" fillId="0" borderId="4" xfId="0" applyNumberFormat="1" applyFont="1" applyBorder="1" applyAlignment="1">
      <alignment horizontal="center" vertical="center"/>
    </xf>
    <xf numFmtId="167" fontId="201" fillId="0" borderId="8" xfId="0" applyNumberFormat="1" applyFont="1" applyFill="1" applyBorder="1" applyAlignment="1">
      <alignment horizontal="center" vertical="center" shrinkToFit="1"/>
    </xf>
    <xf numFmtId="0" fontId="0" fillId="0" borderId="0" xfId="0" applyNumberFormat="1" applyFill="1" applyAlignment="1">
      <alignment vertical="center"/>
    </xf>
    <xf numFmtId="0" fontId="132" fillId="0" borderId="8" xfId="0" applyNumberFormat="1" applyFont="1" applyBorder="1" applyAlignment="1">
      <alignment horizontal="center" vertical="center"/>
    </xf>
    <xf numFmtId="0" fontId="0" fillId="0" borderId="8" xfId="0" applyNumberFormat="1" applyBorder="1"/>
    <xf numFmtId="0" fontId="201" fillId="0" borderId="8" xfId="71" applyNumberFormat="1" applyFont="1" applyFill="1" applyBorder="1" applyAlignment="1">
      <alignment horizontal="center" vertical="center" shrinkToFit="1"/>
    </xf>
    <xf numFmtId="0" fontId="132" fillId="7" borderId="8" xfId="0" applyNumberFormat="1" applyFont="1" applyFill="1" applyBorder="1" applyAlignment="1">
      <alignment horizontal="center" vertical="center"/>
    </xf>
    <xf numFmtId="167" fontId="201" fillId="7" borderId="8" xfId="0" applyNumberFormat="1" applyFont="1" applyFill="1" applyBorder="1" applyAlignment="1">
      <alignment horizontal="center" vertical="center" shrinkToFit="1"/>
    </xf>
    <xf numFmtId="0" fontId="0" fillId="7" borderId="0" xfId="0" applyNumberFormat="1" applyFill="1" applyAlignment="1">
      <alignment vertical="center"/>
    </xf>
    <xf numFmtId="0" fontId="0" fillId="0" borderId="0" xfId="0" applyNumberFormat="1" applyBorder="1"/>
    <xf numFmtId="167" fontId="104" fillId="0" borderId="0" xfId="90" applyNumberFormat="1" applyFont="1" applyFill="1" applyBorder="1" applyAlignment="1">
      <alignment horizontal="center" vertical="center"/>
    </xf>
    <xf numFmtId="167" fontId="104" fillId="7" borderId="0" xfId="90" applyNumberFormat="1" applyFont="1" applyFill="1" applyBorder="1" applyAlignment="1">
      <alignment horizontal="center" vertical="center"/>
    </xf>
    <xf numFmtId="167" fontId="159" fillId="0" borderId="0" xfId="9" applyNumberFormat="1" applyFont="1" applyFill="1" applyBorder="1" applyAlignment="1">
      <alignment vertical="center"/>
    </xf>
    <xf numFmtId="0" fontId="175" fillId="0" borderId="0" xfId="91" applyNumberFormat="1" applyFont="1" applyFill="1" applyBorder="1" applyAlignment="1" applyProtection="1">
      <alignment vertical="center" wrapText="1"/>
    </xf>
    <xf numFmtId="166" fontId="51" fillId="0" borderId="4" xfId="5" applyFont="1" applyFill="1" applyBorder="1" applyAlignment="1">
      <alignment horizontal="center" vertical="center" shrinkToFit="1"/>
    </xf>
    <xf numFmtId="166" fontId="68" fillId="0" borderId="4" xfId="5" applyFont="1" applyFill="1" applyBorder="1" applyAlignment="1">
      <alignment horizontal="center" vertical="center" shrinkToFit="1"/>
    </xf>
    <xf numFmtId="166" fontId="51" fillId="0" borderId="4" xfId="5" quotePrefix="1" applyFont="1" applyFill="1" applyBorder="1" applyAlignment="1">
      <alignment horizontal="center" vertical="center" shrinkToFit="1"/>
    </xf>
    <xf numFmtId="166" fontId="51" fillId="0" borderId="8" xfId="5" applyFont="1" applyFill="1" applyBorder="1" applyAlignment="1">
      <alignment horizontal="center" vertical="center" shrinkToFit="1"/>
    </xf>
    <xf numFmtId="166" fontId="51" fillId="0" borderId="8" xfId="5" applyFont="1" applyBorder="1" applyAlignment="1">
      <alignment horizontal="center" vertical="center"/>
    </xf>
    <xf numFmtId="166" fontId="51" fillId="0" borderId="8" xfId="5" applyFont="1" applyFill="1" applyBorder="1" applyAlignment="1">
      <alignment horizontal="center" vertical="center"/>
    </xf>
    <xf numFmtId="166" fontId="51" fillId="7" borderId="8" xfId="5" applyFont="1" applyFill="1" applyBorder="1" applyAlignment="1">
      <alignment horizontal="center" vertical="center"/>
    </xf>
    <xf numFmtId="44" fontId="205" fillId="7" borderId="4" xfId="5" applyNumberFormat="1" applyFont="1" applyFill="1" applyBorder="1" applyAlignment="1">
      <alignment horizontal="center" vertical="center"/>
    </xf>
    <xf numFmtId="166" fontId="186" fillId="14" borderId="4" xfId="5" applyFont="1" applyFill="1" applyBorder="1" applyAlignment="1">
      <alignment horizontal="center" vertical="center" shrinkToFit="1"/>
    </xf>
    <xf numFmtId="0" fontId="68" fillId="17" borderId="8" xfId="0" applyNumberFormat="1" applyFont="1" applyFill="1" applyBorder="1" applyAlignment="1">
      <alignment horizontal="center" vertical="center" shrinkToFit="1"/>
    </xf>
    <xf numFmtId="0" fontId="185" fillId="17" borderId="14" xfId="0" applyNumberFormat="1" applyFont="1" applyFill="1" applyBorder="1" applyAlignment="1">
      <alignment horizontal="center" vertical="center" wrapText="1"/>
    </xf>
    <xf numFmtId="0" fontId="185" fillId="17" borderId="1" xfId="91" applyNumberFormat="1" applyFont="1" applyFill="1" applyBorder="1" applyAlignment="1" applyProtection="1">
      <alignment vertical="center" wrapText="1"/>
    </xf>
    <xf numFmtId="0" fontId="185" fillId="17" borderId="8" xfId="0" applyNumberFormat="1" applyFont="1" applyFill="1" applyBorder="1" applyAlignment="1">
      <alignment horizontal="center" vertical="center" wrapText="1"/>
    </xf>
    <xf numFmtId="0" fontId="185" fillId="17" borderId="6" xfId="0" applyNumberFormat="1" applyFont="1" applyFill="1" applyBorder="1" applyAlignment="1">
      <alignment horizontal="center" vertical="center" wrapText="1"/>
    </xf>
    <xf numFmtId="166" fontId="51" fillId="0" borderId="8" xfId="5" applyFont="1" applyFill="1" applyBorder="1" applyAlignment="1">
      <alignment horizontal="left" vertical="center" shrinkToFit="1"/>
    </xf>
    <xf numFmtId="166" fontId="51" fillId="0" borderId="8" xfId="5" applyFont="1" applyFill="1" applyBorder="1" applyAlignment="1" applyProtection="1">
      <alignment horizontal="left" vertical="center" wrapText="1"/>
    </xf>
    <xf numFmtId="166" fontId="51" fillId="0" borderId="4" xfId="5" applyFont="1" applyFill="1" applyBorder="1" applyAlignment="1">
      <alignment horizontal="left" vertical="center" shrinkToFit="1"/>
    </xf>
    <xf numFmtId="166" fontId="51" fillId="7" borderId="4" xfId="5" applyFont="1" applyFill="1" applyBorder="1" applyAlignment="1">
      <alignment horizontal="left" vertical="center" shrinkToFit="1"/>
    </xf>
    <xf numFmtId="167" fontId="140" fillId="7" borderId="0" xfId="0" applyNumberFormat="1" applyFont="1" applyFill="1" applyBorder="1" applyAlignment="1">
      <alignment horizontal="center" vertical="center"/>
    </xf>
    <xf numFmtId="188" fontId="51" fillId="7" borderId="8" xfId="0" applyNumberFormat="1" applyFont="1" applyFill="1" applyBorder="1" applyAlignment="1">
      <alignment horizontal="center" vertical="center"/>
    </xf>
    <xf numFmtId="0" fontId="159" fillId="0" borderId="8" xfId="90" applyFont="1" applyFill="1" applyBorder="1" applyAlignment="1">
      <alignment horizontal="center" vertical="center"/>
    </xf>
    <xf numFmtId="0" fontId="175" fillId="0" borderId="1" xfId="91" applyFont="1" applyFill="1" applyBorder="1" applyAlignment="1" applyProtection="1">
      <alignment horizontal="center" wrapText="1"/>
    </xf>
    <xf numFmtId="188" fontId="178" fillId="0" borderId="8" xfId="0" applyNumberFormat="1" applyFont="1" applyFill="1" applyBorder="1" applyAlignment="1">
      <alignment horizontal="center" vertical="center"/>
    </xf>
    <xf numFmtId="15" fontId="102" fillId="0" borderId="8" xfId="91" applyNumberFormat="1" applyFont="1" applyBorder="1" applyAlignment="1">
      <alignment horizontal="center" vertical="center"/>
    </xf>
    <xf numFmtId="0" fontId="125" fillId="0" borderId="8" xfId="0" applyNumberFormat="1" applyFont="1" applyFill="1" applyBorder="1" applyAlignment="1">
      <alignment horizontal="center" vertical="center"/>
    </xf>
    <xf numFmtId="0" fontId="119" fillId="0" borderId="13" xfId="91" applyFont="1" applyFill="1" applyBorder="1" applyAlignment="1">
      <alignment horizontal="center" vertical="center"/>
    </xf>
    <xf numFmtId="44" fontId="192" fillId="0" borderId="0" xfId="91" applyNumberFormat="1" applyFont="1" applyFill="1" applyBorder="1" applyAlignment="1">
      <alignment vertical="center"/>
    </xf>
    <xf numFmtId="0" fontId="132" fillId="0" borderId="8" xfId="0" applyNumberFormat="1" applyFont="1" applyFill="1" applyBorder="1" applyAlignment="1">
      <alignment horizontal="center" vertical="center" wrapText="1"/>
    </xf>
    <xf numFmtId="3" fontId="132" fillId="0" borderId="8" xfId="0" applyNumberFormat="1" applyFont="1" applyFill="1" applyBorder="1" applyAlignment="1">
      <alignment horizontal="center" vertical="center" wrapText="1"/>
    </xf>
    <xf numFmtId="192" fontId="132" fillId="0" borderId="8" xfId="0" applyNumberFormat="1" applyFont="1" applyFill="1" applyBorder="1" applyAlignment="1">
      <alignment horizontal="center" vertical="center" wrapText="1"/>
    </xf>
    <xf numFmtId="4" fontId="13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32" fillId="0" borderId="8" xfId="0" applyNumberFormat="1" applyFont="1" applyFill="1" applyBorder="1" applyAlignment="1">
      <alignment horizontal="center" vertical="center" shrinkToFit="1"/>
    </xf>
    <xf numFmtId="0" fontId="132" fillId="0" borderId="8" xfId="0" applyNumberFormat="1" applyFont="1" applyFill="1" applyBorder="1" applyAlignment="1">
      <alignment horizontal="center" vertical="center" wrapText="1" shrinkToFit="1"/>
    </xf>
    <xf numFmtId="0" fontId="102" fillId="0" borderId="8" xfId="0" applyNumberFormat="1" applyFont="1" applyFill="1" applyBorder="1" applyAlignment="1">
      <alignment horizontal="center" vertical="center"/>
    </xf>
    <xf numFmtId="0" fontId="104" fillId="0" borderId="8" xfId="0" applyNumberFormat="1" applyFont="1" applyFill="1" applyBorder="1" applyAlignment="1">
      <alignment horizontal="center" vertical="center" shrinkToFit="1"/>
    </xf>
    <xf numFmtId="194" fontId="119" fillId="0" borderId="8" xfId="0" applyNumberFormat="1" applyFont="1" applyFill="1" applyBorder="1" applyAlignment="1">
      <alignment horizontal="center" vertical="center"/>
    </xf>
    <xf numFmtId="193" fontId="119" fillId="0" borderId="8" xfId="0" applyNumberFormat="1" applyFont="1" applyFill="1" applyBorder="1" applyAlignment="1">
      <alignment vertical="center"/>
    </xf>
    <xf numFmtId="1" fontId="119" fillId="0" borderId="42" xfId="0" applyNumberFormat="1" applyFont="1" applyFill="1" applyBorder="1" applyAlignment="1">
      <alignment horizontal="center" vertical="center" shrinkToFit="1"/>
    </xf>
    <xf numFmtId="193" fontId="119" fillId="0" borderId="42" xfId="93" applyNumberFormat="1" applyFont="1" applyFill="1" applyBorder="1" applyAlignment="1">
      <alignment horizontal="center" vertical="center" shrinkToFit="1"/>
    </xf>
    <xf numFmtId="0" fontId="119" fillId="0" borderId="42" xfId="0" applyNumberFormat="1" applyFont="1" applyFill="1" applyBorder="1" applyAlignment="1">
      <alignment horizontal="center" vertical="center"/>
    </xf>
    <xf numFmtId="194" fontId="119" fillId="0" borderId="42" xfId="0" applyNumberFormat="1" applyFont="1" applyFill="1" applyBorder="1" applyAlignment="1">
      <alignment horizontal="center" vertical="center"/>
    </xf>
    <xf numFmtId="0" fontId="215" fillId="0" borderId="0" xfId="90" applyFont="1" applyFill="1" applyAlignment="1">
      <alignment horizontal="center" vertical="center"/>
    </xf>
    <xf numFmtId="0" fontId="215" fillId="0" borderId="0" xfId="90" applyFont="1" applyFill="1" applyAlignment="1">
      <alignment vertical="center"/>
    </xf>
    <xf numFmtId="0" fontId="215" fillId="0" borderId="0" xfId="90" applyFont="1" applyFill="1" applyBorder="1" applyAlignment="1">
      <alignment vertical="center"/>
    </xf>
    <xf numFmtId="0" fontId="179" fillId="0" borderId="0" xfId="90" applyFont="1" applyFill="1" applyBorder="1" applyAlignment="1">
      <alignment vertical="center"/>
    </xf>
    <xf numFmtId="44" fontId="104" fillId="0" borderId="8" xfId="0" applyNumberFormat="1" applyFont="1" applyFill="1" applyBorder="1" applyAlignment="1">
      <alignment horizontal="center" vertical="center" shrinkToFit="1"/>
    </xf>
    <xf numFmtId="0" fontId="159" fillId="0" borderId="8" xfId="0" applyNumberFormat="1" applyFont="1" applyFill="1" applyBorder="1" applyAlignment="1">
      <alignment vertical="center"/>
    </xf>
    <xf numFmtId="0" fontId="159" fillId="0" borderId="1" xfId="0" applyNumberFormat="1" applyFont="1" applyFill="1" applyBorder="1" applyAlignment="1">
      <alignment vertical="center"/>
    </xf>
    <xf numFmtId="0" fontId="168" fillId="0" borderId="43" xfId="0" applyNumberFormat="1" applyFont="1" applyFill="1" applyBorder="1" applyAlignment="1">
      <alignment vertical="center"/>
    </xf>
    <xf numFmtId="44" fontId="0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vertical="center"/>
    </xf>
    <xf numFmtId="170" fontId="183" fillId="0" borderId="0" xfId="90" applyNumberFormat="1" applyFont="1" applyFill="1"/>
    <xf numFmtId="0" fontId="178" fillId="0" borderId="1" xfId="91" applyFont="1" applyFill="1" applyBorder="1" applyAlignment="1" applyProtection="1">
      <alignment horizontal="center" wrapText="1"/>
    </xf>
    <xf numFmtId="191" fontId="210" fillId="0" borderId="1" xfId="92" applyNumberFormat="1" applyFont="1" applyFill="1" applyBorder="1" applyAlignment="1" applyProtection="1">
      <alignment horizontal="center" wrapText="1"/>
    </xf>
    <xf numFmtId="184" fontId="178" fillId="0" borderId="1" xfId="92" applyNumberFormat="1" applyFont="1" applyFill="1" applyBorder="1" applyAlignment="1" applyProtection="1">
      <alignment horizontal="center" vertical="center" wrapText="1"/>
    </xf>
    <xf numFmtId="0" fontId="102" fillId="0" borderId="4" xfId="91" applyFont="1" applyFill="1" applyBorder="1" applyAlignment="1" applyProtection="1">
      <alignment horizontal="center" vertical="top" wrapText="1"/>
    </xf>
    <xf numFmtId="0" fontId="178" fillId="0" borderId="4" xfId="91" applyFont="1" applyFill="1" applyBorder="1" applyAlignment="1" applyProtection="1">
      <alignment horizontal="center" vertical="top" wrapText="1"/>
    </xf>
    <xf numFmtId="44" fontId="119" fillId="0" borderId="0" xfId="93" applyNumberFormat="1" applyFont="1" applyFill="1" applyBorder="1" applyAlignment="1">
      <alignment horizontal="center" vertical="center"/>
    </xf>
    <xf numFmtId="178" fontId="102" fillId="0" borderId="8" xfId="0" applyNumberFormat="1" applyFont="1" applyFill="1" applyBorder="1" applyAlignment="1">
      <alignment horizontal="center" vertical="center"/>
    </xf>
    <xf numFmtId="0" fontId="216" fillId="0" borderId="0" xfId="90" applyFont="1" applyFill="1"/>
    <xf numFmtId="0" fontId="175" fillId="0" borderId="4" xfId="91" applyFont="1" applyFill="1" applyBorder="1" applyAlignment="1" applyProtection="1">
      <alignment horizontal="center" vertical="top" wrapText="1"/>
    </xf>
    <xf numFmtId="0" fontId="178" fillId="0" borderId="8" xfId="0" applyNumberFormat="1" applyFont="1" applyFill="1" applyBorder="1" applyAlignment="1">
      <alignment horizontal="center" vertical="center"/>
    </xf>
    <xf numFmtId="0" fontId="159" fillId="0" borderId="0" xfId="90" applyFont="1" applyFill="1" applyAlignment="1">
      <alignment horizontal="center" vertical="center"/>
    </xf>
    <xf numFmtId="0" fontId="183" fillId="0" borderId="0" xfId="90" applyFont="1" applyFill="1" applyBorder="1" applyAlignment="1">
      <alignment horizontal="center" vertical="center"/>
    </xf>
    <xf numFmtId="0" fontId="218" fillId="0" borderId="0" xfId="90" applyFont="1" applyFill="1" applyAlignment="1">
      <alignment vertical="center"/>
    </xf>
    <xf numFmtId="0" fontId="218" fillId="0" borderId="0" xfId="90" applyFont="1" applyFill="1"/>
    <xf numFmtId="42" fontId="181" fillId="0" borderId="8" xfId="92" applyNumberFormat="1" applyFont="1" applyFill="1" applyBorder="1" applyAlignment="1">
      <alignment horizontal="right" vertical="center"/>
    </xf>
    <xf numFmtId="178" fontId="8" fillId="0" borderId="0" xfId="0" applyFont="1" applyFill="1"/>
    <xf numFmtId="178" fontId="0" fillId="0" borderId="0" xfId="0" applyFont="1" applyFill="1"/>
    <xf numFmtId="0" fontId="0" fillId="0" borderId="0" xfId="0" applyNumberFormat="1" applyFont="1" applyFill="1"/>
    <xf numFmtId="0" fontId="159" fillId="0" borderId="0" xfId="0" applyNumberFormat="1" applyFont="1" applyFill="1" applyAlignment="1">
      <alignment horizontal="center" vertical="center"/>
    </xf>
    <xf numFmtId="166" fontId="67" fillId="0" borderId="0" xfId="5" applyFont="1" applyFill="1"/>
    <xf numFmtId="199" fontId="0" fillId="0" borderId="0" xfId="0" applyNumberFormat="1" applyFont="1" applyFill="1"/>
    <xf numFmtId="188" fontId="185" fillId="7" borderId="8" xfId="90" applyNumberFormat="1" applyFont="1" applyFill="1" applyBorder="1" applyAlignment="1">
      <alignment horizontal="center" vertical="center"/>
    </xf>
    <xf numFmtId="185" fontId="147" fillId="0" borderId="8" xfId="0" applyNumberFormat="1" applyFont="1" applyBorder="1" applyAlignment="1">
      <alignment horizontal="center" vertical="center"/>
    </xf>
    <xf numFmtId="49" fontId="175" fillId="0" borderId="8" xfId="0" applyNumberFormat="1" applyFont="1" applyFill="1" applyBorder="1" applyAlignment="1">
      <alignment horizontal="center" vertical="center"/>
    </xf>
    <xf numFmtId="49" fontId="51" fillId="0" borderId="8" xfId="90" applyNumberFormat="1" applyFont="1" applyFill="1" applyBorder="1" applyAlignment="1">
      <alignment horizontal="center" vertical="center"/>
    </xf>
    <xf numFmtId="49" fontId="168" fillId="0" borderId="8" xfId="0" applyNumberFormat="1" applyFont="1" applyFill="1" applyBorder="1" applyAlignment="1">
      <alignment horizontal="center" vertical="center"/>
    </xf>
    <xf numFmtId="0" fontId="103" fillId="0" borderId="34" xfId="0" applyNumberFormat="1" applyFont="1" applyFill="1" applyBorder="1" applyAlignment="1">
      <alignment vertical="center"/>
    </xf>
    <xf numFmtId="0" fontId="119" fillId="0" borderId="12" xfId="91" applyFont="1" applyFill="1" applyBorder="1" applyAlignment="1">
      <alignment horizontal="center" vertical="center"/>
    </xf>
    <xf numFmtId="0" fontId="119" fillId="0" borderId="14" xfId="91" applyFont="1" applyFill="1" applyBorder="1" applyAlignment="1">
      <alignment horizontal="center" vertical="center"/>
    </xf>
    <xf numFmtId="0" fontId="179" fillId="0" borderId="0" xfId="90" applyFont="1" applyFill="1" applyAlignment="1">
      <alignment horizontal="center" vertical="center"/>
    </xf>
    <xf numFmtId="0" fontId="68" fillId="0" borderId="0" xfId="90" applyFont="1" applyFill="1" applyAlignment="1">
      <alignment horizontal="center" vertical="center"/>
    </xf>
    <xf numFmtId="0" fontId="178" fillId="0" borderId="1" xfId="91" applyNumberFormat="1" applyFont="1" applyFill="1" applyBorder="1" applyAlignment="1" applyProtection="1">
      <alignment horizontal="center" vertical="center" wrapText="1"/>
    </xf>
    <xf numFmtId="0" fontId="178" fillId="0" borderId="4" xfId="91" applyNumberFormat="1" applyFont="1" applyFill="1" applyBorder="1" applyAlignment="1" applyProtection="1">
      <alignment horizontal="center" vertical="center" wrapText="1"/>
    </xf>
    <xf numFmtId="0" fontId="183" fillId="0" borderId="0" xfId="90" applyFont="1" applyFill="1" applyAlignment="1">
      <alignment horizontal="center" vertical="center"/>
    </xf>
    <xf numFmtId="49" fontId="185" fillId="7" borderId="8" xfId="0" applyNumberFormat="1" applyFont="1" applyFill="1" applyBorder="1" applyAlignment="1">
      <alignment horizontal="center" vertical="center"/>
    </xf>
    <xf numFmtId="49" fontId="175" fillId="7" borderId="8" xfId="0" applyNumberFormat="1" applyFont="1" applyFill="1" applyBorder="1" applyAlignment="1">
      <alignment horizontal="center" vertical="center"/>
    </xf>
    <xf numFmtId="184" fontId="181" fillId="7" borderId="8" xfId="94" applyNumberFormat="1" applyFont="1" applyFill="1" applyBorder="1" applyAlignment="1">
      <alignment horizontal="center" vertical="center"/>
    </xf>
    <xf numFmtId="44" fontId="104" fillId="7" borderId="8" xfId="91" applyNumberFormat="1" applyFont="1" applyFill="1" applyBorder="1" applyAlignment="1">
      <alignment horizontal="center" vertical="center"/>
    </xf>
    <xf numFmtId="44" fontId="119" fillId="7" borderId="8" xfId="93" applyNumberFormat="1" applyFont="1" applyFill="1" applyBorder="1" applyAlignment="1">
      <alignment horizontal="center" vertical="center"/>
    </xf>
    <xf numFmtId="43" fontId="104" fillId="7" borderId="8" xfId="93" applyFont="1" applyFill="1" applyBorder="1" applyAlignment="1">
      <alignment horizontal="center" vertical="center"/>
    </xf>
    <xf numFmtId="42" fontId="119" fillId="7" borderId="8" xfId="91" applyNumberFormat="1" applyFont="1" applyFill="1" applyBorder="1" applyAlignment="1">
      <alignment horizontal="center" vertical="center"/>
    </xf>
    <xf numFmtId="0" fontId="104" fillId="7" borderId="0" xfId="91" applyFont="1" applyFill="1" applyBorder="1" applyAlignment="1">
      <alignment horizontal="center" vertical="center"/>
    </xf>
    <xf numFmtId="44" fontId="104" fillId="7" borderId="0" xfId="91" applyNumberFormat="1" applyFont="1" applyFill="1" applyBorder="1" applyAlignment="1">
      <alignment horizontal="center" vertical="center"/>
    </xf>
    <xf numFmtId="0" fontId="119" fillId="7" borderId="8" xfId="91" applyFont="1" applyFill="1" applyBorder="1" applyAlignment="1">
      <alignment horizontal="center" vertical="center"/>
    </xf>
    <xf numFmtId="0" fontId="104" fillId="7" borderId="8" xfId="90" applyFont="1" applyFill="1" applyBorder="1" applyAlignment="1">
      <alignment horizontal="center" vertical="center"/>
    </xf>
    <xf numFmtId="0" fontId="119" fillId="7" borderId="8" xfId="90" applyFont="1" applyFill="1" applyBorder="1" applyAlignment="1">
      <alignment horizontal="center" vertical="center"/>
    </xf>
    <xf numFmtId="0" fontId="183" fillId="7" borderId="0" xfId="90" applyFont="1" applyFill="1" applyAlignment="1">
      <alignment horizontal="center" vertical="center"/>
    </xf>
    <xf numFmtId="184" fontId="132" fillId="7" borderId="8" xfId="94" applyNumberFormat="1" applyFont="1" applyFill="1" applyBorder="1" applyAlignment="1">
      <alignment horizontal="center" vertical="center"/>
    </xf>
    <xf numFmtId="0" fontId="119" fillId="7" borderId="12" xfId="91" applyFont="1" applyFill="1" applyBorder="1" applyAlignment="1">
      <alignment vertical="center"/>
    </xf>
    <xf numFmtId="0" fontId="119" fillId="7" borderId="14" xfId="91" applyFont="1" applyFill="1" applyBorder="1" applyAlignment="1">
      <alignment vertical="center"/>
    </xf>
    <xf numFmtId="0" fontId="119" fillId="7" borderId="14" xfId="91" applyFont="1" applyFill="1" applyBorder="1" applyAlignment="1">
      <alignment horizontal="center" vertical="center"/>
    </xf>
    <xf numFmtId="44" fontId="119" fillId="7" borderId="8" xfId="91" applyNumberFormat="1" applyFont="1" applyFill="1" applyBorder="1" applyAlignment="1">
      <alignment vertical="center"/>
    </xf>
    <xf numFmtId="44" fontId="119" fillId="7" borderId="8" xfId="93" applyNumberFormat="1" applyFont="1" applyFill="1" applyBorder="1" applyAlignment="1">
      <alignment horizontal="right" vertical="center"/>
    </xf>
    <xf numFmtId="0" fontId="104" fillId="7" borderId="8" xfId="91" applyFont="1" applyFill="1" applyBorder="1" applyAlignment="1">
      <alignment vertical="center"/>
    </xf>
    <xf numFmtId="0" fontId="104" fillId="7" borderId="0" xfId="91" applyFont="1" applyFill="1" applyBorder="1" applyAlignment="1">
      <alignment vertical="center"/>
    </xf>
    <xf numFmtId="0" fontId="51" fillId="7" borderId="0" xfId="91" applyFont="1" applyFill="1"/>
    <xf numFmtId="44" fontId="119" fillId="7" borderId="8" xfId="91" applyNumberFormat="1" applyFont="1" applyFill="1" applyBorder="1" applyAlignment="1">
      <alignment horizontal="center" vertical="center"/>
    </xf>
    <xf numFmtId="186" fontId="119" fillId="7" borderId="8" xfId="90" applyNumberFormat="1" applyFont="1" applyFill="1" applyBorder="1" applyAlignment="1">
      <alignment horizontal="center" vertical="center"/>
    </xf>
    <xf numFmtId="0" fontId="183" fillId="7" borderId="0" xfId="90" applyFont="1" applyFill="1"/>
    <xf numFmtId="0" fontId="51" fillId="7" borderId="0" xfId="91" applyFont="1" applyFill="1" applyAlignment="1">
      <alignment horizontal="center" vertical="center"/>
    </xf>
    <xf numFmtId="0" fontId="51" fillId="7" borderId="0" xfId="91" applyFont="1" applyFill="1" applyAlignment="1">
      <alignment vertical="center"/>
    </xf>
    <xf numFmtId="184" fontId="51" fillId="7" borderId="0" xfId="91" applyNumberFormat="1" applyFont="1" applyFill="1" applyAlignment="1">
      <alignment vertical="center"/>
    </xf>
    <xf numFmtId="0" fontId="183" fillId="7" borderId="0" xfId="90" applyFont="1" applyFill="1" applyAlignment="1">
      <alignment vertical="center"/>
    </xf>
    <xf numFmtId="49" fontId="51" fillId="7" borderId="8" xfId="0" applyNumberFormat="1" applyFont="1" applyFill="1" applyBorder="1" applyAlignment="1">
      <alignment horizontal="center" vertical="center"/>
    </xf>
    <xf numFmtId="0" fontId="185" fillId="7" borderId="8" xfId="0" quotePrefix="1" applyNumberFormat="1" applyFont="1" applyFill="1" applyBorder="1" applyAlignment="1">
      <alignment horizontal="center" vertical="center"/>
    </xf>
    <xf numFmtId="0" fontId="175" fillId="7" borderId="8" xfId="0" applyNumberFormat="1" applyFont="1" applyFill="1" applyBorder="1" applyAlignment="1">
      <alignment horizontal="center" vertical="center"/>
    </xf>
    <xf numFmtId="44" fontId="132" fillId="7" borderId="8" xfId="93" applyNumberFormat="1" applyFont="1" applyFill="1" applyBorder="1" applyAlignment="1">
      <alignment horizontal="center" vertical="center"/>
    </xf>
    <xf numFmtId="49" fontId="159" fillId="7" borderId="8" xfId="0" applyNumberFormat="1" applyFont="1" applyFill="1" applyBorder="1" applyAlignment="1">
      <alignment horizontal="center" vertical="center"/>
    </xf>
    <xf numFmtId="188" fontId="185" fillId="7" borderId="4" xfId="0" applyNumberFormat="1" applyFont="1" applyFill="1" applyBorder="1" applyAlignment="1">
      <alignment horizontal="center" vertical="center"/>
    </xf>
    <xf numFmtId="0" fontId="185" fillId="7" borderId="4" xfId="0" applyNumberFormat="1" applyFont="1" applyFill="1" applyBorder="1" applyAlignment="1">
      <alignment horizontal="center" vertical="center"/>
    </xf>
    <xf numFmtId="188" fontId="185" fillId="7" borderId="8" xfId="0" quotePrefix="1" applyNumberFormat="1" applyFont="1" applyFill="1" applyBorder="1" applyAlignment="1">
      <alignment horizontal="center" vertical="center"/>
    </xf>
    <xf numFmtId="197" fontId="104" fillId="7" borderId="8" xfId="0" applyNumberFormat="1" applyFont="1" applyFill="1" applyBorder="1" applyAlignment="1">
      <alignment horizontal="center" vertical="center"/>
    </xf>
    <xf numFmtId="15" fontId="178" fillId="7" borderId="8" xfId="91" applyNumberFormat="1" applyFont="1" applyFill="1" applyBorder="1" applyAlignment="1">
      <alignment horizontal="center" vertical="center"/>
    </xf>
    <xf numFmtId="0" fontId="175" fillId="7" borderId="8" xfId="0" quotePrefix="1" applyNumberFormat="1" applyFont="1" applyFill="1" applyBorder="1" applyAlignment="1">
      <alignment horizontal="center" vertical="center"/>
    </xf>
    <xf numFmtId="178" fontId="141" fillId="7" borderId="8" xfId="0" applyFont="1" applyFill="1" applyBorder="1" applyAlignment="1">
      <alignment horizontal="center" vertical="center"/>
    </xf>
    <xf numFmtId="49" fontId="168" fillId="7" borderId="8" xfId="0" applyNumberFormat="1" applyFont="1" applyFill="1" applyBorder="1" applyAlignment="1">
      <alignment horizontal="center" vertical="center"/>
    </xf>
    <xf numFmtId="178" fontId="178" fillId="0" borderId="8" xfId="0" applyFont="1" applyFill="1" applyBorder="1" applyAlignment="1">
      <alignment horizontal="center" vertical="center"/>
    </xf>
    <xf numFmtId="178" fontId="159" fillId="0" borderId="8" xfId="0" applyFont="1" applyFill="1" applyBorder="1" applyAlignment="1">
      <alignment horizontal="center" vertical="center"/>
    </xf>
    <xf numFmtId="178" fontId="175" fillId="0" borderId="8" xfId="0" applyFont="1" applyFill="1" applyBorder="1" applyAlignment="1">
      <alignment horizontal="center" vertical="center"/>
    </xf>
    <xf numFmtId="0" fontId="141" fillId="7" borderId="8" xfId="90" applyFont="1" applyFill="1" applyBorder="1" applyAlignment="1">
      <alignment horizontal="center" vertical="center"/>
    </xf>
    <xf numFmtId="186" fontId="141" fillId="7" borderId="8" xfId="0" applyNumberFormat="1" applyFont="1" applyFill="1" applyBorder="1" applyAlignment="1">
      <alignment horizontal="center" vertical="center"/>
    </xf>
    <xf numFmtId="0" fontId="141" fillId="7" borderId="8" xfId="0" applyNumberFormat="1" applyFont="1" applyFill="1" applyBorder="1" applyAlignment="1">
      <alignment horizontal="center" vertical="center"/>
    </xf>
    <xf numFmtId="0" fontId="142" fillId="7" borderId="0" xfId="90" applyFill="1" applyAlignment="1">
      <alignment horizontal="center" vertical="center"/>
    </xf>
    <xf numFmtId="178" fontId="178" fillId="7" borderId="8" xfId="0" applyFont="1" applyFill="1" applyBorder="1" applyAlignment="1">
      <alignment horizontal="center" vertical="center"/>
    </xf>
    <xf numFmtId="49" fontId="175" fillId="7" borderId="8" xfId="0" quotePrefix="1" applyNumberFormat="1" applyFont="1" applyFill="1" applyBorder="1" applyAlignment="1">
      <alignment horizontal="center" vertical="center"/>
    </xf>
    <xf numFmtId="179" fontId="159" fillId="0" borderId="8" xfId="0" applyNumberFormat="1" applyFont="1" applyFill="1" applyBorder="1" applyAlignment="1">
      <alignment horizontal="center" vertical="center"/>
    </xf>
    <xf numFmtId="184" fontId="220" fillId="7" borderId="8" xfId="94" applyNumberFormat="1" applyFont="1" applyFill="1" applyBorder="1" applyAlignment="1">
      <alignment horizontal="center" vertical="center"/>
    </xf>
    <xf numFmtId="44" fontId="193" fillId="0" borderId="8" xfId="93" applyNumberFormat="1" applyFont="1" applyFill="1" applyBorder="1" applyAlignment="1">
      <alignment horizontal="right" vertical="center"/>
    </xf>
    <xf numFmtId="44" fontId="193" fillId="7" borderId="8" xfId="93" applyNumberFormat="1" applyFont="1" applyFill="1" applyBorder="1" applyAlignment="1">
      <alignment horizontal="right" vertical="center"/>
    </xf>
    <xf numFmtId="44" fontId="193" fillId="0" borderId="8" xfId="93" applyNumberFormat="1" applyFont="1" applyFill="1" applyBorder="1" applyAlignment="1">
      <alignment horizontal="center" vertical="center"/>
    </xf>
    <xf numFmtId="15" fontId="185" fillId="0" borderId="8" xfId="91" applyNumberFormat="1" applyFont="1" applyFill="1" applyBorder="1" applyAlignment="1">
      <alignment horizontal="center" vertical="center"/>
    </xf>
    <xf numFmtId="184" fontId="220" fillId="0" borderId="8" xfId="94" applyNumberFormat="1" applyFont="1" applyFill="1" applyBorder="1" applyAlignment="1">
      <alignment horizontal="center" vertical="center"/>
    </xf>
    <xf numFmtId="197" fontId="102" fillId="0" borderId="8" xfId="0" applyNumberFormat="1" applyFont="1" applyFill="1" applyBorder="1" applyAlignment="1">
      <alignment horizontal="center" vertical="center"/>
    </xf>
    <xf numFmtId="0" fontId="146" fillId="0" borderId="0" xfId="90" applyFont="1" applyFill="1" applyAlignment="1">
      <alignment horizontal="center" vertical="center"/>
    </xf>
    <xf numFmtId="0" fontId="221" fillId="0" borderId="0" xfId="90" applyFont="1" applyFill="1" applyAlignment="1">
      <alignment horizontal="center" vertical="center"/>
    </xf>
    <xf numFmtId="0" fontId="222" fillId="0" borderId="22" xfId="90" applyFont="1" applyFill="1" applyBorder="1" applyAlignment="1">
      <alignment vertical="center"/>
    </xf>
    <xf numFmtId="44" fontId="222" fillId="0" borderId="22" xfId="90" applyNumberFormat="1" applyFont="1" applyFill="1" applyBorder="1" applyAlignment="1">
      <alignment vertical="center"/>
    </xf>
    <xf numFmtId="0" fontId="222" fillId="0" borderId="0" xfId="90" applyFont="1" applyFill="1" applyBorder="1" applyAlignment="1">
      <alignment vertical="center"/>
    </xf>
    <xf numFmtId="0" fontId="223" fillId="0" borderId="8" xfId="91" applyFont="1" applyFill="1" applyBorder="1" applyAlignment="1" applyProtection="1">
      <alignment horizontal="center" vertical="center" wrapText="1"/>
    </xf>
    <xf numFmtId="191" fontId="223" fillId="0" borderId="1" xfId="92" applyNumberFormat="1" applyFont="1" applyFill="1" applyBorder="1" applyAlignment="1" applyProtection="1">
      <alignment horizontal="center" vertical="center" wrapText="1"/>
    </xf>
    <xf numFmtId="44" fontId="223" fillId="0" borderId="1" xfId="92" applyNumberFormat="1" applyFont="1" applyFill="1" applyBorder="1" applyAlignment="1" applyProtection="1">
      <alignment horizontal="center" vertical="center" wrapText="1"/>
    </xf>
    <xf numFmtId="0" fontId="223" fillId="0" borderId="1" xfId="93" applyNumberFormat="1" applyFont="1" applyFill="1" applyBorder="1" applyAlignment="1" applyProtection="1">
      <alignment horizontal="center" vertical="center" wrapText="1"/>
    </xf>
    <xf numFmtId="0" fontId="225" fillId="0" borderId="8" xfId="91" applyFont="1" applyFill="1" applyBorder="1" applyAlignment="1" applyProtection="1">
      <alignment horizontal="center" vertical="center" wrapText="1"/>
    </xf>
    <xf numFmtId="191" fontId="225" fillId="0" borderId="8" xfId="92" applyNumberFormat="1" applyFont="1" applyFill="1" applyBorder="1" applyAlignment="1" applyProtection="1">
      <alignment horizontal="center" vertical="center" wrapText="1"/>
    </xf>
    <xf numFmtId="44" fontId="225" fillId="0" borderId="8" xfId="92" applyNumberFormat="1" applyFont="1" applyFill="1" applyBorder="1" applyAlignment="1" applyProtection="1">
      <alignment horizontal="center" vertical="center" wrapText="1"/>
    </xf>
    <xf numFmtId="44" fontId="104" fillId="0" borderId="8" xfId="92" applyNumberFormat="1" applyFont="1" applyFill="1" applyBorder="1" applyAlignment="1">
      <alignment horizontal="center" vertical="center" wrapText="1"/>
    </xf>
    <xf numFmtId="0" fontId="225" fillId="0" borderId="1" xfId="93" applyNumberFormat="1" applyFont="1" applyFill="1" applyBorder="1" applyAlignment="1" applyProtection="1">
      <alignment horizontal="center" vertical="center" wrapText="1"/>
    </xf>
    <xf numFmtId="0" fontId="104" fillId="0" borderId="44" xfId="91" applyFont="1" applyFill="1" applyBorder="1" applyAlignment="1">
      <alignment horizontal="center" vertical="center"/>
    </xf>
    <xf numFmtId="178" fontId="177" fillId="0" borderId="45" xfId="0" applyFont="1" applyBorder="1" applyAlignment="1">
      <alignment horizontal="center" vertical="center"/>
    </xf>
    <xf numFmtId="44" fontId="119" fillId="0" borderId="46" xfId="92" applyNumberFormat="1" applyFont="1" applyFill="1" applyBorder="1" applyAlignment="1">
      <alignment horizontal="center" vertical="center"/>
    </xf>
    <xf numFmtId="42" fontId="119" fillId="0" borderId="8" xfId="92" applyNumberFormat="1" applyFont="1" applyFill="1" applyBorder="1" applyAlignment="1">
      <alignment horizontal="center" vertical="center"/>
    </xf>
    <xf numFmtId="178" fontId="177" fillId="0" borderId="45" xfId="0" applyFont="1" applyFill="1" applyBorder="1" applyAlignment="1">
      <alignment horizontal="center" vertical="center"/>
    </xf>
    <xf numFmtId="178" fontId="177" fillId="7" borderId="45" xfId="0" applyFont="1" applyFill="1" applyBorder="1" applyAlignment="1">
      <alignment horizontal="center" vertical="center"/>
    </xf>
    <xf numFmtId="44" fontId="119" fillId="0" borderId="47" xfId="91" applyNumberFormat="1" applyFont="1" applyFill="1" applyBorder="1" applyAlignment="1">
      <alignment horizontal="center" vertical="center"/>
    </xf>
    <xf numFmtId="42" fontId="132" fillId="0" borderId="0" xfId="92" applyNumberFormat="1" applyFont="1" applyFill="1" applyBorder="1" applyAlignment="1">
      <alignment horizontal="center" vertical="center"/>
    </xf>
    <xf numFmtId="189" fontId="226" fillId="0" borderId="0" xfId="93" applyNumberFormat="1" applyFont="1" applyFill="1" applyBorder="1" applyAlignment="1" applyProtection="1">
      <alignment horizontal="center" vertical="center" wrapText="1"/>
    </xf>
    <xf numFmtId="0" fontId="227" fillId="0" borderId="8" xfId="90" applyFont="1" applyFill="1" applyBorder="1" applyAlignment="1">
      <alignment horizontal="center" vertical="center"/>
    </xf>
    <xf numFmtId="0" fontId="228" fillId="0" borderId="0" xfId="90" applyFont="1" applyFill="1" applyAlignment="1">
      <alignment horizontal="center" vertical="center"/>
    </xf>
    <xf numFmtId="0" fontId="144" fillId="0" borderId="8" xfId="90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51" fillId="0" borderId="0" xfId="91" applyFill="1" applyAlignment="1">
      <alignment horizontal="center" vertical="center"/>
    </xf>
    <xf numFmtId="0" fontId="142" fillId="0" borderId="0" xfId="90" applyFill="1" applyBorder="1" applyAlignment="1">
      <alignment horizontal="center" vertical="center"/>
    </xf>
    <xf numFmtId="0" fontId="146" fillId="0" borderId="0" xfId="90" applyFont="1" applyFill="1" applyAlignment="1">
      <alignment horizontal="center" vertical="center"/>
    </xf>
    <xf numFmtId="0" fontId="221" fillId="0" borderId="0" xfId="90" applyFont="1" applyFill="1" applyAlignment="1">
      <alignment horizontal="center" vertical="center"/>
    </xf>
    <xf numFmtId="0" fontId="222" fillId="0" borderId="22" xfId="90" applyFont="1" applyFill="1" applyBorder="1" applyAlignment="1">
      <alignment horizontal="center" vertical="center"/>
    </xf>
    <xf numFmtId="0" fontId="119" fillId="0" borderId="14" xfId="91" applyFont="1" applyFill="1" applyBorder="1" applyAlignment="1">
      <alignment horizontal="center" vertical="center"/>
    </xf>
    <xf numFmtId="44" fontId="104" fillId="0" borderId="1" xfId="92" applyNumberFormat="1" applyFont="1" applyFill="1" applyBorder="1" applyAlignment="1">
      <alignment horizontal="center" vertical="center" wrapText="1"/>
    </xf>
    <xf numFmtId="44" fontId="119" fillId="0" borderId="0" xfId="91" applyNumberFormat="1" applyFont="1" applyFill="1" applyBorder="1" applyAlignment="1">
      <alignment horizontal="center" vertical="center"/>
    </xf>
    <xf numFmtId="0" fontId="223" fillId="0" borderId="1" xfId="92" applyNumberFormat="1" applyFont="1" applyFill="1" applyBorder="1" applyAlignment="1" applyProtection="1">
      <alignment horizontal="center" vertical="center" wrapText="1"/>
    </xf>
    <xf numFmtId="0" fontId="119" fillId="0" borderId="46" xfId="92" applyNumberFormat="1" applyFont="1" applyFill="1" applyBorder="1" applyAlignment="1">
      <alignment horizontal="center" vertical="center"/>
    </xf>
    <xf numFmtId="184" fontId="225" fillId="0" borderId="8" xfId="92" applyNumberFormat="1" applyFont="1" applyFill="1" applyBorder="1" applyAlignment="1" applyProtection="1">
      <alignment horizontal="center" vertical="center" wrapText="1"/>
    </xf>
    <xf numFmtId="42" fontId="119" fillId="0" borderId="15" xfId="92" applyNumberFormat="1" applyFont="1" applyFill="1" applyBorder="1" applyAlignment="1">
      <alignment horizontal="center" vertical="center"/>
    </xf>
    <xf numFmtId="0" fontId="229" fillId="0" borderId="8" xfId="91" applyFont="1" applyFill="1" applyBorder="1" applyAlignment="1">
      <alignment horizontal="center" vertical="center" wrapText="1"/>
    </xf>
    <xf numFmtId="0" fontId="222" fillId="0" borderId="0" xfId="90" applyFont="1" applyFill="1" applyBorder="1" applyAlignment="1">
      <alignment horizontal="center" vertical="center"/>
    </xf>
    <xf numFmtId="0" fontId="144" fillId="0" borderId="0" xfId="90" applyFont="1" applyFill="1" applyAlignment="1">
      <alignment horizontal="center" vertical="center"/>
    </xf>
    <xf numFmtId="189" fontId="230" fillId="0" borderId="0" xfId="93" applyNumberFormat="1" applyFont="1" applyFill="1" applyBorder="1" applyAlignment="1" applyProtection="1">
      <alignment horizontal="center" vertical="center" wrapText="1"/>
    </xf>
    <xf numFmtId="0" fontId="225" fillId="0" borderId="1" xfId="91" applyFont="1" applyFill="1" applyBorder="1" applyAlignment="1" applyProtection="1">
      <alignment horizontal="center" vertical="center" wrapText="1"/>
    </xf>
    <xf numFmtId="191" fontId="225" fillId="0" borderId="1" xfId="92" applyNumberFormat="1" applyFont="1" applyFill="1" applyBorder="1" applyAlignment="1" applyProtection="1">
      <alignment horizontal="center" vertical="center" wrapText="1"/>
    </xf>
    <xf numFmtId="44" fontId="225" fillId="0" borderId="1" xfId="92" applyNumberFormat="1" applyFont="1" applyFill="1" applyBorder="1" applyAlignment="1" applyProtection="1">
      <alignment horizontal="center" vertical="center" wrapText="1"/>
    </xf>
    <xf numFmtId="0" fontId="225" fillId="0" borderId="8" xfId="93" applyNumberFormat="1" applyFont="1" applyFill="1" applyBorder="1" applyAlignment="1" applyProtection="1">
      <alignment horizontal="center" vertical="center" wrapText="1"/>
    </xf>
    <xf numFmtId="0" fontId="104" fillId="0" borderId="49" xfId="91" applyFont="1" applyFill="1" applyBorder="1" applyAlignment="1">
      <alignment horizontal="center" vertical="center"/>
    </xf>
    <xf numFmtId="44" fontId="119" fillId="0" borderId="45" xfId="92" applyNumberFormat="1" applyFont="1" applyFill="1" applyBorder="1" applyAlignment="1">
      <alignment horizontal="center" vertical="center"/>
    </xf>
    <xf numFmtId="42" fontId="119" fillId="7" borderId="15" xfId="92" applyNumberFormat="1" applyFont="1" applyFill="1" applyBorder="1" applyAlignment="1">
      <alignment horizontal="center" vertical="center"/>
    </xf>
    <xf numFmtId="178" fontId="177" fillId="0" borderId="53" xfId="0" applyFont="1" applyBorder="1" applyAlignment="1">
      <alignment horizontal="center" vertical="center"/>
    </xf>
    <xf numFmtId="178" fontId="175" fillId="7" borderId="45" xfId="0" applyFont="1" applyFill="1" applyBorder="1" applyAlignment="1">
      <alignment horizontal="center" vertical="center"/>
    </xf>
    <xf numFmtId="0" fontId="119" fillId="0" borderId="47" xfId="91" applyFont="1" applyFill="1" applyBorder="1" applyAlignment="1">
      <alignment horizontal="center" vertical="center"/>
    </xf>
    <xf numFmtId="0" fontId="119" fillId="0" borderId="46" xfId="91" applyFont="1" applyFill="1" applyBorder="1" applyAlignment="1">
      <alignment horizontal="center" vertical="center"/>
    </xf>
    <xf numFmtId="44" fontId="119" fillId="0" borderId="46" xfId="91" applyNumberFormat="1" applyFont="1" applyFill="1" applyBorder="1" applyAlignment="1">
      <alignment horizontal="center" vertical="center"/>
    </xf>
    <xf numFmtId="44" fontId="51" fillId="0" borderId="0" xfId="91" applyNumberFormat="1" applyFill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142" fillId="0" borderId="0" xfId="90" applyFont="1" applyFill="1" applyAlignment="1">
      <alignment horizontal="center" vertical="center"/>
    </xf>
    <xf numFmtId="44" fontId="142" fillId="0" borderId="0" xfId="90" applyNumberFormat="1" applyFill="1" applyAlignment="1">
      <alignment horizontal="center" vertical="center"/>
    </xf>
    <xf numFmtId="44" fontId="119" fillId="0" borderId="47" xfId="92" applyNumberFormat="1" applyFont="1" applyFill="1" applyBorder="1" applyAlignment="1">
      <alignment horizontal="center" vertical="center"/>
    </xf>
    <xf numFmtId="0" fontId="119" fillId="0" borderId="54" xfId="92" applyNumberFormat="1" applyFont="1" applyFill="1" applyBorder="1" applyAlignment="1">
      <alignment horizontal="center" vertical="center"/>
    </xf>
    <xf numFmtId="0" fontId="223" fillId="0" borderId="8" xfId="93" applyNumberFormat="1" applyFont="1" applyFill="1" applyBorder="1" applyAlignment="1" applyProtection="1">
      <alignment horizontal="center" vertical="center" wrapText="1"/>
    </xf>
    <xf numFmtId="0" fontId="223" fillId="0" borderId="0" xfId="93" applyNumberFormat="1" applyFont="1" applyFill="1" applyBorder="1" applyAlignment="1" applyProtection="1">
      <alignment horizontal="center" vertical="center" wrapText="1"/>
    </xf>
    <xf numFmtId="0" fontId="225" fillId="0" borderId="0" xfId="93" applyNumberFormat="1" applyFont="1" applyFill="1" applyBorder="1" applyAlignment="1" applyProtection="1">
      <alignment horizontal="center" vertical="center" wrapText="1"/>
    </xf>
    <xf numFmtId="15" fontId="231" fillId="0" borderId="8" xfId="0" applyNumberFormat="1" applyFont="1" applyBorder="1" applyAlignment="1">
      <alignment horizontal="center" vertical="center"/>
    </xf>
    <xf numFmtId="178" fontId="177" fillId="0" borderId="12" xfId="0" applyFont="1" applyBorder="1" applyAlignment="1">
      <alignment horizontal="center" vertical="center"/>
    </xf>
    <xf numFmtId="44" fontId="104" fillId="0" borderId="15" xfId="92" applyNumberFormat="1" applyFont="1" applyFill="1" applyBorder="1" applyAlignment="1">
      <alignment horizontal="center" vertical="center"/>
    </xf>
    <xf numFmtId="44" fontId="104" fillId="0" borderId="8" xfId="92" applyNumberFormat="1" applyFont="1" applyFill="1" applyBorder="1" applyAlignment="1">
      <alignment horizontal="center" vertical="center"/>
    </xf>
    <xf numFmtId="0" fontId="104" fillId="0" borderId="8" xfId="92" applyNumberFormat="1" applyFont="1" applyFill="1" applyBorder="1" applyAlignment="1">
      <alignment horizontal="center" vertical="center"/>
    </xf>
    <xf numFmtId="178" fontId="177" fillId="0" borderId="7" xfId="0" applyFont="1" applyBorder="1" applyAlignment="1">
      <alignment horizontal="center" vertical="center"/>
    </xf>
    <xf numFmtId="15" fontId="231" fillId="0" borderId="8" xfId="0" applyNumberFormat="1" applyFont="1" applyFill="1" applyBorder="1" applyAlignment="1">
      <alignment horizontal="center" vertical="center"/>
    </xf>
    <xf numFmtId="44" fontId="119" fillId="0" borderId="14" xfId="91" applyNumberFormat="1" applyFont="1" applyFill="1" applyBorder="1" applyAlignment="1">
      <alignment horizontal="center" vertical="center"/>
    </xf>
    <xf numFmtId="0" fontId="51" fillId="0" borderId="0" xfId="91" applyFill="1" applyBorder="1" applyAlignment="1">
      <alignment horizontal="center" vertical="center"/>
    </xf>
    <xf numFmtId="44" fontId="222" fillId="0" borderId="0" xfId="90" applyNumberFormat="1" applyFont="1" applyFill="1" applyBorder="1" applyAlignment="1">
      <alignment vertical="center"/>
    </xf>
    <xf numFmtId="44" fontId="223" fillId="0" borderId="8" xfId="92" applyNumberFormat="1" applyFont="1" applyFill="1" applyBorder="1" applyAlignment="1" applyProtection="1">
      <alignment horizontal="center" vertical="center" wrapText="1"/>
    </xf>
    <xf numFmtId="191" fontId="225" fillId="0" borderId="8" xfId="92" applyNumberFormat="1" applyFont="1" applyFill="1" applyBorder="1" applyAlignment="1" applyProtection="1">
      <alignment vertical="center" wrapText="1"/>
    </xf>
    <xf numFmtId="191" fontId="225" fillId="0" borderId="12" xfId="92" applyNumberFormat="1" applyFont="1" applyFill="1" applyBorder="1" applyAlignment="1" applyProtection="1">
      <alignment vertical="center" wrapText="1"/>
    </xf>
    <xf numFmtId="0" fontId="225" fillId="0" borderId="8" xfId="92" applyNumberFormat="1" applyFont="1" applyFill="1" applyBorder="1" applyAlignment="1" applyProtection="1">
      <alignment horizontal="center" vertical="center" wrapText="1"/>
    </xf>
    <xf numFmtId="0" fontId="17" fillId="0" borderId="0" xfId="91" applyFont="1" applyFill="1" applyBorder="1" applyAlignment="1">
      <alignment horizontal="center" vertical="center"/>
    </xf>
    <xf numFmtId="0" fontId="119" fillId="0" borderId="8" xfId="92" applyNumberFormat="1" applyFont="1" applyFill="1" applyBorder="1" applyAlignment="1">
      <alignment horizontal="center" vertical="center"/>
    </xf>
    <xf numFmtId="0" fontId="119" fillId="0" borderId="14" xfId="91" applyNumberFormat="1" applyFont="1" applyFill="1" applyBorder="1" applyAlignment="1">
      <alignment horizontal="center" vertical="center"/>
    </xf>
    <xf numFmtId="0" fontId="51" fillId="0" borderId="0" xfId="91" applyNumberFormat="1" applyFill="1" applyAlignment="1">
      <alignment horizontal="center" vertical="center"/>
    </xf>
    <xf numFmtId="184" fontId="51" fillId="0" borderId="0" xfId="91" applyNumberFormat="1" applyFill="1" applyAlignment="1">
      <alignment horizontal="center" vertical="center"/>
    </xf>
    <xf numFmtId="0" fontId="142" fillId="0" borderId="0" xfId="90" applyNumberFormat="1" applyFill="1" applyAlignment="1">
      <alignment horizontal="center" vertical="center"/>
    </xf>
    <xf numFmtId="184" fontId="142" fillId="0" borderId="0" xfId="90" applyNumberFormat="1" applyFill="1" applyAlignment="1">
      <alignment horizontal="center" vertical="center"/>
    </xf>
    <xf numFmtId="184" fontId="223" fillId="0" borderId="1" xfId="92" applyNumberFormat="1" applyFont="1" applyFill="1" applyBorder="1" applyAlignment="1" applyProtection="1">
      <alignment horizontal="center" vertical="center" wrapText="1"/>
    </xf>
    <xf numFmtId="42" fontId="104" fillId="0" borderId="8" xfId="92" applyNumberFormat="1" applyFont="1" applyFill="1" applyBorder="1" applyAlignment="1">
      <alignment horizontal="center" vertical="center" wrapText="1"/>
    </xf>
    <xf numFmtId="44" fontId="104" fillId="0" borderId="46" xfId="92" applyNumberFormat="1" applyFont="1" applyFill="1" applyBorder="1" applyAlignment="1">
      <alignment horizontal="center" vertical="center"/>
    </xf>
    <xf numFmtId="0" fontId="104" fillId="0" borderId="47" xfId="92" applyNumberFormat="1" applyFont="1" applyFill="1" applyBorder="1" applyAlignment="1">
      <alignment horizontal="center" vertical="center"/>
    </xf>
    <xf numFmtId="0" fontId="104" fillId="0" borderId="46" xfId="92" applyNumberFormat="1" applyFont="1" applyFill="1" applyBorder="1" applyAlignment="1">
      <alignment horizontal="center" vertical="center"/>
    </xf>
    <xf numFmtId="178" fontId="175" fillId="7" borderId="8" xfId="0" applyFont="1" applyFill="1" applyBorder="1" applyAlignment="1">
      <alignment horizontal="center" vertical="center"/>
    </xf>
    <xf numFmtId="42" fontId="104" fillId="0" borderId="15" xfId="92" applyNumberFormat="1" applyFont="1" applyFill="1" applyBorder="1" applyAlignment="1">
      <alignment horizontal="center" vertical="center"/>
    </xf>
    <xf numFmtId="0" fontId="104" fillId="0" borderId="15" xfId="91" applyFont="1" applyFill="1" applyBorder="1" applyAlignment="1">
      <alignment horizontal="center" vertical="center"/>
    </xf>
    <xf numFmtId="0" fontId="229" fillId="0" borderId="1" xfId="91" applyFont="1" applyFill="1" applyBorder="1" applyAlignment="1">
      <alignment horizontal="center" vertical="center" wrapText="1"/>
    </xf>
    <xf numFmtId="166" fontId="104" fillId="0" borderId="47" xfId="5" applyFont="1" applyFill="1" applyBorder="1" applyAlignment="1">
      <alignment horizontal="center" vertical="center"/>
    </xf>
    <xf numFmtId="0" fontId="119" fillId="0" borderId="8" xfId="91" applyNumberFormat="1" applyFont="1" applyFill="1" applyBorder="1" applyAlignment="1">
      <alignment horizontal="center" vertical="center"/>
    </xf>
    <xf numFmtId="166" fontId="104" fillId="0" borderId="8" xfId="5" applyFont="1" applyFill="1" applyBorder="1" applyAlignment="1">
      <alignment horizontal="center" vertical="center"/>
    </xf>
    <xf numFmtId="44" fontId="222" fillId="0" borderId="22" xfId="90" applyNumberFormat="1" applyFont="1" applyFill="1" applyBorder="1" applyAlignment="1">
      <alignment horizontal="center" vertical="center"/>
    </xf>
    <xf numFmtId="44" fontId="222" fillId="0" borderId="55" xfId="90" applyNumberFormat="1" applyFont="1" applyFill="1" applyBorder="1" applyAlignment="1">
      <alignment horizontal="center" vertical="center"/>
    </xf>
    <xf numFmtId="0" fontId="119" fillId="0" borderId="45" xfId="92" applyNumberFormat="1" applyFont="1" applyFill="1" applyBorder="1" applyAlignment="1">
      <alignment horizontal="center" vertical="center"/>
    </xf>
    <xf numFmtId="0" fontId="119" fillId="0" borderId="47" xfId="91" applyNumberFormat="1" applyFont="1" applyFill="1" applyBorder="1" applyAlignment="1">
      <alignment horizontal="center" vertical="center"/>
    </xf>
    <xf numFmtId="0" fontId="146" fillId="0" borderId="0" xfId="90" applyFont="1" applyFill="1" applyAlignment="1">
      <alignment vertical="center"/>
    </xf>
    <xf numFmtId="0" fontId="119" fillId="0" borderId="46" xfId="91" applyNumberFormat="1" applyFont="1" applyFill="1" applyBorder="1" applyAlignment="1">
      <alignment horizontal="center" vertical="center"/>
    </xf>
    <xf numFmtId="166" fontId="119" fillId="0" borderId="57" xfId="5" applyFont="1" applyFill="1" applyBorder="1" applyAlignment="1">
      <alignment horizontal="center" vertical="center"/>
    </xf>
    <xf numFmtId="0" fontId="108" fillId="0" borderId="22" xfId="90" applyFont="1" applyFill="1" applyBorder="1" applyAlignment="1">
      <alignment vertical="center"/>
    </xf>
    <xf numFmtId="191" fontId="232" fillId="0" borderId="8" xfId="92" applyNumberFormat="1" applyFont="1" applyFill="1" applyBorder="1" applyAlignment="1" applyProtection="1">
      <alignment horizontal="center" vertical="center" wrapText="1"/>
    </xf>
    <xf numFmtId="0" fontId="149" fillId="0" borderId="0" xfId="90" applyFont="1" applyFill="1" applyAlignment="1">
      <alignment horizontal="center" vertical="center"/>
    </xf>
    <xf numFmtId="178" fontId="177" fillId="0" borderId="47" xfId="0" applyFont="1" applyBorder="1" applyAlignment="1">
      <alignment horizontal="center" vertical="center"/>
    </xf>
    <xf numFmtId="49" fontId="177" fillId="0" borderId="47" xfId="0" applyNumberFormat="1" applyFont="1" applyBorder="1" applyAlignment="1">
      <alignment horizontal="center" vertical="center"/>
    </xf>
    <xf numFmtId="0" fontId="119" fillId="0" borderId="47" xfId="92" applyNumberFormat="1" applyFont="1" applyFill="1" applyBorder="1" applyAlignment="1">
      <alignment horizontal="center" vertical="center"/>
    </xf>
    <xf numFmtId="0" fontId="119" fillId="0" borderId="0" xfId="92" applyNumberFormat="1" applyFont="1" applyFill="1" applyBorder="1" applyAlignment="1">
      <alignment horizontal="center" vertical="center"/>
    </xf>
    <xf numFmtId="191" fontId="225" fillId="0" borderId="8" xfId="92" applyNumberFormat="1" applyFont="1" applyFill="1" applyBorder="1" applyAlignment="1" applyProtection="1">
      <alignment horizontal="center" wrapText="1"/>
    </xf>
    <xf numFmtId="44" fontId="104" fillId="0" borderId="22" xfId="91" applyNumberFormat="1" applyFont="1" applyFill="1" applyBorder="1" applyAlignment="1">
      <alignment horizontal="center" vertical="center"/>
    </xf>
    <xf numFmtId="0" fontId="142" fillId="0" borderId="22" xfId="90" applyFill="1" applyBorder="1" applyAlignment="1">
      <alignment horizontal="center" vertical="center"/>
    </xf>
    <xf numFmtId="44" fontId="104" fillId="0" borderId="47" xfId="92" applyNumberFormat="1" applyFont="1" applyFill="1" applyBorder="1" applyAlignment="1">
      <alignment horizontal="center" vertical="center"/>
    </xf>
    <xf numFmtId="191" fontId="232" fillId="0" borderId="1" xfId="92" applyNumberFormat="1" applyFont="1" applyFill="1" applyBorder="1" applyAlignment="1" applyProtection="1">
      <alignment horizontal="center" vertical="center" wrapText="1"/>
    </xf>
    <xf numFmtId="0" fontId="104" fillId="0" borderId="45" xfId="91" applyFont="1" applyFill="1" applyBorder="1" applyAlignment="1">
      <alignment horizontal="center" vertical="center"/>
    </xf>
    <xf numFmtId="44" fontId="119" fillId="0" borderId="45" xfId="91" applyNumberFormat="1" applyFont="1" applyFill="1" applyBorder="1" applyAlignment="1">
      <alignment horizontal="center" vertical="center"/>
    </xf>
    <xf numFmtId="0" fontId="119" fillId="0" borderId="45" xfId="91" applyNumberFormat="1" applyFont="1" applyFill="1" applyBorder="1" applyAlignment="1">
      <alignment horizontal="center" vertical="center"/>
    </xf>
    <xf numFmtId="0" fontId="104" fillId="0" borderId="0" xfId="91" applyFont="1" applyFill="1" applyAlignment="1">
      <alignment horizontal="center" vertical="center"/>
    </xf>
    <xf numFmtId="44" fontId="119" fillId="0" borderId="44" xfId="92" applyNumberFormat="1" applyFont="1" applyFill="1" applyBorder="1" applyAlignment="1">
      <alignment horizontal="center" vertical="center"/>
    </xf>
    <xf numFmtId="44" fontId="119" fillId="0" borderId="0" xfId="92" applyNumberFormat="1" applyFont="1" applyFill="1" applyBorder="1" applyAlignment="1">
      <alignment horizontal="center" vertical="center"/>
    </xf>
    <xf numFmtId="178" fontId="177" fillId="0" borderId="47" xfId="0" applyFont="1" applyFill="1" applyBorder="1" applyAlignment="1">
      <alignment horizontal="center" vertical="center"/>
    </xf>
    <xf numFmtId="178" fontId="177" fillId="0" borderId="0" xfId="0" applyFont="1" applyFill="1" applyBorder="1" applyAlignment="1">
      <alignment horizontal="center"/>
    </xf>
    <xf numFmtId="49" fontId="177" fillId="0" borderId="0" xfId="0" applyNumberFormat="1" applyFont="1" applyFill="1" applyBorder="1" applyAlignment="1">
      <alignment horizontal="center"/>
    </xf>
    <xf numFmtId="15" fontId="177" fillId="0" borderId="0" xfId="0" applyNumberFormat="1" applyFont="1" applyFill="1" applyBorder="1" applyAlignment="1">
      <alignment horizontal="center"/>
    </xf>
    <xf numFmtId="42" fontId="119" fillId="0" borderId="0" xfId="92" applyNumberFormat="1" applyFont="1" applyFill="1" applyBorder="1" applyAlignment="1">
      <alignment horizontal="center" vertical="center"/>
    </xf>
    <xf numFmtId="0" fontId="119" fillId="0" borderId="8" xfId="91" applyFont="1" applyFill="1" applyBorder="1" applyAlignment="1">
      <alignment horizontal="center" vertical="center"/>
    </xf>
    <xf numFmtId="188" fontId="178" fillId="7" borderId="8" xfId="0" applyNumberFormat="1" applyFont="1" applyFill="1" applyBorder="1" applyAlignment="1">
      <alignment horizontal="center" vertical="center"/>
    </xf>
    <xf numFmtId="0" fontId="119" fillId="0" borderId="8" xfId="91" applyFont="1" applyFill="1" applyBorder="1" applyAlignment="1">
      <alignment horizontal="center" vertical="center"/>
    </xf>
    <xf numFmtId="44" fontId="234" fillId="7" borderId="14" xfId="91" applyNumberFormat="1" applyFont="1" applyFill="1" applyBorder="1" applyAlignment="1">
      <alignment vertical="center"/>
    </xf>
    <xf numFmtId="166" fontId="234" fillId="0" borderId="14" xfId="91" applyNumberFormat="1" applyFont="1" applyFill="1" applyBorder="1" applyAlignment="1">
      <alignment horizontal="center" vertical="center"/>
    </xf>
    <xf numFmtId="44" fontId="234" fillId="0" borderId="14" xfId="91" applyNumberFormat="1" applyFont="1" applyFill="1" applyBorder="1" applyAlignment="1">
      <alignment horizontal="center" vertical="center"/>
    </xf>
    <xf numFmtId="166" fontId="234" fillId="0" borderId="0" xfId="91" applyNumberFormat="1" applyFont="1" applyFill="1" applyBorder="1" applyAlignment="1">
      <alignment horizontal="center" vertical="center"/>
    </xf>
    <xf numFmtId="44" fontId="234" fillId="0" borderId="0" xfId="91" applyNumberFormat="1" applyFont="1" applyFill="1" applyBorder="1" applyAlignment="1">
      <alignment horizontal="center" vertical="center"/>
    </xf>
    <xf numFmtId="44" fontId="234" fillId="0" borderId="14" xfId="91" applyNumberFormat="1" applyFont="1" applyFill="1" applyBorder="1" applyAlignment="1">
      <alignment vertical="center"/>
    </xf>
    <xf numFmtId="44" fontId="234" fillId="0" borderId="47" xfId="91" applyNumberFormat="1" applyFont="1" applyFill="1" applyBorder="1" applyAlignment="1">
      <alignment horizontal="center" vertical="center"/>
    </xf>
    <xf numFmtId="44" fontId="234" fillId="0" borderId="46" xfId="91" applyNumberFormat="1" applyFont="1" applyFill="1" applyBorder="1" applyAlignment="1">
      <alignment horizontal="center" vertical="center"/>
    </xf>
    <xf numFmtId="44" fontId="234" fillId="0" borderId="45" xfId="91" applyNumberFormat="1" applyFont="1" applyFill="1" applyBorder="1" applyAlignment="1">
      <alignment horizontal="center" vertical="center"/>
    </xf>
    <xf numFmtId="44" fontId="234" fillId="0" borderId="44" xfId="91" applyNumberFormat="1" applyFont="1" applyFill="1" applyBorder="1" applyAlignment="1">
      <alignment horizontal="center" vertical="center"/>
    </xf>
    <xf numFmtId="195" fontId="181" fillId="7" borderId="8" xfId="5" applyNumberFormat="1" applyFont="1" applyFill="1" applyBorder="1" applyAlignment="1">
      <alignment horizontal="center" vertical="center"/>
    </xf>
    <xf numFmtId="178" fontId="185" fillId="0" borderId="8" xfId="0" applyFont="1" applyFill="1" applyBorder="1" applyAlignment="1">
      <alignment horizontal="center" vertical="center"/>
    </xf>
    <xf numFmtId="188" fontId="158" fillId="7" borderId="8" xfId="0" applyNumberFormat="1" applyFont="1" applyFill="1" applyBorder="1" applyAlignment="1">
      <alignment horizontal="center" vertical="center"/>
    </xf>
    <xf numFmtId="178" fontId="102" fillId="0" borderId="8" xfId="0" applyFont="1" applyFill="1" applyBorder="1" applyAlignment="1">
      <alignment horizontal="center" vertical="center"/>
    </xf>
    <xf numFmtId="184" fontId="132" fillId="0" borderId="8" xfId="94" applyNumberFormat="1" applyFont="1" applyFill="1" applyBorder="1" applyAlignment="1">
      <alignment vertical="center"/>
    </xf>
    <xf numFmtId="184" fontId="168" fillId="0" borderId="4" xfId="94" applyNumberFormat="1" applyFont="1" applyFill="1" applyBorder="1" applyAlignment="1">
      <alignment horizontal="center" vertical="center"/>
    </xf>
    <xf numFmtId="184" fontId="168" fillId="7" borderId="4" xfId="94" applyNumberFormat="1" applyFont="1" applyFill="1" applyBorder="1" applyAlignment="1">
      <alignment horizontal="center" vertical="center"/>
    </xf>
    <xf numFmtId="196" fontId="104" fillId="0" borderId="8" xfId="92" applyNumberFormat="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119" fillId="0" borderId="8" xfId="91" applyFont="1" applyFill="1" applyBorder="1" applyAlignment="1">
      <alignment horizontal="center" vertical="center"/>
    </xf>
    <xf numFmtId="178" fontId="185" fillId="7" borderId="8" xfId="0" applyFont="1" applyFill="1" applyBorder="1" applyAlignment="1">
      <alignment horizontal="center" vertical="center"/>
    </xf>
    <xf numFmtId="43" fontId="155" fillId="7" borderId="8" xfId="93" applyFont="1" applyFill="1" applyBorder="1" applyAlignment="1" applyProtection="1">
      <alignment horizontal="center" vertical="center" wrapText="1"/>
    </xf>
    <xf numFmtId="44" fontId="183" fillId="7" borderId="0" xfId="90" applyNumberFormat="1" applyFont="1" applyFill="1"/>
    <xf numFmtId="49" fontId="185" fillId="0" borderId="8" xfId="0" quotePrefix="1" applyNumberFormat="1" applyFont="1" applyFill="1" applyBorder="1" applyAlignment="1">
      <alignment horizontal="center" vertical="center"/>
    </xf>
    <xf numFmtId="49" fontId="175" fillId="0" borderId="8" xfId="0" quotePrefix="1" applyNumberFormat="1" applyFont="1" applyFill="1" applyBorder="1" applyAlignment="1">
      <alignment horizontal="center" vertical="center"/>
    </xf>
    <xf numFmtId="49" fontId="185" fillId="7" borderId="8" xfId="0" quotePrefix="1" applyNumberFormat="1" applyFont="1" applyFill="1" applyBorder="1" applyAlignment="1">
      <alignment horizontal="center" vertical="center"/>
    </xf>
    <xf numFmtId="178" fontId="159" fillId="7" borderId="8" xfId="0" applyFont="1" applyFill="1" applyBorder="1" applyAlignment="1">
      <alignment horizontal="center" vertical="center"/>
    </xf>
    <xf numFmtId="178" fontId="51" fillId="0" borderId="8" xfId="0" applyFont="1" applyFill="1" applyBorder="1" applyAlignment="1">
      <alignment horizontal="center" vertical="center"/>
    </xf>
    <xf numFmtId="0" fontId="159" fillId="0" borderId="8" xfId="90" applyFont="1" applyBorder="1" applyAlignment="1">
      <alignment horizontal="center" vertical="center"/>
    </xf>
    <xf numFmtId="186" fontId="159" fillId="0" borderId="8" xfId="0" applyNumberFormat="1" applyFont="1" applyBorder="1" applyAlignment="1">
      <alignment horizontal="center" vertical="center"/>
    </xf>
    <xf numFmtId="0" fontId="159" fillId="0" borderId="8" xfId="0" applyNumberFormat="1" applyFont="1" applyBorder="1" applyAlignment="1">
      <alignment horizontal="center" vertical="center"/>
    </xf>
    <xf numFmtId="0" fontId="183" fillId="0" borderId="0" xfId="90" applyFont="1" applyAlignment="1">
      <alignment horizontal="center" vertical="center"/>
    </xf>
    <xf numFmtId="0" fontId="146" fillId="0" borderId="0" xfId="90" applyFont="1" applyFill="1" applyAlignment="1">
      <alignment horizontal="center" vertical="center"/>
    </xf>
    <xf numFmtId="0" fontId="221" fillId="0" borderId="0" xfId="90" applyFont="1" applyFill="1" applyAlignment="1">
      <alignment horizontal="center" vertical="center"/>
    </xf>
    <xf numFmtId="0" fontId="179" fillId="0" borderId="0" xfId="90" applyFont="1" applyFill="1" applyAlignment="1">
      <alignment horizontal="center" vertical="center"/>
    </xf>
    <xf numFmtId="0" fontId="68" fillId="0" borderId="0" xfId="90" applyFont="1" applyFill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119" fillId="0" borderId="8" xfId="91" applyFont="1" applyFill="1" applyBorder="1" applyAlignment="1">
      <alignment horizontal="center" vertical="center"/>
    </xf>
    <xf numFmtId="0" fontId="219" fillId="0" borderId="8" xfId="0" applyNumberFormat="1" applyFont="1" applyFill="1" applyBorder="1" applyAlignment="1">
      <alignment horizontal="center" vertical="center"/>
    </xf>
    <xf numFmtId="15" fontId="235" fillId="0" borderId="8" xfId="0" applyNumberFormat="1" applyFont="1" applyFill="1" applyBorder="1" applyAlignment="1">
      <alignment horizontal="center" vertical="center" wrapText="1"/>
    </xf>
    <xf numFmtId="44" fontId="17" fillId="0" borderId="8" xfId="93" applyNumberFormat="1" applyFont="1" applyFill="1" applyBorder="1" applyAlignment="1">
      <alignment horizontal="center" vertical="center"/>
    </xf>
    <xf numFmtId="0" fontId="175" fillId="0" borderId="8" xfId="91" applyFont="1" applyFill="1" applyBorder="1" applyAlignment="1">
      <alignment horizontal="center" vertical="center"/>
    </xf>
    <xf numFmtId="44" fontId="234" fillId="0" borderId="8" xfId="91" applyNumberFormat="1" applyFont="1" applyFill="1" applyBorder="1" applyAlignment="1">
      <alignment vertical="center"/>
    </xf>
    <xf numFmtId="44" fontId="119" fillId="0" borderId="4" xfId="93" applyNumberFormat="1" applyFont="1" applyFill="1" applyBorder="1" applyAlignment="1">
      <alignment horizontal="right" vertical="center"/>
    </xf>
    <xf numFmtId="0" fontId="104" fillId="0" borderId="6" xfId="91" applyFont="1" applyFill="1" applyBorder="1" applyAlignment="1">
      <alignment vertical="center"/>
    </xf>
    <xf numFmtId="42" fontId="183" fillId="0" borderId="0" xfId="90" applyNumberFormat="1" applyFont="1" applyFill="1" applyAlignment="1">
      <alignment horizontal="center" vertical="center"/>
    </xf>
    <xf numFmtId="44" fontId="236" fillId="0" borderId="0" xfId="90" applyNumberFormat="1" applyFont="1" applyFill="1" applyAlignment="1">
      <alignment vertical="center"/>
    </xf>
    <xf numFmtId="41" fontId="183" fillId="0" borderId="0" xfId="90" applyNumberFormat="1" applyFont="1" applyFill="1" applyAlignment="1">
      <alignment vertical="center"/>
    </xf>
    <xf numFmtId="0" fontId="104" fillId="0" borderId="46" xfId="91" applyFont="1" applyFill="1" applyBorder="1" applyAlignment="1">
      <alignment horizontal="center" vertical="center"/>
    </xf>
    <xf numFmtId="15" fontId="235" fillId="0" borderId="3" xfId="0" applyNumberFormat="1" applyFont="1" applyFill="1" applyBorder="1" applyAlignment="1">
      <alignment horizontal="center" vertical="center" wrapText="1"/>
    </xf>
    <xf numFmtId="15" fontId="235" fillId="0" borderId="12" xfId="0" applyNumberFormat="1" applyFont="1" applyFill="1" applyBorder="1" applyAlignment="1">
      <alignment horizontal="center" vertical="center" wrapText="1"/>
    </xf>
    <xf numFmtId="0" fontId="237" fillId="0" borderId="8" xfId="0" applyNumberFormat="1" applyFont="1" applyBorder="1" applyAlignment="1">
      <alignment horizontal="center" vertical="center"/>
    </xf>
    <xf numFmtId="15" fontId="178" fillId="0" borderId="8" xfId="0" applyNumberFormat="1" applyFont="1" applyBorder="1" applyAlignment="1">
      <alignment horizontal="center" vertical="center"/>
    </xf>
    <xf numFmtId="15" fontId="178" fillId="0" borderId="8" xfId="0" applyNumberFormat="1" applyFont="1" applyFill="1" applyBorder="1" applyAlignment="1">
      <alignment horizontal="center" vertical="center" wrapText="1"/>
    </xf>
    <xf numFmtId="15" fontId="175" fillId="0" borderId="8" xfId="0" applyNumberFormat="1" applyFont="1" applyFill="1" applyBorder="1" applyAlignment="1">
      <alignment horizontal="center" vertical="center" wrapText="1"/>
    </xf>
    <xf numFmtId="0" fontId="102" fillId="0" borderId="8" xfId="91" applyFont="1" applyFill="1" applyBorder="1" applyAlignment="1">
      <alignment horizontal="center" vertical="center"/>
    </xf>
    <xf numFmtId="44" fontId="17" fillId="0" borderId="46" xfId="92" applyNumberFormat="1" applyFont="1" applyFill="1" applyBorder="1" applyAlignment="1">
      <alignment horizontal="center" vertical="center"/>
    </xf>
    <xf numFmtId="0" fontId="238" fillId="0" borderId="0" xfId="0" applyNumberFormat="1" applyFont="1" applyFill="1" applyBorder="1" applyAlignment="1">
      <alignment horizontal="center" vertical="center"/>
    </xf>
    <xf numFmtId="0" fontId="181" fillId="0" borderId="47" xfId="91" applyFont="1" applyFill="1" applyBorder="1" applyAlignment="1">
      <alignment horizontal="center" vertical="center"/>
    </xf>
    <xf numFmtId="44" fontId="181" fillId="0" borderId="47" xfId="91" applyNumberFormat="1" applyFont="1" applyFill="1" applyBorder="1" applyAlignment="1">
      <alignment horizontal="center" vertical="center"/>
    </xf>
    <xf numFmtId="0" fontId="181" fillId="0" borderId="47" xfId="91" applyNumberFormat="1" applyFont="1" applyFill="1" applyBorder="1" applyAlignment="1">
      <alignment horizontal="center" vertical="center"/>
    </xf>
    <xf numFmtId="42" fontId="181" fillId="0" borderId="0" xfId="92" applyNumberFormat="1" applyFont="1" applyFill="1" applyBorder="1" applyAlignment="1">
      <alignment horizontal="center" vertical="center"/>
    </xf>
    <xf numFmtId="0" fontId="158" fillId="0" borderId="0" xfId="90" applyFont="1" applyFill="1" applyAlignment="1">
      <alignment horizontal="center" vertical="center"/>
    </xf>
    <xf numFmtId="189" fontId="155" fillId="0" borderId="0" xfId="93" applyNumberFormat="1" applyFont="1" applyFill="1" applyBorder="1" applyAlignment="1" applyProtection="1">
      <alignment horizontal="center" vertical="center" wrapText="1"/>
    </xf>
    <xf numFmtId="0" fontId="167" fillId="0" borderId="14" xfId="91" applyFont="1" applyFill="1" applyBorder="1" applyAlignment="1">
      <alignment horizontal="center" vertical="center"/>
    </xf>
    <xf numFmtId="0" fontId="167" fillId="0" borderId="0" xfId="90" applyFont="1" applyFill="1" applyBorder="1" applyAlignment="1">
      <alignment horizontal="center" vertical="center"/>
    </xf>
    <xf numFmtId="0" fontId="167" fillId="0" borderId="8" xfId="91" applyFont="1" applyFill="1" applyBorder="1" applyAlignment="1">
      <alignment horizontal="center" vertical="center"/>
    </xf>
    <xf numFmtId="0" fontId="167" fillId="0" borderId="8" xfId="90" applyFont="1" applyFill="1" applyBorder="1" applyAlignment="1">
      <alignment horizontal="center" vertical="center"/>
    </xf>
    <xf numFmtId="178" fontId="0" fillId="0" borderId="16" xfId="0" applyBorder="1" applyAlignment="1">
      <alignment horizontal="center" vertical="center"/>
    </xf>
    <xf numFmtId="178" fontId="239" fillId="14" borderId="16" xfId="0" applyFont="1" applyFill="1" applyBorder="1" applyAlignment="1">
      <alignment horizontal="center" vertical="center" wrapText="1"/>
    </xf>
    <xf numFmtId="1" fontId="239" fillId="14" borderId="16" xfId="0" applyNumberFormat="1" applyFont="1" applyFill="1" applyBorder="1" applyAlignment="1">
      <alignment horizontal="center" vertical="center" wrapText="1"/>
    </xf>
    <xf numFmtId="178" fontId="239" fillId="0" borderId="16" xfId="0" applyFont="1" applyBorder="1" applyAlignment="1">
      <alignment horizontal="center" vertical="center" wrapText="1"/>
    </xf>
    <xf numFmtId="0" fontId="67" fillId="0" borderId="8" xfId="91" applyFont="1" applyFill="1" applyBorder="1" applyAlignment="1">
      <alignment horizontal="center" vertical="center"/>
    </xf>
    <xf numFmtId="0" fontId="67" fillId="0" borderId="8" xfId="90" applyFont="1" applyFill="1" applyBorder="1" applyAlignment="1">
      <alignment horizontal="center" vertical="center"/>
    </xf>
    <xf numFmtId="1" fontId="67" fillId="0" borderId="8" xfId="90" applyNumberFormat="1" applyFont="1" applyFill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240" fillId="0" borderId="16" xfId="0" applyNumberFormat="1" applyFont="1" applyBorder="1" applyAlignment="1">
      <alignment horizontal="center" vertical="center"/>
    </xf>
    <xf numFmtId="178" fontId="240" fillId="0" borderId="16" xfId="0" applyFont="1" applyBorder="1" applyAlignment="1">
      <alignment horizontal="center" vertical="center"/>
    </xf>
    <xf numFmtId="1" fontId="240" fillId="0" borderId="16" xfId="0" applyNumberFormat="1" applyFont="1" applyBorder="1" applyAlignment="1">
      <alignment horizontal="center" vertical="center"/>
    </xf>
    <xf numFmtId="0" fontId="241" fillId="0" borderId="16" xfId="97" applyFont="1" applyBorder="1" applyAlignment="1">
      <alignment horizontal="center" vertical="center"/>
    </xf>
    <xf numFmtId="1" fontId="167" fillId="0" borderId="8" xfId="91" applyNumberFormat="1" applyFont="1" applyFill="1" applyBorder="1" applyAlignment="1">
      <alignment horizontal="center" vertical="center"/>
    </xf>
    <xf numFmtId="41" fontId="167" fillId="0" borderId="8" xfId="90" applyNumberFormat="1" applyFont="1" applyFill="1" applyBorder="1" applyAlignment="1">
      <alignment horizontal="center" vertical="center"/>
    </xf>
    <xf numFmtId="41" fontId="167" fillId="0" borderId="0" xfId="90" applyNumberFormat="1" applyFont="1" applyFill="1" applyBorder="1" applyAlignment="1">
      <alignment horizontal="center" vertical="center"/>
    </xf>
    <xf numFmtId="1" fontId="183" fillId="0" borderId="0" xfId="90" applyNumberFormat="1" applyFont="1" applyFill="1" applyAlignment="1">
      <alignment vertical="center"/>
    </xf>
    <xf numFmtId="42" fontId="51" fillId="0" borderId="0" xfId="91" applyNumberFormat="1" applyFont="1" applyFill="1"/>
    <xf numFmtId="42" fontId="51" fillId="0" borderId="0" xfId="91" applyNumberFormat="1" applyFont="1" applyFill="1" applyAlignment="1">
      <alignment horizontal="center"/>
    </xf>
    <xf numFmtId="44" fontId="17" fillId="0" borderId="0" xfId="91" applyNumberFormat="1" applyFont="1" applyFill="1"/>
    <xf numFmtId="41" fontId="51" fillId="0" borderId="0" xfId="91" applyNumberFormat="1" applyFont="1" applyFill="1"/>
    <xf numFmtId="1" fontId="183" fillId="0" borderId="0" xfId="90" applyNumberFormat="1" applyFont="1" applyFill="1"/>
    <xf numFmtId="42" fontId="183" fillId="0" borderId="0" xfId="90" applyNumberFormat="1" applyFont="1" applyFill="1"/>
    <xf numFmtId="42" fontId="183" fillId="0" borderId="0" xfId="90" applyNumberFormat="1" applyFont="1" applyFill="1" applyAlignment="1">
      <alignment horizontal="center"/>
    </xf>
    <xf numFmtId="44" fontId="236" fillId="0" borderId="0" xfId="90" applyNumberFormat="1" applyFont="1" applyFill="1"/>
    <xf numFmtId="41" fontId="183" fillId="0" borderId="0" xfId="90" applyNumberFormat="1" applyFont="1" applyFill="1"/>
    <xf numFmtId="0" fontId="179" fillId="0" borderId="0" xfId="90" applyFont="1" applyFill="1" applyAlignment="1">
      <alignment vertical="center"/>
    </xf>
    <xf numFmtId="0" fontId="68" fillId="0" borderId="0" xfId="90" applyFont="1" applyFill="1" applyAlignment="1">
      <alignment vertical="center"/>
    </xf>
    <xf numFmtId="0" fontId="17" fillId="0" borderId="49" xfId="92" applyNumberFormat="1" applyFont="1" applyFill="1" applyBorder="1" applyAlignment="1">
      <alignment horizontal="center" vertical="center"/>
    </xf>
    <xf numFmtId="0" fontId="238" fillId="0" borderId="15" xfId="0" applyNumberFormat="1" applyFont="1" applyFill="1" applyBorder="1" applyAlignment="1">
      <alignment horizontal="center" vertical="center"/>
    </xf>
    <xf numFmtId="0" fontId="225" fillId="0" borderId="15" xfId="93" applyNumberFormat="1" applyFont="1" applyFill="1" applyBorder="1" applyAlignment="1" applyProtection="1">
      <alignment horizontal="center" vertical="center" wrapText="1"/>
    </xf>
    <xf numFmtId="44" fontId="17" fillId="0" borderId="8" xfId="92" applyNumberFormat="1" applyFont="1" applyFill="1" applyBorder="1" applyAlignment="1">
      <alignment horizontal="center" vertical="center"/>
    </xf>
    <xf numFmtId="42" fontId="132" fillId="0" borderId="8" xfId="92" applyNumberFormat="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178" fontId="175" fillId="0" borderId="8" xfId="0" quotePrefix="1" applyFont="1" applyFill="1" applyBorder="1" applyAlignment="1">
      <alignment horizontal="center" vertical="center"/>
    </xf>
    <xf numFmtId="0" fontId="119" fillId="0" borderId="8" xfId="91" applyFont="1" applyFill="1" applyBorder="1" applyAlignment="1">
      <alignment horizontal="center" vertical="center"/>
    </xf>
    <xf numFmtId="0" fontId="119" fillId="0" borderId="8" xfId="9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219" fillId="7" borderId="8" xfId="0" applyNumberFormat="1" applyFont="1" applyFill="1" applyBorder="1" applyAlignment="1">
      <alignment horizontal="center" vertical="center"/>
    </xf>
    <xf numFmtId="15" fontId="235" fillId="7" borderId="8" xfId="0" applyNumberFormat="1" applyFont="1" applyFill="1" applyBorder="1" applyAlignment="1">
      <alignment horizontal="center" vertical="center" wrapText="1"/>
    </xf>
    <xf numFmtId="42" fontId="119" fillId="7" borderId="8" xfId="92" applyNumberFormat="1" applyFont="1" applyFill="1" applyBorder="1" applyAlignment="1">
      <alignment horizontal="center" vertical="center"/>
    </xf>
    <xf numFmtId="44" fontId="17" fillId="7" borderId="8" xfId="93" applyNumberFormat="1" applyFont="1" applyFill="1" applyBorder="1" applyAlignment="1">
      <alignment horizontal="center" vertical="center"/>
    </xf>
    <xf numFmtId="42" fontId="132" fillId="7" borderId="8" xfId="92" applyNumberFormat="1" applyFont="1" applyFill="1" applyBorder="1" applyAlignment="1">
      <alignment horizontal="center" vertical="center"/>
    </xf>
    <xf numFmtId="0" fontId="67" fillId="7" borderId="8" xfId="91" applyFont="1" applyFill="1" applyBorder="1" applyAlignment="1">
      <alignment horizontal="center" vertical="center"/>
    </xf>
    <xf numFmtId="0" fontId="167" fillId="7" borderId="8" xfId="91" applyFont="1" applyFill="1" applyBorder="1" applyAlignment="1">
      <alignment horizontal="center" vertical="center"/>
    </xf>
    <xf numFmtId="0" fontId="67" fillId="7" borderId="8" xfId="90" applyFont="1" applyFill="1" applyBorder="1" applyAlignment="1">
      <alignment horizontal="center" vertical="center"/>
    </xf>
    <xf numFmtId="1" fontId="67" fillId="7" borderId="8" xfId="90" applyNumberFormat="1" applyFont="1" applyFill="1" applyBorder="1" applyAlignment="1">
      <alignment horizontal="center" vertical="center"/>
    </xf>
    <xf numFmtId="0" fontId="167" fillId="7" borderId="0" xfId="90" applyFont="1" applyFill="1" applyBorder="1" applyAlignment="1">
      <alignment horizontal="center" vertical="center"/>
    </xf>
    <xf numFmtId="0" fontId="240" fillId="7" borderId="16" xfId="0" applyNumberFormat="1" applyFont="1" applyFill="1" applyBorder="1" applyAlignment="1">
      <alignment horizontal="center" vertical="center"/>
    </xf>
    <xf numFmtId="178" fontId="240" fillId="7" borderId="16" xfId="0" applyFont="1" applyFill="1" applyBorder="1" applyAlignment="1">
      <alignment horizontal="center" vertical="center"/>
    </xf>
    <xf numFmtId="1" fontId="240" fillId="7" borderId="16" xfId="0" applyNumberFormat="1" applyFont="1" applyFill="1" applyBorder="1" applyAlignment="1">
      <alignment horizontal="center" vertical="center"/>
    </xf>
    <xf numFmtId="1" fontId="104" fillId="0" borderId="8" xfId="0" applyNumberFormat="1" applyFont="1" applyFill="1" applyBorder="1" applyAlignment="1">
      <alignment horizontal="center" vertical="center"/>
    </xf>
    <xf numFmtId="1" fontId="104" fillId="0" borderId="1" xfId="0" applyNumberFormat="1" applyFont="1" applyFill="1" applyBorder="1" applyAlignment="1">
      <alignment horizontal="center" vertical="center"/>
    </xf>
    <xf numFmtId="0" fontId="51" fillId="0" borderId="8" xfId="91" applyFont="1" applyBorder="1" applyAlignment="1">
      <alignment horizontal="center" vertical="center"/>
    </xf>
    <xf numFmtId="0" fontId="222" fillId="0" borderId="8" xfId="0" applyNumberFormat="1" applyFont="1" applyBorder="1" applyAlignment="1">
      <alignment horizontal="center" vertical="center"/>
    </xf>
    <xf numFmtId="0" fontId="222" fillId="0" borderId="8" xfId="0" applyNumberFormat="1" applyFont="1" applyFill="1" applyBorder="1" applyAlignment="1">
      <alignment horizontal="center" vertical="center"/>
    </xf>
    <xf numFmtId="44" fontId="245" fillId="0" borderId="0" xfId="91" applyNumberFormat="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119" fillId="0" borderId="8" xfId="91" applyFont="1" applyFill="1" applyBorder="1" applyAlignment="1">
      <alignment horizontal="center" vertical="center"/>
    </xf>
    <xf numFmtId="0" fontId="119" fillId="0" borderId="8" xfId="91" applyFont="1" applyFill="1" applyBorder="1" applyAlignment="1">
      <alignment horizontal="center" vertical="center"/>
    </xf>
    <xf numFmtId="44" fontId="216" fillId="0" borderId="0" xfId="90" applyNumberFormat="1" applyFont="1" applyFill="1"/>
    <xf numFmtId="178" fontId="177" fillId="7" borderId="12" xfId="0" applyFont="1" applyFill="1" applyBorder="1" applyAlignment="1">
      <alignment horizontal="center" vertical="center"/>
    </xf>
    <xf numFmtId="44" fontId="104" fillId="7" borderId="8" xfId="92" applyNumberFormat="1" applyFont="1" applyFill="1" applyBorder="1" applyAlignment="1">
      <alignment horizontal="center" vertical="center"/>
    </xf>
    <xf numFmtId="0" fontId="119" fillId="0" borderId="8" xfId="9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178" fontId="210" fillId="0" borderId="8" xfId="0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119" fillId="0" borderId="8" xfId="91" applyFont="1" applyFill="1" applyBorder="1" applyAlignment="1">
      <alignment horizontal="center" vertical="center"/>
    </xf>
    <xf numFmtId="49" fontId="102" fillId="0" borderId="8" xfId="0" applyNumberFormat="1" applyFont="1" applyFill="1" applyBorder="1" applyAlignment="1">
      <alignment horizontal="center" vertical="center"/>
    </xf>
    <xf numFmtId="0" fontId="119" fillId="0" borderId="8" xfId="91" applyFont="1" applyFill="1" applyBorder="1" applyAlignment="1">
      <alignment horizontal="center" vertical="center"/>
    </xf>
    <xf numFmtId="178" fontId="177" fillId="0" borderId="12" xfId="0" applyFont="1" applyFill="1" applyBorder="1" applyAlignment="1">
      <alignment horizontal="center" vertical="center"/>
    </xf>
    <xf numFmtId="191" fontId="225" fillId="0" borderId="23" xfId="92" applyNumberFormat="1" applyFont="1" applyFill="1" applyBorder="1" applyAlignment="1" applyProtection="1">
      <alignment horizontal="center" vertical="center" wrapText="1"/>
    </xf>
    <xf numFmtId="178" fontId="177" fillId="0" borderId="59" xfId="0" applyFont="1" applyBorder="1" applyAlignment="1">
      <alignment horizontal="center" vertical="center"/>
    </xf>
    <xf numFmtId="178" fontId="177" fillId="0" borderId="60" xfId="0" applyFont="1" applyBorder="1" applyAlignment="1">
      <alignment horizontal="center" vertical="center"/>
    </xf>
    <xf numFmtId="178" fontId="177" fillId="0" borderId="61" xfId="0" applyFont="1" applyBorder="1" applyAlignment="1">
      <alignment horizontal="center" vertical="center"/>
    </xf>
    <xf numFmtId="178" fontId="175" fillId="0" borderId="53" xfId="0" applyFont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119" fillId="0" borderId="8" xfId="9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178" fontId="159" fillId="0" borderId="8" xfId="0" applyFont="1" applyFill="1" applyBorder="1" applyAlignment="1">
      <alignment horizontal="center" vertical="center"/>
    </xf>
    <xf numFmtId="0" fontId="119" fillId="0" borderId="8" xfId="91" applyFont="1" applyFill="1" applyBorder="1" applyAlignment="1">
      <alignment horizontal="center" vertical="center"/>
    </xf>
    <xf numFmtId="178" fontId="210" fillId="7" borderId="8" xfId="0" applyFont="1" applyFill="1" applyBorder="1" applyAlignment="1">
      <alignment horizontal="center" vertical="center"/>
    </xf>
    <xf numFmtId="44" fontId="168" fillId="0" borderId="8" xfId="93" applyNumberFormat="1" applyFont="1" applyFill="1" applyBorder="1" applyAlignment="1">
      <alignment horizontal="center" vertical="center"/>
    </xf>
    <xf numFmtId="44" fontId="168" fillId="7" borderId="8" xfId="93" applyNumberFormat="1" applyFont="1" applyFill="1" applyBorder="1" applyAlignment="1">
      <alignment horizontal="center" vertical="center"/>
    </xf>
    <xf numFmtId="178" fontId="68" fillId="0" borderId="8" xfId="0" applyFont="1" applyFill="1" applyBorder="1" applyAlignment="1">
      <alignment horizontal="center" vertical="center"/>
    </xf>
    <xf numFmtId="202" fontId="175" fillId="0" borderId="8" xfId="0" applyNumberFormat="1" applyFont="1" applyFill="1" applyBorder="1" applyAlignment="1">
      <alignment horizontal="center" vertical="center"/>
    </xf>
    <xf numFmtId="179" fontId="51" fillId="0" borderId="8" xfId="0" applyNumberFormat="1" applyFont="1" applyFill="1" applyBorder="1" applyAlignment="1">
      <alignment horizontal="center" vertical="center"/>
    </xf>
    <xf numFmtId="202" fontId="175" fillId="7" borderId="8" xfId="0" applyNumberFormat="1" applyFont="1" applyFill="1" applyBorder="1" applyAlignment="1">
      <alignment horizontal="center" vertical="center"/>
    </xf>
    <xf numFmtId="178" fontId="240" fillId="0" borderId="8" xfId="0" applyFont="1" applyBorder="1" applyAlignment="1">
      <alignment horizontal="center" vertical="center"/>
    </xf>
    <xf numFmtId="0" fontId="210" fillId="7" borderId="8" xfId="0" applyNumberFormat="1" applyFont="1" applyFill="1" applyBorder="1" applyAlignment="1">
      <alignment horizontal="center" vertical="center"/>
    </xf>
    <xf numFmtId="0" fontId="175" fillId="0" borderId="1" xfId="91" applyFont="1" applyFill="1" applyBorder="1" applyAlignment="1" applyProtection="1">
      <alignment horizontal="center" vertical="center" wrapText="1"/>
    </xf>
    <xf numFmtId="0" fontId="175" fillId="0" borderId="4" xfId="91" applyFont="1" applyFill="1" applyBorder="1" applyAlignment="1" applyProtection="1">
      <alignment horizontal="center" vertical="center" wrapText="1"/>
    </xf>
    <xf numFmtId="2" fontId="183" fillId="0" borderId="0" xfId="90" applyNumberFormat="1" applyFont="1" applyFill="1"/>
    <xf numFmtId="0" fontId="142" fillId="0" borderId="0" xfId="90" applyFill="1" applyAlignment="1">
      <alignment horizontal="center" vertical="center"/>
    </xf>
    <xf numFmtId="178" fontId="51" fillId="7" borderId="8" xfId="0" applyNumberFormat="1" applyFont="1" applyFill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78" fontId="51" fillId="7" borderId="8" xfId="0" applyFont="1" applyFill="1" applyBorder="1" applyAlignment="1">
      <alignment horizontal="center" vertical="center"/>
    </xf>
    <xf numFmtId="0" fontId="119" fillId="0" borderId="8" xfId="91" applyFont="1" applyFill="1" applyBorder="1" applyAlignment="1">
      <alignment horizontal="center" vertical="center"/>
    </xf>
    <xf numFmtId="202" fontId="175" fillId="0" borderId="8" xfId="0" quotePrefix="1" applyNumberFormat="1" applyFont="1" applyFill="1" applyBorder="1" applyAlignment="1">
      <alignment horizontal="center" vertical="center"/>
    </xf>
    <xf numFmtId="0" fontId="119" fillId="0" borderId="8" xfId="91" applyFont="1" applyFill="1" applyBorder="1" applyAlignment="1">
      <alignment horizontal="center" vertical="center"/>
    </xf>
    <xf numFmtId="166" fontId="119" fillId="0" borderId="14" xfId="91" applyNumberFormat="1" applyFont="1" applyFill="1" applyBorder="1" applyAlignment="1">
      <alignment vertical="center"/>
    </xf>
    <xf numFmtId="166" fontId="119" fillId="7" borderId="14" xfId="91" applyNumberFormat="1" applyFont="1" applyFill="1" applyBorder="1" applyAlignment="1">
      <alignment vertical="center"/>
    </xf>
    <xf numFmtId="166" fontId="119" fillId="0" borderId="14" xfId="91" applyNumberFormat="1" applyFont="1" applyFill="1" applyBorder="1" applyAlignment="1">
      <alignment horizontal="center" vertical="center"/>
    </xf>
    <xf numFmtId="0" fontId="155" fillId="20" borderId="1" xfId="91" applyNumberFormat="1" applyFont="1" applyFill="1" applyBorder="1" applyAlignment="1" applyProtection="1">
      <alignment horizontal="center" vertical="center" wrapText="1"/>
    </xf>
    <xf numFmtId="0" fontId="175" fillId="20" borderId="4" xfId="91" applyNumberFormat="1" applyFont="1" applyFill="1" applyBorder="1" applyAlignment="1" applyProtection="1">
      <alignment horizontal="center" vertical="center" wrapText="1"/>
    </xf>
    <xf numFmtId="0" fontId="119" fillId="0" borderId="22" xfId="91" applyFont="1" applyFill="1" applyBorder="1" applyAlignment="1">
      <alignment vertical="center"/>
    </xf>
    <xf numFmtId="0" fontId="142" fillId="0" borderId="0" xfId="90" applyFill="1" applyAlignment="1">
      <alignment horizontal="center" vertical="center"/>
    </xf>
    <xf numFmtId="166" fontId="51" fillId="14" borderId="8" xfId="5" applyFont="1" applyFill="1" applyBorder="1" applyAlignment="1">
      <alignment horizontal="center" vertical="center" wrapText="1"/>
    </xf>
    <xf numFmtId="0" fontId="102" fillId="0" borderId="4" xfId="91" applyFont="1" applyFill="1" applyBorder="1" applyAlignment="1" applyProtection="1">
      <alignment horizontal="left" vertical="top" wrapText="1"/>
    </xf>
    <xf numFmtId="0" fontId="185" fillId="0" borderId="1" xfId="91" applyFont="1" applyFill="1" applyBorder="1" applyAlignment="1" applyProtection="1">
      <alignment horizontal="center" wrapText="1"/>
    </xf>
    <xf numFmtId="184" fontId="102" fillId="0" borderId="8" xfId="92" applyNumberFormat="1" applyFont="1" applyFill="1" applyBorder="1" applyAlignment="1" applyProtection="1">
      <alignment horizontal="center" vertical="top" wrapText="1"/>
    </xf>
    <xf numFmtId="0" fontId="119" fillId="0" borderId="14" xfId="91" applyFont="1" applyFill="1" applyBorder="1" applyAlignment="1">
      <alignment horizontal="center" vertical="center"/>
    </xf>
    <xf numFmtId="0" fontId="178" fillId="0" borderId="1" xfId="91" applyNumberFormat="1" applyFont="1" applyFill="1" applyBorder="1" applyAlignment="1" applyProtection="1">
      <alignment horizontal="center" vertical="center" wrapText="1"/>
    </xf>
    <xf numFmtId="0" fontId="178" fillId="0" borderId="4" xfId="91" applyNumberFormat="1" applyFont="1" applyFill="1" applyBorder="1" applyAlignment="1" applyProtection="1">
      <alignment horizontal="center" vertical="center" wrapText="1"/>
    </xf>
    <xf numFmtId="190" fontId="175" fillId="0" borderId="8" xfId="93" applyNumberFormat="1" applyFont="1" applyFill="1" applyBorder="1" applyAlignment="1" applyProtection="1">
      <alignment horizontal="center" vertical="center" wrapText="1"/>
    </xf>
    <xf numFmtId="43" fontId="175" fillId="0" borderId="8" xfId="93" applyFont="1" applyFill="1" applyBorder="1" applyAlignment="1" applyProtection="1">
      <alignment horizontal="center" vertical="center" wrapText="1"/>
    </xf>
    <xf numFmtId="0" fontId="175" fillId="0" borderId="8" xfId="91" applyFont="1" applyFill="1" applyBorder="1" applyAlignment="1" applyProtection="1">
      <alignment horizontal="center" vertical="center" wrapText="1"/>
    </xf>
    <xf numFmtId="0" fontId="155" fillId="0" borderId="8" xfId="91" applyFont="1" applyFill="1" applyBorder="1" applyAlignment="1" applyProtection="1">
      <alignment horizontal="center" vertical="top" wrapText="1"/>
    </xf>
    <xf numFmtId="43" fontId="155" fillId="0" borderId="8" xfId="93" applyFont="1" applyFill="1" applyBorder="1" applyAlignment="1" applyProtection="1">
      <alignment horizontal="center" vertical="top" wrapText="1"/>
    </xf>
    <xf numFmtId="0" fontId="175" fillId="20" borderId="1" xfId="91" applyNumberFormat="1" applyFont="1" applyFill="1" applyBorder="1" applyAlignment="1" applyProtection="1">
      <alignment horizontal="center" vertical="center" wrapText="1"/>
    </xf>
    <xf numFmtId="0" fontId="247" fillId="0" borderId="8" xfId="93" applyNumberFormat="1" applyFont="1" applyFill="1" applyBorder="1" applyAlignment="1" applyProtection="1">
      <alignment horizontal="center" vertical="center" wrapText="1"/>
    </xf>
    <xf numFmtId="0" fontId="195" fillId="0" borderId="15" xfId="91" applyFont="1" applyFill="1" applyBorder="1" applyAlignment="1">
      <alignment horizontal="center" vertical="center" wrapText="1"/>
    </xf>
    <xf numFmtId="0" fontId="247" fillId="0" borderId="12" xfId="93" applyNumberFormat="1" applyFont="1" applyFill="1" applyBorder="1" applyAlignment="1" applyProtection="1">
      <alignment horizontal="center" vertical="center" wrapText="1"/>
    </xf>
    <xf numFmtId="0" fontId="159" fillId="0" borderId="4" xfId="91" applyFont="1" applyFill="1" applyBorder="1" applyAlignment="1" applyProtection="1">
      <alignment horizontal="center" vertical="top" wrapText="1"/>
    </xf>
    <xf numFmtId="191" fontId="185" fillId="0" borderId="1" xfId="92" applyNumberFormat="1" applyFont="1" applyFill="1" applyBorder="1" applyAlignment="1" applyProtection="1">
      <alignment horizontal="center" wrapText="1"/>
    </xf>
    <xf numFmtId="0" fontId="175" fillId="20" borderId="1" xfId="91" applyNumberFormat="1" applyFont="1" applyFill="1" applyBorder="1" applyAlignment="1" applyProtection="1">
      <alignment horizontal="center" wrapText="1"/>
    </xf>
    <xf numFmtId="0" fontId="248" fillId="0" borderId="8" xfId="93" applyNumberFormat="1" applyFont="1" applyFill="1" applyBorder="1" applyAlignment="1" applyProtection="1">
      <alignment horizontal="center" vertical="center" wrapText="1"/>
    </xf>
    <xf numFmtId="190" fontId="155" fillId="0" borderId="8" xfId="93" applyNumberFormat="1" applyFont="1" applyFill="1" applyBorder="1" applyAlignment="1" applyProtection="1">
      <alignment horizontal="center" wrapText="1"/>
    </xf>
    <xf numFmtId="0" fontId="155" fillId="0" borderId="8" xfId="91" applyFont="1" applyFill="1" applyBorder="1" applyAlignment="1" applyProtection="1">
      <alignment horizontal="center" wrapText="1"/>
    </xf>
    <xf numFmtId="43" fontId="155" fillId="0" borderId="8" xfId="93" applyFont="1" applyFill="1" applyBorder="1" applyAlignment="1" applyProtection="1">
      <alignment horizontal="center" wrapText="1"/>
    </xf>
    <xf numFmtId="0" fontId="195" fillId="0" borderId="15" xfId="91" applyFont="1" applyFill="1" applyBorder="1" applyAlignment="1">
      <alignment horizontal="center" wrapText="1"/>
    </xf>
    <xf numFmtId="184" fontId="178" fillId="0" borderId="1" xfId="92" applyNumberFormat="1" applyFont="1" applyFill="1" applyBorder="1" applyAlignment="1" applyProtection="1">
      <alignment horizontal="center" wrapText="1"/>
    </xf>
    <xf numFmtId="0" fontId="142" fillId="0" borderId="0" xfId="90" applyFill="1" applyAlignment="1">
      <alignment horizontal="center" vertical="center"/>
    </xf>
    <xf numFmtId="166" fontId="202" fillId="0" borderId="8" xfId="67" applyNumberFormat="1" applyFont="1" applyFill="1" applyBorder="1" applyAlignment="1">
      <alignment vertical="center" shrinkToFit="1"/>
    </xf>
    <xf numFmtId="44" fontId="181" fillId="0" borderId="8" xfId="93" applyNumberFormat="1" applyFont="1" applyFill="1" applyBorder="1" applyAlignment="1">
      <alignment horizontal="center" vertical="center"/>
    </xf>
    <xf numFmtId="0" fontId="178" fillId="0" borderId="1" xfId="91" applyNumberFormat="1" applyFont="1" applyFill="1" applyBorder="1" applyAlignment="1" applyProtection="1">
      <alignment horizontal="center" vertical="center" wrapText="1"/>
    </xf>
    <xf numFmtId="0" fontId="178" fillId="0" borderId="4" xfId="91" applyNumberFormat="1" applyFont="1" applyFill="1" applyBorder="1" applyAlignment="1" applyProtection="1">
      <alignment horizontal="center" vertical="center" wrapText="1"/>
    </xf>
    <xf numFmtId="15" fontId="102" fillId="7" borderId="8" xfId="91" applyNumberFormat="1" applyFont="1" applyFill="1" applyBorder="1" applyAlignment="1">
      <alignment horizontal="center" vertical="center"/>
    </xf>
    <xf numFmtId="44" fontId="168" fillId="0" borderId="4" xfId="93" applyNumberFormat="1" applyFont="1" applyFill="1" applyBorder="1" applyAlignment="1">
      <alignment horizontal="center" vertical="center"/>
    </xf>
    <xf numFmtId="178" fontId="250" fillId="0" borderId="8" xfId="0" applyFont="1" applyFill="1" applyBorder="1" applyAlignment="1">
      <alignment horizontal="center" vertical="center"/>
    </xf>
    <xf numFmtId="197" fontId="185" fillId="0" borderId="8" xfId="0" applyNumberFormat="1" applyFont="1" applyFill="1" applyBorder="1" applyAlignment="1">
      <alignment horizontal="center" vertical="center"/>
    </xf>
    <xf numFmtId="197" fontId="185" fillId="7" borderId="8" xfId="0" applyNumberFormat="1" applyFont="1" applyFill="1" applyBorder="1" applyAlignment="1">
      <alignment horizontal="center" vertical="center"/>
    </xf>
    <xf numFmtId="197" fontId="175" fillId="0" borderId="8" xfId="0" applyNumberFormat="1" applyFont="1" applyFill="1" applyBorder="1" applyAlignment="1">
      <alignment horizontal="center" vertical="center"/>
    </xf>
    <xf numFmtId="197" fontId="51" fillId="0" borderId="8" xfId="0" applyNumberFormat="1" applyFont="1" applyFill="1" applyBorder="1" applyAlignment="1">
      <alignment horizontal="center" vertical="center"/>
    </xf>
    <xf numFmtId="181" fontId="175" fillId="0" borderId="8" xfId="0" applyNumberFormat="1" applyFont="1" applyFill="1" applyBorder="1" applyAlignment="1">
      <alignment horizontal="center" vertical="center"/>
    </xf>
    <xf numFmtId="202" fontId="185" fillId="0" borderId="8" xfId="0" quotePrefix="1" applyNumberFormat="1" applyFont="1" applyFill="1" applyBorder="1" applyAlignment="1">
      <alignment horizontal="center" vertical="center"/>
    </xf>
    <xf numFmtId="202" fontId="240" fillId="0" borderId="16" xfId="0" applyNumberFormat="1" applyFont="1" applyBorder="1" applyAlignment="1">
      <alignment horizontal="center" vertical="center"/>
    </xf>
    <xf numFmtId="197" fontId="175" fillId="7" borderId="8" xfId="0" applyNumberFormat="1" applyFont="1" applyFill="1" applyBorder="1" applyAlignment="1">
      <alignment horizontal="center" vertical="center"/>
    </xf>
    <xf numFmtId="197" fontId="159" fillId="0" borderId="8" xfId="0" applyNumberFormat="1" applyFont="1" applyFill="1" applyBorder="1" applyAlignment="1">
      <alignment horizontal="center" vertical="center"/>
    </xf>
    <xf numFmtId="197" fontId="210" fillId="0" borderId="8" xfId="0" applyNumberFormat="1" applyFont="1" applyFill="1" applyBorder="1" applyAlignment="1">
      <alignment horizontal="center" vertical="center"/>
    </xf>
    <xf numFmtId="197" fontId="185" fillId="0" borderId="8" xfId="90" applyNumberFormat="1" applyFont="1" applyFill="1" applyBorder="1" applyAlignment="1">
      <alignment horizontal="center" vertical="center"/>
    </xf>
    <xf numFmtId="197" fontId="210" fillId="7" borderId="8" xfId="0" applyNumberFormat="1" applyFont="1" applyFill="1" applyBorder="1" applyAlignment="1">
      <alignment horizontal="center" vertical="center"/>
    </xf>
    <xf numFmtId="197" fontId="51" fillId="7" borderId="8" xfId="0" applyNumberFormat="1" applyFont="1" applyFill="1" applyBorder="1" applyAlignment="1">
      <alignment horizontal="center" vertical="center"/>
    </xf>
    <xf numFmtId="197" fontId="240" fillId="0" borderId="16" xfId="0" applyNumberFormat="1" applyFont="1" applyBorder="1" applyAlignment="1">
      <alignment horizontal="center" vertical="center"/>
    </xf>
    <xf numFmtId="197" fontId="240" fillId="7" borderId="16" xfId="0" applyNumberFormat="1" applyFont="1" applyFill="1" applyBorder="1" applyAlignment="1">
      <alignment horizontal="center" vertical="center"/>
    </xf>
    <xf numFmtId="0" fontId="107" fillId="0" borderId="8" xfId="0" applyNumberFormat="1" applyFont="1" applyBorder="1" applyAlignment="1">
      <alignment horizontal="center" vertical="center"/>
    </xf>
    <xf numFmtId="203" fontId="141" fillId="0" borderId="8" xfId="90" applyNumberFormat="1" applyFont="1" applyBorder="1" applyAlignment="1">
      <alignment horizontal="center" vertical="center"/>
    </xf>
    <xf numFmtId="203" fontId="159" fillId="0" borderId="4" xfId="0" applyNumberFormat="1" applyFont="1" applyFill="1" applyBorder="1" applyAlignment="1">
      <alignment horizontal="center" vertical="center"/>
    </xf>
    <xf numFmtId="203" fontId="159" fillId="0" borderId="8" xfId="0" applyNumberFormat="1" applyFont="1" applyFill="1" applyBorder="1" applyAlignment="1">
      <alignment horizontal="center" vertical="center"/>
    </xf>
    <xf numFmtId="203" fontId="159" fillId="7" borderId="8" xfId="0" applyNumberFormat="1" applyFont="1" applyFill="1" applyBorder="1" applyAlignment="1">
      <alignment horizontal="center" vertical="center"/>
    </xf>
    <xf numFmtId="44" fontId="141" fillId="0" borderId="0" xfId="90" applyNumberFormat="1" applyFont="1" applyAlignment="1">
      <alignment horizontal="center" vertical="center"/>
    </xf>
    <xf numFmtId="44" fontId="158" fillId="0" borderId="0" xfId="90" applyNumberFormat="1" applyFont="1" applyAlignment="1">
      <alignment horizontal="center" vertical="center"/>
    </xf>
    <xf numFmtId="204" fontId="141" fillId="0" borderId="0" xfId="90" applyNumberFormat="1" applyFont="1" applyAlignment="1">
      <alignment horizontal="center" vertical="center"/>
    </xf>
    <xf numFmtId="200" fontId="141" fillId="0" borderId="0" xfId="90" applyNumberFormat="1" applyFont="1" applyAlignment="1">
      <alignment horizontal="center" vertical="center"/>
    </xf>
    <xf numFmtId="0" fontId="142" fillId="0" borderId="8" xfId="90" applyBorder="1"/>
    <xf numFmtId="203" fontId="141" fillId="0" borderId="1" xfId="90" applyNumberFormat="1" applyFont="1" applyBorder="1" applyAlignment="1">
      <alignment horizontal="center" vertical="center"/>
    </xf>
    <xf numFmtId="200" fontId="141" fillId="0" borderId="8" xfId="90" applyNumberFormat="1" applyFont="1" applyBorder="1" applyAlignment="1">
      <alignment vertical="center"/>
    </xf>
    <xf numFmtId="200" fontId="141" fillId="0" borderId="8" xfId="90" applyNumberFormat="1" applyFont="1" applyBorder="1" applyAlignment="1">
      <alignment horizontal="center" vertical="center"/>
    </xf>
    <xf numFmtId="44" fontId="151" fillId="14" borderId="8" xfId="90" applyNumberFormat="1" applyFont="1" applyFill="1" applyBorder="1" applyAlignment="1">
      <alignment horizontal="center" vertical="center"/>
    </xf>
    <xf numFmtId="9" fontId="141" fillId="0" borderId="8" xfId="0" applyNumberFormat="1" applyFont="1" applyBorder="1" applyAlignment="1">
      <alignment horizontal="center" vertical="center"/>
    </xf>
    <xf numFmtId="166" fontId="158" fillId="14" borderId="8" xfId="5" applyFont="1" applyFill="1" applyBorder="1" applyAlignment="1">
      <alignment vertical="center"/>
    </xf>
    <xf numFmtId="200" fontId="158" fillId="0" borderId="8" xfId="90" applyNumberFormat="1" applyFont="1" applyBorder="1" applyAlignment="1">
      <alignment vertical="center"/>
    </xf>
    <xf numFmtId="203" fontId="51" fillId="0" borderId="8" xfId="0" applyNumberFormat="1" applyFont="1" applyFill="1" applyBorder="1" applyAlignment="1">
      <alignment horizontal="center" vertical="center"/>
    </xf>
    <xf numFmtId="44" fontId="252" fillId="0" borderId="0" xfId="90" applyNumberFormat="1" applyFont="1" applyAlignment="1">
      <alignment horizontal="center" vertical="center"/>
    </xf>
    <xf numFmtId="166" fontId="252" fillId="0" borderId="8" xfId="5" applyFont="1" applyBorder="1" applyAlignment="1">
      <alignment horizontal="center" vertical="center"/>
    </xf>
    <xf numFmtId="200" fontId="253" fillId="0" borderId="8" xfId="90" applyNumberFormat="1" applyFont="1" applyBorder="1" applyAlignment="1">
      <alignment vertical="center"/>
    </xf>
    <xf numFmtId="166" fontId="253" fillId="14" borderId="8" xfId="90" applyNumberFormat="1" applyFont="1" applyFill="1" applyBorder="1" applyAlignment="1">
      <alignment vertical="center"/>
    </xf>
    <xf numFmtId="203" fontId="252" fillId="0" borderId="8" xfId="90" applyNumberFormat="1" applyFont="1" applyBorder="1" applyAlignment="1">
      <alignment horizontal="center" vertical="center"/>
    </xf>
    <xf numFmtId="203" fontId="159" fillId="7" borderId="1" xfId="0" applyNumberFormat="1" applyFont="1" applyFill="1" applyBorder="1" applyAlignment="1">
      <alignment horizontal="center" vertical="center"/>
    </xf>
    <xf numFmtId="0" fontId="141" fillId="0" borderId="8" xfId="90" applyFont="1" applyBorder="1"/>
    <xf numFmtId="166" fontId="141" fillId="0" borderId="8" xfId="5" applyFont="1" applyBorder="1" applyAlignment="1">
      <alignment horizontal="center" vertical="center"/>
    </xf>
    <xf numFmtId="205" fontId="141" fillId="0" borderId="0" xfId="90" applyNumberFormat="1" applyFont="1" applyAlignment="1">
      <alignment horizontal="center" vertical="center"/>
    </xf>
    <xf numFmtId="166" fontId="141" fillId="14" borderId="8" xfId="90" applyNumberFormat="1" applyFont="1" applyFill="1" applyBorder="1" applyAlignment="1">
      <alignment vertical="center"/>
    </xf>
    <xf numFmtId="166" fontId="51" fillId="0" borderId="4" xfId="5" applyFont="1" applyBorder="1" applyAlignment="1">
      <alignment horizontal="center" vertical="center"/>
    </xf>
    <xf numFmtId="166" fontId="51" fillId="0" borderId="4" xfId="5" applyFont="1" applyFill="1" applyBorder="1" applyAlignment="1">
      <alignment horizontal="center" vertical="center"/>
    </xf>
    <xf numFmtId="166" fontId="51" fillId="7" borderId="4" xfId="5" applyFont="1" applyFill="1" applyBorder="1" applyAlignment="1">
      <alignment horizontal="center" vertical="center"/>
    </xf>
    <xf numFmtId="166" fontId="202" fillId="0" borderId="4" xfId="67" applyNumberFormat="1" applyFont="1" applyFill="1" applyBorder="1" applyAlignment="1">
      <alignment vertical="center" shrinkToFit="1"/>
    </xf>
    <xf numFmtId="200" fontId="141" fillId="0" borderId="8" xfId="90" applyNumberFormat="1" applyFont="1" applyBorder="1"/>
    <xf numFmtId="166" fontId="141" fillId="0" borderId="8" xfId="90" applyNumberFormat="1" applyFont="1" applyBorder="1"/>
    <xf numFmtId="0" fontId="254" fillId="0" borderId="8" xfId="91" applyFont="1" applyFill="1" applyBorder="1" applyAlignment="1" applyProtection="1">
      <alignment horizontal="center" vertical="center" wrapText="1"/>
    </xf>
    <xf numFmtId="166" fontId="141" fillId="14" borderId="8" xfId="90" applyNumberFormat="1" applyFont="1" applyFill="1" applyBorder="1"/>
    <xf numFmtId="203" fontId="158" fillId="0" borderId="8" xfId="90" applyNumberFormat="1" applyFont="1" applyBorder="1" applyAlignment="1">
      <alignment horizontal="center" vertical="center"/>
    </xf>
    <xf numFmtId="200" fontId="158" fillId="0" borderId="8" xfId="90" applyNumberFormat="1" applyFont="1" applyBorder="1" applyAlignment="1">
      <alignment horizontal="center" vertical="center"/>
    </xf>
    <xf numFmtId="166" fontId="158" fillId="0" borderId="8" xfId="5" applyFont="1" applyBorder="1" applyAlignment="1">
      <alignment horizontal="center" vertical="center"/>
    </xf>
    <xf numFmtId="203" fontId="51" fillId="0" borderId="1" xfId="0" applyNumberFormat="1" applyFont="1" applyFill="1" applyBorder="1" applyAlignment="1">
      <alignment horizontal="center" vertical="center"/>
    </xf>
    <xf numFmtId="200" fontId="142" fillId="0" borderId="8" xfId="90" applyNumberFormat="1" applyBorder="1"/>
    <xf numFmtId="206" fontId="141" fillId="0" borderId="8" xfId="90" applyNumberFormat="1" applyFont="1" applyBorder="1"/>
    <xf numFmtId="166" fontId="142" fillId="14" borderId="8" xfId="90" applyNumberFormat="1" applyFill="1" applyBorder="1"/>
    <xf numFmtId="203" fontId="51" fillId="7" borderId="8" xfId="0" applyNumberFormat="1" applyFont="1" applyFill="1" applyBorder="1" applyAlignment="1">
      <alignment horizontal="center" vertical="center"/>
    </xf>
    <xf numFmtId="203" fontId="51" fillId="7" borderId="1" xfId="0" applyNumberFormat="1" applyFont="1" applyFill="1" applyBorder="1" applyAlignment="1">
      <alignment horizontal="center" vertical="center"/>
    </xf>
    <xf numFmtId="166" fontId="141" fillId="14" borderId="8" xfId="5" applyFont="1" applyFill="1" applyBorder="1"/>
    <xf numFmtId="200" fontId="141" fillId="0" borderId="8" xfId="90" applyNumberFormat="1" applyFont="1" applyBorder="1" applyAlignment="1"/>
    <xf numFmtId="203" fontId="159" fillId="0" borderId="16" xfId="0" applyNumberFormat="1" applyFont="1" applyBorder="1" applyAlignment="1">
      <alignment horizontal="center" vertical="center"/>
    </xf>
    <xf numFmtId="203" fontId="159" fillId="7" borderId="16" xfId="0" applyNumberFormat="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142" fillId="0" borderId="0" xfId="90" applyFill="1" applyAlignment="1">
      <alignment horizontal="center" vertical="center"/>
    </xf>
    <xf numFmtId="207" fontId="51" fillId="0" borderId="8" xfId="0" applyNumberFormat="1" applyFont="1" applyFill="1" applyBorder="1" applyAlignment="1">
      <alignment horizontal="center" vertical="center"/>
    </xf>
    <xf numFmtId="178" fontId="177" fillId="0" borderId="63" xfId="0" applyFont="1" applyBorder="1" applyAlignment="1">
      <alignment horizontal="center" vertical="center"/>
    </xf>
    <xf numFmtId="0" fontId="119" fillId="0" borderId="0" xfId="91" applyFont="1" applyFill="1" applyBorder="1" applyAlignment="1" applyProtection="1">
      <alignment horizontal="center" vertical="center"/>
      <protection hidden="1"/>
    </xf>
    <xf numFmtId="196" fontId="104" fillId="7" borderId="8" xfId="91" applyNumberFormat="1" applyFont="1" applyFill="1" applyBorder="1" applyAlignment="1">
      <alignment horizontal="center" vertical="center"/>
    </xf>
    <xf numFmtId="189" fontId="226" fillId="7" borderId="0" xfId="93" applyNumberFormat="1" applyFont="1" applyFill="1" applyBorder="1" applyAlignment="1" applyProtection="1">
      <alignment horizontal="center" vertical="center" wrapText="1"/>
    </xf>
    <xf numFmtId="0" fontId="228" fillId="7" borderId="0" xfId="90" applyFont="1" applyFill="1" applyAlignment="1">
      <alignment horizontal="center" vertical="center"/>
    </xf>
    <xf numFmtId="0" fontId="222" fillId="7" borderId="22" xfId="90" applyFont="1" applyFill="1" applyBorder="1" applyAlignment="1">
      <alignment vertical="center"/>
    </xf>
    <xf numFmtId="44" fontId="222" fillId="7" borderId="22" xfId="90" applyNumberFormat="1" applyFont="1" applyFill="1" applyBorder="1" applyAlignment="1">
      <alignment vertical="center"/>
    </xf>
    <xf numFmtId="0" fontId="222" fillId="7" borderId="0" xfId="90" applyFont="1" applyFill="1" applyBorder="1" applyAlignment="1">
      <alignment vertical="center"/>
    </xf>
    <xf numFmtId="0" fontId="223" fillId="7" borderId="8" xfId="91" applyFont="1" applyFill="1" applyBorder="1" applyAlignment="1" applyProtection="1">
      <alignment horizontal="center" vertical="center" wrapText="1"/>
    </xf>
    <xf numFmtId="191" fontId="223" fillId="7" borderId="1" xfId="92" applyNumberFormat="1" applyFont="1" applyFill="1" applyBorder="1" applyAlignment="1" applyProtection="1">
      <alignment horizontal="center" vertical="center" wrapText="1"/>
    </xf>
    <xf numFmtId="44" fontId="223" fillId="7" borderId="1" xfId="92" applyNumberFormat="1" applyFont="1" applyFill="1" applyBorder="1" applyAlignment="1" applyProtection="1">
      <alignment horizontal="center" vertical="center" wrapText="1"/>
    </xf>
    <xf numFmtId="0" fontId="223" fillId="7" borderId="1" xfId="92" applyNumberFormat="1" applyFont="1" applyFill="1" applyBorder="1" applyAlignment="1" applyProtection="1">
      <alignment horizontal="center" vertical="center" wrapText="1"/>
    </xf>
    <xf numFmtId="0" fontId="223" fillId="7" borderId="1" xfId="93" applyNumberFormat="1" applyFont="1" applyFill="1" applyBorder="1" applyAlignment="1" applyProtection="1">
      <alignment horizontal="center" vertical="center" wrapText="1"/>
    </xf>
    <xf numFmtId="0" fontId="225" fillId="7" borderId="8" xfId="91" applyFont="1" applyFill="1" applyBorder="1" applyAlignment="1" applyProtection="1">
      <alignment horizontal="center" vertical="center" wrapText="1"/>
    </xf>
    <xf numFmtId="191" fontId="225" fillId="7" borderId="8" xfId="92" applyNumberFormat="1" applyFont="1" applyFill="1" applyBorder="1" applyAlignment="1" applyProtection="1">
      <alignment horizontal="center" vertical="center" wrapText="1"/>
    </xf>
    <xf numFmtId="191" fontId="225" fillId="7" borderId="1" xfId="92" applyNumberFormat="1" applyFont="1" applyFill="1" applyBorder="1" applyAlignment="1" applyProtection="1">
      <alignment horizontal="center" vertical="center" wrapText="1"/>
    </xf>
    <xf numFmtId="44" fontId="225" fillId="7" borderId="8" xfId="92" applyNumberFormat="1" applyFont="1" applyFill="1" applyBorder="1" applyAlignment="1" applyProtection="1">
      <alignment horizontal="center" vertical="center" wrapText="1"/>
    </xf>
    <xf numFmtId="44" fontId="104" fillId="7" borderId="8" xfId="92" applyNumberFormat="1" applyFont="1" applyFill="1" applyBorder="1" applyAlignment="1">
      <alignment horizontal="center" vertical="center" wrapText="1"/>
    </xf>
    <xf numFmtId="184" fontId="225" fillId="7" borderId="8" xfId="92" applyNumberFormat="1" applyFont="1" applyFill="1" applyBorder="1" applyAlignment="1" applyProtection="1">
      <alignment horizontal="center" vertical="center" wrapText="1"/>
    </xf>
    <xf numFmtId="0" fontId="229" fillId="7" borderId="8" xfId="91" applyFont="1" applyFill="1" applyBorder="1" applyAlignment="1">
      <alignment horizontal="center" vertical="center" wrapText="1"/>
    </xf>
    <xf numFmtId="0" fontId="225" fillId="7" borderId="1" xfId="93" applyNumberFormat="1" applyFont="1" applyFill="1" applyBorder="1" applyAlignment="1" applyProtection="1">
      <alignment horizontal="center" vertical="center" wrapText="1"/>
    </xf>
    <xf numFmtId="0" fontId="104" fillId="7" borderId="44" xfId="91" applyFont="1" applyFill="1" applyBorder="1" applyAlignment="1">
      <alignment horizontal="center" vertical="center"/>
    </xf>
    <xf numFmtId="44" fontId="119" fillId="7" borderId="46" xfId="92" applyNumberFormat="1" applyFont="1" applyFill="1" applyBorder="1" applyAlignment="1">
      <alignment horizontal="center" vertical="center"/>
    </xf>
    <xf numFmtId="0" fontId="119" fillId="7" borderId="46" xfId="92" applyNumberFormat="1" applyFont="1" applyFill="1" applyBorder="1" applyAlignment="1">
      <alignment horizontal="center" vertical="center"/>
    </xf>
    <xf numFmtId="0" fontId="51" fillId="7" borderId="0" xfId="91" applyFill="1" applyAlignment="1">
      <alignment horizontal="center" vertical="center"/>
    </xf>
    <xf numFmtId="44" fontId="119" fillId="7" borderId="47" xfId="91" applyNumberFormat="1" applyFont="1" applyFill="1" applyBorder="1" applyAlignment="1">
      <alignment horizontal="center" vertical="center"/>
    </xf>
    <xf numFmtId="44" fontId="119" fillId="7" borderId="0" xfId="91" applyNumberFormat="1" applyFont="1" applyFill="1" applyBorder="1" applyAlignment="1">
      <alignment horizontal="center" vertical="center"/>
    </xf>
    <xf numFmtId="44" fontId="234" fillId="7" borderId="0" xfId="91" applyNumberFormat="1" applyFont="1" applyFill="1" applyBorder="1" applyAlignment="1">
      <alignment horizontal="center" vertical="center"/>
    </xf>
    <xf numFmtId="42" fontId="132" fillId="7" borderId="0" xfId="92" applyNumberFormat="1" applyFont="1" applyFill="1" applyBorder="1" applyAlignment="1">
      <alignment horizontal="center" vertical="center"/>
    </xf>
    <xf numFmtId="0" fontId="181" fillId="0" borderId="8" xfId="0" applyNumberFormat="1" applyFont="1" applyFill="1" applyBorder="1" applyAlignment="1">
      <alignment horizontal="center" vertical="center"/>
    </xf>
    <xf numFmtId="41" fontId="51" fillId="0" borderId="8" xfId="0" applyNumberFormat="1" applyFont="1" applyFill="1" applyBorder="1" applyAlignment="1">
      <alignment horizontal="center" vertical="center"/>
    </xf>
    <xf numFmtId="41" fontId="51" fillId="0" borderId="8" xfId="0" applyNumberFormat="1" applyFont="1" applyFill="1" applyBorder="1" applyAlignment="1">
      <alignment horizontal="right" vertical="center"/>
    </xf>
    <xf numFmtId="42" fontId="181" fillId="0" borderId="8" xfId="0" applyNumberFormat="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42" fontId="102" fillId="0" borderId="8" xfId="91" applyNumberFormat="1" applyFont="1" applyFill="1" applyBorder="1" applyAlignment="1">
      <alignment horizontal="center" vertical="center"/>
    </xf>
    <xf numFmtId="0" fontId="132" fillId="0" borderId="8" xfId="91" applyFont="1" applyFill="1" applyBorder="1" applyAlignment="1">
      <alignment horizontal="center" vertical="center"/>
    </xf>
    <xf numFmtId="0" fontId="102" fillId="0" borderId="8" xfId="90" applyFont="1" applyFill="1" applyBorder="1" applyAlignment="1">
      <alignment horizontal="center" vertical="center"/>
    </xf>
    <xf numFmtId="1" fontId="102" fillId="0" borderId="8" xfId="90" applyNumberFormat="1" applyFont="1" applyFill="1" applyBorder="1" applyAlignment="1">
      <alignment horizontal="center" vertical="center"/>
    </xf>
    <xf numFmtId="178" fontId="255" fillId="0" borderId="0" xfId="0" applyFont="1" applyFill="1"/>
    <xf numFmtId="49" fontId="194" fillId="0" borderId="8" xfId="0" applyNumberFormat="1" applyFont="1" applyFill="1" applyBorder="1" applyAlignment="1">
      <alignment horizontal="center" vertical="center"/>
    </xf>
    <xf numFmtId="178" fontId="255" fillId="0" borderId="8" xfId="0" applyFont="1" applyFill="1" applyBorder="1"/>
    <xf numFmtId="0" fontId="144" fillId="7" borderId="0" xfId="90" applyFont="1" applyFill="1" applyAlignment="1">
      <alignment vertical="center"/>
    </xf>
    <xf numFmtId="0" fontId="148" fillId="7" borderId="8" xfId="0" applyNumberFormat="1" applyFont="1" applyFill="1" applyBorder="1" applyAlignment="1">
      <alignment horizontal="center" vertical="center" wrapText="1"/>
    </xf>
    <xf numFmtId="0" fontId="150" fillId="7" borderId="1" xfId="0" applyNumberFormat="1" applyFont="1" applyFill="1" applyBorder="1" applyAlignment="1">
      <alignment horizontal="center" vertical="center"/>
    </xf>
    <xf numFmtId="44" fontId="141" fillId="7" borderId="8" xfId="90" applyNumberFormat="1" applyFont="1" applyFill="1" applyBorder="1" applyAlignment="1">
      <alignment horizontal="center" vertical="center"/>
    </xf>
    <xf numFmtId="0" fontId="142" fillId="7" borderId="0" xfId="90" applyFill="1"/>
    <xf numFmtId="1" fontId="3" fillId="0" borderId="8" xfId="0" applyNumberFormat="1" applyFont="1" applyBorder="1" applyAlignment="1">
      <alignment horizontal="center" vertical="center"/>
    </xf>
    <xf numFmtId="0" fontId="175" fillId="0" borderId="1" xfId="91" applyNumberFormat="1" applyFont="1" applyFill="1" applyBorder="1" applyAlignment="1" applyProtection="1">
      <alignment horizontal="center" vertical="center" wrapText="1"/>
    </xf>
    <xf numFmtId="0" fontId="175" fillId="0" borderId="4" xfId="91" applyNumberFormat="1" applyFont="1" applyFill="1" applyBorder="1" applyAlignment="1" applyProtection="1">
      <alignment horizontal="center" vertical="center" wrapText="1"/>
    </xf>
    <xf numFmtId="166" fontId="119" fillId="0" borderId="12" xfId="5" applyFont="1" applyFill="1" applyBorder="1" applyAlignment="1">
      <alignment horizontal="right" vertical="center"/>
    </xf>
    <xf numFmtId="166" fontId="132" fillId="0" borderId="12" xfId="5" applyFont="1" applyFill="1" applyBorder="1" applyAlignment="1">
      <alignment horizontal="right" vertical="center"/>
    </xf>
    <xf numFmtId="166" fontId="119" fillId="7" borderId="8" xfId="5" applyFont="1" applyFill="1" applyBorder="1" applyAlignment="1">
      <alignment horizontal="right" vertical="center"/>
    </xf>
    <xf numFmtId="166" fontId="104" fillId="7" borderId="8" xfId="5" applyFont="1" applyFill="1" applyBorder="1" applyAlignment="1">
      <alignment horizontal="center" vertical="center"/>
    </xf>
    <xf numFmtId="166" fontId="127" fillId="7" borderId="8" xfId="5" applyFont="1" applyFill="1" applyBorder="1" applyAlignment="1">
      <alignment horizontal="center" vertical="center"/>
    </xf>
    <xf numFmtId="166" fontId="127" fillId="0" borderId="8" xfId="5" applyFont="1" applyFill="1" applyBorder="1" applyAlignment="1">
      <alignment horizontal="center" vertical="center"/>
    </xf>
    <xf numFmtId="166" fontId="132" fillId="0" borderId="8" xfId="5" applyFont="1" applyFill="1" applyBorder="1" applyAlignment="1">
      <alignment horizontal="right" vertical="center"/>
    </xf>
    <xf numFmtId="166" fontId="119" fillId="0" borderId="8" xfId="5" applyFont="1" applyFill="1" applyBorder="1" applyAlignment="1">
      <alignment horizontal="right" vertical="center"/>
    </xf>
    <xf numFmtId="166" fontId="102" fillId="0" borderId="8" xfId="5" applyFont="1" applyFill="1" applyBorder="1" applyAlignment="1">
      <alignment horizontal="center" vertical="center"/>
    </xf>
    <xf numFmtId="166" fontId="256" fillId="7" borderId="8" xfId="5" applyFont="1" applyFill="1" applyBorder="1" applyAlignment="1">
      <alignment horizontal="center" vertical="center"/>
    </xf>
    <xf numFmtId="166" fontId="102" fillId="7" borderId="8" xfId="5" applyFont="1" applyFill="1" applyBorder="1" applyAlignment="1">
      <alignment horizontal="center" vertical="center"/>
    </xf>
    <xf numFmtId="166" fontId="256" fillId="0" borderId="8" xfId="5" applyFont="1" applyFill="1" applyBorder="1" applyAlignment="1">
      <alignment horizontal="center" vertical="center"/>
    </xf>
    <xf numFmtId="166" fontId="132" fillId="0" borderId="8" xfId="5" applyFont="1" applyFill="1" applyBorder="1" applyAlignment="1">
      <alignment horizontal="center" vertical="center"/>
    </xf>
    <xf numFmtId="166" fontId="132" fillId="7" borderId="8" xfId="5" applyFont="1" applyFill="1" applyBorder="1" applyAlignment="1">
      <alignment horizontal="center" vertical="center"/>
    </xf>
    <xf numFmtId="166" fontId="193" fillId="7" borderId="8" xfId="5" applyFont="1" applyFill="1" applyBorder="1" applyAlignment="1">
      <alignment horizontal="center" vertical="center"/>
    </xf>
    <xf numFmtId="166" fontId="193" fillId="0" borderId="8" xfId="5" applyFont="1" applyFill="1" applyBorder="1" applyAlignment="1">
      <alignment horizontal="center" vertical="center"/>
    </xf>
    <xf numFmtId="178" fontId="175" fillId="7" borderId="12" xfId="0" applyFont="1" applyFill="1" applyBorder="1" applyAlignment="1">
      <alignment horizontal="center" vertical="center"/>
    </xf>
    <xf numFmtId="49" fontId="104" fillId="7" borderId="8" xfId="0" applyNumberFormat="1" applyFont="1" applyFill="1" applyBorder="1" applyAlignment="1">
      <alignment horizontal="center" vertical="center"/>
    </xf>
    <xf numFmtId="0" fontId="155" fillId="7" borderId="1" xfId="91" applyNumberFormat="1" applyFont="1" applyFill="1" applyBorder="1" applyAlignment="1" applyProtection="1">
      <alignment horizontal="center" vertical="center" wrapText="1"/>
    </xf>
    <xf numFmtId="0" fontId="175" fillId="7" borderId="4" xfId="91" applyNumberFormat="1" applyFont="1" applyFill="1" applyBorder="1" applyAlignment="1" applyProtection="1">
      <alignment horizontal="center" vertical="center" wrapText="1"/>
    </xf>
    <xf numFmtId="42" fontId="119" fillId="0" borderId="14" xfId="91" applyNumberFormat="1" applyFont="1" applyFill="1" applyBorder="1" applyAlignment="1">
      <alignment vertical="center"/>
    </xf>
    <xf numFmtId="42" fontId="119" fillId="0" borderId="14" xfId="91" applyNumberFormat="1" applyFont="1" applyFill="1" applyBorder="1" applyAlignment="1">
      <alignment horizontal="center" vertical="center"/>
    </xf>
    <xf numFmtId="42" fontId="119" fillId="7" borderId="14" xfId="91" applyNumberFormat="1" applyFont="1" applyFill="1" applyBorder="1" applyAlignment="1">
      <alignment vertical="center"/>
    </xf>
    <xf numFmtId="0" fontId="132" fillId="7" borderId="4" xfId="0" applyNumberFormat="1" applyFont="1" applyFill="1" applyBorder="1" applyAlignment="1">
      <alignment horizontal="center" vertical="center"/>
    </xf>
    <xf numFmtId="42" fontId="132" fillId="0" borderId="4" xfId="0" applyNumberFormat="1" applyFont="1" applyBorder="1" applyAlignment="1">
      <alignment horizontal="center" vertical="center"/>
    </xf>
    <xf numFmtId="42" fontId="201" fillId="0" borderId="15" xfId="67" applyNumberFormat="1" applyFont="1" applyFill="1" applyBorder="1" applyAlignment="1">
      <alignment horizontal="center" vertical="center" shrinkToFit="1"/>
    </xf>
    <xf numFmtId="0" fontId="178" fillId="17" borderId="8" xfId="91" applyNumberFormat="1" applyFont="1" applyFill="1" applyBorder="1" applyAlignment="1" applyProtection="1">
      <alignment horizontal="center" vertical="center" wrapText="1"/>
    </xf>
    <xf numFmtId="201" fontId="234" fillId="0" borderId="4" xfId="93" applyNumberFormat="1" applyFont="1" applyFill="1" applyBorder="1" applyAlignment="1">
      <alignment horizontal="right" vertical="center"/>
    </xf>
    <xf numFmtId="0" fontId="142" fillId="0" borderId="0" xfId="90" applyFill="1"/>
    <xf numFmtId="44" fontId="132" fillId="0" borderId="4" xfId="0" applyNumberFormat="1" applyFont="1" applyBorder="1" applyAlignment="1">
      <alignment horizontal="center" vertical="center"/>
    </xf>
    <xf numFmtId="44" fontId="132" fillId="7" borderId="4" xfId="0" applyNumberFormat="1" applyFont="1" applyFill="1" applyBorder="1" applyAlignment="1">
      <alignment horizontal="center" vertical="center"/>
    </xf>
    <xf numFmtId="44" fontId="249" fillId="0" borderId="15" xfId="67" applyNumberFormat="1" applyFont="1" applyFill="1" applyBorder="1" applyAlignment="1">
      <alignment horizontal="center" vertical="center" shrinkToFit="1"/>
    </xf>
    <xf numFmtId="166" fontId="132" fillId="0" borderId="4" xfId="5" applyFont="1" applyBorder="1" applyAlignment="1">
      <alignment horizontal="center" vertical="center"/>
    </xf>
    <xf numFmtId="166" fontId="132" fillId="7" borderId="4" xfId="5" applyFont="1" applyFill="1" applyBorder="1" applyAlignment="1">
      <alignment horizontal="center" vertical="center"/>
    </xf>
    <xf numFmtId="166" fontId="249" fillId="0" borderId="15" xfId="67" applyNumberFormat="1" applyFont="1" applyFill="1" applyBorder="1" applyAlignment="1">
      <alignment horizontal="center" vertical="center" shrinkToFit="1"/>
    </xf>
    <xf numFmtId="208" fontId="119" fillId="0" borderId="42" xfId="0" applyNumberFormat="1" applyFont="1" applyFill="1" applyBorder="1" applyAlignment="1">
      <alignment horizontal="center" vertical="center"/>
    </xf>
    <xf numFmtId="44" fontId="168" fillId="14" borderId="8" xfId="93" applyNumberFormat="1" applyFont="1" applyFill="1" applyBorder="1" applyAlignment="1">
      <alignment horizontal="center" vertical="center"/>
    </xf>
    <xf numFmtId="178" fontId="258" fillId="0" borderId="64" xfId="0" applyFont="1" applyBorder="1" applyAlignment="1">
      <alignment horizontal="center" vertical="center"/>
    </xf>
    <xf numFmtId="178" fontId="246" fillId="14" borderId="64" xfId="0" applyFont="1" applyFill="1" applyBorder="1" applyAlignment="1">
      <alignment horizontal="center" vertical="center" wrapText="1"/>
    </xf>
    <xf numFmtId="178" fontId="246" fillId="14" borderId="64" xfId="0" applyFont="1" applyFill="1" applyBorder="1" applyAlignment="1">
      <alignment horizontal="center" vertical="center"/>
    </xf>
    <xf numFmtId="1" fontId="246" fillId="14" borderId="64" xfId="0" applyNumberFormat="1" applyFont="1" applyFill="1" applyBorder="1" applyAlignment="1">
      <alignment horizontal="center" vertical="center"/>
    </xf>
    <xf numFmtId="178" fontId="246" fillId="0" borderId="64" xfId="0" applyFont="1" applyBorder="1" applyAlignment="1">
      <alignment horizontal="center" vertical="center" wrapText="1"/>
    </xf>
    <xf numFmtId="178" fontId="246" fillId="0" borderId="64" xfId="0" applyFont="1" applyBorder="1" applyAlignment="1">
      <alignment horizontal="center" vertical="center"/>
    </xf>
    <xf numFmtId="0" fontId="240" fillId="0" borderId="62" xfId="0" applyNumberFormat="1" applyFont="1" applyBorder="1" applyAlignment="1">
      <alignment horizontal="center" vertical="center"/>
    </xf>
    <xf numFmtId="197" fontId="240" fillId="0" borderId="62" xfId="0" applyNumberFormat="1" applyFont="1" applyBorder="1" applyAlignment="1">
      <alignment horizontal="center" vertical="center"/>
    </xf>
    <xf numFmtId="1" fontId="240" fillId="0" borderId="62" xfId="0" applyNumberFormat="1" applyFont="1" applyBorder="1" applyAlignment="1">
      <alignment horizontal="center" vertical="center"/>
    </xf>
    <xf numFmtId="178" fontId="240" fillId="0" borderId="62" xfId="0" applyFont="1" applyBorder="1" applyAlignment="1">
      <alignment horizontal="center" vertical="center"/>
    </xf>
    <xf numFmtId="0" fontId="219" fillId="0" borderId="1" xfId="0" applyNumberFormat="1" applyFont="1" applyFill="1" applyBorder="1" applyAlignment="1">
      <alignment horizontal="center" vertical="center"/>
    </xf>
    <xf numFmtId="0" fontId="240" fillId="0" borderId="8" xfId="0" applyNumberFormat="1" applyFont="1" applyBorder="1" applyAlignment="1">
      <alignment horizontal="center" vertical="center"/>
    </xf>
    <xf numFmtId="197" fontId="240" fillId="0" borderId="8" xfId="0" applyNumberFormat="1" applyFont="1" applyBorder="1" applyAlignment="1">
      <alignment horizontal="center" vertical="center"/>
    </xf>
    <xf numFmtId="1" fontId="240" fillId="0" borderId="8" xfId="0" applyNumberFormat="1" applyFont="1" applyBorder="1" applyAlignment="1">
      <alignment horizontal="center" vertical="center"/>
    </xf>
    <xf numFmtId="0" fontId="240" fillId="0" borderId="8" xfId="0" quotePrefix="1" applyNumberFormat="1" applyFont="1" applyBorder="1" applyAlignment="1">
      <alignment horizontal="center" vertical="center"/>
    </xf>
    <xf numFmtId="0" fontId="51" fillId="0" borderId="0" xfId="91" applyFont="1" applyFill="1" applyBorder="1"/>
    <xf numFmtId="0" fontId="183" fillId="0" borderId="0" xfId="90" applyFont="1" applyFill="1" applyBorder="1" applyAlignment="1">
      <alignment vertical="center"/>
    </xf>
    <xf numFmtId="4" fontId="103" fillId="0" borderId="0" xfId="0" applyNumberFormat="1" applyFont="1" applyFill="1" applyBorder="1" applyAlignment="1">
      <alignment vertical="center"/>
    </xf>
    <xf numFmtId="44" fontId="181" fillId="7" borderId="8" xfId="93" applyNumberFormat="1" applyFont="1" applyFill="1" applyBorder="1" applyAlignment="1">
      <alignment horizontal="center" vertical="center"/>
    </xf>
    <xf numFmtId="188" fontId="68" fillId="0" borderId="8" xfId="0" applyNumberFormat="1" applyFont="1" applyFill="1" applyBorder="1" applyAlignment="1">
      <alignment horizontal="center" vertical="center"/>
    </xf>
    <xf numFmtId="0" fontId="250" fillId="0" borderId="8" xfId="90" applyNumberFormat="1" applyFont="1" applyFill="1" applyBorder="1" applyAlignment="1">
      <alignment horizontal="center" vertical="center"/>
    </xf>
    <xf numFmtId="188" fontId="68" fillId="7" borderId="8" xfId="0" applyNumberFormat="1" applyFont="1" applyFill="1" applyBorder="1" applyAlignment="1">
      <alignment horizontal="center" vertical="center"/>
    </xf>
    <xf numFmtId="0" fontId="250" fillId="0" borderId="8" xfId="0" applyNumberFormat="1" applyFont="1" applyFill="1" applyBorder="1" applyAlignment="1">
      <alignment horizontal="center" vertical="center"/>
    </xf>
    <xf numFmtId="0" fontId="250" fillId="7" borderId="8" xfId="0" applyNumberFormat="1" applyFont="1" applyFill="1" applyBorder="1" applyAlignment="1">
      <alignment horizontal="center" vertical="center"/>
    </xf>
    <xf numFmtId="0" fontId="68" fillId="7" borderId="8" xfId="0" applyNumberFormat="1" applyFont="1" applyFill="1" applyBorder="1" applyAlignment="1">
      <alignment horizontal="center" vertical="center"/>
    </xf>
    <xf numFmtId="178" fontId="68" fillId="7" borderId="8" xfId="0" applyFont="1" applyFill="1" applyBorder="1" applyAlignment="1">
      <alignment horizontal="center" vertical="center"/>
    </xf>
    <xf numFmtId="0" fontId="68" fillId="0" borderId="8" xfId="0" applyNumberFormat="1" applyFont="1" applyFill="1" applyBorder="1" applyAlignment="1">
      <alignment horizontal="center" vertical="center"/>
    </xf>
    <xf numFmtId="49" fontId="68" fillId="0" borderId="8" xfId="0" applyNumberFormat="1" applyFont="1" applyFill="1" applyBorder="1" applyAlignment="1">
      <alignment horizontal="center" vertical="center"/>
    </xf>
    <xf numFmtId="0" fontId="68" fillId="0" borderId="8" xfId="90" applyNumberFormat="1" applyFont="1" applyFill="1" applyBorder="1" applyAlignment="1">
      <alignment horizontal="center" vertical="center"/>
    </xf>
    <xf numFmtId="186" fontId="168" fillId="0" borderId="8" xfId="91" applyNumberFormat="1" applyFont="1" applyFill="1" applyBorder="1" applyAlignment="1">
      <alignment horizontal="right" vertical="center"/>
    </xf>
    <xf numFmtId="44" fontId="234" fillId="0" borderId="8" xfId="93" applyNumberFormat="1" applyFont="1" applyFill="1" applyBorder="1" applyAlignment="1">
      <alignment horizontal="right" vertical="center"/>
    </xf>
    <xf numFmtId="0" fontId="51" fillId="0" borderId="12" xfId="91" applyBorder="1" applyAlignment="1">
      <alignment vertical="center"/>
    </xf>
    <xf numFmtId="178" fontId="0" fillId="0" borderId="14" xfId="0" applyBorder="1" applyAlignment="1"/>
    <xf numFmtId="166" fontId="0" fillId="0" borderId="14" xfId="5" applyFont="1" applyBorder="1" applyAlignment="1"/>
    <xf numFmtId="0" fontId="51" fillId="0" borderId="14" xfId="91" applyBorder="1" applyAlignment="1">
      <alignment vertical="center"/>
    </xf>
    <xf numFmtId="166" fontId="51" fillId="0" borderId="14" xfId="5" applyFont="1" applyBorder="1" applyAlignment="1">
      <alignment vertical="center"/>
    </xf>
    <xf numFmtId="49" fontId="51" fillId="7" borderId="8" xfId="129" applyNumberFormat="1" applyFont="1" applyFill="1" applyBorder="1" applyAlignment="1">
      <alignment horizontal="center" vertical="center"/>
    </xf>
    <xf numFmtId="0" fontId="210" fillId="7" borderId="8" xfId="131" applyFont="1" applyFill="1" applyBorder="1" applyAlignment="1">
      <alignment horizontal="center" vertical="center"/>
    </xf>
    <xf numFmtId="0" fontId="178" fillId="7" borderId="8" xfId="131" applyFont="1" applyFill="1" applyBorder="1" applyAlignment="1">
      <alignment horizontal="center" vertical="center"/>
    </xf>
    <xf numFmtId="166" fontId="258" fillId="0" borderId="14" xfId="5" applyFont="1" applyBorder="1" applyAlignment="1"/>
    <xf numFmtId="178" fontId="210" fillId="0" borderId="8" xfId="0" quotePrefix="1" applyFont="1" applyFill="1" applyBorder="1" applyAlignment="1" applyProtection="1">
      <alignment horizontal="center" vertical="center"/>
      <protection locked="0"/>
    </xf>
    <xf numFmtId="178" fontId="240" fillId="0" borderId="8" xfId="0" applyFont="1" applyFill="1" applyBorder="1" applyAlignment="1">
      <alignment horizontal="center" vertical="center"/>
    </xf>
    <xf numFmtId="188" fontId="210" fillId="0" borderId="8" xfId="0" applyNumberFormat="1" applyFont="1" applyFill="1" applyBorder="1" applyAlignment="1">
      <alignment horizontal="center" vertical="center"/>
    </xf>
    <xf numFmtId="178" fontId="175" fillId="7" borderId="8" xfId="0" quotePrefix="1" applyFont="1" applyFill="1" applyBorder="1" applyAlignment="1">
      <alignment horizontal="center" vertical="center"/>
    </xf>
    <xf numFmtId="195" fontId="141" fillId="0" borderId="8" xfId="5" applyNumberFormat="1" applyFont="1" applyBorder="1" applyAlignment="1">
      <alignment horizontal="center" vertical="center"/>
    </xf>
    <xf numFmtId="0" fontId="119" fillId="0" borderId="13" xfId="91" applyFont="1" applyFill="1" applyBorder="1" applyAlignment="1">
      <alignment vertical="center"/>
    </xf>
    <xf numFmtId="42" fontId="167" fillId="0" borderId="12" xfId="92" applyNumberFormat="1" applyFont="1" applyFill="1" applyBorder="1" applyAlignment="1">
      <alignment horizontal="center" vertical="center"/>
    </xf>
    <xf numFmtId="0" fontId="68" fillId="0" borderId="0" xfId="90" applyFont="1" applyFill="1" applyAlignment="1">
      <alignment horizontal="center" vertical="center"/>
    </xf>
    <xf numFmtId="0" fontId="259" fillId="0" borderId="0" xfId="90" applyFont="1" applyFill="1" applyAlignment="1">
      <alignment vertical="center"/>
    </xf>
    <xf numFmtId="184" fontId="259" fillId="0" borderId="0" xfId="90" applyNumberFormat="1" applyFont="1" applyFill="1" applyAlignment="1">
      <alignment horizontal="center" vertical="center"/>
    </xf>
    <xf numFmtId="4" fontId="260" fillId="0" borderId="0" xfId="0" applyNumberFormat="1" applyFont="1" applyFill="1" applyBorder="1" applyAlignment="1">
      <alignment vertical="center"/>
    </xf>
    <xf numFmtId="0" fontId="259" fillId="0" borderId="0" xfId="90" applyFont="1" applyFill="1" applyAlignment="1">
      <alignment horizontal="center" vertical="center"/>
    </xf>
    <xf numFmtId="184" fontId="259" fillId="0" borderId="0" xfId="90" applyNumberFormat="1" applyFont="1" applyFill="1" applyAlignment="1">
      <alignment vertical="center"/>
    </xf>
    <xf numFmtId="49" fontId="68" fillId="7" borderId="8" xfId="0" applyNumberFormat="1" applyFont="1" applyFill="1" applyBorder="1" applyAlignment="1">
      <alignment horizontal="center" vertical="center"/>
    </xf>
    <xf numFmtId="0" fontId="259" fillId="7" borderId="0" xfId="90" applyFont="1" applyFill="1" applyAlignment="1">
      <alignment vertical="center"/>
    </xf>
    <xf numFmtId="0" fontId="259" fillId="7" borderId="0" xfId="90" applyFont="1" applyFill="1" applyAlignment="1">
      <alignment horizontal="center" vertical="center"/>
    </xf>
    <xf numFmtId="184" fontId="259" fillId="7" borderId="0" xfId="90" applyNumberFormat="1" applyFont="1" applyFill="1" applyAlignment="1">
      <alignment vertical="center"/>
    </xf>
    <xf numFmtId="4" fontId="260" fillId="7" borderId="0" xfId="0" applyNumberFormat="1" applyFont="1" applyFill="1" applyBorder="1" applyAlignment="1">
      <alignment vertical="center"/>
    </xf>
    <xf numFmtId="0" fontId="68" fillId="0" borderId="0" xfId="91" applyFont="1" applyFill="1"/>
    <xf numFmtId="4" fontId="260" fillId="0" borderId="0" xfId="0" applyNumberFormat="1" applyFont="1" applyFill="1" applyBorder="1" applyAlignment="1">
      <alignment horizontal="center" vertical="center"/>
    </xf>
    <xf numFmtId="0" fontId="259" fillId="0" borderId="0" xfId="90" applyFont="1" applyFill="1" applyBorder="1" applyAlignment="1">
      <alignment horizontal="center" vertical="center"/>
    </xf>
    <xf numFmtId="44" fontId="259" fillId="0" borderId="0" xfId="90" applyNumberFormat="1" applyFont="1" applyFill="1" applyAlignment="1">
      <alignment vertical="center"/>
    </xf>
    <xf numFmtId="0" fontId="51" fillId="0" borderId="8" xfId="91" applyFont="1" applyFill="1" applyBorder="1" applyAlignment="1">
      <alignment horizontal="center" vertical="center"/>
    </xf>
    <xf numFmtId="0" fontId="68" fillId="0" borderId="0" xfId="90" applyFont="1" applyFill="1" applyAlignment="1">
      <alignment horizontal="center" vertical="center"/>
    </xf>
    <xf numFmtId="0" fontId="167" fillId="0" borderId="0" xfId="90" applyFont="1" applyFill="1" applyBorder="1" applyAlignment="1">
      <alignment vertical="center"/>
    </xf>
    <xf numFmtId="0" fontId="68" fillId="0" borderId="0" xfId="90" applyFont="1" applyFill="1" applyBorder="1" applyAlignment="1">
      <alignment horizontal="left" vertical="center"/>
    </xf>
    <xf numFmtId="0" fontId="167" fillId="0" borderId="22" xfId="90" applyFont="1" applyFill="1" applyBorder="1" applyAlignment="1">
      <alignment vertical="center"/>
    </xf>
    <xf numFmtId="0" fontId="68" fillId="0" borderId="0" xfId="90" applyFont="1" applyFill="1" applyBorder="1" applyAlignment="1">
      <alignment horizontal="center" vertical="center"/>
    </xf>
    <xf numFmtId="0" fontId="167" fillId="0" borderId="22" xfId="90" applyFont="1" applyFill="1" applyBorder="1" applyAlignment="1">
      <alignment horizontal="center" vertical="center"/>
    </xf>
    <xf numFmtId="44" fontId="167" fillId="0" borderId="0" xfId="90" applyNumberFormat="1" applyFont="1" applyFill="1" applyBorder="1" applyAlignment="1">
      <alignment vertical="center"/>
    </xf>
    <xf numFmtId="0" fontId="167" fillId="7" borderId="22" xfId="90" applyFont="1" applyFill="1" applyBorder="1" applyAlignment="1">
      <alignment vertical="center"/>
    </xf>
    <xf numFmtId="44" fontId="68" fillId="0" borderId="0" xfId="90" applyNumberFormat="1" applyFont="1" applyFill="1" applyBorder="1" applyAlignment="1">
      <alignment horizontal="left" vertical="center"/>
    </xf>
    <xf numFmtId="0" fontId="142" fillId="0" borderId="0" xfId="90" applyFill="1" applyAlignment="1">
      <alignment horizontal="center" vertical="center"/>
    </xf>
    <xf numFmtId="44" fontId="181" fillId="14" borderId="8" xfId="93" applyNumberFormat="1" applyFont="1" applyFill="1" applyBorder="1" applyAlignment="1">
      <alignment horizontal="center" vertical="center"/>
    </xf>
    <xf numFmtId="49" fontId="51" fillId="0" borderId="8" xfId="0" applyNumberFormat="1" applyFont="1" applyBorder="1" applyAlignment="1">
      <alignment horizontal="center" vertical="center"/>
    </xf>
    <xf numFmtId="188" fontId="51" fillId="0" borderId="8" xfId="0" applyNumberFormat="1" applyFont="1" applyBorder="1" applyAlignment="1">
      <alignment horizontal="center" vertical="center"/>
    </xf>
    <xf numFmtId="178" fontId="261" fillId="0" borderId="0" xfId="0" applyFont="1" applyBorder="1" applyAlignment="1">
      <alignment horizontal="center" vertical="center"/>
    </xf>
    <xf numFmtId="178" fontId="210" fillId="0" borderId="8" xfId="0" applyFont="1" applyBorder="1" applyAlignment="1">
      <alignment horizontal="center" vertical="center"/>
    </xf>
    <xf numFmtId="188" fontId="159" fillId="0" borderId="8" xfId="0" applyNumberFormat="1" applyFont="1" applyBorder="1" applyAlignment="1">
      <alignment horizontal="center" vertical="center"/>
    </xf>
    <xf numFmtId="178" fontId="51" fillId="0" borderId="8" xfId="0" applyFont="1" applyBorder="1" applyAlignment="1">
      <alignment horizontal="center" vertical="center"/>
    </xf>
    <xf numFmtId="166" fontId="262" fillId="0" borderId="14" xfId="5" applyFont="1" applyBorder="1" applyAlignment="1"/>
    <xf numFmtId="0" fontId="102" fillId="7" borderId="8" xfId="91" applyFont="1" applyFill="1" applyBorder="1" applyAlignment="1">
      <alignment horizontal="center" vertical="center"/>
    </xf>
    <xf numFmtId="0" fontId="51" fillId="7" borderId="8" xfId="91" applyFont="1" applyFill="1" applyBorder="1" applyAlignment="1">
      <alignment horizontal="center" vertical="center"/>
    </xf>
    <xf numFmtId="0" fontId="210" fillId="0" borderId="8" xfId="0" applyNumberFormat="1" applyFont="1" applyFill="1" applyBorder="1" applyAlignment="1">
      <alignment horizontal="center" vertical="center"/>
    </xf>
    <xf numFmtId="0" fontId="178" fillId="0" borderId="1" xfId="91" applyNumberFormat="1" applyFont="1" applyFill="1" applyBorder="1" applyAlignment="1" applyProtection="1">
      <alignment horizontal="center" vertical="center" wrapText="1"/>
    </xf>
    <xf numFmtId="0" fontId="178" fillId="0" borderId="4" xfId="91" applyNumberFormat="1" applyFont="1" applyFill="1" applyBorder="1" applyAlignment="1" applyProtection="1">
      <alignment horizontal="center" vertical="center" wrapText="1"/>
    </xf>
    <xf numFmtId="178" fontId="159" fillId="0" borderId="8" xfId="0" quotePrefix="1" applyFont="1" applyBorder="1" applyAlignment="1">
      <alignment horizontal="center" vertical="center"/>
    </xf>
    <xf numFmtId="178" fontId="51" fillId="0" borderId="8" xfId="0" quotePrefix="1" applyFont="1" applyFill="1" applyBorder="1" applyAlignment="1">
      <alignment horizontal="center" vertical="center"/>
    </xf>
    <xf numFmtId="178" fontId="51" fillId="7" borderId="8" xfId="0" quotePrefix="1" applyFont="1" applyFill="1" applyBorder="1" applyAlignment="1">
      <alignment horizontal="center" vertical="center"/>
    </xf>
    <xf numFmtId="0" fontId="178" fillId="0" borderId="8" xfId="0" quotePrefix="1" applyNumberFormat="1" applyFont="1" applyFill="1" applyBorder="1" applyAlignment="1">
      <alignment horizontal="center" vertical="center"/>
    </xf>
    <xf numFmtId="209" fontId="181" fillId="7" borderId="8" xfId="0" applyNumberFormat="1" applyFont="1" applyFill="1" applyBorder="1" applyAlignment="1">
      <alignment horizontal="center" vertical="center"/>
    </xf>
    <xf numFmtId="49" fontId="67" fillId="0" borderId="8" xfId="0" applyNumberFormat="1" applyFont="1" applyBorder="1" applyAlignment="1">
      <alignment horizontal="center" vertical="center"/>
    </xf>
    <xf numFmtId="178" fontId="250" fillId="0" borderId="8" xfId="0" applyFont="1" applyBorder="1" applyAlignment="1">
      <alignment horizontal="center" vertical="center"/>
    </xf>
    <xf numFmtId="49" fontId="159" fillId="0" borderId="8" xfId="0" applyNumberFormat="1" applyFont="1" applyBorder="1" applyAlignment="1">
      <alignment horizontal="center" vertical="center"/>
    </xf>
    <xf numFmtId="178" fontId="185" fillId="0" borderId="8" xfId="0" applyFont="1" applyBorder="1" applyAlignment="1">
      <alignment horizontal="center" vertical="center"/>
    </xf>
    <xf numFmtId="191" fontId="229" fillId="7" borderId="1" xfId="92" applyNumberFormat="1" applyFont="1" applyFill="1" applyBorder="1" applyAlignment="1" applyProtection="1">
      <alignment horizontal="center" vertical="center" wrapText="1"/>
    </xf>
    <xf numFmtId="0" fontId="142" fillId="0" borderId="0" xfId="90" applyFill="1" applyAlignment="1">
      <alignment horizontal="center" vertical="center"/>
    </xf>
    <xf numFmtId="0" fontId="68" fillId="0" borderId="8" xfId="91" applyFont="1" applyFill="1" applyBorder="1" applyAlignment="1">
      <alignment horizontal="center" vertical="center"/>
    </xf>
    <xf numFmtId="196" fontId="132" fillId="0" borderId="14" xfId="91" applyNumberFormat="1" applyFont="1" applyFill="1" applyBorder="1" applyAlignment="1">
      <alignment vertical="center"/>
    </xf>
    <xf numFmtId="44" fontId="191" fillId="7" borderId="0" xfId="90" applyNumberFormat="1" applyFont="1" applyFill="1" applyAlignment="1">
      <alignment vertical="center"/>
    </xf>
    <xf numFmtId="44" fontId="119" fillId="0" borderId="14" xfId="91" applyNumberFormat="1" applyFont="1" applyFill="1" applyBorder="1" applyAlignment="1">
      <alignment vertical="center"/>
    </xf>
    <xf numFmtId="44" fontId="102" fillId="0" borderId="8" xfId="91" applyNumberFormat="1" applyFont="1" applyFill="1" applyBorder="1" applyAlignment="1">
      <alignment horizontal="center" vertical="center"/>
    </xf>
    <xf numFmtId="44" fontId="102" fillId="7" borderId="8" xfId="91" applyNumberFormat="1" applyFont="1" applyFill="1" applyBorder="1" applyAlignment="1">
      <alignment horizontal="center" vertical="center"/>
    </xf>
    <xf numFmtId="44" fontId="132" fillId="0" borderId="8" xfId="92" applyNumberFormat="1" applyFont="1" applyFill="1" applyBorder="1" applyAlignment="1">
      <alignment horizontal="center" vertical="center"/>
    </xf>
    <xf numFmtId="44" fontId="132" fillId="7" borderId="8" xfId="92" applyNumberFormat="1" applyFont="1" applyFill="1" applyBorder="1" applyAlignment="1">
      <alignment horizontal="center" vertical="center"/>
    </xf>
    <xf numFmtId="42" fontId="132" fillId="0" borderId="8" xfId="91" applyNumberFormat="1" applyFont="1" applyFill="1" applyBorder="1" applyAlignment="1">
      <alignment horizontal="center" vertical="center"/>
    </xf>
    <xf numFmtId="42" fontId="132" fillId="7" borderId="8" xfId="91" applyNumberFormat="1" applyFont="1" applyFill="1" applyBorder="1" applyAlignment="1">
      <alignment horizontal="center" vertical="center"/>
    </xf>
    <xf numFmtId="0" fontId="67" fillId="0" borderId="8" xfId="0" applyNumberFormat="1" applyFont="1" applyFill="1" applyBorder="1" applyAlignment="1">
      <alignment horizontal="center" vertical="center"/>
    </xf>
    <xf numFmtId="49" fontId="67" fillId="0" borderId="8" xfId="0" applyNumberFormat="1" applyFont="1" applyFill="1" applyBorder="1" applyAlignment="1">
      <alignment horizontal="center" vertical="center"/>
    </xf>
    <xf numFmtId="180" fontId="132" fillId="0" borderId="8" xfId="93" applyNumberFormat="1" applyFont="1" applyFill="1" applyBorder="1" applyAlignment="1">
      <alignment horizontal="center" vertical="center"/>
    </xf>
    <xf numFmtId="188" fontId="210" fillId="7" borderId="8" xfId="0" applyNumberFormat="1" applyFont="1" applyFill="1" applyBorder="1" applyAlignment="1">
      <alignment horizontal="center" vertical="center"/>
    </xf>
    <xf numFmtId="0" fontId="67" fillId="7" borderId="8" xfId="0" applyNumberFormat="1" applyFont="1" applyFill="1" applyBorder="1" applyAlignment="1">
      <alignment horizontal="center" vertical="center"/>
    </xf>
    <xf numFmtId="49" fontId="67" fillId="7" borderId="8" xfId="0" applyNumberFormat="1" applyFont="1" applyFill="1" applyBorder="1" applyAlignment="1">
      <alignment horizontal="center" vertical="center"/>
    </xf>
    <xf numFmtId="44" fontId="102" fillId="0" borderId="8" xfId="93" applyNumberFormat="1" applyFont="1" applyFill="1" applyBorder="1" applyAlignment="1">
      <alignment horizontal="center" vertical="center"/>
    </xf>
    <xf numFmtId="44" fontId="102" fillId="0" borderId="4" xfId="91" applyNumberFormat="1" applyFont="1" applyFill="1" applyBorder="1" applyAlignment="1">
      <alignment horizontal="center" vertical="center"/>
    </xf>
    <xf numFmtId="49" fontId="104" fillId="0" borderId="8" xfId="0" applyNumberFormat="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178" fontId="104" fillId="0" borderId="8" xfId="0" applyFont="1" applyBorder="1" applyAlignment="1">
      <alignment horizontal="center" vertical="center"/>
    </xf>
    <xf numFmtId="178" fontId="51" fillId="0" borderId="8" xfId="0" applyNumberFormat="1" applyFont="1" applyBorder="1" applyAlignment="1">
      <alignment horizontal="center" vertical="center"/>
    </xf>
    <xf numFmtId="179" fontId="51" fillId="0" borderId="8" xfId="0" quotePrefix="1" applyNumberFormat="1" applyFont="1" applyBorder="1" applyAlignment="1">
      <alignment horizontal="center" vertical="center"/>
    </xf>
    <xf numFmtId="197" fontId="159" fillId="7" borderId="8" xfId="0" applyNumberFormat="1" applyFont="1" applyFill="1" applyBorder="1" applyAlignment="1">
      <alignment horizontal="center" vertical="center"/>
    </xf>
    <xf numFmtId="49" fontId="159" fillId="7" borderId="8" xfId="0" quotePrefix="1" applyNumberFormat="1" applyFont="1" applyFill="1" applyBorder="1" applyAlignment="1">
      <alignment horizontal="center" vertical="center"/>
    </xf>
    <xf numFmtId="49" fontId="104" fillId="7" borderId="8" xfId="0" quotePrefix="1" applyNumberFormat="1" applyFont="1" applyFill="1" applyBorder="1" applyAlignment="1">
      <alignment horizontal="center" vertical="center"/>
    </xf>
    <xf numFmtId="49" fontId="159" fillId="0" borderId="8" xfId="90" applyNumberFormat="1" applyFont="1" applyFill="1" applyBorder="1" applyAlignment="1">
      <alignment horizontal="center" vertical="center"/>
    </xf>
    <xf numFmtId="49" fontId="159" fillId="0" borderId="8" xfId="0" quotePrefix="1" applyNumberFormat="1" applyFont="1" applyFill="1" applyBorder="1" applyAlignment="1">
      <alignment horizontal="center" vertical="center"/>
    </xf>
    <xf numFmtId="49" fontId="104" fillId="0" borderId="8" xfId="0" quotePrefix="1" applyNumberFormat="1" applyFont="1" applyFill="1" applyBorder="1" applyAlignment="1">
      <alignment horizontal="center" vertical="center"/>
    </xf>
    <xf numFmtId="178" fontId="104" fillId="0" borderId="8" xfId="0" quotePrefix="1" applyFont="1" applyFill="1" applyBorder="1" applyAlignment="1">
      <alignment horizontal="center" vertical="center"/>
    </xf>
    <xf numFmtId="188" fontId="178" fillId="0" borderId="8" xfId="0" applyNumberFormat="1" applyFont="1" applyBorder="1" applyAlignment="1">
      <alignment horizontal="center" vertical="center"/>
    </xf>
    <xf numFmtId="178" fontId="178" fillId="0" borderId="8" xfId="0" applyFont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208" fillId="0" borderId="8" xfId="91" applyFont="1" applyFill="1" applyBorder="1" applyAlignment="1">
      <alignment horizontal="center" vertical="center" wrapText="1"/>
    </xf>
    <xf numFmtId="178" fontId="265" fillId="0" borderId="8" xfId="0" applyFont="1" applyBorder="1" applyAlignment="1">
      <alignment horizontal="center" vertical="center"/>
    </xf>
    <xf numFmtId="0" fontId="264" fillId="0" borderId="8" xfId="0" applyNumberFormat="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51" fillId="0" borderId="46" xfId="91" applyFont="1" applyFill="1" applyBorder="1" applyAlignment="1">
      <alignment horizontal="center" vertical="center"/>
    </xf>
    <xf numFmtId="0" fontId="222" fillId="0" borderId="47" xfId="0" applyNumberFormat="1" applyFont="1" applyFill="1" applyBorder="1" applyAlignment="1">
      <alignment horizontal="center" vertical="center"/>
    </xf>
    <xf numFmtId="178" fontId="158" fillId="0" borderId="45" xfId="0" applyFont="1" applyBorder="1" applyAlignment="1">
      <alignment horizontal="center" vertical="center"/>
    </xf>
    <xf numFmtId="49" fontId="68" fillId="0" borderId="8" xfId="0" applyNumberFormat="1" applyFont="1" applyBorder="1" applyAlignment="1">
      <alignment horizontal="center" vertical="center"/>
    </xf>
    <xf numFmtId="210" fontId="102" fillId="0" borderId="8" xfId="0" applyNumberFormat="1" applyFont="1" applyFill="1" applyBorder="1" applyAlignment="1">
      <alignment horizontal="center" vertical="center"/>
    </xf>
    <xf numFmtId="179" fontId="51" fillId="7" borderId="8" xfId="0" quotePrefix="1" applyNumberFormat="1" applyFont="1" applyFill="1" applyBorder="1" applyAlignment="1">
      <alignment horizontal="center" vertical="center"/>
    </xf>
    <xf numFmtId="178" fontId="250" fillId="7" borderId="8" xfId="0" applyFont="1" applyFill="1" applyBorder="1" applyAlignment="1">
      <alignment horizontal="center" vertical="center"/>
    </xf>
    <xf numFmtId="179" fontId="102" fillId="0" borderId="8" xfId="0" applyNumberFormat="1" applyFont="1" applyFill="1" applyBorder="1" applyAlignment="1">
      <alignment horizontal="center" vertical="center"/>
    </xf>
    <xf numFmtId="207" fontId="51" fillId="0" borderId="8" xfId="0" applyNumberFormat="1" applyFont="1" applyBorder="1" applyAlignment="1">
      <alignment horizontal="center" vertical="center"/>
    </xf>
    <xf numFmtId="179" fontId="68" fillId="0" borderId="8" xfId="0" applyNumberFormat="1" applyFont="1" applyBorder="1" applyAlignment="1">
      <alignment horizontal="center" vertical="center"/>
    </xf>
    <xf numFmtId="178" fontId="210" fillId="0" borderId="8" xfId="0" quotePrefix="1" applyFont="1" applyBorder="1" applyAlignment="1">
      <alignment horizontal="center" vertical="center"/>
    </xf>
    <xf numFmtId="178" fontId="185" fillId="0" borderId="1" xfId="0" applyFont="1" applyBorder="1" applyAlignment="1">
      <alignment horizontal="center" vertical="center"/>
    </xf>
    <xf numFmtId="49" fontId="102" fillId="0" borderId="8" xfId="0" applyNumberFormat="1" applyFont="1" applyBorder="1" applyAlignment="1">
      <alignment horizontal="center" vertical="center"/>
    </xf>
    <xf numFmtId="188" fontId="185" fillId="0" borderId="8" xfId="0" applyNumberFormat="1" applyFont="1" applyBorder="1" applyAlignment="1">
      <alignment horizontal="center" vertical="center"/>
    </xf>
    <xf numFmtId="178" fontId="266" fillId="0" borderId="8" xfId="0" applyFont="1" applyBorder="1" applyAlignment="1">
      <alignment horizontal="center" vertical="center"/>
    </xf>
    <xf numFmtId="188" fontId="266" fillId="0" borderId="8" xfId="0" applyNumberFormat="1" applyFont="1" applyBorder="1" applyAlignment="1">
      <alignment horizontal="center" vertical="center"/>
    </xf>
    <xf numFmtId="178" fontId="265" fillId="0" borderId="8" xfId="0" quotePrefix="1" applyFont="1" applyBorder="1" applyAlignment="1">
      <alignment horizontal="center" vertical="center"/>
    </xf>
    <xf numFmtId="179" fontId="68" fillId="0" borderId="8" xfId="0" applyNumberFormat="1" applyFont="1" applyFill="1" applyBorder="1" applyAlignment="1">
      <alignment horizontal="center" vertical="center"/>
    </xf>
    <xf numFmtId="178" fontId="159" fillId="0" borderId="8" xfId="0" applyFont="1" applyBorder="1" applyAlignment="1">
      <alignment horizontal="center" vertical="center"/>
    </xf>
    <xf numFmtId="178" fontId="194" fillId="0" borderId="8" xfId="0" quotePrefix="1" applyFont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167" fillId="0" borderId="0" xfId="90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179" fontId="159" fillId="0" borderId="8" xfId="0" applyNumberFormat="1" applyFont="1" applyBorder="1" applyAlignment="1">
      <alignment horizontal="center" vertical="center"/>
    </xf>
    <xf numFmtId="178" fontId="185" fillId="0" borderId="8" xfId="0" quotePrefix="1" applyFont="1" applyBorder="1" applyAlignment="1">
      <alignment horizontal="center" vertical="center"/>
    </xf>
    <xf numFmtId="180" fontId="159" fillId="0" borderId="8" xfId="93" applyNumberFormat="1" applyFont="1" applyFill="1" applyBorder="1" applyAlignment="1">
      <alignment horizontal="center" vertical="center"/>
    </xf>
    <xf numFmtId="180" fontId="159" fillId="7" borderId="8" xfId="93" applyNumberFormat="1" applyFont="1" applyFill="1" applyBorder="1" applyAlignment="1">
      <alignment horizontal="center" vertical="center"/>
    </xf>
    <xf numFmtId="180" fontId="132" fillId="7" borderId="8" xfId="93" applyNumberFormat="1" applyFont="1" applyFill="1" applyBorder="1" applyAlignment="1">
      <alignment horizontal="center" vertical="center"/>
    </xf>
    <xf numFmtId="0" fontId="102" fillId="0" borderId="4" xfId="91" applyFont="1" applyFill="1" applyBorder="1" applyAlignment="1">
      <alignment horizontal="center" vertical="center"/>
    </xf>
    <xf numFmtId="210" fontId="157" fillId="0" borderId="8" xfId="0" applyNumberFormat="1" applyFont="1" applyFill="1" applyBorder="1" applyAlignment="1">
      <alignment horizontal="center" vertical="center"/>
    </xf>
    <xf numFmtId="210" fontId="102" fillId="7" borderId="8" xfId="0" applyNumberFormat="1" applyFont="1" applyFill="1" applyBorder="1" applyAlignment="1">
      <alignment horizontal="center" vertical="center"/>
    </xf>
    <xf numFmtId="210" fontId="51" fillId="7" borderId="8" xfId="0" applyNumberFormat="1" applyFont="1" applyFill="1" applyBorder="1" applyAlignment="1">
      <alignment horizontal="center" vertical="center"/>
    </xf>
    <xf numFmtId="210" fontId="51" fillId="0" borderId="8" xfId="0" applyNumberFormat="1" applyFont="1" applyFill="1" applyBorder="1" applyAlignment="1">
      <alignment horizontal="center" vertical="center"/>
    </xf>
    <xf numFmtId="210" fontId="51" fillId="0" borderId="8" xfId="0" applyNumberFormat="1" applyFont="1" applyBorder="1" applyAlignment="1">
      <alignment horizontal="center" vertical="center"/>
    </xf>
    <xf numFmtId="210" fontId="159" fillId="0" borderId="8" xfId="0" applyNumberFormat="1" applyFont="1" applyFill="1" applyBorder="1" applyAlignment="1">
      <alignment horizontal="center" vertical="center"/>
    </xf>
    <xf numFmtId="210" fontId="159" fillId="7" borderId="8" xfId="0" applyNumberFormat="1" applyFont="1" applyFill="1" applyBorder="1" applyAlignment="1">
      <alignment horizontal="center" vertical="center"/>
    </xf>
    <xf numFmtId="210" fontId="159" fillId="0" borderId="8" xfId="0" applyNumberFormat="1" applyFont="1" applyBorder="1" applyAlignment="1">
      <alignment horizontal="center" vertical="center"/>
    </xf>
    <xf numFmtId="210" fontId="102" fillId="0" borderId="8" xfId="0" applyNumberFormat="1" applyFont="1" applyBorder="1" applyAlignment="1">
      <alignment horizontal="center" vertical="center"/>
    </xf>
    <xf numFmtId="210" fontId="141" fillId="0" borderId="8" xfId="0" applyNumberFormat="1" applyFont="1" applyFill="1" applyBorder="1" applyAlignment="1">
      <alignment horizontal="center" vertical="center"/>
    </xf>
    <xf numFmtId="210" fontId="157" fillId="7" borderId="8" xfId="0" applyNumberFormat="1" applyFont="1" applyFill="1" applyBorder="1" applyAlignment="1">
      <alignment horizontal="center" vertical="center"/>
    </xf>
    <xf numFmtId="210" fontId="102" fillId="0" borderId="8" xfId="90" applyNumberFormat="1" applyFont="1" applyFill="1" applyBorder="1" applyAlignment="1">
      <alignment horizontal="center" vertical="center"/>
    </xf>
    <xf numFmtId="178" fontId="177" fillId="7" borderId="48" xfId="0" applyFont="1" applyFill="1" applyBorder="1" applyAlignment="1">
      <alignment horizontal="center" vertical="center"/>
    </xf>
    <xf numFmtId="210" fontId="104" fillId="0" borderId="8" xfId="0" applyNumberFormat="1" applyFont="1" applyBorder="1" applyAlignment="1">
      <alignment horizontal="center" vertical="center"/>
    </xf>
    <xf numFmtId="210" fontId="104" fillId="7" borderId="8" xfId="0" applyNumberFormat="1" applyFont="1" applyFill="1" applyBorder="1" applyAlignment="1">
      <alignment horizontal="center" vertical="center"/>
    </xf>
    <xf numFmtId="178" fontId="102" fillId="0" borderId="8" xfId="0" applyFont="1" applyBorder="1" applyAlignment="1">
      <alignment horizontal="center" vertical="center"/>
    </xf>
    <xf numFmtId="178" fontId="157" fillId="0" borderId="8" xfId="0" applyFont="1" applyBorder="1" applyAlignment="1">
      <alignment horizontal="center" vertical="center"/>
    </xf>
    <xf numFmtId="49" fontId="194" fillId="0" borderId="8" xfId="0" applyNumberFormat="1" applyFont="1" applyBorder="1" applyAlignment="1">
      <alignment horizontal="center" vertical="center"/>
    </xf>
    <xf numFmtId="210" fontId="267" fillId="0" borderId="46" xfId="0" applyNumberFormat="1" applyFont="1" applyFill="1" applyBorder="1" applyAlignment="1">
      <alignment horizontal="center" vertical="center"/>
    </xf>
    <xf numFmtId="210" fontId="267" fillId="0" borderId="47" xfId="0" applyNumberFormat="1" applyFont="1" applyFill="1" applyBorder="1" applyAlignment="1">
      <alignment horizontal="center" vertical="center"/>
    </xf>
    <xf numFmtId="210" fontId="157" fillId="0" borderId="45" xfId="0" applyNumberFormat="1" applyFont="1" applyFill="1" applyBorder="1" applyAlignment="1">
      <alignment horizontal="center" vertical="center"/>
    </xf>
    <xf numFmtId="210" fontId="157" fillId="0" borderId="47" xfId="0" applyNumberFormat="1" applyFont="1" applyBorder="1" applyAlignment="1">
      <alignment horizontal="center" vertical="center"/>
    </xf>
    <xf numFmtId="210" fontId="157" fillId="0" borderId="47" xfId="0" applyNumberFormat="1" applyFont="1" applyFill="1" applyBorder="1" applyAlignment="1">
      <alignment horizontal="center" vertical="center"/>
    </xf>
    <xf numFmtId="178" fontId="141" fillId="0" borderId="47" xfId="0" applyFont="1" applyBorder="1" applyAlignment="1">
      <alignment horizontal="center" vertical="center"/>
    </xf>
    <xf numFmtId="178" fontId="141" fillId="0" borderId="47" xfId="0" applyFont="1" applyFill="1" applyBorder="1" applyAlignment="1">
      <alignment horizontal="center" vertical="center"/>
    </xf>
    <xf numFmtId="210" fontId="157" fillId="0" borderId="45" xfId="0" applyNumberFormat="1" applyFont="1" applyBorder="1" applyAlignment="1">
      <alignment horizontal="center" vertical="center"/>
    </xf>
    <xf numFmtId="178" fontId="157" fillId="0" borderId="45" xfId="0" applyFont="1" applyBorder="1" applyAlignment="1">
      <alignment horizontal="center" vertical="center"/>
    </xf>
    <xf numFmtId="178" fontId="141" fillId="0" borderId="45" xfId="0" applyFont="1" applyBorder="1" applyAlignment="1">
      <alignment horizontal="center" vertical="center"/>
    </xf>
    <xf numFmtId="49" fontId="194" fillId="0" borderId="45" xfId="0" applyNumberFormat="1" applyFont="1" applyBorder="1" applyAlignment="1">
      <alignment horizontal="center" vertical="center"/>
    </xf>
    <xf numFmtId="49" fontId="194" fillId="0" borderId="47" xfId="0" applyNumberFormat="1" applyFont="1" applyBorder="1" applyAlignment="1">
      <alignment horizontal="center" vertical="center"/>
    </xf>
    <xf numFmtId="49" fontId="194" fillId="0" borderId="47" xfId="0" applyNumberFormat="1" applyFont="1" applyFill="1" applyBorder="1" applyAlignment="1">
      <alignment horizontal="center" vertical="center"/>
    </xf>
    <xf numFmtId="210" fontId="157" fillId="0" borderId="8" xfId="0" applyNumberFormat="1" applyFont="1" applyBorder="1" applyAlignment="1">
      <alignment horizontal="center" vertical="center"/>
    </xf>
    <xf numFmtId="210" fontId="267" fillId="0" borderId="45" xfId="0" applyNumberFormat="1" applyFont="1" applyFill="1" applyBorder="1" applyAlignment="1">
      <alignment horizontal="center" vertical="center"/>
    </xf>
    <xf numFmtId="0" fontId="102" fillId="0" borderId="8" xfId="90" applyNumberFormat="1" applyFont="1" applyFill="1" applyBorder="1" applyAlignment="1">
      <alignment horizontal="center" vertical="center"/>
    </xf>
    <xf numFmtId="178" fontId="157" fillId="0" borderId="8" xfId="0" applyFont="1" applyFill="1" applyBorder="1" applyAlignment="1">
      <alignment horizontal="center" vertical="center"/>
    </xf>
    <xf numFmtId="178" fontId="157" fillId="0" borderId="45" xfId="0" applyFont="1" applyFill="1" applyBorder="1" applyAlignment="1">
      <alignment horizontal="center" vertical="center"/>
    </xf>
    <xf numFmtId="0" fontId="102" fillId="7" borderId="8" xfId="0" applyNumberFormat="1" applyFont="1" applyFill="1" applyBorder="1" applyAlignment="1">
      <alignment horizontal="center" vertical="center"/>
    </xf>
    <xf numFmtId="49" fontId="157" fillId="0" borderId="45" xfId="0" applyNumberFormat="1" applyFont="1" applyFill="1" applyBorder="1" applyAlignment="1">
      <alignment horizontal="center" vertical="center"/>
    </xf>
    <xf numFmtId="0" fontId="178" fillId="0" borderId="8" xfId="90" applyNumberFormat="1" applyFont="1" applyFill="1" applyBorder="1" applyAlignment="1">
      <alignment horizontal="center" vertical="center"/>
    </xf>
    <xf numFmtId="178" fontId="194" fillId="0" borderId="45" xfId="0" applyFont="1" applyFill="1" applyBorder="1" applyAlignment="1">
      <alignment horizontal="center" vertical="center"/>
    </xf>
    <xf numFmtId="49" fontId="189" fillId="0" borderId="45" xfId="0" applyNumberFormat="1" applyFont="1" applyBorder="1" applyAlignment="1">
      <alignment horizontal="center" vertical="center"/>
    </xf>
    <xf numFmtId="178" fontId="189" fillId="0" borderId="45" xfId="0" applyFont="1" applyFill="1" applyBorder="1" applyAlignment="1">
      <alignment horizontal="center" vertical="center"/>
    </xf>
    <xf numFmtId="0" fontId="189" fillId="0" borderId="45" xfId="0" applyNumberFormat="1" applyFont="1" applyFill="1" applyBorder="1" applyAlignment="1">
      <alignment horizontal="center" vertical="center"/>
    </xf>
    <xf numFmtId="178" fontId="253" fillId="0" borderId="45" xfId="0" applyFont="1" applyBorder="1" applyAlignment="1">
      <alignment horizontal="center" vertical="center"/>
    </xf>
    <xf numFmtId="178" fontId="253" fillId="7" borderId="58" xfId="0" applyFont="1" applyFill="1" applyBorder="1" applyAlignment="1">
      <alignment horizontal="center" vertical="center"/>
    </xf>
    <xf numFmtId="49" fontId="253" fillId="0" borderId="45" xfId="0" applyNumberFormat="1" applyFont="1" applyFill="1" applyBorder="1" applyAlignment="1">
      <alignment horizontal="center" vertical="center"/>
    </xf>
    <xf numFmtId="210" fontId="141" fillId="0" borderId="8" xfId="0" applyNumberFormat="1" applyFont="1" applyBorder="1" applyAlignment="1">
      <alignment horizontal="center" vertical="center"/>
    </xf>
    <xf numFmtId="0" fontId="194" fillId="0" borderId="8" xfId="0" applyNumberFormat="1" applyFont="1" applyFill="1" applyBorder="1" applyAlignment="1">
      <alignment horizontal="center" vertical="center"/>
    </xf>
    <xf numFmtId="49" fontId="189" fillId="0" borderId="8" xfId="0" applyNumberFormat="1" applyFont="1" applyBorder="1" applyAlignment="1">
      <alignment horizontal="center" vertical="center"/>
    </xf>
    <xf numFmtId="178" fontId="158" fillId="0" borderId="8" xfId="0" applyFont="1" applyBorder="1" applyAlignment="1">
      <alignment horizontal="center" vertical="center"/>
    </xf>
    <xf numFmtId="210" fontId="141" fillId="7" borderId="8" xfId="0" applyNumberFormat="1" applyFont="1" applyFill="1" applyBorder="1" applyAlignment="1">
      <alignment horizontal="center" vertical="center"/>
    </xf>
    <xf numFmtId="210" fontId="157" fillId="0" borderId="56" xfId="0" applyNumberFormat="1" applyFont="1" applyBorder="1" applyAlignment="1">
      <alignment horizontal="center" vertical="center"/>
    </xf>
    <xf numFmtId="210" fontId="157" fillId="0" borderId="52" xfId="0" applyNumberFormat="1" applyFont="1" applyBorder="1" applyAlignment="1">
      <alignment horizontal="center" vertical="center"/>
    </xf>
    <xf numFmtId="210" fontId="157" fillId="0" borderId="48" xfId="0" applyNumberFormat="1" applyFont="1" applyBorder="1" applyAlignment="1">
      <alignment horizontal="center" vertical="center"/>
    </xf>
    <xf numFmtId="210" fontId="102" fillId="0" borderId="48" xfId="0" applyNumberFormat="1" applyFont="1" applyBorder="1" applyAlignment="1">
      <alignment horizontal="center" vertical="center"/>
    </xf>
    <xf numFmtId="178" fontId="253" fillId="0" borderId="47" xfId="0" applyFont="1" applyBorder="1" applyAlignment="1">
      <alignment horizontal="center" vertical="center"/>
    </xf>
    <xf numFmtId="178" fontId="253" fillId="0" borderId="56" xfId="0" applyFont="1" applyBorder="1" applyAlignment="1">
      <alignment horizontal="center" vertical="center"/>
    </xf>
    <xf numFmtId="178" fontId="253" fillId="0" borderId="52" xfId="0" applyFont="1" applyBorder="1" applyAlignment="1">
      <alignment horizontal="center" vertical="center"/>
    </xf>
    <xf numFmtId="178" fontId="253" fillId="0" borderId="47" xfId="0" applyFont="1" applyFill="1" applyBorder="1" applyAlignment="1">
      <alignment horizontal="center" vertical="center"/>
    </xf>
    <xf numFmtId="178" fontId="68" fillId="0" borderId="47" xfId="0" applyFont="1" applyFill="1" applyBorder="1" applyAlignment="1">
      <alignment horizontal="center" vertical="center"/>
    </xf>
    <xf numFmtId="49" fontId="194" fillId="0" borderId="56" xfId="0" applyNumberFormat="1" applyFont="1" applyBorder="1" applyAlignment="1">
      <alignment horizontal="center" vertical="center"/>
    </xf>
    <xf numFmtId="49" fontId="194" fillId="0" borderId="52" xfId="0" applyNumberFormat="1" applyFont="1" applyBorder="1" applyAlignment="1">
      <alignment horizontal="center" vertical="center"/>
    </xf>
    <xf numFmtId="49" fontId="178" fillId="0" borderId="47" xfId="0" applyNumberFormat="1" applyFont="1" applyFill="1" applyBorder="1" applyAlignment="1">
      <alignment horizontal="center" vertical="center"/>
    </xf>
    <xf numFmtId="178" fontId="158" fillId="0" borderId="8" xfId="0" applyFont="1" applyFill="1" applyBorder="1" applyAlignment="1">
      <alignment horizontal="center" vertical="center"/>
    </xf>
    <xf numFmtId="178" fontId="158" fillId="7" borderId="8" xfId="0" applyFont="1" applyFill="1" applyBorder="1" applyAlignment="1">
      <alignment horizontal="center" vertical="center"/>
    </xf>
    <xf numFmtId="49" fontId="189" fillId="0" borderId="8" xfId="0" applyNumberFormat="1" applyFont="1" applyFill="1" applyBorder="1" applyAlignment="1">
      <alignment horizontal="center" vertical="center"/>
    </xf>
    <xf numFmtId="49" fontId="194" fillId="7" borderId="8" xfId="0" applyNumberFormat="1" applyFont="1" applyFill="1" applyBorder="1" applyAlignment="1">
      <alignment horizontal="center" vertical="center"/>
    </xf>
    <xf numFmtId="178" fontId="194" fillId="0" borderId="8" xfId="0" applyFont="1" applyFill="1" applyBorder="1" applyAlignment="1">
      <alignment horizontal="center" vertical="center"/>
    </xf>
    <xf numFmtId="210" fontId="141" fillId="0" borderId="1" xfId="0" applyNumberFormat="1" applyFont="1" applyBorder="1" applyAlignment="1">
      <alignment horizontal="center" vertical="center"/>
    </xf>
    <xf numFmtId="178" fontId="158" fillId="7" borderId="1" xfId="0" applyFont="1" applyFill="1" applyBorder="1" applyAlignment="1">
      <alignment horizontal="center" vertical="center"/>
    </xf>
    <xf numFmtId="49" fontId="189" fillId="7" borderId="1" xfId="0" applyNumberFormat="1" applyFont="1" applyFill="1" applyBorder="1" applyAlignment="1">
      <alignment horizontal="center" vertical="center"/>
    </xf>
    <xf numFmtId="49" fontId="189" fillId="7" borderId="8" xfId="0" applyNumberFormat="1" applyFont="1" applyFill="1" applyBorder="1" applyAlignment="1">
      <alignment horizontal="center" vertical="center"/>
    </xf>
    <xf numFmtId="178" fontId="189" fillId="0" borderId="8" xfId="0" applyFont="1" applyFill="1" applyBorder="1" applyAlignment="1">
      <alignment horizontal="center" vertical="center"/>
    </xf>
    <xf numFmtId="210" fontId="141" fillId="0" borderId="45" xfId="0" applyNumberFormat="1" applyFont="1" applyBorder="1" applyAlignment="1">
      <alignment horizontal="center" vertical="center"/>
    </xf>
    <xf numFmtId="210" fontId="141" fillId="0" borderId="45" xfId="0" applyNumberFormat="1" applyFont="1" applyFill="1" applyBorder="1" applyAlignment="1">
      <alignment horizontal="center" vertical="center"/>
    </xf>
    <xf numFmtId="210" fontId="141" fillId="0" borderId="48" xfId="0" applyNumberFormat="1" applyFont="1" applyBorder="1" applyAlignment="1">
      <alignment horizontal="center" vertical="center"/>
    </xf>
    <xf numFmtId="210" fontId="159" fillId="7" borderId="45" xfId="0" applyNumberFormat="1" applyFont="1" applyFill="1" applyBorder="1" applyAlignment="1">
      <alignment horizontal="center" vertical="center"/>
    </xf>
    <xf numFmtId="178" fontId="158" fillId="0" borderId="45" xfId="0" applyFont="1" applyFill="1" applyBorder="1" applyAlignment="1">
      <alignment horizontal="center" vertical="center"/>
    </xf>
    <xf numFmtId="178" fontId="158" fillId="0" borderId="53" xfId="0" applyFont="1" applyBorder="1" applyAlignment="1">
      <alignment horizontal="center" vertical="center"/>
    </xf>
    <xf numFmtId="178" fontId="158" fillId="0" borderId="53" xfId="0" applyFont="1" applyFill="1" applyBorder="1" applyAlignment="1">
      <alignment horizontal="center" vertical="center"/>
    </xf>
    <xf numFmtId="178" fontId="51" fillId="7" borderId="45" xfId="0" applyFont="1" applyFill="1" applyBorder="1" applyAlignment="1">
      <alignment horizontal="center" vertical="center"/>
    </xf>
    <xf numFmtId="49" fontId="189" fillId="0" borderId="45" xfId="0" applyNumberFormat="1" applyFont="1" applyFill="1" applyBorder="1" applyAlignment="1">
      <alignment horizontal="center" vertical="center"/>
    </xf>
    <xf numFmtId="49" fontId="189" fillId="0" borderId="52" xfId="0" applyNumberFormat="1" applyFont="1" applyBorder="1" applyAlignment="1">
      <alignment horizontal="center" vertical="center"/>
    </xf>
    <xf numFmtId="49" fontId="185" fillId="7" borderId="45" xfId="0" applyNumberFormat="1" applyFont="1" applyFill="1" applyBorder="1" applyAlignment="1">
      <alignment horizontal="center" vertical="center"/>
    </xf>
    <xf numFmtId="210" fontId="158" fillId="7" borderId="8" xfId="0" applyNumberFormat="1" applyFont="1" applyFill="1" applyBorder="1" applyAlignment="1">
      <alignment horizontal="center" vertical="center"/>
    </xf>
    <xf numFmtId="178" fontId="194" fillId="7" borderId="8" xfId="0" applyFont="1" applyFill="1" applyBorder="1" applyAlignment="1">
      <alignment horizontal="center" vertical="center"/>
    </xf>
    <xf numFmtId="203" fontId="159" fillId="0" borderId="8" xfId="0" applyNumberFormat="1" applyFont="1" applyBorder="1" applyAlignment="1">
      <alignment horizontal="center" vertical="center"/>
    </xf>
    <xf numFmtId="203" fontId="51" fillId="0" borderId="8" xfId="0" applyNumberFormat="1" applyFont="1" applyBorder="1" applyAlignment="1">
      <alignment horizontal="center" vertical="center"/>
    </xf>
    <xf numFmtId="203" fontId="51" fillId="0" borderId="8" xfId="90" applyNumberFormat="1" applyFont="1" applyFill="1" applyBorder="1" applyAlignment="1">
      <alignment horizontal="center" vertical="center"/>
    </xf>
    <xf numFmtId="203" fontId="158" fillId="7" borderId="8" xfId="0" applyNumberFormat="1" applyFont="1" applyFill="1" applyBorder="1" applyAlignment="1">
      <alignment horizontal="center" vertical="center"/>
    </xf>
    <xf numFmtId="203" fontId="263" fillId="0" borderId="1" xfId="0" applyNumberFormat="1" applyFont="1" applyBorder="1" applyAlignment="1">
      <alignment horizontal="center" vertical="center"/>
    </xf>
    <xf numFmtId="210" fontId="51" fillId="0" borderId="8" xfId="90" applyNumberFormat="1" applyFont="1" applyFill="1" applyBorder="1" applyAlignment="1">
      <alignment horizontal="center" vertical="center"/>
    </xf>
    <xf numFmtId="210" fontId="158" fillId="0" borderId="8" xfId="0" applyNumberFormat="1" applyFont="1" applyFill="1" applyBorder="1" applyAlignment="1">
      <alignment horizontal="center" vertical="center"/>
    </xf>
    <xf numFmtId="188" fontId="158" fillId="0" borderId="8" xfId="91" applyNumberFormat="1" applyFont="1" applyFill="1" applyBorder="1" applyAlignment="1">
      <alignment horizontal="center" vertical="center"/>
    </xf>
    <xf numFmtId="210" fontId="158" fillId="0" borderId="8" xfId="91" applyNumberFormat="1" applyFont="1" applyFill="1" applyBorder="1" applyAlignment="1">
      <alignment horizontal="center" vertical="center"/>
    </xf>
    <xf numFmtId="210" fontId="51" fillId="0" borderId="8" xfId="91" applyNumberFormat="1" applyFont="1" applyFill="1" applyBorder="1" applyAlignment="1">
      <alignment horizontal="center" vertical="center"/>
    </xf>
    <xf numFmtId="210" fontId="51" fillId="0" borderId="1" xfId="0" applyNumberFormat="1" applyFont="1" applyFill="1" applyBorder="1" applyAlignment="1">
      <alignment horizontal="center" vertical="center"/>
    </xf>
    <xf numFmtId="210" fontId="144" fillId="0" borderId="8" xfId="0" applyNumberFormat="1" applyFont="1" applyBorder="1" applyAlignment="1">
      <alignment horizontal="center" vertical="center"/>
    </xf>
    <xf numFmtId="210" fontId="144" fillId="0" borderId="8" xfId="0" applyNumberFormat="1" applyFont="1" applyFill="1" applyBorder="1" applyAlignment="1">
      <alignment horizontal="center" vertical="center"/>
    </xf>
    <xf numFmtId="0" fontId="51" fillId="7" borderId="8" xfId="0" applyNumberFormat="1" applyFont="1" applyFill="1" applyBorder="1" applyAlignment="1">
      <alignment horizontal="center" vertical="center"/>
    </xf>
    <xf numFmtId="0" fontId="51" fillId="0" borderId="8" xfId="90" applyNumberFormat="1" applyFont="1" applyFill="1" applyBorder="1" applyAlignment="1">
      <alignment horizontal="center" vertical="center"/>
    </xf>
    <xf numFmtId="0" fontId="158" fillId="0" borderId="8" xfId="0" applyNumberFormat="1" applyFont="1" applyFill="1" applyBorder="1" applyAlignment="1">
      <alignment horizontal="center" vertical="center"/>
    </xf>
    <xf numFmtId="49" fontId="51" fillId="0" borderId="1" xfId="0" applyNumberFormat="1" applyFont="1" applyBorder="1" applyAlignment="1">
      <alignment horizontal="center" vertical="center"/>
    </xf>
    <xf numFmtId="0" fontId="51" fillId="0" borderId="4" xfId="0" applyNumberFormat="1" applyFont="1" applyFill="1" applyBorder="1" applyAlignment="1">
      <alignment horizontal="center" vertical="center"/>
    </xf>
    <xf numFmtId="0" fontId="158" fillId="7" borderId="12" xfId="0" applyNumberFormat="1" applyFont="1" applyFill="1" applyBorder="1" applyAlignment="1">
      <alignment horizontal="center" vertical="center"/>
    </xf>
    <xf numFmtId="188" fontId="67" fillId="0" borderId="8" xfId="0" applyNumberFormat="1" applyFont="1" applyFill="1" applyBorder="1" applyAlignment="1">
      <alignment horizontal="center" vertical="center"/>
    </xf>
    <xf numFmtId="178" fontId="67" fillId="0" borderId="8" xfId="0" applyFont="1" applyBorder="1" applyAlignment="1">
      <alignment horizontal="center" vertical="center"/>
    </xf>
    <xf numFmtId="44" fontId="268" fillId="0" borderId="8" xfId="91" applyNumberFormat="1" applyFont="1" applyFill="1" applyBorder="1" applyAlignment="1">
      <alignment horizontal="center" vertical="center"/>
    </xf>
    <xf numFmtId="0" fontId="224" fillId="0" borderId="46" xfId="0" applyNumberFormat="1" applyFont="1" applyFill="1" applyBorder="1" applyAlignment="1">
      <alignment horizontal="center" vertical="center" wrapText="1"/>
    </xf>
    <xf numFmtId="0" fontId="224" fillId="0" borderId="47" xfId="0" applyNumberFormat="1" applyFont="1" applyFill="1" applyBorder="1" applyAlignment="1">
      <alignment horizontal="center" vertical="center" wrapText="1"/>
    </xf>
    <xf numFmtId="0" fontId="167" fillId="0" borderId="0" xfId="90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222" fillId="7" borderId="8" xfId="0" applyNumberFormat="1" applyFont="1" applyFill="1" applyBorder="1" applyAlignment="1">
      <alignment horizontal="center" vertical="center"/>
    </xf>
    <xf numFmtId="210" fontId="144" fillId="7" borderId="8" xfId="0" applyNumberFormat="1" applyFont="1" applyFill="1" applyBorder="1" applyAlignment="1">
      <alignment horizontal="center" vertical="center"/>
    </xf>
    <xf numFmtId="15" fontId="178" fillId="7" borderId="8" xfId="0" applyNumberFormat="1" applyFont="1" applyFill="1" applyBorder="1" applyAlignment="1">
      <alignment horizontal="center" vertical="center" wrapText="1"/>
    </xf>
    <xf numFmtId="203" fontId="141" fillId="7" borderId="8" xfId="90" applyNumberFormat="1" applyFont="1" applyFill="1" applyBorder="1" applyAlignment="1">
      <alignment horizontal="center" vertical="center"/>
    </xf>
    <xf numFmtId="15" fontId="175" fillId="7" borderId="8" xfId="91" applyNumberFormat="1" applyFont="1" applyFill="1" applyBorder="1" applyAlignment="1">
      <alignment horizontal="center" vertical="center"/>
    </xf>
    <xf numFmtId="178" fontId="159" fillId="7" borderId="8" xfId="0" quotePrefix="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142" fillId="0" borderId="0" xfId="90" applyFill="1" applyAlignment="1">
      <alignment horizontal="center" vertical="center"/>
    </xf>
    <xf numFmtId="196" fontId="132" fillId="7" borderId="8" xfId="91" applyNumberFormat="1" applyFont="1" applyFill="1" applyBorder="1" applyAlignment="1">
      <alignment horizontal="center" vertical="center"/>
    </xf>
    <xf numFmtId="180" fontId="159" fillId="0" borderId="4" xfId="93" applyNumberFormat="1" applyFont="1" applyFill="1" applyBorder="1" applyAlignment="1">
      <alignment horizontal="center" vertical="center"/>
    </xf>
    <xf numFmtId="0" fontId="159" fillId="0" borderId="4" xfId="91" applyFont="1" applyFill="1" applyBorder="1" applyAlignment="1">
      <alignment horizontal="center" vertical="center"/>
    </xf>
    <xf numFmtId="0" fontId="51" fillId="0" borderId="8" xfId="90" applyFont="1" applyFill="1" applyBorder="1" applyAlignment="1">
      <alignment horizontal="center" vertical="center"/>
    </xf>
    <xf numFmtId="188" fontId="67" fillId="7" borderId="8" xfId="0" applyNumberFormat="1" applyFont="1" applyFill="1" applyBorder="1" applyAlignment="1">
      <alignment horizontal="center" vertical="center"/>
    </xf>
    <xf numFmtId="178" fontId="67" fillId="7" borderId="8" xfId="0" applyFont="1" applyFill="1" applyBorder="1" applyAlignment="1">
      <alignment horizontal="center" vertical="center"/>
    </xf>
    <xf numFmtId="0" fontId="67" fillId="0" borderId="8" xfId="90" applyNumberFormat="1" applyFont="1" applyFill="1" applyBorder="1" applyAlignment="1">
      <alignment horizontal="center" vertical="center"/>
    </xf>
    <xf numFmtId="188" fontId="67" fillId="0" borderId="8" xfId="91" applyNumberFormat="1" applyFont="1" applyFill="1" applyBorder="1" applyAlignment="1">
      <alignment horizontal="center" vertical="center"/>
    </xf>
    <xf numFmtId="49" fontId="67" fillId="7" borderId="8" xfId="129" applyNumberFormat="1" applyFont="1" applyFill="1" applyBorder="1" applyAlignment="1">
      <alignment horizontal="center" vertical="center"/>
    </xf>
    <xf numFmtId="49" fontId="67" fillId="0" borderId="1" xfId="0" applyNumberFormat="1" applyFont="1" applyBorder="1" applyAlignment="1">
      <alignment horizontal="center" vertical="center"/>
    </xf>
    <xf numFmtId="188" fontId="269" fillId="0" borderId="8" xfId="0" applyNumberFormat="1" applyFont="1" applyFill="1" applyBorder="1" applyAlignment="1">
      <alignment horizontal="center" vertical="center"/>
    </xf>
    <xf numFmtId="178" fontId="67" fillId="0" borderId="8" xfId="0" applyFont="1" applyFill="1" applyBorder="1" applyAlignment="1">
      <alignment horizontal="center" vertical="center"/>
    </xf>
    <xf numFmtId="0" fontId="215" fillId="0" borderId="4" xfId="0" applyNumberFormat="1" applyFont="1" applyFill="1" applyBorder="1" applyAlignment="1">
      <alignment horizontal="center" vertical="center"/>
    </xf>
    <xf numFmtId="0" fontId="215" fillId="0" borderId="8" xfId="0" applyNumberFormat="1" applyFont="1" applyFill="1" applyBorder="1" applyAlignment="1">
      <alignment horizontal="center" vertical="center"/>
    </xf>
    <xf numFmtId="0" fontId="215" fillId="7" borderId="8" xfId="0" applyNumberFormat="1" applyFont="1" applyFill="1" applyBorder="1" applyAlignment="1">
      <alignment horizontal="center" vertical="center"/>
    </xf>
    <xf numFmtId="0" fontId="215" fillId="7" borderId="12" xfId="0" applyNumberFormat="1" applyFont="1" applyFill="1" applyBorder="1" applyAlignment="1">
      <alignment horizontal="center" vertical="center"/>
    </xf>
    <xf numFmtId="49" fontId="215" fillId="0" borderId="8" xfId="0" applyNumberFormat="1" applyFont="1" applyFill="1" applyBorder="1" applyAlignment="1">
      <alignment horizontal="center" vertical="center"/>
    </xf>
    <xf numFmtId="49" fontId="215" fillId="7" borderId="8" xfId="0" applyNumberFormat="1" applyFont="1" applyFill="1" applyBorder="1" applyAlignment="1">
      <alignment horizontal="center" vertical="center"/>
    </xf>
    <xf numFmtId="49" fontId="215" fillId="0" borderId="8" xfId="0" applyNumberFormat="1" applyFont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44" fontId="168" fillId="0" borderId="8" xfId="93" applyNumberFormat="1" applyFont="1" applyFill="1" applyBorder="1" applyAlignment="1">
      <alignment horizontal="right" vertical="center"/>
    </xf>
    <xf numFmtId="186" fontId="181" fillId="0" borderId="8" xfId="91" applyNumberFormat="1" applyFont="1" applyFill="1" applyBorder="1" applyAlignment="1">
      <alignment horizontal="right" vertical="center"/>
    </xf>
    <xf numFmtId="42" fontId="181" fillId="0" borderId="12" xfId="92" applyNumberFormat="1" applyFont="1" applyFill="1" applyBorder="1" applyAlignment="1">
      <alignment horizontal="right" vertical="center"/>
    </xf>
    <xf numFmtId="42" fontId="181" fillId="0" borderId="8" xfId="92" applyNumberFormat="1" applyFont="1" applyFill="1" applyBorder="1" applyAlignment="1">
      <alignment horizontal="center" vertical="center"/>
    </xf>
    <xf numFmtId="42" fontId="181" fillId="7" borderId="8" xfId="92" applyNumberFormat="1" applyFont="1" applyFill="1" applyBorder="1" applyAlignment="1">
      <alignment horizontal="right" vertical="center"/>
    </xf>
    <xf numFmtId="186" fontId="181" fillId="7" borderId="8" xfId="91" applyNumberFormat="1" applyFont="1" applyFill="1" applyBorder="1" applyAlignment="1">
      <alignment horizontal="right" vertical="center"/>
    </xf>
    <xf numFmtId="44" fontId="168" fillId="7" borderId="8" xfId="93" applyNumberFormat="1" applyFont="1" applyFill="1" applyBorder="1" applyAlignment="1">
      <alignment horizontal="right" vertical="center"/>
    </xf>
    <xf numFmtId="42" fontId="181" fillId="0" borderId="12" xfId="92" applyNumberFormat="1" applyFont="1" applyFill="1" applyBorder="1" applyAlignment="1">
      <alignment horizontal="center" vertical="center"/>
    </xf>
    <xf numFmtId="186" fontId="181" fillId="0" borderId="8" xfId="91" applyNumberFormat="1" applyFont="1" applyFill="1" applyBorder="1" applyAlignment="1">
      <alignment vertical="center"/>
    </xf>
    <xf numFmtId="44" fontId="181" fillId="0" borderId="8" xfId="93" applyNumberFormat="1" applyFont="1" applyFill="1" applyBorder="1" applyAlignment="1">
      <alignment horizontal="right" vertical="center"/>
    </xf>
    <xf numFmtId="42" fontId="181" fillId="0" borderId="4" xfId="92" applyNumberFormat="1" applyFont="1" applyFill="1" applyBorder="1" applyAlignment="1">
      <alignment horizontal="right" vertical="center"/>
    </xf>
    <xf numFmtId="44" fontId="168" fillId="0" borderId="4" xfId="93" applyNumberFormat="1" applyFont="1" applyFill="1" applyBorder="1" applyAlignment="1">
      <alignment horizontal="right" vertical="center"/>
    </xf>
    <xf numFmtId="178" fontId="189" fillId="0" borderId="45" xfId="0" applyFont="1" applyBorder="1" applyAlignment="1">
      <alignment horizontal="center" vertical="center"/>
    </xf>
    <xf numFmtId="15" fontId="194" fillId="0" borderId="45" xfId="0" applyNumberFormat="1" applyFont="1" applyBorder="1" applyAlignment="1">
      <alignment horizontal="center" vertical="center"/>
    </xf>
    <xf numFmtId="44" fontId="270" fillId="0" borderId="8" xfId="93" applyNumberFormat="1" applyFont="1" applyFill="1" applyBorder="1" applyAlignment="1">
      <alignment horizontal="center" vertical="center"/>
    </xf>
    <xf numFmtId="44" fontId="270" fillId="0" borderId="8" xfId="93" applyNumberFormat="1" applyFont="1" applyFill="1" applyBorder="1" applyAlignment="1">
      <alignment horizontal="left" vertical="center"/>
    </xf>
    <xf numFmtId="203" fontId="271" fillId="0" borderId="8" xfId="0" applyNumberFormat="1" applyFont="1" applyFill="1" applyBorder="1" applyAlignment="1">
      <alignment horizontal="center" vertical="center"/>
    </xf>
    <xf numFmtId="14" fontId="185" fillId="7" borderId="8" xfId="0" applyNumberFormat="1" applyFont="1" applyFill="1" applyBorder="1" applyAlignment="1">
      <alignment horizontal="center" vertical="center"/>
    </xf>
    <xf numFmtId="42" fontId="168" fillId="0" borderId="8" xfId="91" applyNumberFormat="1" applyFont="1" applyFill="1" applyBorder="1" applyAlignment="1">
      <alignment horizontal="center" vertical="center"/>
    </xf>
    <xf numFmtId="42" fontId="168" fillId="7" borderId="8" xfId="91" applyNumberFormat="1" applyFont="1" applyFill="1" applyBorder="1" applyAlignment="1">
      <alignment horizontal="center" vertical="center"/>
    </xf>
    <xf numFmtId="166" fontId="268" fillId="0" borderId="8" xfId="5" applyFont="1" applyFill="1" applyBorder="1" applyAlignment="1">
      <alignment horizontal="center" vertical="center"/>
    </xf>
    <xf numFmtId="166" fontId="159" fillId="0" borderId="8" xfId="5" applyFont="1" applyFill="1" applyBorder="1" applyAlignment="1">
      <alignment horizontal="center" vertical="center"/>
    </xf>
    <xf numFmtId="44" fontId="132" fillId="0" borderId="4" xfId="93" applyNumberFormat="1" applyFont="1" applyFill="1" applyBorder="1" applyAlignment="1">
      <alignment horizontal="right" vertical="center"/>
    </xf>
    <xf numFmtId="166" fontId="159" fillId="7" borderId="8" xfId="5" applyFont="1" applyFill="1" applyBorder="1" applyAlignment="1">
      <alignment horizontal="center" vertical="center"/>
    </xf>
    <xf numFmtId="42" fontId="181" fillId="7" borderId="8" xfId="92" applyNumberFormat="1" applyFont="1" applyFill="1" applyBorder="1" applyAlignment="1">
      <alignment horizontal="center" vertical="center"/>
    </xf>
    <xf numFmtId="178" fontId="194" fillId="0" borderId="12" xfId="0" applyFont="1" applyBorder="1" applyAlignment="1">
      <alignment horizontal="center" vertical="center"/>
    </xf>
    <xf numFmtId="15" fontId="102" fillId="0" borderId="8" xfId="91" applyNumberFormat="1" applyFont="1" applyFill="1" applyBorder="1" applyAlignment="1">
      <alignment horizontal="center" vertical="center"/>
    </xf>
    <xf numFmtId="15" fontId="102" fillId="7" borderId="39" xfId="91" applyNumberFormat="1" applyFont="1" applyFill="1" applyBorder="1" applyAlignment="1">
      <alignment horizontal="center" vertical="center"/>
    </xf>
    <xf numFmtId="15" fontId="233" fillId="0" borderId="8" xfId="0" applyNumberFormat="1" applyFont="1" applyFill="1" applyBorder="1" applyAlignment="1">
      <alignment horizontal="center" vertical="center" wrapText="1"/>
    </xf>
    <xf numFmtId="15" fontId="233" fillId="7" borderId="8" xfId="0" applyNumberFormat="1" applyFont="1" applyFill="1" applyBorder="1" applyAlignment="1">
      <alignment horizontal="center" vertical="center" wrapText="1"/>
    </xf>
    <xf numFmtId="17" fontId="186" fillId="0" borderId="22" xfId="90" applyNumberFormat="1" applyFont="1" applyFill="1" applyBorder="1" applyAlignment="1">
      <alignment vertical="center"/>
    </xf>
    <xf numFmtId="0" fontId="186" fillId="0" borderId="22" xfId="90" applyFont="1" applyFill="1" applyBorder="1" applyAlignment="1">
      <alignment vertical="center"/>
    </xf>
    <xf numFmtId="0" fontId="186" fillId="7" borderId="22" xfId="90" applyFont="1" applyFill="1" applyBorder="1" applyAlignment="1">
      <alignment vertical="center"/>
    </xf>
    <xf numFmtId="44" fontId="186" fillId="0" borderId="0" xfId="90" applyNumberFormat="1" applyFont="1" applyFill="1" applyBorder="1" applyAlignment="1">
      <alignment vertical="center"/>
    </xf>
    <xf numFmtId="44" fontId="67" fillId="0" borderId="0" xfId="90" applyNumberFormat="1" applyFont="1" applyFill="1" applyBorder="1" applyAlignment="1">
      <alignment horizontal="left" vertical="center"/>
    </xf>
    <xf numFmtId="0" fontId="67" fillId="0" borderId="0" xfId="90" applyFont="1" applyFill="1" applyBorder="1" applyAlignment="1">
      <alignment horizontal="left" vertical="center"/>
    </xf>
    <xf numFmtId="0" fontId="67" fillId="0" borderId="0" xfId="90" applyFont="1" applyFill="1" applyAlignment="1">
      <alignment vertical="center"/>
    </xf>
    <xf numFmtId="195" fontId="245" fillId="7" borderId="8" xfId="5" applyNumberFormat="1" applyFont="1" applyFill="1" applyBorder="1" applyAlignment="1">
      <alignment horizontal="center" vertical="center"/>
    </xf>
    <xf numFmtId="184" fontId="245" fillId="0" borderId="8" xfId="94" applyNumberFormat="1" applyFont="1" applyFill="1" applyBorder="1" applyAlignment="1">
      <alignment horizontal="center" vertical="center"/>
    </xf>
    <xf numFmtId="184" fontId="245" fillId="7" borderId="8" xfId="94" applyNumberFormat="1" applyFont="1" applyFill="1" applyBorder="1" applyAlignment="1">
      <alignment horizontal="center" vertical="center"/>
    </xf>
    <xf numFmtId="0" fontId="269" fillId="7" borderId="8" xfId="0" applyNumberFormat="1" applyFont="1" applyFill="1" applyBorder="1" applyAlignment="1">
      <alignment horizontal="center" vertical="center"/>
    </xf>
    <xf numFmtId="15" fontId="157" fillId="7" borderId="8" xfId="91" applyNumberFormat="1" applyFont="1" applyFill="1" applyBorder="1" applyAlignment="1">
      <alignment horizontal="center" vertical="center"/>
    </xf>
    <xf numFmtId="44" fontId="153" fillId="7" borderId="8" xfId="93" applyNumberFormat="1" applyFont="1" applyFill="1" applyBorder="1" applyAlignment="1">
      <alignment horizontal="center" vertical="center"/>
    </xf>
    <xf numFmtId="43" fontId="107" fillId="7" borderId="8" xfId="93" applyFont="1" applyFill="1" applyBorder="1" applyAlignment="1">
      <alignment horizontal="center" vertical="center"/>
    </xf>
    <xf numFmtId="0" fontId="107" fillId="7" borderId="8" xfId="91" applyFont="1" applyFill="1" applyBorder="1" applyAlignment="1">
      <alignment horizontal="center" vertical="center"/>
    </xf>
    <xf numFmtId="44" fontId="150" fillId="7" borderId="8" xfId="93" applyNumberFormat="1" applyFont="1" applyFill="1" applyBorder="1" applyAlignment="1">
      <alignment horizontal="center" vertical="center"/>
    </xf>
    <xf numFmtId="42" fontId="153" fillId="7" borderId="8" xfId="91" applyNumberFormat="1" applyFont="1" applyFill="1" applyBorder="1" applyAlignment="1">
      <alignment horizontal="center" vertical="center"/>
    </xf>
    <xf numFmtId="42" fontId="150" fillId="7" borderId="8" xfId="91" applyNumberFormat="1" applyFont="1" applyFill="1" applyBorder="1" applyAlignment="1">
      <alignment horizontal="center" vertical="center"/>
    </xf>
    <xf numFmtId="166" fontId="157" fillId="7" borderId="8" xfId="5" applyFont="1" applyFill="1" applyBorder="1" applyAlignment="1">
      <alignment horizontal="center" vertical="center"/>
    </xf>
    <xf numFmtId="0" fontId="107" fillId="7" borderId="0" xfId="91" applyFont="1" applyFill="1" applyBorder="1" applyAlignment="1">
      <alignment horizontal="center" vertical="center"/>
    </xf>
    <xf numFmtId="44" fontId="107" fillId="7" borderId="0" xfId="91" applyNumberFormat="1" applyFont="1" applyFill="1" applyBorder="1" applyAlignment="1">
      <alignment horizontal="center" vertical="center"/>
    </xf>
    <xf numFmtId="0" fontId="150" fillId="7" borderId="8" xfId="91" applyFont="1" applyFill="1" applyBorder="1" applyAlignment="1">
      <alignment horizontal="center" vertical="center"/>
    </xf>
    <xf numFmtId="0" fontId="107" fillId="7" borderId="8" xfId="90" applyFont="1" applyFill="1" applyBorder="1" applyAlignment="1">
      <alignment horizontal="center" vertical="center"/>
    </xf>
    <xf numFmtId="0" fontId="150" fillId="7" borderId="8" xfId="90" applyFont="1" applyFill="1" applyBorder="1" applyAlignment="1">
      <alignment horizontal="center" vertical="center"/>
    </xf>
    <xf numFmtId="0" fontId="142" fillId="7" borderId="0" xfId="90" applyFont="1" applyFill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142" fillId="0" borderId="0" xfId="90" applyFill="1" applyAlignment="1">
      <alignment horizontal="center" vertical="center"/>
    </xf>
    <xf numFmtId="195" fontId="245" fillId="0" borderId="8" xfId="5" applyNumberFormat="1" applyFont="1" applyFill="1" applyBorder="1" applyAlignment="1">
      <alignment horizontal="center" vertical="center"/>
    </xf>
    <xf numFmtId="0" fontId="155" fillId="7" borderId="8" xfId="0" applyNumberFormat="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142" fillId="0" borderId="0" xfId="90" applyFill="1" applyAlignment="1">
      <alignment horizontal="center" vertical="center"/>
    </xf>
    <xf numFmtId="179" fontId="51" fillId="0" borderId="8" xfId="0" applyNumberFormat="1" applyFont="1" applyBorder="1" applyAlignment="1">
      <alignment horizontal="center" vertical="center"/>
    </xf>
    <xf numFmtId="49" fontId="210" fillId="0" borderId="8" xfId="0" applyNumberFormat="1" applyFont="1" applyFill="1" applyBorder="1" applyAlignment="1">
      <alignment horizontal="center" vertical="center"/>
    </xf>
    <xf numFmtId="178" fontId="210" fillId="7" borderId="8" xfId="0" applyNumberFormat="1" applyFont="1" applyFill="1" applyBorder="1" applyAlignment="1">
      <alignment horizontal="center" vertical="center"/>
    </xf>
    <xf numFmtId="49" fontId="210" fillId="7" borderId="8" xfId="0" quotePrefix="1" applyNumberFormat="1" applyFont="1" applyFill="1" applyBorder="1" applyAlignment="1">
      <alignment horizontal="center" vertical="center"/>
    </xf>
    <xf numFmtId="49" fontId="210" fillId="7" borderId="8" xfId="0" applyNumberFormat="1" applyFont="1" applyFill="1" applyBorder="1" applyAlignment="1">
      <alignment horizontal="center" vertical="center"/>
    </xf>
    <xf numFmtId="179" fontId="51" fillId="7" borderId="8" xfId="0" applyNumberFormat="1" applyFont="1" applyFill="1" applyBorder="1" applyAlignment="1">
      <alignment horizontal="center" vertical="center"/>
    </xf>
    <xf numFmtId="0" fontId="210" fillId="0" borderId="8" xfId="0" quotePrefix="1" applyNumberFormat="1" applyFont="1" applyFill="1" applyBorder="1" applyAlignment="1">
      <alignment horizontal="center" vertical="center"/>
    </xf>
    <xf numFmtId="44" fontId="102" fillId="0" borderId="46" xfId="92" applyNumberFormat="1" applyFont="1" applyFill="1" applyBorder="1" applyAlignment="1">
      <alignment horizontal="center" vertical="center"/>
    </xf>
    <xf numFmtId="188" fontId="102" fillId="7" borderId="8" xfId="91" applyNumberFormat="1" applyFont="1" applyFill="1" applyBorder="1" applyAlignment="1">
      <alignment horizontal="center" vertical="center"/>
    </xf>
    <xf numFmtId="4" fontId="272" fillId="0" borderId="0" xfId="0" applyNumberFormat="1" applyFont="1" applyFill="1" applyBorder="1" applyAlignment="1">
      <alignment vertical="center"/>
    </xf>
    <xf numFmtId="186" fontId="186" fillId="0" borderId="8" xfId="91" applyNumberFormat="1" applyFont="1" applyFill="1" applyBorder="1" applyAlignment="1">
      <alignment horizontal="center" vertical="center"/>
    </xf>
    <xf numFmtId="42" fontId="186" fillId="0" borderId="8" xfId="92" applyNumberFormat="1" applyFont="1" applyFill="1" applyBorder="1" applyAlignment="1">
      <alignment horizontal="center" vertical="center"/>
    </xf>
    <xf numFmtId="42" fontId="186" fillId="7" borderId="8" xfId="92" applyNumberFormat="1" applyFont="1" applyFill="1" applyBorder="1" applyAlignment="1">
      <alignment horizontal="center" vertical="center"/>
    </xf>
    <xf numFmtId="186" fontId="186" fillId="7" borderId="8" xfId="91" applyNumberFormat="1" applyFont="1" applyFill="1" applyBorder="1" applyAlignment="1">
      <alignment horizontal="center" vertical="center"/>
    </xf>
    <xf numFmtId="44" fontId="167" fillId="0" borderId="8" xfId="93" applyNumberFormat="1" applyFont="1" applyFill="1" applyBorder="1" applyAlignment="1">
      <alignment horizontal="center" vertical="center"/>
    </xf>
    <xf numFmtId="44" fontId="167" fillId="7" borderId="8" xfId="93" applyNumberFormat="1" applyFont="1" applyFill="1" applyBorder="1" applyAlignment="1">
      <alignment horizontal="center" vertical="center"/>
    </xf>
    <xf numFmtId="42" fontId="186" fillId="0" borderId="12" xfId="92" applyNumberFormat="1" applyFont="1" applyFill="1" applyBorder="1" applyAlignment="1">
      <alignment horizontal="center" vertical="center"/>
    </xf>
    <xf numFmtId="42" fontId="186" fillId="7" borderId="12" xfId="92" applyNumberFormat="1" applyFont="1" applyFill="1" applyBorder="1" applyAlignment="1">
      <alignment horizontal="center" vertical="center"/>
    </xf>
    <xf numFmtId="42" fontId="273" fillId="7" borderId="8" xfId="92" applyNumberFormat="1" applyFont="1" applyFill="1" applyBorder="1" applyAlignment="1">
      <alignment horizontal="center" vertical="center"/>
    </xf>
    <xf numFmtId="0" fontId="142" fillId="7" borderId="8" xfId="90" applyFill="1" applyBorder="1" applyAlignment="1">
      <alignment horizontal="center" vertical="center"/>
    </xf>
    <xf numFmtId="0" fontId="119" fillId="7" borderId="8" xfId="92" applyNumberFormat="1" applyFont="1" applyFill="1" applyBorder="1" applyAlignment="1">
      <alignment horizontal="center" vertical="center"/>
    </xf>
    <xf numFmtId="0" fontId="142" fillId="0" borderId="8" xfId="90" applyFill="1" applyBorder="1" applyAlignment="1">
      <alignment horizontal="center" vertical="center"/>
    </xf>
    <xf numFmtId="0" fontId="158" fillId="0" borderId="8" xfId="90" applyFont="1" applyFill="1" applyBorder="1" applyAlignment="1">
      <alignment horizontal="center" vertical="center"/>
    </xf>
    <xf numFmtId="0" fontId="158" fillId="7" borderId="8" xfId="90" applyFont="1" applyFill="1" applyBorder="1" applyAlignment="1">
      <alignment horizontal="center" vertical="center"/>
    </xf>
    <xf numFmtId="0" fontId="51" fillId="7" borderId="8" xfId="90" applyFont="1" applyFill="1" applyBorder="1" applyAlignment="1">
      <alignment horizontal="center" vertical="center"/>
    </xf>
    <xf numFmtId="178" fontId="51" fillId="7" borderId="8" xfId="0" applyFont="1" applyFill="1" applyBorder="1"/>
    <xf numFmtId="178" fontId="51" fillId="0" borderId="8" xfId="0" applyFont="1" applyBorder="1"/>
    <xf numFmtId="0" fontId="158" fillId="22" borderId="8" xfId="90" applyFont="1" applyFill="1" applyBorder="1" applyAlignment="1">
      <alignment horizontal="center" vertical="center"/>
    </xf>
    <xf numFmtId="0" fontId="17" fillId="7" borderId="49" xfId="92" applyNumberFormat="1" applyFont="1" applyFill="1" applyBorder="1" applyAlignment="1">
      <alignment horizontal="center" vertical="center"/>
    </xf>
    <xf numFmtId="0" fontId="158" fillId="23" borderId="8" xfId="90" applyFont="1" applyFill="1" applyBorder="1" applyAlignment="1">
      <alignment horizontal="center" vertical="center"/>
    </xf>
    <xf numFmtId="0" fontId="141" fillId="22" borderId="8" xfId="90" applyFont="1" applyFill="1" applyBorder="1" applyAlignment="1">
      <alignment horizontal="center" vertical="center"/>
    </xf>
    <xf numFmtId="1" fontId="51" fillId="22" borderId="8" xfId="0" applyNumberFormat="1" applyFont="1" applyFill="1" applyBorder="1" applyAlignment="1">
      <alignment horizontal="center" vertical="center"/>
    </xf>
    <xf numFmtId="2" fontId="158" fillId="22" borderId="8" xfId="90" applyNumberFormat="1" applyFont="1" applyFill="1" applyBorder="1" applyAlignment="1">
      <alignment horizontal="center" vertical="center"/>
    </xf>
    <xf numFmtId="0" fontId="142" fillId="22" borderId="8" xfId="90" applyFill="1" applyBorder="1" applyAlignment="1">
      <alignment horizontal="center" vertical="center"/>
    </xf>
    <xf numFmtId="0" fontId="119" fillId="7" borderId="54" xfId="92" applyNumberFormat="1" applyFont="1" applyFill="1" applyBorder="1" applyAlignment="1">
      <alignment horizontal="center" vertical="center"/>
    </xf>
    <xf numFmtId="0" fontId="104" fillId="7" borderId="47" xfId="92" applyNumberFormat="1" applyFont="1" applyFill="1" applyBorder="1" applyAlignment="1">
      <alignment horizontal="center" vertical="center"/>
    </xf>
    <xf numFmtId="0" fontId="104" fillId="7" borderId="8" xfId="92" applyNumberFormat="1" applyFont="1" applyFill="1" applyBorder="1" applyAlignment="1">
      <alignment horizontal="center" vertical="center"/>
    </xf>
    <xf numFmtId="0" fontId="119" fillId="7" borderId="47" xfId="92" applyNumberFormat="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1" fontId="0" fillId="0" borderId="8" xfId="0" applyNumberFormat="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127" fillId="0" borderId="47" xfId="92" applyNumberFormat="1" applyFont="1" applyFill="1" applyBorder="1" applyAlignment="1">
      <alignment horizontal="center" vertical="center"/>
    </xf>
    <xf numFmtId="166" fontId="51" fillId="7" borderId="0" xfId="5" applyFont="1" applyFill="1" applyBorder="1" applyAlignment="1">
      <alignment horizontal="center" vertical="center" wrapText="1"/>
    </xf>
    <xf numFmtId="166" fontId="68" fillId="21" borderId="8" xfId="5" applyFont="1" applyFill="1" applyBorder="1"/>
    <xf numFmtId="0" fontId="142" fillId="0" borderId="0" xfId="90" applyFill="1" applyAlignment="1">
      <alignment horizontal="center" vertical="center"/>
    </xf>
    <xf numFmtId="44" fontId="181" fillId="25" borderId="8" xfId="93" applyNumberFormat="1" applyFont="1" applyFill="1" applyBorder="1" applyAlignment="1">
      <alignment horizontal="center" vertical="center"/>
    </xf>
    <xf numFmtId="44" fontId="168" fillId="25" borderId="8" xfId="93" applyNumberFormat="1" applyFont="1" applyFill="1" applyBorder="1" applyAlignment="1">
      <alignment horizontal="center" vertical="center"/>
    </xf>
    <xf numFmtId="44" fontId="220" fillId="25" borderId="8" xfId="93" applyNumberFormat="1" applyFont="1" applyFill="1" applyBorder="1" applyAlignment="1">
      <alignment horizontal="center" vertical="center"/>
    </xf>
    <xf numFmtId="0" fontId="68" fillId="7" borderId="8" xfId="91" applyFont="1" applyFill="1" applyBorder="1" applyAlignment="1">
      <alignment horizontal="center" vertical="center"/>
    </xf>
    <xf numFmtId="188" fontId="102" fillId="0" borderId="8" xfId="0" applyNumberFormat="1" applyFont="1" applyBorder="1" applyAlignment="1">
      <alignment horizontal="center" vertical="center"/>
    </xf>
    <xf numFmtId="178" fontId="178" fillId="0" borderId="8" xfId="0" quotePrefix="1" applyFont="1" applyBorder="1" applyAlignment="1">
      <alignment horizontal="center" vertical="center"/>
    </xf>
    <xf numFmtId="44" fontId="132" fillId="0" borderId="8" xfId="91" applyNumberFormat="1" applyFont="1" applyFill="1" applyBorder="1" applyAlignment="1">
      <alignment horizontal="center" vertical="center"/>
    </xf>
    <xf numFmtId="44" fontId="159" fillId="0" borderId="8" xfId="91" applyNumberFormat="1" applyFont="1" applyFill="1" applyBorder="1" applyAlignment="1">
      <alignment horizontal="center" vertical="center"/>
    </xf>
    <xf numFmtId="44" fontId="159" fillId="7" borderId="8" xfId="91" applyNumberFormat="1" applyFont="1" applyFill="1" applyBorder="1" applyAlignment="1">
      <alignment horizontal="center" vertical="center"/>
    </xf>
    <xf numFmtId="44" fontId="168" fillId="7" borderId="8" xfId="91" applyNumberFormat="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150" fillId="0" borderId="54" xfId="92" applyNumberFormat="1" applyFont="1" applyFill="1" applyBorder="1" applyAlignment="1">
      <alignment horizontal="center" vertical="center"/>
    </xf>
    <xf numFmtId="0" fontId="107" fillId="0" borderId="47" xfId="92" applyNumberFormat="1" applyFont="1" applyFill="1" applyBorder="1" applyAlignment="1">
      <alignment horizontal="center" vertical="center"/>
    </xf>
    <xf numFmtId="44" fontId="159" fillId="25" borderId="45" xfId="93" applyNumberFormat="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142" fillId="0" borderId="0" xfId="90" applyFill="1" applyAlignment="1">
      <alignment horizontal="center" vertical="center"/>
    </xf>
    <xf numFmtId="188" fontId="215" fillId="7" borderId="8" xfId="0" applyNumberFormat="1" applyFont="1" applyFill="1" applyBorder="1" applyAlignment="1">
      <alignment horizontal="center" vertical="center"/>
    </xf>
    <xf numFmtId="196" fontId="274" fillId="7" borderId="8" xfId="91" applyNumberFormat="1" applyFont="1" applyFill="1" applyBorder="1" applyAlignment="1">
      <alignment horizontal="center" vertical="center"/>
    </xf>
    <xf numFmtId="0" fontId="234" fillId="7" borderId="46" xfId="92" applyNumberFormat="1" applyFont="1" applyFill="1" applyBorder="1" applyAlignment="1">
      <alignment horizontal="center" vertical="center"/>
    </xf>
    <xf numFmtId="0" fontId="68" fillId="0" borderId="49" xfId="92" applyNumberFormat="1" applyFont="1" applyFill="1" applyBorder="1" applyAlignment="1">
      <alignment horizontal="center" vertical="center"/>
    </xf>
    <xf numFmtId="0" fontId="253" fillId="0" borderId="8" xfId="90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188" fontId="102" fillId="7" borderId="8" xfId="0" applyNumberFormat="1" applyFont="1" applyFill="1" applyBorder="1" applyAlignment="1">
      <alignment horizontal="center" vertical="center"/>
    </xf>
    <xf numFmtId="186" fontId="181" fillId="0" borderId="8" xfId="91" applyNumberFormat="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188" fontId="275" fillId="0" borderId="8" xfId="0" applyNumberFormat="1" applyFont="1" applyBorder="1" applyAlignment="1">
      <alignment horizontal="center" vertical="center"/>
    </xf>
    <xf numFmtId="199" fontId="68" fillId="0" borderId="8" xfId="0" applyNumberFormat="1" applyFont="1" applyFill="1" applyBorder="1"/>
    <xf numFmtId="166" fontId="278" fillId="7" borderId="0" xfId="5" applyFont="1" applyFill="1"/>
    <xf numFmtId="0" fontId="144" fillId="0" borderId="22" xfId="90" applyFont="1" applyFill="1" applyBorder="1" applyAlignment="1">
      <alignment vertical="center"/>
    </xf>
    <xf numFmtId="191" fontId="279" fillId="0" borderId="1" xfId="92" applyNumberFormat="1" applyFont="1" applyFill="1" applyBorder="1" applyAlignment="1" applyProtection="1">
      <alignment horizontal="center" vertical="center" wrapText="1"/>
    </xf>
    <xf numFmtId="191" fontId="279" fillId="0" borderId="8" xfId="92" applyNumberFormat="1" applyFont="1" applyFill="1" applyBorder="1" applyAlignment="1" applyProtection="1">
      <alignment horizontal="center" vertical="center" wrapText="1"/>
    </xf>
    <xf numFmtId="44" fontId="280" fillId="0" borderId="0" xfId="0" applyNumberFormat="1" applyFont="1" applyFill="1" applyBorder="1" applyAlignment="1">
      <alignment horizontal="center" vertical="center" wrapText="1"/>
    </xf>
    <xf numFmtId="178" fontId="262" fillId="0" borderId="0" xfId="0" applyFont="1"/>
    <xf numFmtId="203" fontId="141" fillId="7" borderId="8" xfId="0" applyNumberFormat="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186" fontId="167" fillId="0" borderId="8" xfId="91" applyNumberFormat="1" applyFont="1" applyFill="1" applyBorder="1" applyAlignment="1">
      <alignment horizontal="right" vertical="center"/>
    </xf>
    <xf numFmtId="0" fontId="159" fillId="0" borderId="8" xfId="91" applyFont="1" applyFill="1" applyBorder="1" applyAlignment="1">
      <alignment horizontal="center" vertical="center"/>
    </xf>
    <xf numFmtId="178" fontId="170" fillId="0" borderId="8" xfId="0" applyFont="1" applyBorder="1" applyAlignment="1">
      <alignment horizontal="center" vertical="center"/>
    </xf>
    <xf numFmtId="178" fontId="250" fillId="0" borderId="8" xfId="0" quotePrefix="1" applyFont="1" applyFill="1" applyBorder="1" applyAlignment="1">
      <alignment horizontal="center" vertical="center"/>
    </xf>
    <xf numFmtId="188" fontId="210" fillId="0" borderId="8" xfId="0" applyNumberFormat="1" applyFont="1" applyBorder="1" applyAlignment="1">
      <alignment horizontal="center" vertical="center"/>
    </xf>
    <xf numFmtId="166" fontId="119" fillId="7" borderId="14" xfId="5" applyFont="1" applyFill="1" applyBorder="1" applyAlignment="1">
      <alignment vertical="center"/>
    </xf>
    <xf numFmtId="0" fontId="234" fillId="0" borderId="45" xfId="92" applyNumberFormat="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142" fillId="0" borderId="0" xfId="90" applyFont="1" applyFill="1" applyAlignment="1">
      <alignment horizontal="center" vertical="center"/>
    </xf>
    <xf numFmtId="0" fontId="104" fillId="14" borderId="8" xfId="92" applyNumberFormat="1" applyFont="1" applyFill="1" applyBorder="1" applyAlignment="1">
      <alignment horizontal="center" vertical="center"/>
    </xf>
    <xf numFmtId="178" fontId="68" fillId="0" borderId="8" xfId="0" applyNumberFormat="1" applyFont="1" applyFill="1" applyBorder="1" applyAlignment="1">
      <alignment horizontal="center" vertical="center"/>
    </xf>
    <xf numFmtId="178" fontId="275" fillId="0" borderId="8" xfId="0" applyFont="1" applyBorder="1" applyAlignment="1">
      <alignment horizontal="center" vertical="center"/>
    </xf>
    <xf numFmtId="178" fontId="282" fillId="0" borderId="8" xfId="0" quotePrefix="1" applyFont="1" applyBorder="1" applyAlignment="1">
      <alignment horizontal="center" vertical="center"/>
    </xf>
    <xf numFmtId="178" fontId="285" fillId="0" borderId="8" xfId="0" applyFont="1" applyBorder="1" applyAlignment="1">
      <alignment horizontal="center" vertical="center"/>
    </xf>
    <xf numFmtId="188" fontId="282" fillId="0" borderId="8" xfId="0" applyNumberFormat="1" applyFont="1" applyBorder="1" applyAlignment="1">
      <alignment horizontal="center" vertical="center"/>
    </xf>
    <xf numFmtId="178" fontId="283" fillId="0" borderId="8" xfId="0" applyFont="1" applyBorder="1" applyAlignment="1">
      <alignment horizontal="center" vertical="center"/>
    </xf>
    <xf numFmtId="188" fontId="281" fillId="0" borderId="8" xfId="0" applyNumberFormat="1" applyFont="1" applyBorder="1" applyAlignment="1">
      <alignment horizontal="center" vertical="center"/>
    </xf>
    <xf numFmtId="188" fontId="281" fillId="0" borderId="0" xfId="0" applyNumberFormat="1" applyFont="1" applyBorder="1" applyAlignment="1">
      <alignment horizontal="center" vertical="center"/>
    </xf>
    <xf numFmtId="178" fontId="275" fillId="0" borderId="8" xfId="0" quotePrefix="1" applyFont="1" applyBorder="1" applyAlignment="1">
      <alignment horizontal="center" vertical="center"/>
    </xf>
    <xf numFmtId="178" fontId="275" fillId="7" borderId="8" xfId="0" applyFont="1" applyFill="1" applyBorder="1" applyAlignment="1">
      <alignment horizontal="center" vertical="center"/>
    </xf>
    <xf numFmtId="188" fontId="275" fillId="7" borderId="8" xfId="0" applyNumberFormat="1" applyFont="1" applyFill="1" applyBorder="1" applyAlignment="1">
      <alignment horizontal="center" vertical="center"/>
    </xf>
    <xf numFmtId="178" fontId="68" fillId="0" borderId="8" xfId="0" applyNumberFormat="1" applyFont="1" applyBorder="1" applyAlignment="1">
      <alignment horizontal="center" vertical="center"/>
    </xf>
    <xf numFmtId="178" fontId="51" fillId="0" borderId="8" xfId="0" quotePrefix="1" applyFont="1" applyBorder="1" applyAlignment="1">
      <alignment horizontal="center" vertical="center"/>
    </xf>
    <xf numFmtId="178" fontId="286" fillId="0" borderId="8" xfId="0" applyFont="1" applyFill="1" applyBorder="1" applyAlignment="1">
      <alignment horizontal="center" vertical="center"/>
    </xf>
    <xf numFmtId="178" fontId="185" fillId="0" borderId="8" xfId="0" quotePrefix="1" applyFont="1" applyFill="1" applyBorder="1" applyAlignment="1">
      <alignment horizontal="center" vertical="center"/>
    </xf>
    <xf numFmtId="178" fontId="210" fillId="0" borderId="8" xfId="0" quotePrefix="1" applyFont="1" applyFill="1" applyBorder="1" applyAlignment="1">
      <alignment horizontal="center" vertical="center"/>
    </xf>
    <xf numFmtId="207" fontId="284" fillId="0" borderId="8" xfId="0" applyNumberFormat="1" applyFont="1" applyBorder="1" applyAlignment="1">
      <alignment horizontal="center" vertical="center"/>
    </xf>
    <xf numFmtId="179" fontId="253" fillId="0" borderId="8" xfId="0" applyNumberFormat="1" applyFont="1" applyBorder="1" applyAlignment="1">
      <alignment horizontal="center" vertical="center"/>
    </xf>
    <xf numFmtId="207" fontId="158" fillId="0" borderId="8" xfId="0" applyNumberFormat="1" applyFont="1" applyBorder="1" applyAlignment="1">
      <alignment horizontal="center" vertical="center"/>
    </xf>
    <xf numFmtId="178" fontId="189" fillId="0" borderId="8" xfId="0" quotePrefix="1" applyFont="1" applyBorder="1" applyAlignment="1">
      <alignment horizontal="center" vertical="center"/>
    </xf>
    <xf numFmtId="49" fontId="269" fillId="0" borderId="8" xfId="0" applyNumberFormat="1" applyFont="1" applyBorder="1" applyAlignment="1">
      <alignment horizontal="center" vertical="center"/>
    </xf>
    <xf numFmtId="178" fontId="287" fillId="0" borderId="8" xfId="0" applyFont="1" applyBorder="1" applyAlignment="1">
      <alignment horizontal="center" vertical="center"/>
    </xf>
    <xf numFmtId="49" fontId="158" fillId="0" borderId="8" xfId="0" applyNumberFormat="1" applyFont="1" applyBorder="1" applyAlignment="1">
      <alignment horizontal="center" vertical="center"/>
    </xf>
    <xf numFmtId="178" fontId="189" fillId="0" borderId="8" xfId="0" applyFont="1" applyBorder="1" applyAlignment="1">
      <alignment horizontal="center" vertical="center"/>
    </xf>
    <xf numFmtId="197" fontId="141" fillId="0" borderId="8" xfId="0" applyNumberFormat="1" applyFont="1" applyBorder="1" applyAlignment="1">
      <alignment horizontal="center" vertical="center"/>
    </xf>
    <xf numFmtId="44" fontId="147" fillId="7" borderId="8" xfId="93" applyNumberFormat="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166" fontId="288" fillId="7" borderId="46" xfId="5" applyFont="1" applyFill="1" applyBorder="1" applyAlignment="1">
      <alignment horizontal="center" vertical="center"/>
    </xf>
    <xf numFmtId="1" fontId="0" fillId="7" borderId="0" xfId="0" applyNumberFormat="1" applyFill="1" applyAlignment="1">
      <alignment horizontal="center" vertical="center"/>
    </xf>
    <xf numFmtId="0" fontId="104" fillId="0" borderId="0" xfId="91" applyNumberFormat="1" applyFont="1" applyFill="1" applyBorder="1" applyAlignment="1">
      <alignment horizontal="center" vertical="center"/>
    </xf>
    <xf numFmtId="166" fontId="159" fillId="14" borderId="8" xfId="5" applyFont="1" applyFill="1" applyBorder="1" applyAlignment="1">
      <alignment horizontal="center" vertical="center" wrapText="1"/>
    </xf>
    <xf numFmtId="166" fontId="159" fillId="7" borderId="8" xfId="5" applyFont="1" applyFill="1" applyBorder="1" applyAlignment="1">
      <alignment horizontal="center" vertical="center" wrapText="1"/>
    </xf>
    <xf numFmtId="166" fontId="132" fillId="0" borderId="14" xfId="91" applyNumberFormat="1" applyFont="1" applyFill="1" applyBorder="1" applyAlignment="1">
      <alignment vertical="center"/>
    </xf>
    <xf numFmtId="178" fontId="177" fillId="0" borderId="8" xfId="0" applyFont="1" applyBorder="1" applyAlignment="1">
      <alignment horizontal="center" vertical="center"/>
    </xf>
    <xf numFmtId="188" fontId="141" fillId="0" borderId="8" xfId="0" applyNumberFormat="1" applyFont="1" applyBorder="1" applyAlignment="1">
      <alignment horizontal="center" vertical="center"/>
    </xf>
    <xf numFmtId="188" fontId="51" fillId="7" borderId="8" xfId="91" applyNumberFormat="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142" fillId="0" borderId="0" xfId="90" applyFill="1" applyAlignment="1">
      <alignment horizontal="center" vertical="center"/>
    </xf>
    <xf numFmtId="196" fontId="119" fillId="7" borderId="8" xfId="91" applyNumberFormat="1" applyFont="1" applyFill="1" applyBorder="1" applyAlignment="1">
      <alignment horizontal="center" vertical="center"/>
    </xf>
    <xf numFmtId="178" fontId="289" fillId="0" borderId="8" xfId="0" applyNumberFormat="1" applyFont="1" applyFill="1" applyBorder="1" applyAlignment="1">
      <alignment horizontal="center" vertical="center"/>
    </xf>
    <xf numFmtId="178" fontId="289" fillId="0" borderId="8" xfId="0" applyFont="1" applyFill="1" applyBorder="1" applyAlignment="1">
      <alignment horizontal="center" vertical="center"/>
    </xf>
    <xf numFmtId="178" fontId="67" fillId="0" borderId="8" xfId="0" applyNumberFormat="1" applyFont="1" applyFill="1" applyBorder="1" applyAlignment="1">
      <alignment horizontal="center" vertical="center"/>
    </xf>
    <xf numFmtId="179" fontId="289" fillId="0" borderId="8" xfId="0" applyNumberFormat="1" applyFont="1" applyFill="1" applyBorder="1" applyAlignment="1">
      <alignment horizontal="center" vertical="center"/>
    </xf>
    <xf numFmtId="178" fontId="290" fillId="0" borderId="8" xfId="0" quotePrefix="1" applyFont="1" applyFill="1" applyBorder="1" applyAlignment="1">
      <alignment horizontal="center" vertical="center"/>
    </xf>
    <xf numFmtId="178" fontId="290" fillId="0" borderId="8" xfId="0" applyFont="1" applyBorder="1" applyAlignment="1">
      <alignment horizontal="center" vertical="center"/>
    </xf>
    <xf numFmtId="188" fontId="290" fillId="0" borderId="8" xfId="0" applyNumberFormat="1" applyFont="1" applyBorder="1" applyAlignment="1">
      <alignment horizontal="center" vertical="center"/>
    </xf>
    <xf numFmtId="178" fontId="291" fillId="0" borderId="8" xfId="0" applyFont="1" applyBorder="1" applyAlignment="1">
      <alignment horizontal="center" vertical="center"/>
    </xf>
    <xf numFmtId="49" fontId="210" fillId="0" borderId="8" xfId="0" applyNumberFormat="1" applyFont="1" applyBorder="1" applyAlignment="1">
      <alignment horizontal="center" vertical="center"/>
    </xf>
    <xf numFmtId="178" fontId="210" fillId="0" borderId="8" xfId="0" applyNumberFormat="1" applyFont="1" applyFill="1" applyBorder="1" applyAlignment="1">
      <alignment horizontal="center" vertical="center"/>
    </xf>
    <xf numFmtId="0" fontId="68" fillId="16" borderId="8" xfId="0" applyNumberFormat="1" applyFont="1" applyFill="1" applyBorder="1" applyAlignment="1">
      <alignment horizontal="center" vertical="center"/>
    </xf>
    <xf numFmtId="49" fontId="269" fillId="7" borderId="8" xfId="0" applyNumberFormat="1" applyFont="1" applyFill="1" applyBorder="1" applyAlignment="1">
      <alignment horizontal="center" vertical="center"/>
    </xf>
    <xf numFmtId="0" fontId="178" fillId="7" borderId="1" xfId="91" applyFont="1" applyFill="1" applyBorder="1" applyAlignment="1" applyProtection="1">
      <alignment horizontal="center" wrapText="1"/>
    </xf>
    <xf numFmtId="211" fontId="181" fillId="0" borderId="8" xfId="93" applyNumberFormat="1" applyFont="1" applyFill="1" applyBorder="1" applyAlignment="1">
      <alignment horizontal="center" vertical="center"/>
    </xf>
    <xf numFmtId="197" fontId="185" fillId="7" borderId="4" xfId="0" applyNumberFormat="1" applyFont="1" applyFill="1" applyBorder="1" applyAlignment="1">
      <alignment horizontal="center" vertical="center"/>
    </xf>
    <xf numFmtId="41" fontId="181" fillId="0" borderId="8" xfId="93" applyNumberFormat="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0" fontId="142" fillId="0" borderId="0" xfId="90" applyFill="1" applyAlignment="1">
      <alignment horizontal="center" vertical="center"/>
    </xf>
    <xf numFmtId="15" fontId="159" fillId="0" borderId="8" xfId="91" applyNumberFormat="1" applyFont="1" applyFill="1" applyBorder="1" applyAlignment="1">
      <alignment horizontal="center" vertical="center"/>
    </xf>
    <xf numFmtId="178" fontId="292" fillId="0" borderId="8" xfId="0" applyFont="1" applyBorder="1" applyAlignment="1">
      <alignment horizontal="center" vertical="center"/>
    </xf>
    <xf numFmtId="44" fontId="167" fillId="8" borderId="8" xfId="93" applyNumberFormat="1" applyFont="1" applyFill="1" applyBorder="1" applyAlignment="1">
      <alignment horizontal="center" vertical="center"/>
    </xf>
    <xf numFmtId="44" fontId="168" fillId="8" borderId="4" xfId="93" applyNumberFormat="1" applyFont="1" applyFill="1" applyBorder="1" applyAlignment="1">
      <alignment horizontal="right" vertical="center"/>
    </xf>
    <xf numFmtId="186" fontId="167" fillId="0" borderId="4" xfId="91" applyNumberFormat="1" applyFont="1" applyFill="1" applyBorder="1" applyAlignment="1">
      <alignment horizontal="center" vertical="center"/>
    </xf>
    <xf numFmtId="0" fontId="127" fillId="0" borderId="8" xfId="92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4" fontId="159" fillId="7" borderId="8" xfId="93" applyNumberFormat="1" applyFont="1" applyFill="1" applyBorder="1" applyAlignment="1">
      <alignment horizontal="center" vertical="center"/>
    </xf>
    <xf numFmtId="0" fontId="249" fillId="0" borderId="0" xfId="67" applyNumberFormat="1" applyFont="1" applyFill="1" applyBorder="1" applyAlignment="1">
      <alignment horizontal="center" vertical="center" shrinkToFit="1"/>
    </xf>
    <xf numFmtId="166" fontId="249" fillId="0" borderId="0" xfId="67" applyNumberFormat="1" applyFont="1" applyFill="1" applyBorder="1" applyAlignment="1">
      <alignment horizontal="center" vertical="center" shrinkToFit="1"/>
    </xf>
    <xf numFmtId="44" fontId="249" fillId="0" borderId="0" xfId="67" applyNumberFormat="1" applyFont="1" applyFill="1" applyBorder="1" applyAlignment="1">
      <alignment horizontal="center" vertical="center" shrinkToFit="1"/>
    </xf>
    <xf numFmtId="42" fontId="201" fillId="0" borderId="0" xfId="67" applyNumberFormat="1" applyFont="1" applyFill="1" applyBorder="1" applyAlignment="1">
      <alignment horizontal="center" vertical="center" shrinkToFit="1"/>
    </xf>
    <xf numFmtId="166" fontId="202" fillId="0" borderId="0" xfId="67" applyNumberFormat="1" applyFont="1" applyFill="1" applyBorder="1" applyAlignment="1">
      <alignment vertical="center" shrinkToFit="1"/>
    </xf>
    <xf numFmtId="166" fontId="202" fillId="0" borderId="13" xfId="67" applyNumberFormat="1" applyFont="1" applyFill="1" applyBorder="1" applyAlignment="1">
      <alignment vertical="center" shrinkToFit="1"/>
    </xf>
    <xf numFmtId="166" fontId="186" fillId="14" borderId="0" xfId="5" applyFont="1" applyFill="1" applyBorder="1" applyAlignment="1">
      <alignment horizontal="center" vertical="center" shrinkToFit="1"/>
    </xf>
    <xf numFmtId="44" fontId="205" fillId="7" borderId="0" xfId="5" applyNumberFormat="1" applyFont="1" applyFill="1" applyBorder="1" applyAlignment="1">
      <alignment horizontal="center" vertical="center"/>
    </xf>
    <xf numFmtId="15" fontId="102" fillId="0" borderId="0" xfId="91" applyNumberFormat="1" applyFont="1" applyFill="1" applyBorder="1" applyAlignment="1">
      <alignment horizontal="center" vertical="center"/>
    </xf>
    <xf numFmtId="44" fontId="168" fillId="0" borderId="0" xfId="92" applyNumberFormat="1" applyFont="1" applyFill="1" applyBorder="1" applyAlignment="1">
      <alignment horizontal="center" vertical="center"/>
    </xf>
    <xf numFmtId="211" fontId="168" fillId="0" borderId="0" xfId="92" applyNumberFormat="1" applyFont="1" applyFill="1" applyBorder="1" applyAlignment="1">
      <alignment horizontal="center" vertical="center"/>
    </xf>
    <xf numFmtId="2" fontId="132" fillId="0" borderId="0" xfId="93" applyNumberFormat="1" applyFont="1" applyFill="1" applyBorder="1" applyAlignment="1">
      <alignment horizontal="center" vertical="center"/>
    </xf>
    <xf numFmtId="44" fontId="181" fillId="0" borderId="0" xfId="93" applyNumberFormat="1" applyFont="1" applyFill="1" applyBorder="1" applyAlignment="1">
      <alignment horizontal="center" vertical="center"/>
    </xf>
    <xf numFmtId="210" fontId="68" fillId="0" borderId="8" xfId="0" applyNumberFormat="1" applyFont="1" applyFill="1" applyBorder="1" applyAlignment="1">
      <alignment horizontal="center" vertical="center"/>
    </xf>
    <xf numFmtId="178" fontId="0" fillId="0" borderId="0" xfId="0" applyBorder="1"/>
    <xf numFmtId="44" fontId="132" fillId="0" borderId="0" xfId="93" applyNumberFormat="1" applyFont="1" applyFill="1" applyBorder="1" applyAlignment="1">
      <alignment horizontal="center" vertical="center"/>
    </xf>
    <xf numFmtId="166" fontId="186" fillId="7" borderId="0" xfId="5" applyFont="1" applyFill="1" applyBorder="1" applyAlignment="1">
      <alignment horizontal="center" vertical="center" shrinkToFit="1"/>
    </xf>
    <xf numFmtId="188" fontId="51" fillId="0" borderId="0" xfId="0" applyNumberFormat="1" applyFont="1" applyFill="1" applyBorder="1" applyAlignment="1">
      <alignment horizontal="center" vertical="center"/>
    </xf>
    <xf numFmtId="188" fontId="250" fillId="0" borderId="0" xfId="0" applyNumberFormat="1" applyFont="1" applyFill="1" applyBorder="1" applyAlignment="1">
      <alignment horizontal="center" vertical="center"/>
    </xf>
    <xf numFmtId="210" fontId="68" fillId="0" borderId="0" xfId="0" applyNumberFormat="1" applyFont="1" applyFill="1" applyBorder="1" applyAlignment="1">
      <alignment horizontal="center" vertical="center"/>
    </xf>
    <xf numFmtId="42" fontId="68" fillId="0" borderId="0" xfId="92" applyNumberFormat="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210" fontId="68" fillId="0" borderId="8" xfId="0" applyNumberFormat="1" applyFont="1" applyBorder="1" applyAlignment="1">
      <alignment horizontal="center" vertical="center"/>
    </xf>
    <xf numFmtId="210" fontId="68" fillId="7" borderId="8" xfId="0" applyNumberFormat="1" applyFont="1" applyFill="1" applyBorder="1" applyAlignment="1">
      <alignment horizontal="center" vertical="center"/>
    </xf>
    <xf numFmtId="188" fontId="68" fillId="0" borderId="8" xfId="0" applyNumberFormat="1" applyFont="1" applyBorder="1" applyAlignment="1">
      <alignment horizontal="center" vertical="center"/>
    </xf>
    <xf numFmtId="210" fontId="68" fillId="0" borderId="8" xfId="90" applyNumberFormat="1" applyFont="1" applyFill="1" applyBorder="1" applyAlignment="1">
      <alignment horizontal="center" vertical="center"/>
    </xf>
    <xf numFmtId="188" fontId="250" fillId="0" borderId="8" xfId="0" applyNumberFormat="1" applyFont="1" applyFill="1" applyBorder="1" applyAlignment="1">
      <alignment horizontal="center" vertical="center"/>
    </xf>
    <xf numFmtId="188" fontId="250" fillId="7" borderId="8" xfId="0" applyNumberFormat="1" applyFont="1" applyFill="1" applyBorder="1" applyAlignment="1">
      <alignment horizontal="center" vertical="center"/>
    </xf>
    <xf numFmtId="184" fontId="181" fillId="7" borderId="8" xfId="94" applyNumberFormat="1" applyFont="1" applyFill="1" applyBorder="1" applyAlignment="1">
      <alignment horizontal="left" vertical="center"/>
    </xf>
    <xf numFmtId="184" fontId="181" fillId="0" borderId="8" xfId="94" applyNumberFormat="1" applyFont="1" applyFill="1" applyBorder="1" applyAlignment="1">
      <alignment horizontal="left" vertical="center"/>
    </xf>
    <xf numFmtId="210" fontId="68" fillId="0" borderId="8" xfId="91" applyNumberFormat="1" applyFont="1" applyFill="1" applyBorder="1" applyAlignment="1">
      <alignment horizontal="center" vertical="center"/>
    </xf>
    <xf numFmtId="210" fontId="253" fillId="7" borderId="8" xfId="91" applyNumberFormat="1" applyFont="1" applyFill="1" applyBorder="1" applyAlignment="1">
      <alignment horizontal="center" vertical="center"/>
    </xf>
    <xf numFmtId="0" fontId="287" fillId="7" borderId="8" xfId="0" applyNumberFormat="1" applyFont="1" applyFill="1" applyBorder="1" applyAlignment="1">
      <alignment horizontal="center" vertical="center"/>
    </xf>
    <xf numFmtId="188" fontId="250" fillId="0" borderId="8" xfId="91" applyNumberFormat="1" applyFont="1" applyFill="1" applyBorder="1" applyAlignment="1">
      <alignment horizontal="center" vertical="center"/>
    </xf>
    <xf numFmtId="0" fontId="294" fillId="7" borderId="8" xfId="0" applyNumberFormat="1" applyFont="1" applyFill="1" applyBorder="1" applyAlignment="1">
      <alignment horizontal="center" vertical="center"/>
    </xf>
    <xf numFmtId="0" fontId="250" fillId="7" borderId="8" xfId="131" applyFont="1" applyFill="1" applyBorder="1" applyAlignment="1">
      <alignment horizontal="center" vertical="center"/>
    </xf>
    <xf numFmtId="178" fontId="294" fillId="0" borderId="8" xfId="0" applyFont="1" applyBorder="1" applyAlignment="1">
      <alignment horizontal="center" vertical="center"/>
    </xf>
    <xf numFmtId="178" fontId="250" fillId="0" borderId="1" xfId="0" applyFont="1" applyBorder="1" applyAlignment="1">
      <alignment horizontal="center" vertical="center"/>
    </xf>
    <xf numFmtId="210" fontId="253" fillId="0" borderId="8" xfId="0" applyNumberFormat="1" applyFont="1" applyBorder="1" applyAlignment="1">
      <alignment horizontal="center" vertical="center"/>
    </xf>
    <xf numFmtId="210" fontId="68" fillId="0" borderId="1" xfId="0" applyNumberFormat="1" applyFont="1" applyFill="1" applyBorder="1" applyAlignment="1">
      <alignment horizontal="center" vertical="center"/>
    </xf>
    <xf numFmtId="188" fontId="294" fillId="0" borderId="8" xfId="0" applyNumberFormat="1" applyFont="1" applyFill="1" applyBorder="1" applyAlignment="1">
      <alignment horizontal="center" vertical="center"/>
    </xf>
    <xf numFmtId="210" fontId="253" fillId="0" borderId="8" xfId="0" applyNumberFormat="1" applyFont="1" applyFill="1" applyBorder="1" applyAlignment="1">
      <alignment horizontal="center" vertical="center"/>
    </xf>
    <xf numFmtId="0" fontId="210" fillId="0" borderId="4" xfId="0" applyNumberFormat="1" applyFont="1" applyFill="1" applyBorder="1" applyAlignment="1">
      <alignment horizontal="center" vertical="center"/>
    </xf>
    <xf numFmtId="210" fontId="68" fillId="0" borderId="4" xfId="0" applyNumberFormat="1" applyFont="1" applyFill="1" applyBorder="1" applyAlignment="1">
      <alignment horizontal="center" vertical="center"/>
    </xf>
    <xf numFmtId="0" fontId="287" fillId="0" borderId="8" xfId="0" applyNumberFormat="1" applyFont="1" applyFill="1" applyBorder="1" applyAlignment="1">
      <alignment horizontal="center" vertical="center"/>
    </xf>
    <xf numFmtId="210" fontId="253" fillId="7" borderId="8" xfId="0" applyNumberFormat="1" applyFont="1" applyFill="1" applyBorder="1" applyAlignment="1">
      <alignment horizontal="center" vertical="center"/>
    </xf>
    <xf numFmtId="184" fontId="181" fillId="0" borderId="8" xfId="94" applyNumberFormat="1" applyFont="1" applyFill="1" applyBorder="1" applyAlignment="1">
      <alignment vertical="center"/>
    </xf>
    <xf numFmtId="184" fontId="181" fillId="7" borderId="8" xfId="94" applyNumberFormat="1" applyFont="1" applyFill="1" applyBorder="1" applyAlignment="1">
      <alignment vertical="center"/>
    </xf>
    <xf numFmtId="0" fontId="210" fillId="0" borderId="8" xfId="90" applyNumberFormat="1" applyFont="1" applyFill="1" applyBorder="1" applyAlignment="1">
      <alignment horizontal="center" vertical="center"/>
    </xf>
    <xf numFmtId="188" fontId="210" fillId="0" borderId="15" xfId="0" applyNumberFormat="1" applyFont="1" applyFill="1" applyBorder="1" applyAlignment="1">
      <alignment horizontal="center" vertical="center"/>
    </xf>
    <xf numFmtId="49" fontId="269" fillId="0" borderId="8" xfId="132" applyNumberFormat="1" applyFont="1" applyBorder="1" applyAlignment="1">
      <alignment horizontal="center" vertical="center"/>
    </xf>
    <xf numFmtId="0" fontId="294" fillId="0" borderId="8" xfId="133" applyFont="1" applyBorder="1" applyAlignment="1">
      <alignment horizontal="center" vertical="center"/>
    </xf>
    <xf numFmtId="178" fontId="253" fillId="0" borderId="8" xfId="134" applyNumberFormat="1" applyFont="1" applyBorder="1" applyAlignment="1">
      <alignment horizontal="center" vertical="center"/>
    </xf>
    <xf numFmtId="0" fontId="287" fillId="0" borderId="8" xfId="133" applyFont="1" applyBorder="1" applyAlignment="1">
      <alignment horizontal="center" vertical="center"/>
    </xf>
    <xf numFmtId="49" fontId="158" fillId="0" borderId="8" xfId="132" applyNumberFormat="1" applyFont="1" applyBorder="1" applyAlignment="1">
      <alignment horizontal="center" vertical="center"/>
    </xf>
    <xf numFmtId="0" fontId="266" fillId="0" borderId="0" xfId="217" applyFont="1" applyAlignment="1">
      <alignment horizontal="center" vertical="center"/>
    </xf>
    <xf numFmtId="178" fontId="158" fillId="0" borderId="8" xfId="134" applyNumberFormat="1" applyFont="1" applyBorder="1" applyAlignment="1">
      <alignment horizontal="center" vertical="center"/>
    </xf>
    <xf numFmtId="188" fontId="158" fillId="0" borderId="8" xfId="0" applyNumberFormat="1" applyFont="1" applyBorder="1" applyAlignment="1">
      <alignment horizontal="center" vertical="center"/>
    </xf>
    <xf numFmtId="0" fontId="295" fillId="0" borderId="8" xfId="135" applyFont="1" applyBorder="1" applyAlignment="1">
      <alignment horizontal="center" vertical="center"/>
    </xf>
    <xf numFmtId="49" fontId="158" fillId="0" borderId="8" xfId="205" applyNumberFormat="1" applyFont="1" applyBorder="1" applyAlignment="1">
      <alignment horizontal="center" vertical="center"/>
    </xf>
    <xf numFmtId="0" fontId="215" fillId="0" borderId="8" xfId="91" applyFont="1" applyFill="1" applyBorder="1" applyAlignment="1">
      <alignment horizontal="center" vertical="center"/>
    </xf>
    <xf numFmtId="188" fontId="268" fillId="7" borderId="8" xfId="0" applyNumberFormat="1" applyFont="1" applyFill="1" applyBorder="1" applyAlignment="1">
      <alignment horizontal="center" vertical="center"/>
    </xf>
    <xf numFmtId="179" fontId="295" fillId="0" borderId="8" xfId="206" quotePrefix="1" applyNumberFormat="1" applyFont="1" applyBorder="1" applyAlignment="1">
      <alignment horizontal="center" vertical="center"/>
    </xf>
    <xf numFmtId="0" fontId="294" fillId="0" borderId="8" xfId="218" applyFont="1" applyBorder="1" applyAlignment="1">
      <alignment horizontal="center" vertical="center"/>
    </xf>
    <xf numFmtId="188" fontId="253" fillId="0" borderId="8" xfId="219" applyNumberFormat="1" applyFont="1" applyBorder="1" applyAlignment="1">
      <alignment horizontal="center" vertical="center"/>
    </xf>
    <xf numFmtId="179" fontId="158" fillId="0" borderId="8" xfId="0" applyNumberFormat="1" applyFont="1" applyBorder="1" applyAlignment="1">
      <alignment horizontal="center" vertical="center"/>
    </xf>
    <xf numFmtId="188" fontId="266" fillId="7" borderId="8" xfId="0" applyNumberFormat="1" applyFont="1" applyFill="1" applyBorder="1" applyAlignment="1">
      <alignment horizontal="center" vertical="center"/>
    </xf>
    <xf numFmtId="178" fontId="269" fillId="0" borderId="8" xfId="0" applyFont="1" applyBorder="1" applyAlignment="1">
      <alignment horizontal="center" vertical="center"/>
    </xf>
    <xf numFmtId="188" fontId="287" fillId="7" borderId="8" xfId="0" applyNumberFormat="1" applyFont="1" applyFill="1" applyBorder="1" applyAlignment="1">
      <alignment horizontal="center" vertical="center"/>
    </xf>
    <xf numFmtId="178" fontId="295" fillId="0" borderId="8" xfId="218" applyNumberFormat="1" applyFont="1" applyBorder="1" applyAlignment="1">
      <alignment horizontal="center" vertical="center"/>
    </xf>
    <xf numFmtId="0" fontId="287" fillId="0" borderId="8" xfId="218" applyFont="1" applyBorder="1" applyAlignment="1">
      <alignment horizontal="center" vertical="center"/>
    </xf>
    <xf numFmtId="49" fontId="269" fillId="0" borderId="8" xfId="205" applyNumberFormat="1" applyFont="1" applyBorder="1" applyAlignment="1">
      <alignment horizontal="center" vertical="center"/>
    </xf>
    <xf numFmtId="0" fontId="142" fillId="14" borderId="8" xfId="90" applyFill="1" applyBorder="1" applyAlignment="1">
      <alignment horizontal="center" vertical="center"/>
    </xf>
    <xf numFmtId="0" fontId="266" fillId="0" borderId="8" xfId="219" applyFont="1" applyBorder="1" applyAlignment="1">
      <alignment horizontal="center" vertical="center"/>
    </xf>
    <xf numFmtId="188" fontId="158" fillId="0" borderId="8" xfId="219" applyNumberFormat="1" applyFont="1" applyBorder="1" applyAlignment="1">
      <alignment horizontal="center" vertical="center"/>
    </xf>
    <xf numFmtId="178" fontId="287" fillId="0" borderId="8" xfId="0" quotePrefix="1" applyFont="1" applyBorder="1" applyAlignment="1">
      <alignment horizontal="center" vertical="center"/>
    </xf>
    <xf numFmtId="188" fontId="269" fillId="0" borderId="8" xfId="0" applyNumberFormat="1" applyFont="1" applyBorder="1" applyAlignment="1">
      <alignment horizontal="center" vertical="center"/>
    </xf>
    <xf numFmtId="179" fontId="295" fillId="0" borderId="8" xfId="217" applyNumberFormat="1" applyFont="1" applyBorder="1" applyAlignment="1">
      <alignment horizontal="center" vertical="center"/>
    </xf>
    <xf numFmtId="178" fontId="295" fillId="0" borderId="8" xfId="216" applyNumberFormat="1" applyFont="1" applyBorder="1" applyAlignment="1">
      <alignment horizontal="center" vertical="center"/>
    </xf>
    <xf numFmtId="0" fontId="295" fillId="0" borderId="8" xfId="220" applyFont="1" applyBorder="1" applyAlignment="1">
      <alignment horizontal="center" vertical="center"/>
    </xf>
    <xf numFmtId="188" fontId="295" fillId="0" borderId="8" xfId="210" applyNumberFormat="1" applyFont="1" applyBorder="1" applyAlignment="1">
      <alignment horizontal="center" vertical="center"/>
    </xf>
    <xf numFmtId="188" fontId="284" fillId="0" borderId="8" xfId="137" applyNumberFormat="1" applyFont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42" fontId="270" fillId="0" borderId="8" xfId="91" applyNumberFormat="1" applyFont="1" applyFill="1" applyBorder="1" applyAlignment="1">
      <alignment horizontal="center" vertical="center"/>
    </xf>
    <xf numFmtId="42" fontId="193" fillId="0" borderId="8" xfId="91" applyNumberFormat="1" applyFont="1" applyFill="1" applyBorder="1" applyAlignment="1">
      <alignment horizontal="center" vertical="center"/>
    </xf>
    <xf numFmtId="196" fontId="234" fillId="7" borderId="8" xfId="91" applyNumberFormat="1" applyFont="1" applyFill="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180" fontId="159" fillId="14" borderId="8" xfId="93" applyNumberFormat="1" applyFont="1" applyFill="1" applyBorder="1" applyAlignment="1">
      <alignment horizontal="center" vertical="center"/>
    </xf>
    <xf numFmtId="0" fontId="142" fillId="0" borderId="0" xfId="90" applyFont="1" applyFill="1" applyAlignment="1">
      <alignment horizontal="center" vertical="center"/>
    </xf>
    <xf numFmtId="186" fontId="167" fillId="0" borderId="4" xfId="91" applyNumberFormat="1" applyFont="1" applyFill="1" applyBorder="1" applyAlignment="1">
      <alignment horizontal="right" vertical="center"/>
    </xf>
    <xf numFmtId="42" fontId="167" fillId="0" borderId="4" xfId="92" applyNumberFormat="1" applyFont="1" applyFill="1" applyBorder="1" applyAlignment="1">
      <alignment horizontal="center" vertical="center"/>
    </xf>
    <xf numFmtId="42" fontId="167" fillId="0" borderId="8" xfId="92" applyNumberFormat="1" applyFont="1" applyFill="1" applyBorder="1" applyAlignment="1">
      <alignment horizontal="right" vertical="center"/>
    </xf>
    <xf numFmtId="0" fontId="183" fillId="0" borderId="8" xfId="90" applyFont="1" applyFill="1" applyBorder="1" applyAlignment="1">
      <alignment horizontal="center" vertical="center"/>
    </xf>
    <xf numFmtId="49" fontId="253" fillId="0" borderId="8" xfId="0" applyNumberFormat="1" applyFont="1" applyBorder="1" applyAlignment="1">
      <alignment horizontal="center" vertical="center"/>
    </xf>
    <xf numFmtId="207" fontId="67" fillId="0" borderId="8" xfId="0" applyNumberFormat="1" applyFont="1" applyBorder="1" applyAlignment="1">
      <alignment horizontal="center" vertical="center"/>
    </xf>
    <xf numFmtId="166" fontId="51" fillId="7" borderId="8" xfId="5" applyFont="1" applyFill="1" applyBorder="1" applyAlignment="1">
      <alignment horizontal="center" vertical="center" wrapText="1"/>
    </xf>
    <xf numFmtId="210" fontId="51" fillId="0" borderId="4" xfId="0" applyNumberFormat="1" applyFont="1" applyFill="1" applyBorder="1" applyAlignment="1">
      <alignment horizontal="center" vertical="center"/>
    </xf>
    <xf numFmtId="0" fontId="215" fillId="0" borderId="4" xfId="91" applyFont="1" applyFill="1" applyBorder="1" applyAlignment="1">
      <alignment horizontal="center" vertical="center"/>
    </xf>
    <xf numFmtId="44" fontId="181" fillId="0" borderId="4" xfId="93" applyNumberFormat="1" applyFont="1" applyFill="1" applyBorder="1" applyAlignment="1">
      <alignment horizontal="center" vertical="center"/>
    </xf>
    <xf numFmtId="44" fontId="276" fillId="0" borderId="4" xfId="93" applyNumberFormat="1" applyFont="1" applyFill="1" applyBorder="1" applyAlignment="1">
      <alignment horizontal="center" vertical="center"/>
    </xf>
    <xf numFmtId="44" fontId="186" fillId="0" borderId="8" xfId="93" applyNumberFormat="1" applyFont="1" applyFill="1" applyBorder="1" applyAlignment="1">
      <alignment horizontal="center" vertical="center"/>
    </xf>
    <xf numFmtId="178" fontId="44" fillId="0" borderId="0" xfId="0" applyFont="1" applyBorder="1" applyAlignment="1">
      <alignment horizontal="center"/>
    </xf>
    <xf numFmtId="178" fontId="70" fillId="0" borderId="0" xfId="0" applyFont="1" applyBorder="1" applyAlignment="1">
      <alignment horizontal="center" vertical="center"/>
    </xf>
    <xf numFmtId="178" fontId="65" fillId="0" borderId="22" xfId="0" applyFont="1" applyBorder="1" applyAlignment="1">
      <alignment horizontal="center"/>
    </xf>
    <xf numFmtId="49" fontId="41" fillId="0" borderId="1" xfId="6" applyNumberFormat="1" applyFont="1" applyFill="1" applyBorder="1" applyAlignment="1">
      <alignment horizontal="center" vertical="top" wrapText="1"/>
    </xf>
    <xf numFmtId="49" fontId="41" fillId="0" borderId="5" xfId="6" applyNumberFormat="1" applyFont="1" applyFill="1" applyBorder="1" applyAlignment="1">
      <alignment horizontal="center" vertical="top" wrapText="1"/>
    </xf>
    <xf numFmtId="178" fontId="41" fillId="0" borderId="1" xfId="6" applyFont="1" applyFill="1" applyBorder="1" applyAlignment="1">
      <alignment horizontal="center" vertical="top" wrapText="1"/>
    </xf>
    <xf numFmtId="178" fontId="41" fillId="0" borderId="5" xfId="6" applyFont="1" applyFill="1" applyBorder="1" applyAlignment="1">
      <alignment horizontal="center" vertical="top" wrapText="1"/>
    </xf>
    <xf numFmtId="178" fontId="45" fillId="0" borderId="8" xfId="0" applyFont="1" applyBorder="1" applyAlignment="1">
      <alignment horizontal="center"/>
    </xf>
    <xf numFmtId="178" fontId="47" fillId="0" borderId="12" xfId="0" applyFont="1" applyBorder="1" applyAlignment="1">
      <alignment horizontal="center"/>
    </xf>
    <xf numFmtId="178" fontId="47" fillId="0" borderId="15" xfId="0" applyFont="1" applyBorder="1" applyAlignment="1">
      <alignment horizontal="center"/>
    </xf>
    <xf numFmtId="178" fontId="47" fillId="0" borderId="7" xfId="0" applyFont="1" applyBorder="1" applyAlignment="1">
      <alignment horizontal="center"/>
    </xf>
    <xf numFmtId="178" fontId="47" fillId="0" borderId="23" xfId="0" applyFont="1" applyBorder="1" applyAlignment="1">
      <alignment horizontal="center"/>
    </xf>
    <xf numFmtId="178" fontId="47" fillId="0" borderId="7" xfId="0" applyFont="1" applyBorder="1" applyAlignment="1"/>
    <xf numFmtId="178" fontId="47" fillId="0" borderId="23" xfId="0" applyFont="1" applyBorder="1" applyAlignment="1"/>
    <xf numFmtId="178" fontId="47" fillId="0" borderId="2" xfId="0" applyFont="1" applyBorder="1" applyAlignment="1">
      <alignment horizontal="center"/>
    </xf>
    <xf numFmtId="178" fontId="47" fillId="0" borderId="9" xfId="0" applyFont="1" applyBorder="1" applyAlignment="1">
      <alignment horizontal="center"/>
    </xf>
    <xf numFmtId="178" fontId="49" fillId="0" borderId="7" xfId="0" applyFont="1" applyBorder="1" applyAlignment="1">
      <alignment horizontal="center"/>
    </xf>
    <xf numFmtId="178" fontId="49" fillId="0" borderId="13" xfId="0" applyFont="1" applyBorder="1" applyAlignment="1">
      <alignment horizontal="center"/>
    </xf>
    <xf numFmtId="178" fontId="49" fillId="0" borderId="23" xfId="0" applyFont="1" applyBorder="1" applyAlignment="1">
      <alignment horizontal="center"/>
    </xf>
    <xf numFmtId="178" fontId="77" fillId="0" borderId="3" xfId="0" applyFont="1" applyBorder="1" applyAlignment="1">
      <alignment horizontal="center"/>
    </xf>
    <xf numFmtId="178" fontId="77" fillId="0" borderId="6" xfId="0" applyFont="1" applyBorder="1" applyAlignment="1">
      <alignment horizontal="center"/>
    </xf>
    <xf numFmtId="178" fontId="80" fillId="0" borderId="8" xfId="0" applyNumberFormat="1" applyFont="1" applyBorder="1" applyAlignment="1">
      <alignment horizontal="center" textRotation="90"/>
    </xf>
    <xf numFmtId="178" fontId="47" fillId="0" borderId="14" xfId="0" applyFont="1" applyBorder="1" applyAlignment="1">
      <alignment horizontal="center"/>
    </xf>
    <xf numFmtId="176" fontId="57" fillId="0" borderId="24" xfId="0" applyNumberFormat="1" applyFont="1" applyBorder="1" applyAlignment="1">
      <alignment horizontal="center" vertical="center"/>
    </xf>
    <xf numFmtId="176" fontId="57" fillId="0" borderId="25" xfId="0" applyNumberFormat="1" applyFont="1" applyBorder="1" applyAlignment="1">
      <alignment horizontal="center" vertical="center"/>
    </xf>
    <xf numFmtId="178" fontId="20" fillId="0" borderId="2" xfId="0" applyFont="1" applyBorder="1" applyAlignment="1">
      <alignment horizontal="center"/>
    </xf>
    <xf numFmtId="178" fontId="20" fillId="0" borderId="0" xfId="0" applyFont="1" applyBorder="1" applyAlignment="1">
      <alignment horizontal="center"/>
    </xf>
    <xf numFmtId="178" fontId="20" fillId="0" borderId="9" xfId="0" applyFont="1" applyBorder="1" applyAlignment="1">
      <alignment horizontal="center"/>
    </xf>
    <xf numFmtId="176" fontId="58" fillId="0" borderId="20" xfId="0" applyNumberFormat="1" applyFont="1" applyBorder="1" applyAlignment="1">
      <alignment horizontal="center" vertical="center"/>
    </xf>
    <xf numFmtId="176" fontId="58" fillId="0" borderId="21" xfId="0" applyNumberFormat="1" applyFont="1" applyBorder="1" applyAlignment="1">
      <alignment horizontal="center" vertical="center"/>
    </xf>
    <xf numFmtId="178" fontId="35" fillId="0" borderId="3" xfId="0" applyFont="1" applyBorder="1" applyAlignment="1">
      <alignment horizontal="center"/>
    </xf>
    <xf numFmtId="178" fontId="35" fillId="0" borderId="6" xfId="0" applyFont="1" applyBorder="1" applyAlignment="1">
      <alignment horizontal="center"/>
    </xf>
    <xf numFmtId="178" fontId="15" fillId="0" borderId="3" xfId="0" applyFont="1" applyBorder="1" applyAlignment="1">
      <alignment horizontal="center"/>
    </xf>
    <xf numFmtId="178" fontId="15" fillId="0" borderId="22" xfId="0" applyFont="1" applyBorder="1" applyAlignment="1">
      <alignment horizontal="center"/>
    </xf>
    <xf numFmtId="178" fontId="15" fillId="0" borderId="6" xfId="0" applyFont="1" applyBorder="1" applyAlignment="1">
      <alignment horizontal="center"/>
    </xf>
    <xf numFmtId="178" fontId="0" fillId="0" borderId="8" xfId="0" applyBorder="1" applyAlignment="1">
      <alignment horizontal="center"/>
    </xf>
    <xf numFmtId="178" fontId="55" fillId="6" borderId="5" xfId="0" applyFont="1" applyFill="1" applyBorder="1" applyAlignment="1">
      <alignment horizontal="center" vertical="center"/>
    </xf>
    <xf numFmtId="178" fontId="55" fillId="6" borderId="26" xfId="0" applyFont="1" applyFill="1" applyBorder="1" applyAlignment="1">
      <alignment horizontal="center" vertical="center"/>
    </xf>
    <xf numFmtId="178" fontId="49" fillId="0" borderId="2" xfId="0" applyFont="1" applyBorder="1" applyAlignment="1">
      <alignment horizontal="center"/>
    </xf>
    <xf numFmtId="178" fontId="49" fillId="0" borderId="9" xfId="0" applyFont="1" applyBorder="1" applyAlignment="1">
      <alignment horizontal="center"/>
    </xf>
    <xf numFmtId="178" fontId="35" fillId="0" borderId="30" xfId="0" applyFont="1" applyBorder="1" applyAlignment="1">
      <alignment horizontal="center" textRotation="90"/>
    </xf>
    <xf numFmtId="178" fontId="35" fillId="0" borderId="31" xfId="0" applyFont="1" applyBorder="1" applyAlignment="1">
      <alignment horizontal="center" textRotation="90"/>
    </xf>
    <xf numFmtId="178" fontId="35" fillId="0" borderId="5" xfId="0" applyFont="1" applyBorder="1" applyAlignment="1">
      <alignment horizontal="center" vertical="center" textRotation="90" wrapText="1"/>
    </xf>
    <xf numFmtId="178" fontId="35" fillId="0" borderId="4" xfId="0" applyFont="1" applyBorder="1" applyAlignment="1">
      <alignment horizontal="center" vertical="center" textRotation="90" wrapText="1"/>
    </xf>
    <xf numFmtId="178" fontId="12" fillId="0" borderId="1" xfId="0" applyFont="1" applyBorder="1" applyAlignment="1">
      <alignment horizontal="center" vertical="center" textRotation="90" wrapText="1"/>
    </xf>
    <xf numFmtId="178" fontId="12" fillId="0" borderId="4" xfId="0" applyFont="1" applyBorder="1" applyAlignment="1">
      <alignment horizontal="center" vertical="center" textRotation="90" wrapText="1"/>
    </xf>
    <xf numFmtId="178" fontId="20" fillId="7" borderId="8" xfId="0" applyNumberFormat="1" applyFont="1" applyFill="1" applyBorder="1" applyAlignment="1">
      <alignment horizontal="center" textRotation="90"/>
    </xf>
    <xf numFmtId="178" fontId="20" fillId="0" borderId="8" xfId="0" applyNumberFormat="1" applyFont="1" applyBorder="1" applyAlignment="1">
      <alignment horizontal="center" textRotation="90"/>
    </xf>
    <xf numFmtId="178" fontId="80" fillId="7" borderId="8" xfId="0" applyNumberFormat="1" applyFont="1" applyFill="1" applyBorder="1" applyAlignment="1">
      <alignment horizontal="center" textRotation="90"/>
    </xf>
    <xf numFmtId="178" fontId="9" fillId="2" borderId="13" xfId="0" applyFont="1" applyFill="1" applyBorder="1" applyAlignment="1">
      <alignment horizontal="center"/>
    </xf>
    <xf numFmtId="167" fontId="9" fillId="0" borderId="13" xfId="0" applyNumberFormat="1" applyFont="1" applyFill="1" applyBorder="1" applyAlignment="1">
      <alignment horizontal="center"/>
    </xf>
    <xf numFmtId="164" fontId="9" fillId="0" borderId="13" xfId="0" applyNumberFormat="1" applyFont="1" applyFill="1" applyBorder="1" applyAlignment="1">
      <alignment horizontal="center"/>
    </xf>
    <xf numFmtId="178" fontId="9" fillId="0" borderId="13" xfId="0" applyNumberFormat="1" applyFont="1" applyFill="1" applyBorder="1" applyAlignment="1">
      <alignment horizontal="center" vertical="center"/>
    </xf>
    <xf numFmtId="168" fontId="0" fillId="0" borderId="0" xfId="0" applyNumberFormat="1" applyFont="1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center"/>
    </xf>
    <xf numFmtId="178" fontId="9" fillId="2" borderId="0" xfId="0" applyFont="1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78" fontId="104" fillId="7" borderId="0" xfId="0" applyFont="1" applyFill="1" applyBorder="1" applyAlignment="1">
      <alignment horizontal="center"/>
    </xf>
    <xf numFmtId="164" fontId="104" fillId="7" borderId="0" xfId="0" applyNumberFormat="1" applyFont="1" applyFill="1" applyBorder="1" applyAlignment="1">
      <alignment horizontal="center"/>
    </xf>
    <xf numFmtId="168" fontId="103" fillId="7" borderId="0" xfId="0" applyNumberFormat="1" applyFont="1" applyFill="1" applyBorder="1" applyAlignment="1">
      <alignment horizontal="center"/>
    </xf>
    <xf numFmtId="1" fontId="103" fillId="0" borderId="0" xfId="0" applyNumberFormat="1" applyFont="1" applyAlignment="1">
      <alignment horizontal="center"/>
    </xf>
    <xf numFmtId="178" fontId="57" fillId="7" borderId="0" xfId="0" applyFont="1" applyFill="1" applyBorder="1" applyAlignment="1">
      <alignment horizontal="center"/>
    </xf>
    <xf numFmtId="164" fontId="57" fillId="7" borderId="0" xfId="0" applyNumberFormat="1" applyFont="1" applyFill="1" applyBorder="1" applyAlignment="1">
      <alignment horizontal="center"/>
    </xf>
    <xf numFmtId="178" fontId="55" fillId="6" borderId="1" xfId="0" applyFont="1" applyFill="1" applyBorder="1" applyAlignment="1">
      <alignment horizontal="center" vertical="center" wrapText="1"/>
    </xf>
    <xf numFmtId="178" fontId="55" fillId="6" borderId="5" xfId="0" applyFont="1" applyFill="1" applyBorder="1" applyAlignment="1">
      <alignment horizontal="center" vertical="center" wrapText="1"/>
    </xf>
    <xf numFmtId="178" fontId="55" fillId="6" borderId="4" xfId="0" applyFont="1" applyFill="1" applyBorder="1" applyAlignment="1">
      <alignment horizontal="center" vertical="center" wrapText="1"/>
    </xf>
    <xf numFmtId="178" fontId="30" fillId="0" borderId="12" xfId="0" applyFont="1" applyBorder="1" applyAlignment="1">
      <alignment horizontal="center"/>
    </xf>
    <xf numFmtId="178" fontId="30" fillId="0" borderId="14" xfId="0" applyFont="1" applyBorder="1" applyAlignment="1">
      <alignment horizontal="center"/>
    </xf>
    <xf numFmtId="178" fontId="30" fillId="0" borderId="15" xfId="0" applyFont="1" applyBorder="1" applyAlignment="1">
      <alignment horizontal="center"/>
    </xf>
    <xf numFmtId="176" fontId="30" fillId="0" borderId="2" xfId="0" applyNumberFormat="1" applyFont="1" applyBorder="1" applyAlignment="1">
      <alignment horizontal="center" vertical="center" wrapText="1"/>
    </xf>
    <xf numFmtId="176" fontId="30" fillId="0" borderId="28" xfId="0" applyNumberFormat="1" applyFont="1" applyBorder="1" applyAlignment="1">
      <alignment horizontal="center" vertical="center" wrapText="1"/>
    </xf>
    <xf numFmtId="181" fontId="27" fillId="0" borderId="3" xfId="0" applyNumberFormat="1" applyFont="1" applyBorder="1" applyAlignment="1">
      <alignment horizontal="center" vertical="center" textRotation="91" wrapText="1"/>
    </xf>
    <xf numFmtId="181" fontId="27" fillId="0" borderId="6" xfId="0" applyNumberFormat="1" applyFont="1" applyBorder="1" applyAlignment="1">
      <alignment horizontal="center" vertical="center" textRotation="91" wrapText="1"/>
    </xf>
    <xf numFmtId="176" fontId="30" fillId="0" borderId="20" xfId="0" applyNumberFormat="1" applyFont="1" applyBorder="1" applyAlignment="1">
      <alignment horizontal="center" vertical="center" wrapText="1"/>
    </xf>
    <xf numFmtId="176" fontId="30" fillId="0" borderId="21" xfId="0" applyNumberFormat="1" applyFont="1" applyBorder="1" applyAlignment="1">
      <alignment horizontal="center" vertical="center" wrapText="1"/>
    </xf>
    <xf numFmtId="178" fontId="27" fillId="0" borderId="3" xfId="0" applyFont="1" applyBorder="1" applyAlignment="1">
      <alignment horizontal="center" vertical="center" wrapText="1"/>
    </xf>
    <xf numFmtId="178" fontId="27" fillId="0" borderId="6" xfId="0" applyFont="1" applyBorder="1" applyAlignment="1">
      <alignment horizontal="center" vertical="center" wrapText="1"/>
    </xf>
    <xf numFmtId="1" fontId="61" fillId="0" borderId="3" xfId="0" applyNumberFormat="1" applyFont="1" applyBorder="1" applyAlignment="1">
      <alignment horizontal="center"/>
    </xf>
    <xf numFmtId="1" fontId="61" fillId="0" borderId="6" xfId="0" applyNumberFormat="1" applyFont="1" applyBorder="1" applyAlignment="1">
      <alignment horizontal="center"/>
    </xf>
    <xf numFmtId="0" fontId="37" fillId="7" borderId="12" xfId="0" applyNumberFormat="1" applyFont="1" applyFill="1" applyBorder="1" applyAlignment="1">
      <alignment horizontal="center" vertical="center" wrapText="1"/>
    </xf>
    <xf numFmtId="0" fontId="37" fillId="7" borderId="14" xfId="0" applyNumberFormat="1" applyFont="1" applyFill="1" applyBorder="1" applyAlignment="1">
      <alignment horizontal="center" vertical="center" wrapText="1"/>
    </xf>
    <xf numFmtId="0" fontId="37" fillId="7" borderId="15" xfId="0" applyNumberFormat="1" applyFont="1" applyFill="1" applyBorder="1" applyAlignment="1">
      <alignment horizontal="center" vertical="center" wrapText="1"/>
    </xf>
    <xf numFmtId="178" fontId="29" fillId="7" borderId="4" xfId="0" applyFont="1" applyFill="1" applyBorder="1" applyAlignment="1">
      <alignment horizontal="center"/>
    </xf>
    <xf numFmtId="43" fontId="29" fillId="7" borderId="4" xfId="0" applyNumberFormat="1" applyFont="1" applyFill="1" applyBorder="1" applyAlignment="1">
      <alignment horizontal="center"/>
    </xf>
    <xf numFmtId="178" fontId="137" fillId="7" borderId="1" xfId="0" applyFont="1" applyFill="1" applyBorder="1" applyAlignment="1">
      <alignment horizontal="center" vertical="center" wrapText="1"/>
    </xf>
    <xf numFmtId="178" fontId="137" fillId="7" borderId="5" xfId="0" applyFont="1" applyFill="1" applyBorder="1" applyAlignment="1">
      <alignment horizontal="center" vertical="center" wrapText="1"/>
    </xf>
    <xf numFmtId="178" fontId="137" fillId="7" borderId="4" xfId="0" applyFont="1" applyFill="1" applyBorder="1" applyAlignment="1">
      <alignment horizontal="center" vertical="center" wrapText="1"/>
    </xf>
    <xf numFmtId="178" fontId="9" fillId="0" borderId="7" xfId="0" applyFont="1" applyBorder="1" applyAlignment="1">
      <alignment horizontal="center"/>
    </xf>
    <xf numFmtId="178" fontId="9" fillId="0" borderId="23" xfId="0" applyFont="1" applyBorder="1" applyAlignment="1">
      <alignment horizontal="center"/>
    </xf>
    <xf numFmtId="178" fontId="15" fillId="0" borderId="8" xfId="0" applyFont="1" applyBorder="1" applyAlignment="1">
      <alignment horizontal="center" vertical="center" wrapText="1"/>
    </xf>
    <xf numFmtId="178" fontId="9" fillId="0" borderId="2" xfId="0" applyFont="1" applyBorder="1" applyAlignment="1">
      <alignment horizontal="center" vertical="center" wrapText="1"/>
    </xf>
    <xf numFmtId="178" fontId="9" fillId="0" borderId="9" xfId="0" applyFont="1" applyBorder="1" applyAlignment="1">
      <alignment horizontal="center" vertical="center" wrapText="1"/>
    </xf>
    <xf numFmtId="178" fontId="100" fillId="0" borderId="0" xfId="0" applyFont="1" applyBorder="1" applyAlignment="1">
      <alignment horizontal="center"/>
    </xf>
    <xf numFmtId="178" fontId="140" fillId="0" borderId="0" xfId="0" applyFont="1" applyAlignment="1">
      <alignment horizontal="center" vertical="center"/>
    </xf>
    <xf numFmtId="178" fontId="106" fillId="0" borderId="0" xfId="0" applyFont="1" applyAlignment="1">
      <alignment horizontal="center" vertical="center"/>
    </xf>
    <xf numFmtId="178" fontId="117" fillId="0" borderId="0" xfId="0" applyFont="1" applyBorder="1" applyAlignment="1">
      <alignment horizontal="center"/>
    </xf>
    <xf numFmtId="182" fontId="137" fillId="7" borderId="1" xfId="0" applyNumberFormat="1" applyFont="1" applyFill="1" applyBorder="1" applyAlignment="1">
      <alignment horizontal="center" vertical="center" wrapText="1"/>
    </xf>
    <xf numFmtId="182" fontId="137" fillId="7" borderId="5" xfId="0" applyNumberFormat="1" applyFont="1" applyFill="1" applyBorder="1" applyAlignment="1">
      <alignment horizontal="center" vertical="center" wrapText="1"/>
    </xf>
    <xf numFmtId="178" fontId="137" fillId="7" borderId="7" xfId="0" applyFont="1" applyFill="1" applyBorder="1" applyAlignment="1">
      <alignment horizontal="center" vertical="center" wrapText="1"/>
    </xf>
    <xf numFmtId="178" fontId="137" fillId="7" borderId="23" xfId="0" applyFont="1" applyFill="1" applyBorder="1" applyAlignment="1">
      <alignment horizontal="center" vertical="center" wrapText="1"/>
    </xf>
    <xf numFmtId="178" fontId="137" fillId="7" borderId="2" xfId="0" applyFont="1" applyFill="1" applyBorder="1" applyAlignment="1">
      <alignment horizontal="center" vertical="center" wrapText="1"/>
    </xf>
    <xf numFmtId="178" fontId="137" fillId="7" borderId="9" xfId="0" applyFont="1" applyFill="1" applyBorder="1" applyAlignment="1">
      <alignment horizontal="center" vertical="center" wrapText="1"/>
    </xf>
    <xf numFmtId="178" fontId="137" fillId="7" borderId="3" xfId="0" applyFont="1" applyFill="1" applyBorder="1" applyAlignment="1">
      <alignment horizontal="center" vertical="center" wrapText="1"/>
    </xf>
    <xf numFmtId="178" fontId="137" fillId="7" borderId="6" xfId="0" applyFont="1" applyFill="1" applyBorder="1" applyAlignment="1">
      <alignment horizontal="center" vertical="center" wrapText="1"/>
    </xf>
    <xf numFmtId="178" fontId="137" fillId="0" borderId="8" xfId="0" applyFont="1" applyBorder="1" applyAlignment="1">
      <alignment horizontal="center" vertical="center" wrapText="1"/>
    </xf>
    <xf numFmtId="178" fontId="137" fillId="0" borderId="1" xfId="0" applyFont="1" applyBorder="1" applyAlignment="1">
      <alignment horizontal="center" vertical="center" wrapText="1"/>
    </xf>
    <xf numFmtId="178" fontId="137" fillId="0" borderId="5" xfId="0" applyFont="1" applyBorder="1" applyAlignment="1">
      <alignment horizontal="center" vertical="center" wrapText="1"/>
    </xf>
    <xf numFmtId="178" fontId="137" fillId="0" borderId="4" xfId="0" applyFont="1" applyBorder="1" applyAlignment="1">
      <alignment horizontal="center" vertical="center" wrapText="1"/>
    </xf>
    <xf numFmtId="0" fontId="138" fillId="7" borderId="1" xfId="0" applyNumberFormat="1" applyFont="1" applyFill="1" applyBorder="1" applyAlignment="1">
      <alignment horizontal="center" vertical="center" textRotation="90" wrapText="1"/>
    </xf>
    <xf numFmtId="0" fontId="138" fillId="7" borderId="5" xfId="0" applyNumberFormat="1" applyFont="1" applyFill="1" applyBorder="1" applyAlignment="1">
      <alignment horizontal="center" vertical="center" textRotation="90" wrapText="1"/>
    </xf>
    <xf numFmtId="49" fontId="137" fillId="7" borderId="1" xfId="0" applyNumberFormat="1" applyFont="1" applyFill="1" applyBorder="1" applyAlignment="1">
      <alignment horizontal="center" vertical="center" wrapText="1"/>
    </xf>
    <xf numFmtId="49" fontId="137" fillId="7" borderId="5" xfId="0" applyNumberFormat="1" applyFont="1" applyFill="1" applyBorder="1" applyAlignment="1">
      <alignment horizontal="center" vertical="center" wrapText="1"/>
    </xf>
    <xf numFmtId="49" fontId="137" fillId="7" borderId="4" xfId="0" applyNumberFormat="1" applyFont="1" applyFill="1" applyBorder="1" applyAlignment="1">
      <alignment horizontal="center" vertical="center" wrapText="1"/>
    </xf>
    <xf numFmtId="176" fontId="137" fillId="0" borderId="32" xfId="0" applyNumberFormat="1" applyFont="1" applyBorder="1" applyAlignment="1">
      <alignment horizontal="center" vertical="center" wrapText="1"/>
    </xf>
    <xf numFmtId="176" fontId="137" fillId="0" borderId="25" xfId="0" applyNumberFormat="1" applyFont="1" applyBorder="1" applyAlignment="1">
      <alignment horizontal="center" vertical="center" wrapText="1"/>
    </xf>
    <xf numFmtId="176" fontId="137" fillId="0" borderId="2" xfId="0" applyNumberFormat="1" applyFont="1" applyBorder="1" applyAlignment="1">
      <alignment horizontal="center" vertical="center" wrapText="1"/>
    </xf>
    <xf numFmtId="176" fontId="137" fillId="0" borderId="28" xfId="0" applyNumberFormat="1" applyFont="1" applyBorder="1" applyAlignment="1">
      <alignment horizontal="center" vertical="center" wrapText="1"/>
    </xf>
    <xf numFmtId="178" fontId="137" fillId="7" borderId="8" xfId="0" applyFont="1" applyFill="1" applyBorder="1" applyAlignment="1">
      <alignment horizontal="center" vertical="center" wrapText="1"/>
    </xf>
    <xf numFmtId="178" fontId="137" fillId="0" borderId="7" xfId="0" applyFont="1" applyBorder="1" applyAlignment="1">
      <alignment horizontal="center" vertical="center" wrapText="1"/>
    </xf>
    <xf numFmtId="178" fontId="137" fillId="0" borderId="23" xfId="0" applyFont="1" applyBorder="1" applyAlignment="1">
      <alignment horizontal="center" vertical="center" wrapText="1"/>
    </xf>
    <xf numFmtId="178" fontId="137" fillId="0" borderId="3" xfId="0" applyFont="1" applyBorder="1" applyAlignment="1">
      <alignment horizontal="center" vertical="center" wrapText="1"/>
    </xf>
    <xf numFmtId="178" fontId="137" fillId="0" borderId="6" xfId="0" applyFont="1" applyBorder="1" applyAlignment="1">
      <alignment horizontal="center" vertical="center" wrapText="1"/>
    </xf>
    <xf numFmtId="178" fontId="27" fillId="0" borderId="7" xfId="0" applyFont="1" applyBorder="1" applyAlignment="1">
      <alignment horizontal="center" vertical="center" wrapText="1"/>
    </xf>
    <xf numFmtId="178" fontId="27" fillId="0" borderId="23" xfId="0" applyFont="1" applyBorder="1" applyAlignment="1">
      <alignment horizontal="center" vertical="center" wrapText="1"/>
    </xf>
    <xf numFmtId="178" fontId="137" fillId="0" borderId="12" xfId="0" applyFont="1" applyBorder="1" applyAlignment="1">
      <alignment horizontal="center" vertical="center" wrapText="1"/>
    </xf>
    <xf numFmtId="178" fontId="27" fillId="0" borderId="1" xfId="0" applyFont="1" applyBorder="1" applyAlignment="1">
      <alignment horizontal="center" vertical="center" wrapText="1"/>
    </xf>
    <xf numFmtId="178" fontId="27" fillId="0" borderId="5" xfId="0" applyFont="1" applyBorder="1" applyAlignment="1">
      <alignment horizontal="center" vertical="center" wrapText="1"/>
    </xf>
    <xf numFmtId="178" fontId="27" fillId="0" borderId="4" xfId="0" applyFont="1" applyBorder="1" applyAlignment="1">
      <alignment horizontal="center" vertical="center" wrapText="1"/>
    </xf>
    <xf numFmtId="178" fontId="26" fillId="7" borderId="1" xfId="0" applyFont="1" applyFill="1" applyBorder="1" applyAlignment="1">
      <alignment horizontal="center" vertical="center" textRotation="90" wrapText="1"/>
    </xf>
    <xf numFmtId="178" fontId="26" fillId="7" borderId="5" xfId="0" applyFont="1" applyFill="1" applyBorder="1" applyAlignment="1">
      <alignment horizontal="center" vertical="center" textRotation="90" wrapText="1"/>
    </xf>
    <xf numFmtId="178" fontId="26" fillId="7" borderId="4" xfId="0" applyFont="1" applyFill="1" applyBorder="1" applyAlignment="1">
      <alignment horizontal="center" vertical="center" textRotation="90" wrapText="1"/>
    </xf>
    <xf numFmtId="178" fontId="137" fillId="14" borderId="1" xfId="0" applyFont="1" applyFill="1" applyBorder="1" applyAlignment="1">
      <alignment horizontal="center" vertical="center" textRotation="90" wrapText="1"/>
    </xf>
    <xf numFmtId="178" fontId="137" fillId="14" borderId="5" xfId="0" applyFont="1" applyFill="1" applyBorder="1" applyAlignment="1">
      <alignment horizontal="center" vertical="center" textRotation="90" wrapText="1"/>
    </xf>
    <xf numFmtId="178" fontId="137" fillId="14" borderId="4" xfId="0" applyFont="1" applyFill="1" applyBorder="1" applyAlignment="1">
      <alignment horizontal="center" vertical="center" textRotation="90" wrapText="1"/>
    </xf>
    <xf numFmtId="1" fontId="137" fillId="0" borderId="1" xfId="0" applyNumberFormat="1" applyFont="1" applyBorder="1" applyAlignment="1">
      <alignment horizontal="center" vertical="center" wrapText="1"/>
    </xf>
    <xf numFmtId="1" fontId="137" fillId="0" borderId="4" xfId="0" applyNumberFormat="1" applyFont="1" applyBorder="1" applyAlignment="1">
      <alignment horizontal="center" vertical="center" wrapText="1"/>
    </xf>
    <xf numFmtId="0" fontId="119" fillId="7" borderId="49" xfId="91" applyFont="1" applyFill="1" applyBorder="1" applyAlignment="1">
      <alignment horizontal="center" vertical="center"/>
    </xf>
    <xf numFmtId="0" fontId="119" fillId="7" borderId="50" xfId="91" applyFont="1" applyFill="1" applyBorder="1" applyAlignment="1">
      <alignment horizontal="center" vertical="center"/>
    </xf>
    <xf numFmtId="0" fontId="119" fillId="7" borderId="51" xfId="91" applyFont="1" applyFill="1" applyBorder="1" applyAlignment="1">
      <alignment horizontal="center" vertical="center"/>
    </xf>
    <xf numFmtId="0" fontId="222" fillId="7" borderId="22" xfId="90" applyFont="1" applyFill="1" applyBorder="1" applyAlignment="1">
      <alignment horizontal="center" vertical="center"/>
    </xf>
    <xf numFmtId="0" fontId="146" fillId="7" borderId="0" xfId="90" applyFont="1" applyFill="1" applyAlignment="1">
      <alignment horizontal="center" vertical="center"/>
    </xf>
    <xf numFmtId="0" fontId="221" fillId="7" borderId="0" xfId="90" applyFont="1" applyFill="1" applyAlignment="1">
      <alignment horizontal="center" vertical="center"/>
    </xf>
    <xf numFmtId="191" fontId="224" fillId="7" borderId="12" xfId="92" applyNumberFormat="1" applyFont="1" applyFill="1" applyBorder="1" applyAlignment="1" applyProtection="1">
      <alignment horizontal="center" vertical="center" wrapText="1"/>
    </xf>
    <xf numFmtId="191" fontId="224" fillId="7" borderId="14" xfId="92" applyNumberFormat="1" applyFont="1" applyFill="1" applyBorder="1" applyAlignment="1" applyProtection="1">
      <alignment horizontal="center" vertical="center" wrapText="1"/>
    </xf>
    <xf numFmtId="191" fontId="224" fillId="7" borderId="15" xfId="92" applyNumberFormat="1" applyFont="1" applyFill="1" applyBorder="1" applyAlignment="1" applyProtection="1">
      <alignment horizontal="center" vertical="center" wrapText="1"/>
    </xf>
    <xf numFmtId="0" fontId="167" fillId="0" borderId="0" xfId="91" applyFont="1" applyFill="1" applyBorder="1" applyAlignment="1" applyProtection="1">
      <alignment horizontal="center" vertical="center"/>
      <protection hidden="1"/>
    </xf>
    <xf numFmtId="0" fontId="213" fillId="0" borderId="1" xfId="93" applyNumberFormat="1" applyFont="1" applyFill="1" applyBorder="1" applyAlignment="1" applyProtection="1">
      <alignment horizontal="center" vertical="center" wrapText="1"/>
    </xf>
    <xf numFmtId="0" fontId="212" fillId="0" borderId="4" xfId="93" applyNumberFormat="1" applyFont="1" applyFill="1" applyBorder="1" applyAlignment="1" applyProtection="1">
      <alignment horizontal="center" vertical="center" wrapText="1"/>
    </xf>
    <xf numFmtId="186" fontId="196" fillId="0" borderId="1" xfId="93" applyNumberFormat="1" applyFont="1" applyFill="1" applyBorder="1" applyAlignment="1" applyProtection="1">
      <alignment horizontal="center" vertical="center" wrapText="1"/>
    </xf>
    <xf numFmtId="186" fontId="196" fillId="0" borderId="4" xfId="93" applyNumberFormat="1" applyFont="1" applyFill="1" applyBorder="1" applyAlignment="1" applyProtection="1">
      <alignment horizontal="center" vertical="center" wrapText="1"/>
    </xf>
    <xf numFmtId="0" fontId="212" fillId="0" borderId="1" xfId="93" applyNumberFormat="1" applyFont="1" applyFill="1" applyBorder="1" applyAlignment="1" applyProtection="1">
      <alignment horizontal="center" vertical="center" wrapText="1"/>
    </xf>
    <xf numFmtId="0" fontId="119" fillId="0" borderId="12" xfId="91" applyFont="1" applyFill="1" applyBorder="1" applyAlignment="1">
      <alignment horizontal="center" vertical="center"/>
    </xf>
    <xf numFmtId="0" fontId="119" fillId="0" borderId="14" xfId="91" applyFont="1" applyFill="1" applyBorder="1" applyAlignment="1">
      <alignment horizontal="center" vertical="center"/>
    </xf>
    <xf numFmtId="0" fontId="119" fillId="0" borderId="15" xfId="91" applyFont="1" applyFill="1" applyBorder="1" applyAlignment="1">
      <alignment horizontal="center" vertical="center"/>
    </xf>
    <xf numFmtId="186" fontId="175" fillId="0" borderId="7" xfId="93" applyNumberFormat="1" applyFont="1" applyFill="1" applyBorder="1" applyAlignment="1" applyProtection="1">
      <alignment horizontal="center" vertical="center" wrapText="1"/>
    </xf>
    <xf numFmtId="186" fontId="175" fillId="0" borderId="3" xfId="93" applyNumberFormat="1" applyFont="1" applyFill="1" applyBorder="1" applyAlignment="1" applyProtection="1">
      <alignment horizontal="center" vertical="center" wrapText="1"/>
    </xf>
    <xf numFmtId="0" fontId="119" fillId="0" borderId="14" xfId="90" applyFont="1" applyFill="1" applyBorder="1" applyAlignment="1">
      <alignment horizontal="center" vertical="center"/>
    </xf>
    <xf numFmtId="0" fontId="119" fillId="0" borderId="15" xfId="90" applyFont="1" applyFill="1" applyBorder="1" applyAlignment="1">
      <alignment horizontal="center" vertical="center"/>
    </xf>
    <xf numFmtId="189" fontId="178" fillId="0" borderId="8" xfId="93" applyNumberFormat="1" applyFont="1" applyFill="1" applyBorder="1" applyAlignment="1" applyProtection="1">
      <alignment horizontal="center" vertical="center" wrapText="1"/>
    </xf>
    <xf numFmtId="0" fontId="208" fillId="0" borderId="1" xfId="91" applyFont="1" applyFill="1" applyBorder="1" applyAlignment="1">
      <alignment horizontal="center" vertical="center" wrapText="1"/>
    </xf>
    <xf numFmtId="0" fontId="208" fillId="0" borderId="4" xfId="91" applyFont="1" applyFill="1" applyBorder="1" applyAlignment="1">
      <alignment horizontal="center" vertical="center" wrapText="1"/>
    </xf>
    <xf numFmtId="17" fontId="167" fillId="0" borderId="0" xfId="90" applyNumberFormat="1" applyFont="1" applyFill="1" applyBorder="1" applyAlignment="1">
      <alignment horizontal="center" vertical="center"/>
    </xf>
    <xf numFmtId="0" fontId="167" fillId="0" borderId="0" xfId="90" applyFont="1" applyFill="1" applyBorder="1" applyAlignment="1">
      <alignment horizontal="center" vertical="center"/>
    </xf>
    <xf numFmtId="9" fontId="102" fillId="0" borderId="12" xfId="92" applyNumberFormat="1" applyFont="1" applyFill="1" applyBorder="1" applyAlignment="1" applyProtection="1">
      <alignment horizontal="center" vertical="center" wrapText="1"/>
    </xf>
    <xf numFmtId="0" fontId="102" fillId="0" borderId="14" xfId="92" applyNumberFormat="1" applyFont="1" applyFill="1" applyBorder="1" applyAlignment="1" applyProtection="1">
      <alignment horizontal="center" vertical="center" wrapText="1"/>
    </xf>
    <xf numFmtId="0" fontId="102" fillId="0" borderId="15" xfId="92" applyNumberFormat="1" applyFont="1" applyFill="1" applyBorder="1" applyAlignment="1" applyProtection="1">
      <alignment horizontal="center" vertical="center" wrapText="1"/>
    </xf>
    <xf numFmtId="0" fontId="182" fillId="0" borderId="1" xfId="91" applyNumberFormat="1" applyFont="1" applyFill="1" applyBorder="1" applyAlignment="1" applyProtection="1">
      <alignment horizontal="center" vertical="center" wrapText="1"/>
    </xf>
    <xf numFmtId="0" fontId="182" fillId="0" borderId="4" xfId="91" applyNumberFormat="1" applyFont="1" applyFill="1" applyBorder="1" applyAlignment="1" applyProtection="1">
      <alignment horizontal="center" vertical="center" wrapText="1"/>
    </xf>
    <xf numFmtId="0" fontId="178" fillId="0" borderId="1" xfId="91" applyNumberFormat="1" applyFont="1" applyFill="1" applyBorder="1" applyAlignment="1" applyProtection="1">
      <alignment horizontal="center" vertical="center" wrapText="1"/>
    </xf>
    <xf numFmtId="0" fontId="178" fillId="0" borderId="4" xfId="91" applyNumberFormat="1" applyFont="1" applyFill="1" applyBorder="1" applyAlignment="1" applyProtection="1">
      <alignment horizontal="center" vertical="center" wrapText="1"/>
    </xf>
    <xf numFmtId="0" fontId="175" fillId="0" borderId="1" xfId="91" applyNumberFormat="1" applyFont="1" applyFill="1" applyBorder="1" applyAlignment="1" applyProtection="1">
      <alignment horizontal="center" vertical="center" wrapText="1"/>
    </xf>
    <xf numFmtId="0" fontId="175" fillId="0" borderId="4" xfId="91" applyNumberFormat="1" applyFont="1" applyFill="1" applyBorder="1" applyAlignment="1" applyProtection="1">
      <alignment horizontal="center" vertical="center" wrapText="1"/>
    </xf>
    <xf numFmtId="0" fontId="155" fillId="0" borderId="12" xfId="92" applyNumberFormat="1" applyFont="1" applyFill="1" applyBorder="1" applyAlignment="1" applyProtection="1">
      <alignment horizontal="center" vertical="center" wrapText="1"/>
    </xf>
    <xf numFmtId="0" fontId="104" fillId="0" borderId="15" xfId="92" applyNumberFormat="1" applyFont="1" applyFill="1" applyBorder="1" applyAlignment="1" applyProtection="1">
      <alignment horizontal="center" vertical="center" wrapText="1"/>
    </xf>
    <xf numFmtId="0" fontId="178" fillId="0" borderId="1" xfId="91" applyFont="1" applyFill="1" applyBorder="1" applyAlignment="1" applyProtection="1">
      <alignment horizontal="center" vertical="center" wrapText="1"/>
    </xf>
    <xf numFmtId="0" fontId="178" fillId="0" borderId="4" xfId="91" applyFont="1" applyFill="1" applyBorder="1" applyAlignment="1" applyProtection="1">
      <alignment horizontal="center" vertical="center" wrapText="1"/>
    </xf>
    <xf numFmtId="49" fontId="178" fillId="0" borderId="1" xfId="91" applyNumberFormat="1" applyFont="1" applyFill="1" applyBorder="1" applyAlignment="1" applyProtection="1">
      <alignment horizontal="center" vertical="center" wrapText="1"/>
    </xf>
    <xf numFmtId="49" fontId="178" fillId="0" borderId="4" xfId="91" applyNumberFormat="1" applyFont="1" applyFill="1" applyBorder="1" applyAlignment="1" applyProtection="1">
      <alignment horizontal="center" vertical="center" wrapText="1"/>
    </xf>
    <xf numFmtId="49" fontId="209" fillId="0" borderId="1" xfId="0" applyNumberFormat="1" applyFont="1" applyFill="1" applyBorder="1" applyAlignment="1">
      <alignment horizontal="center" vertical="center"/>
    </xf>
    <xf numFmtId="49" fontId="209" fillId="0" borderId="4" xfId="0" applyNumberFormat="1" applyFont="1" applyFill="1" applyBorder="1" applyAlignment="1">
      <alignment horizontal="center" vertical="center"/>
    </xf>
    <xf numFmtId="0" fontId="179" fillId="0" borderId="0" xfId="90" applyFont="1" applyFill="1" applyAlignment="1">
      <alignment horizontal="center" vertical="center"/>
    </xf>
    <xf numFmtId="0" fontId="68" fillId="0" borderId="0" xfId="90" applyFont="1" applyFill="1" applyAlignment="1">
      <alignment horizontal="center" vertical="center"/>
    </xf>
    <xf numFmtId="0" fontId="159" fillId="0" borderId="8" xfId="93" applyNumberFormat="1" applyFont="1" applyFill="1" applyBorder="1" applyAlignment="1" applyProtection="1">
      <alignment horizontal="center" vertical="center" wrapText="1"/>
    </xf>
    <xf numFmtId="0" fontId="159" fillId="0" borderId="12" xfId="93" applyNumberFormat="1" applyFont="1" applyFill="1" applyBorder="1" applyAlignment="1" applyProtection="1">
      <alignment horizontal="center" vertical="center" wrapText="1"/>
    </xf>
    <xf numFmtId="186" fontId="212" fillId="0" borderId="1" xfId="93" applyNumberFormat="1" applyFont="1" applyFill="1" applyBorder="1" applyAlignment="1" applyProtection="1">
      <alignment horizontal="center" vertical="center" wrapText="1"/>
    </xf>
    <xf numFmtId="186" fontId="212" fillId="0" borderId="4" xfId="93" applyNumberFormat="1" applyFont="1" applyFill="1" applyBorder="1" applyAlignment="1" applyProtection="1">
      <alignment horizontal="center" vertical="center" wrapText="1"/>
    </xf>
    <xf numFmtId="0" fontId="195" fillId="0" borderId="8" xfId="91" applyFont="1" applyFill="1" applyBorder="1" applyAlignment="1">
      <alignment horizontal="center" vertical="center" wrapText="1"/>
    </xf>
    <xf numFmtId="0" fontId="102" fillId="0" borderId="7" xfId="92" applyNumberFormat="1" applyFont="1" applyFill="1" applyBorder="1" applyAlignment="1" applyProtection="1">
      <alignment horizontal="center" vertical="center" wrapText="1"/>
    </xf>
    <xf numFmtId="0" fontId="102" fillId="0" borderId="13" xfId="92" applyNumberFormat="1" applyFont="1" applyFill="1" applyBorder="1" applyAlignment="1" applyProtection="1">
      <alignment horizontal="center" vertical="center" wrapText="1"/>
    </xf>
    <xf numFmtId="0" fontId="102" fillId="0" borderId="23" xfId="92" applyNumberFormat="1" applyFont="1" applyFill="1" applyBorder="1" applyAlignment="1" applyProtection="1">
      <alignment horizontal="center" vertical="center" wrapText="1"/>
    </xf>
    <xf numFmtId="0" fontId="102" fillId="0" borderId="12" xfId="92" applyNumberFormat="1" applyFont="1" applyFill="1" applyBorder="1" applyAlignment="1" applyProtection="1">
      <alignment horizontal="center" vertical="center" wrapText="1"/>
    </xf>
    <xf numFmtId="186" fontId="208" fillId="0" borderId="1" xfId="93" applyNumberFormat="1" applyFont="1" applyFill="1" applyBorder="1" applyAlignment="1" applyProtection="1">
      <alignment horizontal="center" vertical="center" wrapText="1"/>
    </xf>
    <xf numFmtId="186" fontId="208" fillId="0" borderId="4" xfId="93" applyNumberFormat="1" applyFont="1" applyFill="1" applyBorder="1" applyAlignment="1" applyProtection="1">
      <alignment horizontal="center" vertical="center" wrapText="1"/>
    </xf>
    <xf numFmtId="0" fontId="253" fillId="0" borderId="12" xfId="90" applyFont="1" applyBorder="1" applyAlignment="1">
      <alignment horizontal="center" vertical="center"/>
    </xf>
    <xf numFmtId="0" fontId="253" fillId="0" borderId="14" xfId="90" applyFont="1" applyBorder="1" applyAlignment="1">
      <alignment horizontal="center" vertical="center"/>
    </xf>
    <xf numFmtId="0" fontId="253" fillId="0" borderId="15" xfId="90" applyFont="1" applyBorder="1" applyAlignment="1">
      <alignment horizontal="center" vertical="center"/>
    </xf>
    <xf numFmtId="0" fontId="145" fillId="0" borderId="0" xfId="90" applyFont="1" applyAlignment="1">
      <alignment horizontal="center" vertical="center"/>
    </xf>
    <xf numFmtId="0" fontId="146" fillId="0" borderId="0" xfId="90" applyFont="1" applyAlignment="1">
      <alignment horizontal="center" vertical="center"/>
    </xf>
    <xf numFmtId="0" fontId="156" fillId="0" borderId="38" xfId="90" applyFont="1" applyBorder="1" applyAlignment="1">
      <alignment horizontal="left" vertical="center"/>
    </xf>
    <xf numFmtId="0" fontId="51" fillId="0" borderId="12" xfId="91" applyBorder="1" applyAlignment="1">
      <alignment horizontal="center" vertical="center"/>
    </xf>
    <xf numFmtId="0" fontId="51" fillId="0" borderId="14" xfId="91" applyBorder="1" applyAlignment="1">
      <alignment horizontal="center" vertical="center"/>
    </xf>
    <xf numFmtId="0" fontId="51" fillId="0" borderId="15" xfId="91" applyBorder="1" applyAlignment="1">
      <alignment horizontal="center" vertical="center"/>
    </xf>
    <xf numFmtId="0" fontId="142" fillId="0" borderId="0" xfId="90" applyFill="1" applyAlignment="1">
      <alignment horizontal="center" vertical="center"/>
    </xf>
    <xf numFmtId="44" fontId="142" fillId="0" borderId="0" xfId="90" applyNumberFormat="1" applyFill="1" applyAlignment="1">
      <alignment horizontal="center" vertical="center"/>
    </xf>
    <xf numFmtId="0" fontId="146" fillId="0" borderId="0" xfId="90" applyFont="1" applyFill="1" applyAlignment="1">
      <alignment horizontal="center" vertical="center"/>
    </xf>
    <xf numFmtId="0" fontId="221" fillId="0" borderId="0" xfId="90" applyFont="1" applyFill="1" applyAlignment="1">
      <alignment horizontal="center" vertical="center"/>
    </xf>
    <xf numFmtId="0" fontId="222" fillId="0" borderId="22" xfId="90" applyFont="1" applyFill="1" applyBorder="1" applyAlignment="1">
      <alignment horizontal="center" vertical="center"/>
    </xf>
    <xf numFmtId="0" fontId="222" fillId="0" borderId="22" xfId="90" applyFont="1" applyFill="1" applyBorder="1" applyAlignment="1">
      <alignment horizontal="left" vertical="center"/>
    </xf>
    <xf numFmtId="191" fontId="224" fillId="0" borderId="7" xfId="92" applyNumberFormat="1" applyFont="1" applyFill="1" applyBorder="1" applyAlignment="1" applyProtection="1">
      <alignment horizontal="center" vertical="center" wrapText="1"/>
    </xf>
    <xf numFmtId="191" fontId="224" fillId="0" borderId="13" xfId="92" applyNumberFormat="1" applyFont="1" applyFill="1" applyBorder="1" applyAlignment="1" applyProtection="1">
      <alignment horizontal="center" vertical="center" wrapText="1"/>
    </xf>
    <xf numFmtId="191" fontId="224" fillId="0" borderId="23" xfId="92" applyNumberFormat="1" applyFont="1" applyFill="1" applyBorder="1" applyAlignment="1" applyProtection="1">
      <alignment horizontal="center" vertical="center" wrapText="1"/>
    </xf>
    <xf numFmtId="0" fontId="119" fillId="0" borderId="47" xfId="91" applyFont="1" applyFill="1" applyBorder="1" applyAlignment="1">
      <alignment horizontal="center" vertical="center"/>
    </xf>
    <xf numFmtId="0" fontId="119" fillId="0" borderId="46" xfId="91" applyFont="1" applyFill="1" applyBorder="1" applyAlignment="1">
      <alignment horizontal="center" vertical="center"/>
    </xf>
    <xf numFmtId="186" fontId="219" fillId="0" borderId="1" xfId="93" applyNumberFormat="1" applyFont="1" applyFill="1" applyBorder="1" applyAlignment="1" applyProtection="1">
      <alignment horizontal="center" vertical="center" wrapText="1"/>
    </xf>
    <xf numFmtId="186" fontId="219" fillId="0" borderId="4" xfId="93" applyNumberFormat="1" applyFont="1" applyFill="1" applyBorder="1" applyAlignment="1" applyProtection="1">
      <alignment horizontal="center" vertical="center" wrapText="1"/>
    </xf>
    <xf numFmtId="0" fontId="208" fillId="0" borderId="8" xfId="91" applyFont="1" applyFill="1" applyBorder="1" applyAlignment="1">
      <alignment horizontal="center" vertical="center" wrapText="1"/>
    </xf>
    <xf numFmtId="0" fontId="102" fillId="0" borderId="8" xfId="93" applyNumberFormat="1" applyFont="1" applyFill="1" applyBorder="1" applyAlignment="1" applyProtection="1">
      <alignment horizontal="center" vertical="center" wrapText="1"/>
    </xf>
    <xf numFmtId="0" fontId="102" fillId="0" borderId="12" xfId="93" applyNumberFormat="1" applyFont="1" applyFill="1" applyBorder="1" applyAlignment="1" applyProtection="1">
      <alignment horizontal="center" vertical="center" wrapText="1"/>
    </xf>
    <xf numFmtId="186" fontId="217" fillId="0" borderId="1" xfId="93" applyNumberFormat="1" applyFont="1" applyFill="1" applyBorder="1" applyAlignment="1" applyProtection="1">
      <alignment horizontal="center" vertical="center" wrapText="1"/>
    </xf>
    <xf numFmtId="186" fontId="217" fillId="0" borderId="4" xfId="93" applyNumberFormat="1" applyFont="1" applyFill="1" applyBorder="1" applyAlignment="1" applyProtection="1">
      <alignment horizontal="center" vertical="center" wrapText="1"/>
    </xf>
    <xf numFmtId="186" fontId="155" fillId="0" borderId="7" xfId="93" applyNumberFormat="1" applyFont="1" applyFill="1" applyBorder="1" applyAlignment="1" applyProtection="1">
      <alignment horizontal="center" vertical="center" wrapText="1"/>
    </xf>
    <xf numFmtId="186" fontId="155" fillId="0" borderId="3" xfId="93" applyNumberFormat="1" applyFont="1" applyFill="1" applyBorder="1" applyAlignment="1" applyProtection="1">
      <alignment horizontal="center" vertical="center" wrapText="1"/>
    </xf>
    <xf numFmtId="0" fontId="119" fillId="0" borderId="22" xfId="91" applyFont="1" applyFill="1" applyBorder="1" applyAlignment="1">
      <alignment horizontal="center" vertical="center"/>
    </xf>
    <xf numFmtId="189" fontId="175" fillId="0" borderId="8" xfId="93" applyNumberFormat="1" applyFont="1" applyFill="1" applyBorder="1" applyAlignment="1" applyProtection="1">
      <alignment horizontal="center" vertical="center" wrapText="1"/>
    </xf>
    <xf numFmtId="0" fontId="104" fillId="0" borderId="8" xfId="93" applyNumberFormat="1" applyFont="1" applyFill="1" applyBorder="1" applyAlignment="1" applyProtection="1">
      <alignment horizontal="center" vertical="center" wrapText="1"/>
    </xf>
    <xf numFmtId="0" fontId="104" fillId="0" borderId="12" xfId="93" applyNumberFormat="1" applyFont="1" applyFill="1" applyBorder="1" applyAlignment="1" applyProtection="1">
      <alignment horizontal="center" vertical="center" wrapText="1"/>
    </xf>
    <xf numFmtId="0" fontId="175" fillId="0" borderId="1" xfId="91" applyFont="1" applyFill="1" applyBorder="1" applyAlignment="1" applyProtection="1">
      <alignment horizontal="center" vertical="center" wrapText="1"/>
    </xf>
    <xf numFmtId="0" fontId="175" fillId="0" borderId="4" xfId="91" applyFont="1" applyFill="1" applyBorder="1" applyAlignment="1" applyProtection="1">
      <alignment horizontal="center" vertical="center" wrapText="1"/>
    </xf>
    <xf numFmtId="49" fontId="197" fillId="0" borderId="1" xfId="0" applyNumberFormat="1" applyFont="1" applyFill="1" applyBorder="1" applyAlignment="1">
      <alignment horizontal="center" vertical="center"/>
    </xf>
    <xf numFmtId="49" fontId="197" fillId="0" borderId="4" xfId="0" applyNumberFormat="1" applyFont="1" applyFill="1" applyBorder="1" applyAlignment="1">
      <alignment horizontal="center" vertical="center"/>
    </xf>
    <xf numFmtId="0" fontId="119" fillId="0" borderId="3" xfId="91" applyFont="1" applyFill="1" applyBorder="1" applyAlignment="1">
      <alignment horizontal="center" vertical="center"/>
    </xf>
    <xf numFmtId="0" fontId="119" fillId="0" borderId="0" xfId="91" applyFont="1" applyFill="1" applyBorder="1" applyAlignment="1" applyProtection="1">
      <alignment horizontal="center" vertical="center"/>
      <protection hidden="1"/>
    </xf>
    <xf numFmtId="49" fontId="175" fillId="0" borderId="1" xfId="91" applyNumberFormat="1" applyFont="1" applyFill="1" applyBorder="1" applyAlignment="1" applyProtection="1">
      <alignment horizontal="center" vertical="center" wrapText="1"/>
    </xf>
    <xf numFmtId="49" fontId="175" fillId="0" borderId="4" xfId="91" applyNumberFormat="1" applyFont="1" applyFill="1" applyBorder="1" applyAlignment="1" applyProtection="1">
      <alignment horizontal="center" vertical="center" wrapText="1"/>
    </xf>
    <xf numFmtId="0" fontId="141" fillId="0" borderId="12" xfId="90" applyFont="1" applyBorder="1" applyAlignment="1">
      <alignment horizontal="center" vertical="center"/>
    </xf>
    <xf numFmtId="0" fontId="141" fillId="0" borderId="14" xfId="90" applyFont="1" applyBorder="1" applyAlignment="1">
      <alignment horizontal="center" vertical="center"/>
    </xf>
    <xf numFmtId="0" fontId="141" fillId="0" borderId="15" xfId="90" applyFont="1" applyBorder="1" applyAlignment="1">
      <alignment horizontal="center" vertical="center"/>
    </xf>
    <xf numFmtId="0" fontId="196" fillId="0" borderId="1" xfId="91" applyNumberFormat="1" applyFont="1" applyFill="1" applyBorder="1" applyAlignment="1" applyProtection="1">
      <alignment horizontal="center" vertical="center" wrapText="1"/>
    </xf>
    <xf numFmtId="0" fontId="196" fillId="0" borderId="4" xfId="91" applyNumberFormat="1" applyFont="1" applyFill="1" applyBorder="1" applyAlignment="1" applyProtection="1">
      <alignment horizontal="center" vertical="center" wrapText="1"/>
    </xf>
    <xf numFmtId="0" fontId="145" fillId="0" borderId="0" xfId="90" applyFont="1" applyAlignment="1">
      <alignment horizontal="center"/>
    </xf>
    <xf numFmtId="0" fontId="119" fillId="0" borderId="6" xfId="91" applyFont="1" applyFill="1" applyBorder="1" applyAlignment="1">
      <alignment horizontal="center" vertical="center"/>
    </xf>
    <xf numFmtId="186" fontId="178" fillId="0" borderId="1" xfId="93" applyNumberFormat="1" applyFont="1" applyFill="1" applyBorder="1" applyAlignment="1" applyProtection="1">
      <alignment horizontal="center" vertical="center" wrapText="1"/>
    </xf>
    <xf numFmtId="186" fontId="178" fillId="0" borderId="4" xfId="93" applyNumberFormat="1" applyFont="1" applyFill="1" applyBorder="1" applyAlignment="1" applyProtection="1">
      <alignment horizontal="center" vertical="center" wrapText="1"/>
    </xf>
    <xf numFmtId="49" fontId="197" fillId="0" borderId="5" xfId="0" applyNumberFormat="1" applyFont="1" applyFill="1" applyBorder="1" applyAlignment="1">
      <alignment horizontal="center" vertical="center"/>
    </xf>
    <xf numFmtId="0" fontId="141" fillId="0" borderId="12" xfId="90" applyFont="1" applyBorder="1" applyAlignment="1">
      <alignment horizontal="center"/>
    </xf>
    <xf numFmtId="0" fontId="141" fillId="0" borderId="14" xfId="90" applyFont="1" applyBorder="1" applyAlignment="1">
      <alignment horizontal="center"/>
    </xf>
    <xf numFmtId="0" fontId="141" fillId="0" borderId="15" xfId="90" applyFont="1" applyBorder="1" applyAlignment="1">
      <alignment horizontal="center"/>
    </xf>
    <xf numFmtId="0" fontId="146" fillId="0" borderId="0" xfId="90" applyFont="1" applyFill="1" applyAlignment="1">
      <alignment horizontal="left" vertical="center"/>
    </xf>
    <xf numFmtId="44" fontId="224" fillId="0" borderId="7" xfId="92" applyNumberFormat="1" applyFont="1" applyFill="1" applyBorder="1" applyAlignment="1" applyProtection="1">
      <alignment horizontal="center" vertical="center" wrapText="1"/>
    </xf>
    <xf numFmtId="44" fontId="224" fillId="0" borderId="13" xfId="92" applyNumberFormat="1" applyFont="1" applyFill="1" applyBorder="1" applyAlignment="1" applyProtection="1">
      <alignment horizontal="center" vertical="center" wrapText="1"/>
    </xf>
    <xf numFmtId="44" fontId="224" fillId="0" borderId="23" xfId="92" applyNumberFormat="1" applyFont="1" applyFill="1" applyBorder="1" applyAlignment="1" applyProtection="1">
      <alignment horizontal="center" vertical="center" wrapText="1"/>
    </xf>
    <xf numFmtId="0" fontId="119" fillId="0" borderId="49" xfId="91" applyFont="1" applyFill="1" applyBorder="1" applyAlignment="1">
      <alignment horizontal="center" vertical="center"/>
    </xf>
    <xf numFmtId="0" fontId="119" fillId="0" borderId="50" xfId="91" applyFont="1" applyFill="1" applyBorder="1" applyAlignment="1">
      <alignment horizontal="center" vertical="center"/>
    </xf>
    <xf numFmtId="0" fontId="119" fillId="0" borderId="51" xfId="91" applyFont="1" applyFill="1" applyBorder="1" applyAlignment="1">
      <alignment horizontal="center" vertical="center"/>
    </xf>
    <xf numFmtId="0" fontId="104" fillId="0" borderId="8" xfId="92" applyNumberFormat="1" applyFont="1" applyFill="1" applyBorder="1" applyAlignment="1" applyProtection="1">
      <alignment horizontal="center" vertical="center" wrapText="1"/>
    </xf>
    <xf numFmtId="0" fontId="175" fillId="0" borderId="8" xfId="91" applyNumberFormat="1" applyFont="1" applyFill="1" applyBorder="1" applyAlignment="1" applyProtection="1">
      <alignment horizontal="center" vertical="center" wrapText="1"/>
    </xf>
    <xf numFmtId="0" fontId="149" fillId="0" borderId="0" xfId="90" applyFont="1" applyFill="1" applyAlignment="1">
      <alignment horizontal="center" vertical="center"/>
    </xf>
    <xf numFmtId="0" fontId="142" fillId="0" borderId="12" xfId="90" applyBorder="1" applyAlignment="1">
      <alignment horizontal="center"/>
    </xf>
    <xf numFmtId="0" fontId="142" fillId="0" borderId="14" xfId="90" applyBorder="1" applyAlignment="1">
      <alignment horizontal="center"/>
    </xf>
    <xf numFmtId="0" fontId="142" fillId="0" borderId="15" xfId="90" applyBorder="1" applyAlignment="1">
      <alignment horizontal="center"/>
    </xf>
    <xf numFmtId="0" fontId="119" fillId="0" borderId="12" xfId="90" applyFont="1" applyFill="1" applyBorder="1" applyAlignment="1">
      <alignment horizontal="center" vertical="center"/>
    </xf>
    <xf numFmtId="0" fontId="119" fillId="0" borderId="45" xfId="91" applyFont="1" applyFill="1" applyBorder="1" applyAlignment="1">
      <alignment horizontal="center" vertical="center"/>
    </xf>
    <xf numFmtId="0" fontId="119" fillId="0" borderId="56" xfId="91" applyFont="1" applyFill="1" applyBorder="1" applyAlignment="1">
      <alignment horizontal="center" vertical="center"/>
    </xf>
    <xf numFmtId="0" fontId="102" fillId="0" borderId="8" xfId="92" applyNumberFormat="1" applyFont="1" applyFill="1" applyBorder="1" applyAlignment="1" applyProtection="1">
      <alignment horizontal="center" vertical="center" wrapText="1"/>
    </xf>
    <xf numFmtId="0" fontId="51" fillId="0" borderId="8" xfId="93" applyNumberFormat="1" applyFont="1" applyFill="1" applyBorder="1" applyAlignment="1" applyProtection="1">
      <alignment horizontal="center" vertical="center" wrapText="1"/>
    </xf>
    <xf numFmtId="0" fontId="104" fillId="0" borderId="37" xfId="92" applyNumberFormat="1" applyFont="1" applyFill="1" applyBorder="1" applyAlignment="1" applyProtection="1">
      <alignment horizontal="center" vertical="center" wrapText="1"/>
    </xf>
    <xf numFmtId="0" fontId="104" fillId="0" borderId="36" xfId="92" applyNumberFormat="1" applyFont="1" applyFill="1" applyBorder="1" applyAlignment="1" applyProtection="1">
      <alignment horizontal="center" vertical="center" wrapText="1"/>
    </xf>
    <xf numFmtId="0" fontId="104" fillId="0" borderId="35" xfId="92" applyNumberFormat="1" applyFont="1" applyFill="1" applyBorder="1" applyAlignment="1" applyProtection="1">
      <alignment horizontal="center" vertical="center" wrapText="1"/>
    </xf>
    <xf numFmtId="191" fontId="237" fillId="0" borderId="7" xfId="92" applyNumberFormat="1" applyFont="1" applyFill="1" applyBorder="1" applyAlignment="1" applyProtection="1">
      <alignment horizontal="center" vertical="center" wrapText="1"/>
    </xf>
    <xf numFmtId="191" fontId="237" fillId="0" borderId="13" xfId="92" applyNumberFormat="1" applyFont="1" applyFill="1" applyBorder="1" applyAlignment="1" applyProtection="1">
      <alignment horizontal="center" vertical="center" wrapText="1"/>
    </xf>
    <xf numFmtId="191" fontId="237" fillId="0" borderId="23" xfId="92" applyNumberFormat="1" applyFont="1" applyFill="1" applyBorder="1" applyAlignment="1" applyProtection="1">
      <alignment horizontal="center" vertical="center" wrapText="1"/>
    </xf>
    <xf numFmtId="0" fontId="142" fillId="0" borderId="0" xfId="90" applyFont="1" applyFill="1" applyAlignment="1">
      <alignment horizontal="center" vertical="center"/>
    </xf>
    <xf numFmtId="0" fontId="51" fillId="0" borderId="12" xfId="93" applyNumberFormat="1" applyFont="1" applyFill="1" applyBorder="1" applyAlignment="1" applyProtection="1">
      <alignment horizontal="center" vertical="center" wrapText="1"/>
    </xf>
    <xf numFmtId="0" fontId="181" fillId="0" borderId="47" xfId="91" applyFont="1" applyFill="1" applyBorder="1" applyAlignment="1">
      <alignment horizontal="center" vertical="center"/>
    </xf>
    <xf numFmtId="0" fontId="181" fillId="0" borderId="46" xfId="91" applyFont="1" applyFill="1" applyBorder="1" applyAlignment="1">
      <alignment horizontal="center" vertical="center"/>
    </xf>
    <xf numFmtId="189" fontId="185" fillId="0" borderId="8" xfId="93" applyNumberFormat="1" applyFont="1" applyFill="1" applyBorder="1" applyAlignment="1" applyProtection="1">
      <alignment horizontal="center" vertical="center" wrapText="1"/>
    </xf>
    <xf numFmtId="0" fontId="167" fillId="0" borderId="12" xfId="91" applyFont="1" applyFill="1" applyBorder="1" applyAlignment="1">
      <alignment horizontal="center" vertical="center"/>
    </xf>
    <xf numFmtId="0" fontId="167" fillId="0" borderId="14" xfId="91" applyFont="1" applyFill="1" applyBorder="1" applyAlignment="1">
      <alignment horizontal="center" vertical="center"/>
    </xf>
    <xf numFmtId="0" fontId="167" fillId="0" borderId="15" xfId="91" applyFont="1" applyFill="1" applyBorder="1" applyAlignment="1">
      <alignment horizontal="center" vertical="center"/>
    </xf>
    <xf numFmtId="0" fontId="167" fillId="0" borderId="14" xfId="90" applyFont="1" applyFill="1" applyBorder="1" applyAlignment="1">
      <alignment horizontal="center" vertical="center"/>
    </xf>
    <xf numFmtId="0" fontId="167" fillId="0" borderId="15" xfId="90" applyFont="1" applyFill="1" applyBorder="1" applyAlignment="1">
      <alignment horizontal="center" vertical="center"/>
    </xf>
    <xf numFmtId="0" fontId="186" fillId="0" borderId="22" xfId="90" applyFont="1" applyFill="1" applyBorder="1" applyAlignment="1">
      <alignment horizontal="left" vertical="center"/>
    </xf>
    <xf numFmtId="0" fontId="183" fillId="0" borderId="13" xfId="90" applyFont="1" applyFill="1" applyBorder="1" applyAlignment="1">
      <alignment horizontal="center" vertical="center"/>
    </xf>
    <xf numFmtId="0" fontId="186" fillId="0" borderId="0" xfId="91" applyFont="1" applyFill="1" applyBorder="1" applyAlignment="1" applyProtection="1">
      <alignment horizontal="center" vertical="center"/>
      <protection hidden="1"/>
    </xf>
    <xf numFmtId="0" fontId="222" fillId="0" borderId="38" xfId="90" applyFont="1" applyBorder="1" applyAlignment="1">
      <alignment horizontal="left" vertical="center"/>
    </xf>
    <xf numFmtId="0" fontId="257" fillId="0" borderId="0" xfId="90" applyFont="1" applyFill="1" applyAlignment="1">
      <alignment horizontal="center" vertical="center"/>
    </xf>
    <xf numFmtId="3" fontId="262" fillId="0" borderId="0" xfId="0" applyNumberFormat="1" applyFont="1" applyFill="1" applyBorder="1" applyAlignment="1">
      <alignment horizontal="center" vertical="center"/>
    </xf>
    <xf numFmtId="0" fontId="190" fillId="0" borderId="0" xfId="0" applyNumberFormat="1" applyFont="1" applyFill="1" applyAlignment="1">
      <alignment horizontal="center" vertical="center"/>
    </xf>
    <xf numFmtId="0" fontId="67" fillId="0" borderId="0" xfId="0" applyNumberFormat="1" applyFont="1" applyFill="1" applyAlignment="1">
      <alignment horizontal="center" vertical="center"/>
    </xf>
    <xf numFmtId="0" fontId="168" fillId="0" borderId="41" xfId="0" applyNumberFormat="1" applyFont="1" applyFill="1" applyBorder="1" applyAlignment="1">
      <alignment horizontal="center" vertical="center"/>
    </xf>
    <xf numFmtId="0" fontId="168" fillId="0" borderId="42" xfId="0" applyNumberFormat="1" applyFont="1" applyFill="1" applyBorder="1" applyAlignment="1">
      <alignment horizontal="center" vertical="center"/>
    </xf>
    <xf numFmtId="0" fontId="272" fillId="0" borderId="34" xfId="0" applyNumberFormat="1" applyFont="1" applyFill="1" applyBorder="1" applyAlignment="1">
      <alignment horizontal="center" vertical="center"/>
    </xf>
    <xf numFmtId="166" fontId="277" fillId="0" borderId="8" xfId="5" applyFont="1" applyFill="1" applyBorder="1" applyAlignment="1">
      <alignment horizontal="center"/>
    </xf>
    <xf numFmtId="44" fontId="276" fillId="0" borderId="8" xfId="0" applyNumberFormat="1" applyFont="1" applyFill="1" applyBorder="1" applyAlignment="1">
      <alignment horizontal="center" vertical="center" shrinkToFit="1"/>
    </xf>
    <xf numFmtId="178" fontId="67" fillId="24" borderId="8" xfId="0" applyFont="1" applyFill="1" applyBorder="1" applyAlignment="1">
      <alignment horizontal="center" vertical="center"/>
    </xf>
    <xf numFmtId="0" fontId="249" fillId="0" borderId="12" xfId="67" applyNumberFormat="1" applyFont="1" applyFill="1" applyBorder="1" applyAlignment="1">
      <alignment horizontal="center" vertical="center" shrinkToFit="1"/>
    </xf>
    <xf numFmtId="0" fontId="249" fillId="0" borderId="15" xfId="67" applyNumberFormat="1" applyFont="1" applyFill="1" applyBorder="1" applyAlignment="1">
      <alignment horizontal="center" vertical="center" shrinkToFit="1"/>
    </xf>
    <xf numFmtId="0" fontId="68" fillId="0" borderId="22" xfId="9" applyFont="1" applyFill="1" applyBorder="1" applyAlignment="1">
      <alignment horizontal="left" vertical="center"/>
    </xf>
    <xf numFmtId="0" fontId="198" fillId="0" borderId="0" xfId="0" applyNumberFormat="1" applyFont="1" applyAlignment="1">
      <alignment horizontal="center" vertical="center"/>
    </xf>
    <xf numFmtId="0" fontId="199" fillId="0" borderId="0" xfId="0" applyNumberFormat="1" applyFont="1" applyAlignment="1">
      <alignment horizontal="center" vertical="center"/>
    </xf>
    <xf numFmtId="0" fontId="200" fillId="0" borderId="0" xfId="0" applyNumberFormat="1" applyFont="1" applyAlignment="1">
      <alignment horizontal="center" vertical="center"/>
    </xf>
    <xf numFmtId="0" fontId="207" fillId="0" borderId="0" xfId="9" applyFont="1" applyFill="1" applyBorder="1" applyAlignment="1">
      <alignment horizontal="center" vertical="center"/>
    </xf>
    <xf numFmtId="0" fontId="206" fillId="0" borderId="0" xfId="9" applyFont="1" applyFill="1" applyBorder="1" applyAlignment="1">
      <alignment horizontal="center" vertical="center"/>
    </xf>
  </cellXfs>
  <cellStyles count="221">
    <cellStyle name="Comma" xfId="3" builtinId="3"/>
    <cellStyle name="Comma 2" xfId="93"/>
    <cellStyle name="Comma 3" xfId="143"/>
    <cellStyle name="Currency" xfId="5" builtinId="4"/>
    <cellStyle name="Currency 2" xfId="10"/>
    <cellStyle name="Currency 2 2" xfId="92"/>
    <cellStyle name="Currency 3" xfId="94"/>
    <cellStyle name="Currency 4" xfId="110"/>
    <cellStyle name="Currency 5" xfId="144"/>
    <cellStyle name="Hyperlink" xfId="97" builtinId="8"/>
    <cellStyle name="Normal" xfId="0" builtinId="0"/>
    <cellStyle name="Normal 10" xfId="11"/>
    <cellStyle name="Normal 10 2" xfId="12"/>
    <cellStyle name="Normal 10 2 2" xfId="148"/>
    <cellStyle name="Normal 10 3" xfId="13"/>
    <cellStyle name="Normal 10 3 2" xfId="149"/>
    <cellStyle name="Normal 10 4" xfId="147"/>
    <cellStyle name="Normal 10_年假清算" xfId="14"/>
    <cellStyle name="Normal 11" xfId="15"/>
    <cellStyle name="Normal 11 2" xfId="16"/>
    <cellStyle name="Normal 11 2 2" xfId="151"/>
    <cellStyle name="Normal 11 3" xfId="17"/>
    <cellStyle name="Normal 11 3 2" xfId="152"/>
    <cellStyle name="Normal 11 4" xfId="150"/>
    <cellStyle name="Normal 11_年假清算" xfId="18"/>
    <cellStyle name="Normal 12" xfId="19"/>
    <cellStyle name="Normal 12 2" xfId="20"/>
    <cellStyle name="Normal 12 2 2" xfId="154"/>
    <cellStyle name="Normal 12 3" xfId="21"/>
    <cellStyle name="Normal 12 3 2" xfId="155"/>
    <cellStyle name="Normal 12 4" xfId="153"/>
    <cellStyle name="Normal 12_年假清算" xfId="22"/>
    <cellStyle name="Normal 13" xfId="23"/>
    <cellStyle name="Normal 13 2" xfId="156"/>
    <cellStyle name="Normal 14" xfId="24"/>
    <cellStyle name="Normal 14 2" xfId="157"/>
    <cellStyle name="Normal 15" xfId="90"/>
    <cellStyle name="Normal 16" xfId="98"/>
    <cellStyle name="Normal 17" xfId="109"/>
    <cellStyle name="Normal 18" xfId="112"/>
    <cellStyle name="Normal 19" xfId="119"/>
    <cellStyle name="Normal 2" xfId="9"/>
    <cellStyle name="Normal 2 10" xfId="124"/>
    <cellStyle name="Normal 2 11" xfId="146"/>
    <cellStyle name="Normal 2 2" xfId="25"/>
    <cellStyle name="Normal 2 2 2" xfId="26"/>
    <cellStyle name="Normal 2 2 2 2" xfId="27"/>
    <cellStyle name="Normal 2 2 2 2 2" xfId="28"/>
    <cellStyle name="Normal 2 2 2 2 2 2" xfId="161"/>
    <cellStyle name="Normal 2 2 2 2 3" xfId="29"/>
    <cellStyle name="Normal 2 2 2 2 3 2" xfId="162"/>
    <cellStyle name="Normal 2 2 2 2 4" xfId="160"/>
    <cellStyle name="Normal 2 2 2 2_年假清算" xfId="30"/>
    <cellStyle name="Normal 2 2 2 3" xfId="31"/>
    <cellStyle name="Normal 2 2 2 3 2" xfId="163"/>
    <cellStyle name="Normal 2 2 2 4" xfId="32"/>
    <cellStyle name="Normal 2 2 2 4 2" xfId="164"/>
    <cellStyle name="Normal 2 2 2 5" xfId="159"/>
    <cellStyle name="Normal 2 2 2_年假清算" xfId="33"/>
    <cellStyle name="Normal 2 2 3" xfId="34"/>
    <cellStyle name="Normal 2 2 3 2" xfId="165"/>
    <cellStyle name="Normal 2 2 4" xfId="35"/>
    <cellStyle name="Normal 2 2 4 2" xfId="166"/>
    <cellStyle name="Normal 2 2 5" xfId="158"/>
    <cellStyle name="Normal 2 2_年假清算" xfId="36"/>
    <cellStyle name="Normal 2 3" xfId="37"/>
    <cellStyle name="Normal 2 3 2" xfId="167"/>
    <cellStyle name="Normal 2 4" xfId="38"/>
    <cellStyle name="Normal 2 4 2" xfId="168"/>
    <cellStyle name="Normal 2 5" xfId="91"/>
    <cellStyle name="Normal 2 6" xfId="100"/>
    <cellStyle name="Normal 2 7" xfId="113"/>
    <cellStyle name="Normal 2 8" xfId="117"/>
    <cellStyle name="Normal 2 9" xfId="120"/>
    <cellStyle name="Normal 2_年假清算" xfId="39"/>
    <cellStyle name="Normal 20" xfId="122"/>
    <cellStyle name="Normal 21" xfId="128"/>
    <cellStyle name="Normal 22" xfId="129"/>
    <cellStyle name="Normal 23" xfId="131"/>
    <cellStyle name="Normal 24" xfId="142"/>
    <cellStyle name="Normal 25" xfId="208"/>
    <cellStyle name="Normal 26" xfId="132"/>
    <cellStyle name="Normal 27" xfId="133"/>
    <cellStyle name="Normal 28" xfId="135"/>
    <cellStyle name="Normal 29" xfId="134"/>
    <cellStyle name="Normal 3" xfId="7"/>
    <cellStyle name="Normal 3 10" xfId="126"/>
    <cellStyle name="Normal 3 11" xfId="145"/>
    <cellStyle name="Normal 3 2" xfId="40"/>
    <cellStyle name="Normal 3 2 2" xfId="41"/>
    <cellStyle name="Normal 3 2 2 2" xfId="42"/>
    <cellStyle name="Normal 3 2 2 2 2" xfId="43"/>
    <cellStyle name="Normal 3 2 2 2 2 2" xfId="172"/>
    <cellStyle name="Normal 3 2 2 2 3" xfId="44"/>
    <cellStyle name="Normal 3 2 2 2 3 2" xfId="173"/>
    <cellStyle name="Normal 3 2 2 2 4" xfId="171"/>
    <cellStyle name="Normal 3 2 2 2_年假清算" xfId="45"/>
    <cellStyle name="Normal 3 2 2 3" xfId="46"/>
    <cellStyle name="Normal 3 2 2 3 2" xfId="174"/>
    <cellStyle name="Normal 3 2 2 4" xfId="47"/>
    <cellStyle name="Normal 3 2 2 4 2" xfId="175"/>
    <cellStyle name="Normal 3 2 2 5" xfId="170"/>
    <cellStyle name="Normal 3 2 2_年假清算" xfId="48"/>
    <cellStyle name="Normal 3 2 3" xfId="49"/>
    <cellStyle name="Normal 3 2 3 2" xfId="176"/>
    <cellStyle name="Normal 3 2 4" xfId="50"/>
    <cellStyle name="Normal 3 2 4 2" xfId="177"/>
    <cellStyle name="Normal 3 2 5" xfId="169"/>
    <cellStyle name="Normal 3 2_年假清算" xfId="51"/>
    <cellStyle name="Normal 3 3" xfId="52"/>
    <cellStyle name="Normal 3 3 2" xfId="178"/>
    <cellStyle name="Normal 3 4" xfId="53"/>
    <cellStyle name="Normal 3 4 2" xfId="179"/>
    <cellStyle name="Normal 3 5" xfId="101"/>
    <cellStyle name="Normal 3 6" xfId="114"/>
    <cellStyle name="Normal 3 7" xfId="118"/>
    <cellStyle name="Normal 3 8" xfId="121"/>
    <cellStyle name="Normal 3 9" xfId="125"/>
    <cellStyle name="Normal 3_年假清算" xfId="54"/>
    <cellStyle name="Normal 30" xfId="205"/>
    <cellStyle name="Normal 31" xfId="218"/>
    <cellStyle name="Normal 32" xfId="206"/>
    <cellStyle name="Normal 33" xfId="219"/>
    <cellStyle name="Normal 34" xfId="216"/>
    <cellStyle name="Normal 35" xfId="138"/>
    <cellStyle name="Normal 36" xfId="220"/>
    <cellStyle name="Normal 37" xfId="210"/>
    <cellStyle name="Normal 38" xfId="217"/>
    <cellStyle name="Normal 39" xfId="137"/>
    <cellStyle name="Normal 4" xfId="55"/>
    <cellStyle name="Normal 4 10" xfId="127"/>
    <cellStyle name="Normal 4 10 2" xfId="214"/>
    <cellStyle name="Normal 4 11" xfId="130"/>
    <cellStyle name="Normal 4 11 2" xfId="215"/>
    <cellStyle name="Normal 4 12" xfId="180"/>
    <cellStyle name="Normal 4 13" xfId="136"/>
    <cellStyle name="Normal 4 2" xfId="56"/>
    <cellStyle name="Normal 4 2 2" xfId="57"/>
    <cellStyle name="Normal 4 2 2 2" xfId="58"/>
    <cellStyle name="Normal 4 2 2 2 2" xfId="183"/>
    <cellStyle name="Normal 4 2 2 3" xfId="59"/>
    <cellStyle name="Normal 4 2 2 3 2" xfId="184"/>
    <cellStyle name="Normal 4 2 2 4" xfId="182"/>
    <cellStyle name="Normal 4 2 2_年假清算" xfId="60"/>
    <cellStyle name="Normal 4 2 3" xfId="61"/>
    <cellStyle name="Normal 4 2 3 2" xfId="185"/>
    <cellStyle name="Normal 4 2 4" xfId="62"/>
    <cellStyle name="Normal 4 2 4 2" xfId="186"/>
    <cellStyle name="Normal 4 2 5" xfId="181"/>
    <cellStyle name="Normal 4 2_年假清算" xfId="63"/>
    <cellStyle name="Normal 4 3" xfId="64"/>
    <cellStyle name="Normal 4 3 2" xfId="187"/>
    <cellStyle name="Normal 4 4" xfId="65"/>
    <cellStyle name="Normal 4 4 2" xfId="188"/>
    <cellStyle name="Normal 4 5" xfId="99"/>
    <cellStyle name="Normal 4 5 2" xfId="207"/>
    <cellStyle name="Normal 4 6" xfId="111"/>
    <cellStyle name="Normal 4 6 2" xfId="209"/>
    <cellStyle name="Normal 4 7" xfId="115"/>
    <cellStyle name="Normal 4 7 2" xfId="211"/>
    <cellStyle name="Normal 4 8" xfId="116"/>
    <cellStyle name="Normal 4 8 2" xfId="212"/>
    <cellStyle name="Normal 4 9" xfId="123"/>
    <cellStyle name="Normal 4 9 2" xfId="213"/>
    <cellStyle name="Normal 4_年假清算" xfId="66"/>
    <cellStyle name="Normal 5" xfId="67"/>
    <cellStyle name="Normal 5 2" xfId="68"/>
    <cellStyle name="Normal 5 2 2" xfId="190"/>
    <cellStyle name="Normal 5 3" xfId="69"/>
    <cellStyle name="Normal 5 3 2" xfId="191"/>
    <cellStyle name="Normal 5 4" xfId="189"/>
    <cellStyle name="Normal 5 5" xfId="139"/>
    <cellStyle name="Normal 5_年假清算" xfId="70"/>
    <cellStyle name="Normal 6" xfId="71"/>
    <cellStyle name="Normal 6 2" xfId="72"/>
    <cellStyle name="Normal 6 2 2" xfId="193"/>
    <cellStyle name="Normal 6 3" xfId="73"/>
    <cellStyle name="Normal 6 3 2" xfId="194"/>
    <cellStyle name="Normal 6 4" xfId="192"/>
    <cellStyle name="Normal 6_年假清算" xfId="74"/>
    <cellStyle name="Normal 7" xfId="75"/>
    <cellStyle name="Normal 7 2" xfId="76"/>
    <cellStyle name="Normal 7 2 2" xfId="196"/>
    <cellStyle name="Normal 7 3" xfId="77"/>
    <cellStyle name="Normal 7 3 2" xfId="197"/>
    <cellStyle name="Normal 7 4" xfId="195"/>
    <cellStyle name="Normal 7_年假清算" xfId="78"/>
    <cellStyle name="Normal 8" xfId="79"/>
    <cellStyle name="Normal 8 2" xfId="80"/>
    <cellStyle name="Normal 8 2 2" xfId="199"/>
    <cellStyle name="Normal 8 3" xfId="81"/>
    <cellStyle name="Normal 8 3 2" xfId="200"/>
    <cellStyle name="Normal 8 4" xfId="198"/>
    <cellStyle name="Normal 8_年假清算" xfId="82"/>
    <cellStyle name="Normal 9" xfId="83"/>
    <cellStyle name="Normal 9 2" xfId="84"/>
    <cellStyle name="Normal 9 2 2" xfId="202"/>
    <cellStyle name="Normal 9 3" xfId="85"/>
    <cellStyle name="Normal 9 3 2" xfId="203"/>
    <cellStyle name="Normal 9 4" xfId="201"/>
    <cellStyle name="Normal 9_年假清算" xfId="86"/>
    <cellStyle name="Normal_01.WorkersListJanuary2007" xfId="6"/>
    <cellStyle name="Percent 2" xfId="95"/>
    <cellStyle name="S13" xfId="102"/>
    <cellStyle name="S14" xfId="103"/>
    <cellStyle name="S15" xfId="104"/>
    <cellStyle name="S16" xfId="105"/>
    <cellStyle name="S17" xfId="106"/>
    <cellStyle name="S18" xfId="107"/>
    <cellStyle name="S19" xfId="108"/>
    <cellStyle name="一般 2" xfId="87"/>
    <cellStyle name="一般 3" xfId="88"/>
    <cellStyle name="一般 3 2" xfId="204"/>
    <cellStyle name="一般_LIST OF SALARIES" xfId="1"/>
    <cellStyle name="一般_包裝部" xfId="2"/>
    <cellStyle name="千分位 2" xfId="8"/>
    <cellStyle name="常规 2" xfId="141"/>
    <cellStyle name="常规_05 2 2" xfId="140"/>
    <cellStyle name="常规_Sheet1" xfId="4"/>
    <cellStyle name="常规_Sheet1_1" xfId="96"/>
    <cellStyle name="貨幣 2" xfId="89"/>
  </cellStyles>
  <dxfs count="9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163470</xdr:colOff>
      <xdr:row>40</xdr:row>
      <xdr:rowOff>12872</xdr:rowOff>
    </xdr:from>
    <xdr:to>
      <xdr:col>4</xdr:col>
      <xdr:colOff>64358</xdr:colOff>
      <xdr:row>40</xdr:row>
      <xdr:rowOff>20044</xdr:rowOff>
    </xdr:to>
    <xdr:cxnSp macro="">
      <xdr:nvCxnSpPr>
        <xdr:cNvPr id="2" name="Straight Connector 1"/>
        <xdr:cNvCxnSpPr/>
      </xdr:nvCxnSpPr>
      <xdr:spPr bwMode="auto">
        <a:xfrm flipV="1">
          <a:off x="849270" y="11052347"/>
          <a:ext cx="1958288" cy="7172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40</xdr:row>
      <xdr:rowOff>6436</xdr:rowOff>
    </xdr:from>
    <xdr:to>
      <xdr:col>13</xdr:col>
      <xdr:colOff>0</xdr:colOff>
      <xdr:row>40</xdr:row>
      <xdr:rowOff>6437</xdr:rowOff>
    </xdr:to>
    <xdr:cxnSp macro="">
      <xdr:nvCxnSpPr>
        <xdr:cNvPr id="3" name="Straight Connector 2"/>
        <xdr:cNvCxnSpPr/>
      </xdr:nvCxnSpPr>
      <xdr:spPr bwMode="auto">
        <a:xfrm>
          <a:off x="6172200" y="11045911"/>
          <a:ext cx="2743200" cy="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18</xdr:col>
      <xdr:colOff>115845</xdr:colOff>
      <xdr:row>39</xdr:row>
      <xdr:rowOff>193075</xdr:rowOff>
    </xdr:from>
    <xdr:to>
      <xdr:col>21</xdr:col>
      <xdr:colOff>205945</xdr:colOff>
      <xdr:row>39</xdr:row>
      <xdr:rowOff>199510</xdr:rowOff>
    </xdr:to>
    <xdr:cxnSp macro="">
      <xdr:nvCxnSpPr>
        <xdr:cNvPr id="4" name="Straight Connector 3"/>
        <xdr:cNvCxnSpPr/>
      </xdr:nvCxnSpPr>
      <xdr:spPr bwMode="auto">
        <a:xfrm flipV="1">
          <a:off x="12460245" y="11042050"/>
          <a:ext cx="21475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4.9989318521683403E-2"/>
  </sheetPr>
  <dimension ref="A1:BG184"/>
  <sheetViews>
    <sheetView workbookViewId="0">
      <selection sqref="A1:AS1"/>
    </sheetView>
  </sheetViews>
  <sheetFormatPr defaultRowHeight="19.5"/>
  <cols>
    <col min="1" max="1" width="2.625" style="140" customWidth="1"/>
    <col min="2" max="2" width="8.375" style="5" hidden="1" customWidth="1"/>
    <col min="3" max="3" width="7.125" style="5" hidden="1" customWidth="1"/>
    <col min="4" max="4" width="7.25" style="5" hidden="1" customWidth="1"/>
    <col min="5" max="5" width="9.625" style="11" hidden="1" customWidth="1"/>
    <col min="6" max="6" width="8.375" style="27" hidden="1" customWidth="1"/>
    <col min="7" max="7" width="7.625" style="27" hidden="1" customWidth="1"/>
    <col min="8" max="9" width="5" style="11" hidden="1" customWidth="1"/>
    <col min="10" max="10" width="4.375" style="60" customWidth="1"/>
    <col min="11" max="12" width="5.625" style="84" hidden="1" customWidth="1"/>
    <col min="13" max="13" width="6" style="84" hidden="1" customWidth="1"/>
    <col min="14" max="15" width="5.625" style="84" hidden="1" customWidth="1"/>
    <col min="16" max="16" width="6.875" style="3" customWidth="1"/>
    <col min="17" max="17" width="5" style="77" customWidth="1"/>
    <col min="18" max="18" width="3.125" style="224" customWidth="1"/>
    <col min="19" max="19" width="6.5" style="216" customWidth="1"/>
    <col min="20" max="20" width="3.875" style="14" customWidth="1"/>
    <col min="21" max="21" width="2.75" customWidth="1"/>
    <col min="22" max="22" width="1.625" customWidth="1"/>
    <col min="23" max="23" width="2.75" customWidth="1"/>
    <col min="24" max="24" width="1.75" customWidth="1"/>
    <col min="25" max="25" width="2.5" customWidth="1"/>
    <col min="26" max="26" width="2.25" customWidth="1"/>
    <col min="27" max="27" width="3.375" customWidth="1"/>
    <col min="28" max="29" width="1.625" customWidth="1"/>
    <col min="30" max="30" width="4.125" customWidth="1"/>
    <col min="31" max="31" width="4.875" customWidth="1"/>
    <col min="32" max="32" width="4.125" customWidth="1"/>
    <col min="33" max="34" width="2" style="15" customWidth="1"/>
    <col min="35" max="35" width="2.75" style="201" customWidth="1"/>
    <col min="36" max="36" width="2.75" style="5" customWidth="1"/>
    <col min="37" max="37" width="3.25" style="197" customWidth="1"/>
    <col min="38" max="38" width="3.25" style="16" customWidth="1"/>
    <col min="39" max="39" width="1.875" customWidth="1"/>
    <col min="40" max="40" width="4.375" style="2" customWidth="1"/>
    <col min="41" max="41" width="9.375" style="56" customWidth="1"/>
    <col min="42" max="43" width="4.875" style="56" customWidth="1"/>
    <col min="44" max="44" width="3.125" style="56" customWidth="1"/>
    <col min="45" max="45" width="8.625" style="3" customWidth="1"/>
    <col min="46" max="46" width="14.25" style="3" customWidth="1"/>
    <col min="47" max="47" width="9.625" style="5" customWidth="1"/>
    <col min="48" max="48" width="5.75" customWidth="1"/>
    <col min="49" max="49" width="4.875" customWidth="1"/>
    <col min="50" max="50" width="4.125" customWidth="1"/>
    <col min="51" max="51" width="3.875" customWidth="1"/>
    <col min="52" max="52" width="3.625" customWidth="1"/>
    <col min="53" max="53" width="4.25" customWidth="1"/>
    <col min="54" max="54" width="5" customWidth="1"/>
    <col min="55" max="55" width="6.125" customWidth="1"/>
    <col min="56" max="56" width="5.625" customWidth="1"/>
    <col min="57" max="57" width="5.5" customWidth="1"/>
    <col min="58" max="58" width="5" customWidth="1"/>
    <col min="59" max="59" width="4.75" customWidth="1"/>
  </cols>
  <sheetData>
    <row r="1" spans="1:59" s="62" customFormat="1" ht="27" customHeight="1">
      <c r="A1" s="1929" t="s">
        <v>82</v>
      </c>
      <c r="B1" s="1929"/>
      <c r="C1" s="1929"/>
      <c r="D1" s="1929"/>
      <c r="E1" s="1929"/>
      <c r="F1" s="1929"/>
      <c r="G1" s="1929"/>
      <c r="H1" s="1929"/>
      <c r="I1" s="1929"/>
      <c r="J1" s="1929"/>
      <c r="K1" s="1929"/>
      <c r="L1" s="1929"/>
      <c r="M1" s="1929"/>
      <c r="N1" s="1929"/>
      <c r="O1" s="1929"/>
      <c r="P1" s="1929"/>
      <c r="Q1" s="1929"/>
      <c r="R1" s="1929"/>
      <c r="S1" s="1929"/>
      <c r="T1" s="1929"/>
      <c r="U1" s="1929"/>
      <c r="V1" s="1929"/>
      <c r="W1" s="1929"/>
      <c r="X1" s="1929"/>
      <c r="Y1" s="1929"/>
      <c r="Z1" s="1929"/>
      <c r="AA1" s="1929"/>
      <c r="AB1" s="1929"/>
      <c r="AC1" s="1929"/>
      <c r="AD1" s="1929"/>
      <c r="AE1" s="1929"/>
      <c r="AF1" s="1929"/>
      <c r="AG1" s="1929"/>
      <c r="AH1" s="1929"/>
      <c r="AI1" s="1929"/>
      <c r="AJ1" s="1929"/>
      <c r="AK1" s="1929"/>
      <c r="AL1" s="1929"/>
      <c r="AM1" s="1929"/>
      <c r="AN1" s="1929"/>
      <c r="AO1" s="1929"/>
      <c r="AP1" s="1929"/>
      <c r="AQ1" s="1929"/>
      <c r="AR1" s="1929"/>
      <c r="AS1" s="1929"/>
      <c r="AT1" s="205"/>
      <c r="AU1" s="80"/>
    </row>
    <row r="2" spans="1:59" s="102" customFormat="1" ht="15" customHeight="1">
      <c r="A2" s="142"/>
      <c r="B2" s="101"/>
      <c r="C2" s="101"/>
      <c r="D2" s="101"/>
      <c r="E2" s="101"/>
      <c r="F2" s="101"/>
      <c r="G2" s="101"/>
      <c r="H2" s="101"/>
      <c r="I2" s="101"/>
      <c r="J2" s="1930" t="s">
        <v>68</v>
      </c>
      <c r="K2" s="1930"/>
      <c r="L2" s="1930"/>
      <c r="M2" s="1930"/>
      <c r="N2" s="1930"/>
      <c r="O2" s="1930"/>
      <c r="P2" s="1930"/>
      <c r="Q2" s="1930"/>
      <c r="R2" s="1930"/>
      <c r="S2" s="1930"/>
      <c r="T2" s="1930"/>
      <c r="U2" s="1930"/>
      <c r="V2" s="1930"/>
      <c r="W2" s="1930"/>
      <c r="X2" s="1930"/>
      <c r="Y2" s="1930"/>
      <c r="Z2" s="1930"/>
      <c r="AA2" s="1930"/>
      <c r="AB2" s="1930"/>
      <c r="AC2" s="1930"/>
      <c r="AD2" s="1930"/>
      <c r="AE2" s="1930"/>
      <c r="AF2" s="1930"/>
      <c r="AG2" s="1930"/>
      <c r="AH2" s="1930"/>
      <c r="AI2" s="1930"/>
      <c r="AJ2" s="1930"/>
      <c r="AK2" s="1930"/>
      <c r="AL2" s="1930"/>
      <c r="AM2" s="1930"/>
      <c r="AN2" s="1930"/>
      <c r="AO2" s="1930"/>
      <c r="AP2" s="1930"/>
      <c r="AQ2" s="1930"/>
      <c r="AR2" s="1930"/>
      <c r="AS2" s="1930"/>
      <c r="AT2" s="203"/>
    </row>
    <row r="3" spans="1:59" s="3" customFormat="1" ht="16.5" customHeight="1" thickBot="1">
      <c r="A3" s="1931" t="s">
        <v>83</v>
      </c>
      <c r="B3" s="1931"/>
      <c r="C3" s="1931"/>
      <c r="D3" s="1931"/>
      <c r="E3" s="1931"/>
      <c r="F3" s="1931"/>
      <c r="G3" s="1931"/>
      <c r="H3" s="1931"/>
      <c r="I3" s="1931"/>
      <c r="J3" s="1931"/>
      <c r="K3" s="1931"/>
      <c r="L3" s="1931"/>
      <c r="M3" s="1931"/>
      <c r="N3" s="1931"/>
      <c r="O3" s="1931"/>
      <c r="P3" s="1931"/>
      <c r="Q3" s="1931"/>
      <c r="R3" s="1931"/>
      <c r="S3" s="1931"/>
      <c r="T3" s="1931"/>
      <c r="U3" s="1931"/>
      <c r="V3" s="1931"/>
      <c r="W3" s="1931"/>
      <c r="X3" s="1931"/>
      <c r="Y3" s="1931"/>
      <c r="Z3" s="1931"/>
      <c r="AA3" s="1931"/>
      <c r="AB3" s="1931"/>
      <c r="AC3" s="1931"/>
      <c r="AD3" s="1931"/>
      <c r="AE3" s="1931"/>
      <c r="AF3" s="1931"/>
      <c r="AG3" s="1931"/>
      <c r="AH3" s="1931"/>
      <c r="AI3" s="1931"/>
      <c r="AJ3" s="1931"/>
      <c r="AK3" s="1931"/>
      <c r="AL3" s="1931"/>
      <c r="AM3" s="1931"/>
      <c r="AN3" s="1931"/>
      <c r="AO3" s="1931"/>
      <c r="AP3" s="1931"/>
      <c r="AQ3" s="1931"/>
      <c r="AR3" s="1931"/>
      <c r="AS3" s="1931"/>
      <c r="AT3" s="108"/>
      <c r="AU3" s="81"/>
    </row>
    <row r="4" spans="1:59" ht="15.75" customHeight="1" thickTop="1">
      <c r="A4" s="143" t="s">
        <v>0</v>
      </c>
      <c r="B4" s="17"/>
      <c r="C4" s="17"/>
      <c r="D4" s="17"/>
      <c r="E4" s="9"/>
      <c r="F4" s="24"/>
      <c r="G4" s="24"/>
      <c r="H4" s="9"/>
      <c r="I4" s="9"/>
      <c r="J4" s="68" t="s">
        <v>21</v>
      </c>
      <c r="K4" s="1932" t="s">
        <v>63</v>
      </c>
      <c r="L4" s="85" t="s">
        <v>64</v>
      </c>
      <c r="M4" s="1932" t="s">
        <v>65</v>
      </c>
      <c r="N4" s="1932" t="s">
        <v>66</v>
      </c>
      <c r="O4" s="1934" t="s">
        <v>67</v>
      </c>
      <c r="P4" s="89" t="s">
        <v>22</v>
      </c>
      <c r="Q4" s="204" t="s">
        <v>61</v>
      </c>
      <c r="R4" s="217" t="s">
        <v>1</v>
      </c>
      <c r="S4" s="207" t="s">
        <v>23</v>
      </c>
      <c r="T4" s="63" t="s">
        <v>24</v>
      </c>
      <c r="U4" s="1936" t="s">
        <v>10</v>
      </c>
      <c r="V4" s="1936"/>
      <c r="W4" s="1936"/>
      <c r="X4" s="1936"/>
      <c r="Y4" s="1936"/>
      <c r="Z4" s="1936"/>
      <c r="AA4" s="1936"/>
      <c r="AB4" s="132" t="s">
        <v>25</v>
      </c>
      <c r="AC4" s="134" t="s">
        <v>26</v>
      </c>
      <c r="AD4" s="64" t="s">
        <v>27</v>
      </c>
      <c r="AE4" s="1937" t="s">
        <v>28</v>
      </c>
      <c r="AF4" s="1938"/>
      <c r="AG4" s="1939"/>
      <c r="AH4" s="1940"/>
      <c r="AI4" s="1977" t="s">
        <v>76</v>
      </c>
      <c r="AJ4" s="1950" t="s">
        <v>80</v>
      </c>
      <c r="AK4" s="1951" t="s">
        <v>29</v>
      </c>
      <c r="AL4" s="1951"/>
      <c r="AM4" s="1951"/>
      <c r="AN4" s="1938"/>
      <c r="AO4" s="111" t="s">
        <v>7</v>
      </c>
      <c r="AP4" s="1952" t="s">
        <v>57</v>
      </c>
      <c r="AQ4" s="1953"/>
      <c r="AR4" s="68" t="s">
        <v>21</v>
      </c>
      <c r="AS4" s="136" t="s">
        <v>30</v>
      </c>
      <c r="AT4" s="136" t="s">
        <v>70</v>
      </c>
    </row>
    <row r="5" spans="1:59" ht="12.75" customHeight="1">
      <c r="A5" s="144"/>
      <c r="B5" s="18"/>
      <c r="C5" s="18"/>
      <c r="D5" s="18"/>
      <c r="E5" s="10"/>
      <c r="F5" s="25"/>
      <c r="G5" s="25"/>
      <c r="H5" s="10"/>
      <c r="I5" s="10"/>
      <c r="J5" s="57"/>
      <c r="K5" s="1933"/>
      <c r="L5" s="91"/>
      <c r="M5" s="1933"/>
      <c r="N5" s="1933"/>
      <c r="O5" s="1935"/>
      <c r="P5" s="90"/>
      <c r="Q5" s="74"/>
      <c r="R5" s="218" t="s">
        <v>2</v>
      </c>
      <c r="S5" s="208" t="s">
        <v>31</v>
      </c>
      <c r="T5" s="66" t="s">
        <v>32</v>
      </c>
      <c r="U5" s="1941" t="s">
        <v>11</v>
      </c>
      <c r="V5" s="1942"/>
      <c r="W5" s="1939" t="s">
        <v>12</v>
      </c>
      <c r="X5" s="1940"/>
      <c r="Y5" s="1939" t="s">
        <v>12</v>
      </c>
      <c r="Z5" s="1940"/>
      <c r="AA5" s="67" t="s">
        <v>6</v>
      </c>
      <c r="AB5" s="133" t="s">
        <v>33</v>
      </c>
      <c r="AC5" s="135" t="s">
        <v>34</v>
      </c>
      <c r="AD5" s="65" t="s">
        <v>35</v>
      </c>
      <c r="AE5" s="206" t="s">
        <v>35</v>
      </c>
      <c r="AF5" s="69" t="s">
        <v>78</v>
      </c>
      <c r="AG5" s="1943" t="s">
        <v>36</v>
      </c>
      <c r="AH5" s="1944"/>
      <c r="AI5" s="1977"/>
      <c r="AJ5" s="1950"/>
      <c r="AK5" s="193" t="s">
        <v>37</v>
      </c>
      <c r="AL5" s="1945" t="s">
        <v>18</v>
      </c>
      <c r="AM5" s="1946"/>
      <c r="AN5" s="1947"/>
      <c r="AO5" s="97"/>
      <c r="AP5" s="98"/>
      <c r="AQ5" s="100"/>
      <c r="AR5" s="57"/>
      <c r="AS5" s="7"/>
      <c r="AT5" s="99"/>
      <c r="AU5" s="1965">
        <v>4000</v>
      </c>
      <c r="AV5" s="70">
        <v>100</v>
      </c>
      <c r="AW5" s="70">
        <v>50</v>
      </c>
      <c r="AX5" s="70">
        <v>20</v>
      </c>
      <c r="AY5" s="70">
        <v>10</v>
      </c>
      <c r="AZ5" s="70">
        <v>5</v>
      </c>
      <c r="BA5" s="70">
        <v>1</v>
      </c>
      <c r="BB5" s="105">
        <v>10000</v>
      </c>
      <c r="BC5" s="105">
        <v>5000</v>
      </c>
      <c r="BD5" s="105">
        <v>2000</v>
      </c>
      <c r="BE5" s="105">
        <v>1000</v>
      </c>
      <c r="BF5" s="105">
        <v>500</v>
      </c>
      <c r="BG5" s="105">
        <v>100</v>
      </c>
    </row>
    <row r="6" spans="1:59" ht="13.5" customHeight="1">
      <c r="A6" s="144"/>
      <c r="B6" s="18"/>
      <c r="C6" s="18"/>
      <c r="D6" s="18"/>
      <c r="E6" s="10"/>
      <c r="F6" s="25"/>
      <c r="G6" s="25"/>
      <c r="H6" s="10"/>
      <c r="I6" s="10"/>
      <c r="J6" s="57"/>
      <c r="K6" s="1933"/>
      <c r="L6" s="91"/>
      <c r="M6" s="1933"/>
      <c r="N6" s="1933"/>
      <c r="O6" s="1935"/>
      <c r="P6" s="90"/>
      <c r="Q6" s="74"/>
      <c r="R6" s="219"/>
      <c r="S6" s="209"/>
      <c r="T6" s="12"/>
      <c r="U6" s="28"/>
      <c r="V6" s="29"/>
      <c r="W6" s="1943" t="s">
        <v>13</v>
      </c>
      <c r="X6" s="1944"/>
      <c r="Y6" s="1967" t="s">
        <v>14</v>
      </c>
      <c r="Z6" s="1968"/>
      <c r="AA6" s="30"/>
      <c r="AB6" s="1969" t="s">
        <v>47</v>
      </c>
      <c r="AC6" s="1971" t="s">
        <v>38</v>
      </c>
      <c r="AD6" s="6"/>
      <c r="AE6" s="1973" t="s">
        <v>75</v>
      </c>
      <c r="AF6" s="1973" t="s">
        <v>39</v>
      </c>
      <c r="AG6" s="1943" t="s">
        <v>40</v>
      </c>
      <c r="AH6" s="1944"/>
      <c r="AI6" s="1975" t="s">
        <v>77</v>
      </c>
      <c r="AJ6" s="1976" t="s">
        <v>81</v>
      </c>
      <c r="AK6" s="194"/>
      <c r="AL6" s="1954" t="s">
        <v>19</v>
      </c>
      <c r="AM6" s="1955"/>
      <c r="AN6" s="1956"/>
      <c r="AO6" s="54"/>
      <c r="AP6" s="1957" t="s">
        <v>58</v>
      </c>
      <c r="AQ6" s="1958"/>
      <c r="AR6" s="57"/>
      <c r="AS6" s="7"/>
      <c r="AT6" s="7"/>
      <c r="AU6" s="1965"/>
      <c r="AV6" s="70"/>
      <c r="AW6" s="70"/>
      <c r="AX6" s="70"/>
      <c r="AY6" s="70"/>
      <c r="AZ6" s="70"/>
      <c r="BA6" s="70"/>
      <c r="BB6" s="71"/>
      <c r="BC6" s="71"/>
      <c r="BD6" s="71"/>
      <c r="BE6" s="71"/>
      <c r="BF6" s="71"/>
      <c r="BG6" s="71"/>
    </row>
    <row r="7" spans="1:59" ht="21" customHeight="1" thickBot="1">
      <c r="A7" s="145" t="s">
        <v>41</v>
      </c>
      <c r="B7" s="19"/>
      <c r="C7" s="19"/>
      <c r="D7" s="19"/>
      <c r="E7" s="22"/>
      <c r="F7" s="26"/>
      <c r="G7" s="26"/>
      <c r="H7" s="22"/>
      <c r="I7" s="22"/>
      <c r="J7" s="58" t="s">
        <v>42</v>
      </c>
      <c r="K7" s="1933"/>
      <c r="L7" s="91"/>
      <c r="M7" s="1933"/>
      <c r="N7" s="1933"/>
      <c r="O7" s="1935"/>
      <c r="P7" s="8" t="s">
        <v>43</v>
      </c>
      <c r="Q7" s="130" t="s">
        <v>62</v>
      </c>
      <c r="R7" s="220" t="s">
        <v>44</v>
      </c>
      <c r="S7" s="210" t="s">
        <v>45</v>
      </c>
      <c r="T7" s="13" t="s">
        <v>46</v>
      </c>
      <c r="U7" s="1948" t="s">
        <v>15</v>
      </c>
      <c r="V7" s="1949"/>
      <c r="W7" s="1948" t="s">
        <v>16</v>
      </c>
      <c r="X7" s="1949"/>
      <c r="Y7" s="45" t="s">
        <v>8</v>
      </c>
      <c r="Z7" s="46" t="s">
        <v>9</v>
      </c>
      <c r="AA7" s="137" t="s">
        <v>17</v>
      </c>
      <c r="AB7" s="1970"/>
      <c r="AC7" s="1972"/>
      <c r="AD7" s="8" t="s">
        <v>48</v>
      </c>
      <c r="AE7" s="1974"/>
      <c r="AF7" s="1974"/>
      <c r="AG7" s="1959" t="s">
        <v>49</v>
      </c>
      <c r="AH7" s="1960"/>
      <c r="AI7" s="1975"/>
      <c r="AJ7" s="1976"/>
      <c r="AK7" s="195" t="s">
        <v>73</v>
      </c>
      <c r="AL7" s="1961" t="s">
        <v>20</v>
      </c>
      <c r="AM7" s="1962"/>
      <c r="AN7" s="1963"/>
      <c r="AO7" s="55" t="s">
        <v>20</v>
      </c>
      <c r="AP7" s="72" t="s">
        <v>59</v>
      </c>
      <c r="AQ7" s="73" t="s">
        <v>60</v>
      </c>
      <c r="AR7" s="58" t="s">
        <v>42</v>
      </c>
      <c r="AS7" s="1" t="s">
        <v>50</v>
      </c>
      <c r="AT7" s="1" t="s">
        <v>71</v>
      </c>
      <c r="AU7" s="1966"/>
      <c r="AV7" s="124">
        <f t="shared" ref="AV7:BG7" si="0">SUM(AV8:AV177)</f>
        <v>0</v>
      </c>
      <c r="AW7" s="124">
        <f t="shared" si="0"/>
        <v>0</v>
      </c>
      <c r="AX7" s="124">
        <f t="shared" si="0"/>
        <v>0</v>
      </c>
      <c r="AY7" s="124">
        <f t="shared" si="0"/>
        <v>0</v>
      </c>
      <c r="AZ7" s="124">
        <f t="shared" si="0"/>
        <v>0</v>
      </c>
      <c r="BA7" s="124">
        <f t="shared" si="0"/>
        <v>0</v>
      </c>
      <c r="BB7" s="123">
        <f t="shared" si="0"/>
        <v>0</v>
      </c>
      <c r="BC7" s="123">
        <f t="shared" si="0"/>
        <v>0</v>
      </c>
      <c r="BD7" s="123">
        <f t="shared" si="0"/>
        <v>0</v>
      </c>
      <c r="BE7" s="123">
        <f t="shared" si="0"/>
        <v>0</v>
      </c>
      <c r="BF7" s="123">
        <f t="shared" si="0"/>
        <v>0</v>
      </c>
      <c r="BG7" s="123">
        <f t="shared" si="0"/>
        <v>0</v>
      </c>
    </row>
    <row r="8" spans="1:59" s="53" customFormat="1" ht="50.1" customHeight="1" thickTop="1">
      <c r="A8" s="141">
        <v>1</v>
      </c>
      <c r="B8" s="47"/>
      <c r="C8" s="20"/>
      <c r="D8" s="21"/>
      <c r="E8" s="23"/>
      <c r="F8" s="48"/>
      <c r="G8" s="48"/>
      <c r="H8" s="49"/>
      <c r="I8" s="49"/>
      <c r="J8" s="181"/>
      <c r="K8" s="86"/>
      <c r="L8" s="92"/>
      <c r="M8" s="94"/>
      <c r="N8" s="94"/>
      <c r="O8" s="93"/>
      <c r="P8" s="152"/>
      <c r="Q8" s="183"/>
      <c r="R8" s="221"/>
      <c r="S8" s="211"/>
      <c r="T8" s="50"/>
      <c r="U8" s="112">
        <f>SUM(T8*8)</f>
        <v>0</v>
      </c>
      <c r="V8" s="113" t="s">
        <v>3</v>
      </c>
      <c r="W8" s="114"/>
      <c r="X8" s="115" t="s">
        <v>3</v>
      </c>
      <c r="Y8" s="114"/>
      <c r="Z8" s="115" t="s">
        <v>4</v>
      </c>
      <c r="AA8" s="116">
        <f>U8+W8+Y8</f>
        <v>0</v>
      </c>
      <c r="AB8" s="117"/>
      <c r="AC8" s="118"/>
      <c r="AD8" s="119">
        <f>R8/208*U8</f>
        <v>0</v>
      </c>
      <c r="AE8" s="119">
        <f>R8/208*W8*1.5</f>
        <v>0</v>
      </c>
      <c r="AF8" s="120">
        <f>R8/208*Y8*2</f>
        <v>0</v>
      </c>
      <c r="AG8" s="121"/>
      <c r="AH8" s="131">
        <f>AG8*R8/26</f>
        <v>0</v>
      </c>
      <c r="AI8" s="198"/>
      <c r="AJ8" s="198"/>
      <c r="AK8" s="191">
        <f>10/26*(T8+AL8)</f>
        <v>0</v>
      </c>
      <c r="AL8" s="122"/>
      <c r="AM8" s="115" t="s">
        <v>5</v>
      </c>
      <c r="AN8" s="51">
        <f>R8/26*AL8</f>
        <v>0</v>
      </c>
      <c r="AO8" s="139">
        <f>AD8+AE8+AF8+AH8+AK8+AN8+AI8+AJ8</f>
        <v>0</v>
      </c>
      <c r="AP8" s="78">
        <f>AO8-(AU8/4000)</f>
        <v>0</v>
      </c>
      <c r="AQ8" s="79">
        <f>AU8</f>
        <v>0</v>
      </c>
      <c r="AR8" s="138"/>
      <c r="AS8" s="52"/>
      <c r="AT8" s="52"/>
      <c r="AU8" s="109">
        <f>ROUNDUP(((AO8-(AV8*100+AW8*50+AX8*20+AY8*10+AZ8*5+BA8*1))*4000)/100,0)*100</f>
        <v>0</v>
      </c>
      <c r="AV8" s="103">
        <f>INT(AO8/100)</f>
        <v>0</v>
      </c>
      <c r="AW8" s="104">
        <f t="shared" ref="AW8:AW71" si="1">INT((AO8-(AV8*100))/50)</f>
        <v>0</v>
      </c>
      <c r="AX8" s="104">
        <f t="shared" ref="AX8:AX71" si="2">INT((AO8-(AV8*100+AW8*50))/20)</f>
        <v>0</v>
      </c>
      <c r="AY8" s="104">
        <f t="shared" ref="AY8:AY71" si="3">INT((AO8-(AV8*100+AW8*50+AX8*20))/10)</f>
        <v>0</v>
      </c>
      <c r="AZ8" s="104">
        <f t="shared" ref="AZ8:AZ71" si="4">INT((AO8-(AV8*100+AW8*50+AX8*20+AY8*10))/5)</f>
        <v>0</v>
      </c>
      <c r="BA8" s="104">
        <f t="shared" ref="BA8:BA71" si="5">INT((AO8-(AV8*100+AW8*50+AX8*20+AY8*10+AZ8*5))/1)</f>
        <v>0</v>
      </c>
      <c r="BB8" s="106">
        <f>INT(AQ8/10000)</f>
        <v>0</v>
      </c>
      <c r="BC8" s="106">
        <f t="shared" ref="BC8:BC71" si="6">INT((AQ8-(BB8*10000))/5000)</f>
        <v>0</v>
      </c>
      <c r="BD8" s="106">
        <f>INT((AQ8-(BB8*10000+BC8*5000))/2000)</f>
        <v>0</v>
      </c>
      <c r="BE8" s="106">
        <f t="shared" ref="BE8:BE71" si="7">INT((AQ8-(BB8*10000+BC8*5000+BD8*2000))/1000)</f>
        <v>0</v>
      </c>
      <c r="BF8" s="106">
        <f t="shared" ref="BF8:BF71" si="8">INT((AQ8-(BB8*10000+BC8*5000+BD8*2000+BE8*1000))/500)</f>
        <v>0</v>
      </c>
      <c r="BG8" s="106">
        <f t="shared" ref="BG8:BG71" si="9">INT((AQ8-(BB8*10000+BC8*5000+BD8*2000+BE8*1000+BF8*500))/100)</f>
        <v>0</v>
      </c>
    </row>
    <row r="9" spans="1:59" s="53" customFormat="1" ht="50.1" customHeight="1">
      <c r="A9" s="141">
        <v>2</v>
      </c>
      <c r="B9" s="47"/>
      <c r="C9" s="20"/>
      <c r="D9" s="21"/>
      <c r="E9" s="23"/>
      <c r="F9" s="48"/>
      <c r="G9" s="48"/>
      <c r="H9" s="49"/>
      <c r="I9" s="49"/>
      <c r="J9" s="181"/>
      <c r="K9" s="87"/>
      <c r="L9" s="92"/>
      <c r="M9" s="94"/>
      <c r="N9" s="94"/>
      <c r="O9" s="93"/>
      <c r="P9" s="152"/>
      <c r="Q9" s="183"/>
      <c r="R9" s="221"/>
      <c r="S9" s="211"/>
      <c r="T9" s="50"/>
      <c r="U9" s="112">
        <f t="shared" ref="U9:U72" si="10">SUM(T9*8)</f>
        <v>0</v>
      </c>
      <c r="V9" s="113" t="s">
        <v>3</v>
      </c>
      <c r="W9" s="114"/>
      <c r="X9" s="115" t="s">
        <v>3</v>
      </c>
      <c r="Y9" s="114"/>
      <c r="Z9" s="115" t="s">
        <v>4</v>
      </c>
      <c r="AA9" s="116">
        <f t="shared" ref="AA9:AA72" si="11">U9+W9+Y9</f>
        <v>0</v>
      </c>
      <c r="AB9" s="117"/>
      <c r="AC9" s="118"/>
      <c r="AD9" s="119">
        <f t="shared" ref="AD9:AD72" si="12">R9/208*U9</f>
        <v>0</v>
      </c>
      <c r="AE9" s="119">
        <f t="shared" ref="AE9:AE72" si="13">R9/208*W9*1.5</f>
        <v>0</v>
      </c>
      <c r="AF9" s="120">
        <f t="shared" ref="AF9:AF72" si="14">R9/208*Y9*2</f>
        <v>0</v>
      </c>
      <c r="AG9" s="121"/>
      <c r="AH9" s="131">
        <f t="shared" ref="AH9:AH72" si="15">AG9*R9/26</f>
        <v>0</v>
      </c>
      <c r="AI9" s="198"/>
      <c r="AJ9" s="198"/>
      <c r="AK9" s="191">
        <f t="shared" ref="AK9:AK72" si="16">10/26*(T9+AL9)</f>
        <v>0</v>
      </c>
      <c r="AL9" s="122"/>
      <c r="AM9" s="115" t="s">
        <v>5</v>
      </c>
      <c r="AN9" s="51">
        <f t="shared" ref="AN9:AN72" si="17">R9/26*AL9</f>
        <v>0</v>
      </c>
      <c r="AO9" s="139">
        <f t="shared" ref="AO9:AO72" si="18">AD9+AE9+AF9+AH9+AK9+AN9+AI9+AJ9</f>
        <v>0</v>
      </c>
      <c r="AP9" s="78">
        <f t="shared" ref="AP9:AP72" si="19">AO9-(AU9/4000)</f>
        <v>0</v>
      </c>
      <c r="AQ9" s="79">
        <f t="shared" ref="AQ9:AQ72" si="20">AU9</f>
        <v>0</v>
      </c>
      <c r="AR9" s="138"/>
      <c r="AS9" s="52"/>
      <c r="AT9" s="52"/>
      <c r="AU9" s="109">
        <f t="shared" ref="AU9:AU72" si="21">ROUNDUP(((AO9-(AV9*100+AW9*50+AX9*20+AY9*10+AZ9*5+BA9*1))*4000)/100,0)*100</f>
        <v>0</v>
      </c>
      <c r="AV9" s="103">
        <f t="shared" ref="AV9:AV72" si="22">INT(AO9/100)</f>
        <v>0</v>
      </c>
      <c r="AW9" s="104">
        <f t="shared" si="1"/>
        <v>0</v>
      </c>
      <c r="AX9" s="104">
        <f t="shared" si="2"/>
        <v>0</v>
      </c>
      <c r="AY9" s="104">
        <f t="shared" si="3"/>
        <v>0</v>
      </c>
      <c r="AZ9" s="104">
        <f t="shared" si="4"/>
        <v>0</v>
      </c>
      <c r="BA9" s="104">
        <f t="shared" si="5"/>
        <v>0</v>
      </c>
      <c r="BB9" s="106">
        <f t="shared" ref="BB9:BB72" si="23">INT(AQ9/10000)</f>
        <v>0</v>
      </c>
      <c r="BC9" s="106">
        <f t="shared" si="6"/>
        <v>0</v>
      </c>
      <c r="BD9" s="106">
        <f t="shared" ref="BD9:BD72" si="24">INT((AQ9-(BB9*10000+BC9*5000))/2000)</f>
        <v>0</v>
      </c>
      <c r="BE9" s="106">
        <f t="shared" si="7"/>
        <v>0</v>
      </c>
      <c r="BF9" s="106">
        <f t="shared" si="8"/>
        <v>0</v>
      </c>
      <c r="BG9" s="106">
        <f t="shared" si="9"/>
        <v>0</v>
      </c>
    </row>
    <row r="10" spans="1:59" s="53" customFormat="1" ht="50.1" customHeight="1">
      <c r="A10" s="141">
        <v>3</v>
      </c>
      <c r="B10" s="47"/>
      <c r="C10" s="20"/>
      <c r="D10" s="21"/>
      <c r="E10" s="23"/>
      <c r="F10" s="48"/>
      <c r="G10" s="48"/>
      <c r="H10" s="49"/>
      <c r="I10" s="49"/>
      <c r="J10" s="181"/>
      <c r="K10" s="87"/>
      <c r="L10" s="92"/>
      <c r="M10" s="94"/>
      <c r="N10" s="94"/>
      <c r="O10" s="93"/>
      <c r="P10" s="152"/>
      <c r="Q10" s="183"/>
      <c r="R10" s="221"/>
      <c r="S10" s="211"/>
      <c r="T10" s="50"/>
      <c r="U10" s="112">
        <f t="shared" si="10"/>
        <v>0</v>
      </c>
      <c r="V10" s="113" t="s">
        <v>3</v>
      </c>
      <c r="W10" s="114"/>
      <c r="X10" s="115" t="s">
        <v>3</v>
      </c>
      <c r="Y10" s="114"/>
      <c r="Z10" s="115" t="s">
        <v>4</v>
      </c>
      <c r="AA10" s="116">
        <f t="shared" si="11"/>
        <v>0</v>
      </c>
      <c r="AB10" s="117"/>
      <c r="AC10" s="118"/>
      <c r="AD10" s="119">
        <f t="shared" si="12"/>
        <v>0</v>
      </c>
      <c r="AE10" s="119">
        <f t="shared" si="13"/>
        <v>0</v>
      </c>
      <c r="AF10" s="120">
        <f t="shared" si="14"/>
        <v>0</v>
      </c>
      <c r="AG10" s="121"/>
      <c r="AH10" s="131">
        <f t="shared" si="15"/>
        <v>0</v>
      </c>
      <c r="AI10" s="198"/>
      <c r="AJ10" s="198"/>
      <c r="AK10" s="191">
        <f t="shared" si="16"/>
        <v>0</v>
      </c>
      <c r="AL10" s="122"/>
      <c r="AM10" s="115" t="s">
        <v>5</v>
      </c>
      <c r="AN10" s="51">
        <f t="shared" si="17"/>
        <v>0</v>
      </c>
      <c r="AO10" s="139">
        <f t="shared" si="18"/>
        <v>0</v>
      </c>
      <c r="AP10" s="78">
        <f t="shared" si="19"/>
        <v>0</v>
      </c>
      <c r="AQ10" s="79">
        <f t="shared" si="20"/>
        <v>0</v>
      </c>
      <c r="AR10" s="138"/>
      <c r="AS10" s="52"/>
      <c r="AT10" s="52"/>
      <c r="AU10" s="109">
        <f t="shared" si="21"/>
        <v>0</v>
      </c>
      <c r="AV10" s="103">
        <f t="shared" si="22"/>
        <v>0</v>
      </c>
      <c r="AW10" s="104">
        <f t="shared" si="1"/>
        <v>0</v>
      </c>
      <c r="AX10" s="104">
        <f t="shared" si="2"/>
        <v>0</v>
      </c>
      <c r="AY10" s="104">
        <f t="shared" si="3"/>
        <v>0</v>
      </c>
      <c r="AZ10" s="104">
        <f t="shared" si="4"/>
        <v>0</v>
      </c>
      <c r="BA10" s="104">
        <f t="shared" si="5"/>
        <v>0</v>
      </c>
      <c r="BB10" s="106">
        <f t="shared" si="23"/>
        <v>0</v>
      </c>
      <c r="BC10" s="106">
        <f t="shared" si="6"/>
        <v>0</v>
      </c>
      <c r="BD10" s="106">
        <f t="shared" si="24"/>
        <v>0</v>
      </c>
      <c r="BE10" s="106">
        <f t="shared" si="7"/>
        <v>0</v>
      </c>
      <c r="BF10" s="106">
        <f t="shared" si="8"/>
        <v>0</v>
      </c>
      <c r="BG10" s="106">
        <f t="shared" si="9"/>
        <v>0</v>
      </c>
    </row>
    <row r="11" spans="1:59" s="53" customFormat="1" ht="50.1" customHeight="1">
      <c r="A11" s="141">
        <v>4</v>
      </c>
      <c r="B11" s="47"/>
      <c r="C11" s="20"/>
      <c r="D11" s="21"/>
      <c r="E11" s="23"/>
      <c r="F11" s="48"/>
      <c r="G11" s="48"/>
      <c r="H11" s="49"/>
      <c r="I11" s="49"/>
      <c r="J11" s="181"/>
      <c r="K11" s="87"/>
      <c r="L11" s="92"/>
      <c r="M11" s="94"/>
      <c r="N11" s="94"/>
      <c r="O11" s="93"/>
      <c r="P11" s="152"/>
      <c r="Q11" s="183"/>
      <c r="R11" s="221"/>
      <c r="S11" s="211"/>
      <c r="T11" s="50"/>
      <c r="U11" s="112">
        <f t="shared" si="10"/>
        <v>0</v>
      </c>
      <c r="V11" s="113" t="s">
        <v>3</v>
      </c>
      <c r="W11" s="114"/>
      <c r="X11" s="115" t="s">
        <v>3</v>
      </c>
      <c r="Y11" s="114"/>
      <c r="Z11" s="115" t="s">
        <v>4</v>
      </c>
      <c r="AA11" s="116">
        <f t="shared" si="11"/>
        <v>0</v>
      </c>
      <c r="AB11" s="117"/>
      <c r="AC11" s="118"/>
      <c r="AD11" s="119">
        <f t="shared" si="12"/>
        <v>0</v>
      </c>
      <c r="AE11" s="119">
        <f t="shared" si="13"/>
        <v>0</v>
      </c>
      <c r="AF11" s="120">
        <f t="shared" si="14"/>
        <v>0</v>
      </c>
      <c r="AG11" s="121"/>
      <c r="AH11" s="131">
        <f t="shared" si="15"/>
        <v>0</v>
      </c>
      <c r="AI11" s="198"/>
      <c r="AJ11" s="198"/>
      <c r="AK11" s="191">
        <f t="shared" si="16"/>
        <v>0</v>
      </c>
      <c r="AL11" s="122"/>
      <c r="AM11" s="115" t="s">
        <v>5</v>
      </c>
      <c r="AN11" s="51">
        <f t="shared" si="17"/>
        <v>0</v>
      </c>
      <c r="AO11" s="139">
        <f t="shared" si="18"/>
        <v>0</v>
      </c>
      <c r="AP11" s="78">
        <f t="shared" si="19"/>
        <v>0</v>
      </c>
      <c r="AQ11" s="79">
        <f t="shared" si="20"/>
        <v>0</v>
      </c>
      <c r="AR11" s="138"/>
      <c r="AS11" s="52"/>
      <c r="AT11" s="52"/>
      <c r="AU11" s="109">
        <f t="shared" si="21"/>
        <v>0</v>
      </c>
      <c r="AV11" s="103">
        <f t="shared" si="22"/>
        <v>0</v>
      </c>
      <c r="AW11" s="104">
        <f t="shared" si="1"/>
        <v>0</v>
      </c>
      <c r="AX11" s="104">
        <f t="shared" si="2"/>
        <v>0</v>
      </c>
      <c r="AY11" s="104">
        <f t="shared" si="3"/>
        <v>0</v>
      </c>
      <c r="AZ11" s="104">
        <f t="shared" si="4"/>
        <v>0</v>
      </c>
      <c r="BA11" s="104">
        <f t="shared" si="5"/>
        <v>0</v>
      </c>
      <c r="BB11" s="106">
        <f t="shared" si="23"/>
        <v>0</v>
      </c>
      <c r="BC11" s="106">
        <f t="shared" si="6"/>
        <v>0</v>
      </c>
      <c r="BD11" s="106">
        <f t="shared" si="24"/>
        <v>0</v>
      </c>
      <c r="BE11" s="106">
        <f t="shared" si="7"/>
        <v>0</v>
      </c>
      <c r="BF11" s="106">
        <f t="shared" si="8"/>
        <v>0</v>
      </c>
      <c r="BG11" s="106">
        <f t="shared" si="9"/>
        <v>0</v>
      </c>
    </row>
    <row r="12" spans="1:59" s="53" customFormat="1" ht="50.1" customHeight="1">
      <c r="A12" s="141">
        <v>5</v>
      </c>
      <c r="B12" s="47"/>
      <c r="C12" s="20"/>
      <c r="D12" s="21"/>
      <c r="E12" s="23"/>
      <c r="F12" s="48"/>
      <c r="G12" s="48"/>
      <c r="H12" s="49"/>
      <c r="I12" s="49"/>
      <c r="J12" s="181"/>
      <c r="K12" s="87"/>
      <c r="L12" s="92"/>
      <c r="M12" s="94"/>
      <c r="N12" s="94"/>
      <c r="O12" s="93"/>
      <c r="P12" s="152"/>
      <c r="Q12" s="183"/>
      <c r="R12" s="221"/>
      <c r="S12" s="211"/>
      <c r="T12" s="50"/>
      <c r="U12" s="112">
        <f t="shared" si="10"/>
        <v>0</v>
      </c>
      <c r="V12" s="113" t="s">
        <v>3</v>
      </c>
      <c r="W12" s="114"/>
      <c r="X12" s="115" t="s">
        <v>3</v>
      </c>
      <c r="Y12" s="114"/>
      <c r="Z12" s="115" t="s">
        <v>4</v>
      </c>
      <c r="AA12" s="116">
        <f t="shared" si="11"/>
        <v>0</v>
      </c>
      <c r="AB12" s="117"/>
      <c r="AC12" s="118"/>
      <c r="AD12" s="119">
        <f t="shared" si="12"/>
        <v>0</v>
      </c>
      <c r="AE12" s="119">
        <f t="shared" si="13"/>
        <v>0</v>
      </c>
      <c r="AF12" s="120">
        <f t="shared" si="14"/>
        <v>0</v>
      </c>
      <c r="AG12" s="121"/>
      <c r="AH12" s="131">
        <f t="shared" si="15"/>
        <v>0</v>
      </c>
      <c r="AI12" s="198"/>
      <c r="AJ12" s="198"/>
      <c r="AK12" s="191">
        <f t="shared" si="16"/>
        <v>0</v>
      </c>
      <c r="AL12" s="122"/>
      <c r="AM12" s="115" t="s">
        <v>5</v>
      </c>
      <c r="AN12" s="51">
        <f t="shared" si="17"/>
        <v>0</v>
      </c>
      <c r="AO12" s="139">
        <f t="shared" si="18"/>
        <v>0</v>
      </c>
      <c r="AP12" s="78">
        <f t="shared" si="19"/>
        <v>0</v>
      </c>
      <c r="AQ12" s="79">
        <f t="shared" si="20"/>
        <v>0</v>
      </c>
      <c r="AR12" s="138"/>
      <c r="AS12" s="52"/>
      <c r="AT12" s="52"/>
      <c r="AU12" s="109">
        <f t="shared" si="21"/>
        <v>0</v>
      </c>
      <c r="AV12" s="103">
        <f t="shared" si="22"/>
        <v>0</v>
      </c>
      <c r="AW12" s="104">
        <f t="shared" si="1"/>
        <v>0</v>
      </c>
      <c r="AX12" s="104">
        <f t="shared" si="2"/>
        <v>0</v>
      </c>
      <c r="AY12" s="104">
        <f t="shared" si="3"/>
        <v>0</v>
      </c>
      <c r="AZ12" s="104">
        <f t="shared" si="4"/>
        <v>0</v>
      </c>
      <c r="BA12" s="104">
        <f t="shared" si="5"/>
        <v>0</v>
      </c>
      <c r="BB12" s="106">
        <f t="shared" si="23"/>
        <v>0</v>
      </c>
      <c r="BC12" s="106">
        <f t="shared" si="6"/>
        <v>0</v>
      </c>
      <c r="BD12" s="106">
        <f t="shared" si="24"/>
        <v>0</v>
      </c>
      <c r="BE12" s="106">
        <f t="shared" si="7"/>
        <v>0</v>
      </c>
      <c r="BF12" s="106">
        <f t="shared" si="8"/>
        <v>0</v>
      </c>
      <c r="BG12" s="106">
        <f t="shared" si="9"/>
        <v>0</v>
      </c>
    </row>
    <row r="13" spans="1:59" s="53" customFormat="1" ht="50.1" customHeight="1">
      <c r="A13" s="141">
        <v>6</v>
      </c>
      <c r="B13" s="47"/>
      <c r="C13" s="20"/>
      <c r="D13" s="21"/>
      <c r="E13" s="23"/>
      <c r="F13" s="48"/>
      <c r="G13" s="48"/>
      <c r="H13" s="49"/>
      <c r="I13" s="49"/>
      <c r="J13" s="181"/>
      <c r="K13" s="87"/>
      <c r="L13" s="92"/>
      <c r="M13" s="94"/>
      <c r="N13" s="94"/>
      <c r="O13" s="93"/>
      <c r="P13" s="152"/>
      <c r="Q13" s="183"/>
      <c r="R13" s="221"/>
      <c r="S13" s="211"/>
      <c r="T13" s="50"/>
      <c r="U13" s="112">
        <f t="shared" si="10"/>
        <v>0</v>
      </c>
      <c r="V13" s="113" t="s">
        <v>3</v>
      </c>
      <c r="W13" s="114"/>
      <c r="X13" s="115" t="s">
        <v>3</v>
      </c>
      <c r="Y13" s="114"/>
      <c r="Z13" s="115" t="s">
        <v>4</v>
      </c>
      <c r="AA13" s="116">
        <f t="shared" si="11"/>
        <v>0</v>
      </c>
      <c r="AB13" s="117"/>
      <c r="AC13" s="118"/>
      <c r="AD13" s="119">
        <f t="shared" si="12"/>
        <v>0</v>
      </c>
      <c r="AE13" s="119">
        <f t="shared" si="13"/>
        <v>0</v>
      </c>
      <c r="AF13" s="120">
        <f t="shared" si="14"/>
        <v>0</v>
      </c>
      <c r="AG13" s="121"/>
      <c r="AH13" s="131">
        <f t="shared" si="15"/>
        <v>0</v>
      </c>
      <c r="AI13" s="198"/>
      <c r="AJ13" s="198"/>
      <c r="AK13" s="191">
        <f t="shared" si="16"/>
        <v>0</v>
      </c>
      <c r="AL13" s="122"/>
      <c r="AM13" s="115" t="s">
        <v>5</v>
      </c>
      <c r="AN13" s="51">
        <f t="shared" si="17"/>
        <v>0</v>
      </c>
      <c r="AO13" s="139">
        <f t="shared" si="18"/>
        <v>0</v>
      </c>
      <c r="AP13" s="78">
        <f t="shared" si="19"/>
        <v>0</v>
      </c>
      <c r="AQ13" s="79">
        <f t="shared" si="20"/>
        <v>0</v>
      </c>
      <c r="AR13" s="138"/>
      <c r="AS13" s="52"/>
      <c r="AT13" s="52"/>
      <c r="AU13" s="109">
        <f t="shared" si="21"/>
        <v>0</v>
      </c>
      <c r="AV13" s="103">
        <f t="shared" si="22"/>
        <v>0</v>
      </c>
      <c r="AW13" s="104">
        <f t="shared" si="1"/>
        <v>0</v>
      </c>
      <c r="AX13" s="104">
        <f t="shared" si="2"/>
        <v>0</v>
      </c>
      <c r="AY13" s="104">
        <f t="shared" si="3"/>
        <v>0</v>
      </c>
      <c r="AZ13" s="104">
        <f t="shared" si="4"/>
        <v>0</v>
      </c>
      <c r="BA13" s="104">
        <f t="shared" si="5"/>
        <v>0</v>
      </c>
      <c r="BB13" s="106">
        <f t="shared" si="23"/>
        <v>0</v>
      </c>
      <c r="BC13" s="106">
        <f t="shared" si="6"/>
        <v>0</v>
      </c>
      <c r="BD13" s="106">
        <f t="shared" si="24"/>
        <v>0</v>
      </c>
      <c r="BE13" s="106">
        <f t="shared" si="7"/>
        <v>0</v>
      </c>
      <c r="BF13" s="106">
        <f t="shared" si="8"/>
        <v>0</v>
      </c>
      <c r="BG13" s="106">
        <f t="shared" si="9"/>
        <v>0</v>
      </c>
    </row>
    <row r="14" spans="1:59" s="53" customFormat="1" ht="50.1" customHeight="1">
      <c r="A14" s="141">
        <v>7</v>
      </c>
      <c r="B14" s="47"/>
      <c r="C14" s="20"/>
      <c r="D14" s="21"/>
      <c r="E14" s="23"/>
      <c r="F14" s="48"/>
      <c r="G14" s="48"/>
      <c r="H14" s="49"/>
      <c r="I14" s="49"/>
      <c r="J14" s="181"/>
      <c r="K14" s="87"/>
      <c r="L14" s="92"/>
      <c r="M14" s="94"/>
      <c r="N14" s="94"/>
      <c r="O14" s="93"/>
      <c r="P14" s="152"/>
      <c r="Q14" s="183"/>
      <c r="R14" s="221"/>
      <c r="S14" s="211"/>
      <c r="T14" s="50"/>
      <c r="U14" s="112">
        <f t="shared" si="10"/>
        <v>0</v>
      </c>
      <c r="V14" s="113" t="s">
        <v>3</v>
      </c>
      <c r="W14" s="114"/>
      <c r="X14" s="115" t="s">
        <v>3</v>
      </c>
      <c r="Y14" s="114"/>
      <c r="Z14" s="115" t="s">
        <v>4</v>
      </c>
      <c r="AA14" s="116">
        <f t="shared" si="11"/>
        <v>0</v>
      </c>
      <c r="AB14" s="117"/>
      <c r="AC14" s="118"/>
      <c r="AD14" s="119">
        <f t="shared" si="12"/>
        <v>0</v>
      </c>
      <c r="AE14" s="119">
        <f t="shared" si="13"/>
        <v>0</v>
      </c>
      <c r="AF14" s="120">
        <f t="shared" si="14"/>
        <v>0</v>
      </c>
      <c r="AG14" s="121"/>
      <c r="AH14" s="131">
        <f t="shared" si="15"/>
        <v>0</v>
      </c>
      <c r="AI14" s="198"/>
      <c r="AJ14" s="198"/>
      <c r="AK14" s="191">
        <f t="shared" si="16"/>
        <v>0</v>
      </c>
      <c r="AL14" s="122"/>
      <c r="AM14" s="115" t="s">
        <v>5</v>
      </c>
      <c r="AN14" s="51">
        <f t="shared" si="17"/>
        <v>0</v>
      </c>
      <c r="AO14" s="139">
        <f t="shared" si="18"/>
        <v>0</v>
      </c>
      <c r="AP14" s="78">
        <f t="shared" si="19"/>
        <v>0</v>
      </c>
      <c r="AQ14" s="79">
        <f t="shared" si="20"/>
        <v>0</v>
      </c>
      <c r="AR14" s="138"/>
      <c r="AS14" s="52"/>
      <c r="AT14" s="52"/>
      <c r="AU14" s="109">
        <f t="shared" si="21"/>
        <v>0</v>
      </c>
      <c r="AV14" s="103">
        <f t="shared" si="22"/>
        <v>0</v>
      </c>
      <c r="AW14" s="104">
        <f t="shared" si="1"/>
        <v>0</v>
      </c>
      <c r="AX14" s="104">
        <f t="shared" si="2"/>
        <v>0</v>
      </c>
      <c r="AY14" s="104">
        <f t="shared" si="3"/>
        <v>0</v>
      </c>
      <c r="AZ14" s="104">
        <f t="shared" si="4"/>
        <v>0</v>
      </c>
      <c r="BA14" s="104">
        <f t="shared" si="5"/>
        <v>0</v>
      </c>
      <c r="BB14" s="106">
        <f t="shared" si="23"/>
        <v>0</v>
      </c>
      <c r="BC14" s="106">
        <f t="shared" si="6"/>
        <v>0</v>
      </c>
      <c r="BD14" s="106">
        <f t="shared" si="24"/>
        <v>0</v>
      </c>
      <c r="BE14" s="106">
        <f t="shared" si="7"/>
        <v>0</v>
      </c>
      <c r="BF14" s="106">
        <f t="shared" si="8"/>
        <v>0</v>
      </c>
      <c r="BG14" s="106">
        <f t="shared" si="9"/>
        <v>0</v>
      </c>
    </row>
    <row r="15" spans="1:59" s="53" customFormat="1" ht="50.1" customHeight="1">
      <c r="A15" s="141">
        <v>8</v>
      </c>
      <c r="B15" s="47"/>
      <c r="C15" s="20"/>
      <c r="D15" s="21"/>
      <c r="E15" s="23"/>
      <c r="F15" s="48"/>
      <c r="G15" s="48"/>
      <c r="H15" s="49"/>
      <c r="I15" s="49"/>
      <c r="J15" s="181"/>
      <c r="K15" s="87"/>
      <c r="L15" s="92"/>
      <c r="M15" s="94"/>
      <c r="N15" s="94"/>
      <c r="O15" s="93"/>
      <c r="P15" s="152"/>
      <c r="Q15" s="183"/>
      <c r="R15" s="221"/>
      <c r="S15" s="211"/>
      <c r="T15" s="50"/>
      <c r="U15" s="112">
        <f t="shared" si="10"/>
        <v>0</v>
      </c>
      <c r="V15" s="113" t="s">
        <v>3</v>
      </c>
      <c r="W15" s="114"/>
      <c r="X15" s="115" t="s">
        <v>3</v>
      </c>
      <c r="Y15" s="114"/>
      <c r="Z15" s="115" t="s">
        <v>4</v>
      </c>
      <c r="AA15" s="116">
        <f t="shared" si="11"/>
        <v>0</v>
      </c>
      <c r="AB15" s="117"/>
      <c r="AC15" s="118"/>
      <c r="AD15" s="119">
        <f t="shared" si="12"/>
        <v>0</v>
      </c>
      <c r="AE15" s="119">
        <f t="shared" si="13"/>
        <v>0</v>
      </c>
      <c r="AF15" s="120">
        <f t="shared" si="14"/>
        <v>0</v>
      </c>
      <c r="AG15" s="121"/>
      <c r="AH15" s="131">
        <f t="shared" si="15"/>
        <v>0</v>
      </c>
      <c r="AI15" s="198"/>
      <c r="AJ15" s="198"/>
      <c r="AK15" s="191">
        <f t="shared" si="16"/>
        <v>0</v>
      </c>
      <c r="AL15" s="122"/>
      <c r="AM15" s="115" t="s">
        <v>5</v>
      </c>
      <c r="AN15" s="51">
        <f t="shared" si="17"/>
        <v>0</v>
      </c>
      <c r="AO15" s="139">
        <f t="shared" si="18"/>
        <v>0</v>
      </c>
      <c r="AP15" s="78">
        <f t="shared" si="19"/>
        <v>0</v>
      </c>
      <c r="AQ15" s="79">
        <f t="shared" si="20"/>
        <v>0</v>
      </c>
      <c r="AR15" s="138"/>
      <c r="AS15" s="52"/>
      <c r="AT15" s="52"/>
      <c r="AU15" s="109">
        <f t="shared" si="21"/>
        <v>0</v>
      </c>
      <c r="AV15" s="103">
        <f t="shared" si="22"/>
        <v>0</v>
      </c>
      <c r="AW15" s="104">
        <f t="shared" si="1"/>
        <v>0</v>
      </c>
      <c r="AX15" s="104">
        <f t="shared" si="2"/>
        <v>0</v>
      </c>
      <c r="AY15" s="104">
        <f t="shared" si="3"/>
        <v>0</v>
      </c>
      <c r="AZ15" s="104">
        <f t="shared" si="4"/>
        <v>0</v>
      </c>
      <c r="BA15" s="104">
        <f t="shared" si="5"/>
        <v>0</v>
      </c>
      <c r="BB15" s="106">
        <f t="shared" si="23"/>
        <v>0</v>
      </c>
      <c r="BC15" s="106">
        <f t="shared" si="6"/>
        <v>0</v>
      </c>
      <c r="BD15" s="106">
        <f t="shared" si="24"/>
        <v>0</v>
      </c>
      <c r="BE15" s="106">
        <f t="shared" si="7"/>
        <v>0</v>
      </c>
      <c r="BF15" s="106">
        <f t="shared" si="8"/>
        <v>0</v>
      </c>
      <c r="BG15" s="106">
        <f t="shared" si="9"/>
        <v>0</v>
      </c>
    </row>
    <row r="16" spans="1:59" s="53" customFormat="1" ht="50.1" customHeight="1">
      <c r="A16" s="141">
        <v>9</v>
      </c>
      <c r="B16" s="47"/>
      <c r="C16" s="20"/>
      <c r="D16" s="21"/>
      <c r="E16" s="23"/>
      <c r="F16" s="48"/>
      <c r="G16" s="48"/>
      <c r="H16" s="49"/>
      <c r="I16" s="49"/>
      <c r="J16" s="181"/>
      <c r="K16" s="87"/>
      <c r="L16" s="92"/>
      <c r="M16" s="94"/>
      <c r="N16" s="94"/>
      <c r="O16" s="93"/>
      <c r="P16" s="152"/>
      <c r="Q16" s="183"/>
      <c r="R16" s="221"/>
      <c r="S16" s="211"/>
      <c r="T16" s="50"/>
      <c r="U16" s="112">
        <f t="shared" si="10"/>
        <v>0</v>
      </c>
      <c r="V16" s="113" t="s">
        <v>3</v>
      </c>
      <c r="W16" s="114"/>
      <c r="X16" s="115" t="s">
        <v>3</v>
      </c>
      <c r="Y16" s="114"/>
      <c r="Z16" s="115" t="s">
        <v>4</v>
      </c>
      <c r="AA16" s="116">
        <f t="shared" si="11"/>
        <v>0</v>
      </c>
      <c r="AB16" s="117"/>
      <c r="AC16" s="118"/>
      <c r="AD16" s="119">
        <f t="shared" si="12"/>
        <v>0</v>
      </c>
      <c r="AE16" s="119">
        <f t="shared" si="13"/>
        <v>0</v>
      </c>
      <c r="AF16" s="120">
        <f t="shared" si="14"/>
        <v>0</v>
      </c>
      <c r="AG16" s="121"/>
      <c r="AH16" s="131">
        <f t="shared" si="15"/>
        <v>0</v>
      </c>
      <c r="AI16" s="198"/>
      <c r="AJ16" s="198"/>
      <c r="AK16" s="191">
        <f t="shared" si="16"/>
        <v>0</v>
      </c>
      <c r="AL16" s="122"/>
      <c r="AM16" s="115" t="s">
        <v>5</v>
      </c>
      <c r="AN16" s="51">
        <f t="shared" si="17"/>
        <v>0</v>
      </c>
      <c r="AO16" s="139">
        <f t="shared" si="18"/>
        <v>0</v>
      </c>
      <c r="AP16" s="78">
        <f t="shared" si="19"/>
        <v>0</v>
      </c>
      <c r="AQ16" s="79">
        <f t="shared" si="20"/>
        <v>0</v>
      </c>
      <c r="AR16" s="138"/>
      <c r="AS16" s="52"/>
      <c r="AT16" s="52"/>
      <c r="AU16" s="109">
        <f t="shared" si="21"/>
        <v>0</v>
      </c>
      <c r="AV16" s="103">
        <f t="shared" si="22"/>
        <v>0</v>
      </c>
      <c r="AW16" s="104">
        <f t="shared" si="1"/>
        <v>0</v>
      </c>
      <c r="AX16" s="104">
        <f t="shared" si="2"/>
        <v>0</v>
      </c>
      <c r="AY16" s="104">
        <f t="shared" si="3"/>
        <v>0</v>
      </c>
      <c r="AZ16" s="104">
        <f t="shared" si="4"/>
        <v>0</v>
      </c>
      <c r="BA16" s="104">
        <f t="shared" si="5"/>
        <v>0</v>
      </c>
      <c r="BB16" s="106">
        <f t="shared" si="23"/>
        <v>0</v>
      </c>
      <c r="BC16" s="106">
        <f t="shared" si="6"/>
        <v>0</v>
      </c>
      <c r="BD16" s="106">
        <f t="shared" si="24"/>
        <v>0</v>
      </c>
      <c r="BE16" s="106">
        <f t="shared" si="7"/>
        <v>0</v>
      </c>
      <c r="BF16" s="106">
        <f t="shared" si="8"/>
        <v>0</v>
      </c>
      <c r="BG16" s="106">
        <f t="shared" si="9"/>
        <v>0</v>
      </c>
    </row>
    <row r="17" spans="1:59" s="53" customFormat="1" ht="50.1" customHeight="1">
      <c r="A17" s="141">
        <v>10</v>
      </c>
      <c r="B17" s="47"/>
      <c r="C17" s="20"/>
      <c r="D17" s="21"/>
      <c r="E17" s="23"/>
      <c r="F17" s="48"/>
      <c r="G17" s="48"/>
      <c r="H17" s="49"/>
      <c r="I17" s="49"/>
      <c r="J17" s="181"/>
      <c r="K17" s="87"/>
      <c r="L17" s="92"/>
      <c r="M17" s="94"/>
      <c r="N17" s="94"/>
      <c r="O17" s="93"/>
      <c r="P17" s="152"/>
      <c r="Q17" s="183"/>
      <c r="R17" s="221"/>
      <c r="S17" s="211"/>
      <c r="T17" s="50"/>
      <c r="U17" s="112">
        <f t="shared" si="10"/>
        <v>0</v>
      </c>
      <c r="V17" s="113" t="s">
        <v>3</v>
      </c>
      <c r="W17" s="114"/>
      <c r="X17" s="115" t="s">
        <v>3</v>
      </c>
      <c r="Y17" s="114"/>
      <c r="Z17" s="115" t="s">
        <v>4</v>
      </c>
      <c r="AA17" s="116">
        <f t="shared" si="11"/>
        <v>0</v>
      </c>
      <c r="AB17" s="117"/>
      <c r="AC17" s="118"/>
      <c r="AD17" s="119">
        <f t="shared" si="12"/>
        <v>0</v>
      </c>
      <c r="AE17" s="119">
        <f t="shared" si="13"/>
        <v>0</v>
      </c>
      <c r="AF17" s="120">
        <f t="shared" si="14"/>
        <v>0</v>
      </c>
      <c r="AG17" s="121"/>
      <c r="AH17" s="131">
        <f t="shared" si="15"/>
        <v>0</v>
      </c>
      <c r="AI17" s="198"/>
      <c r="AJ17" s="198"/>
      <c r="AK17" s="191">
        <f t="shared" si="16"/>
        <v>0</v>
      </c>
      <c r="AL17" s="122"/>
      <c r="AM17" s="115" t="s">
        <v>5</v>
      </c>
      <c r="AN17" s="51">
        <f t="shared" si="17"/>
        <v>0</v>
      </c>
      <c r="AO17" s="139">
        <f t="shared" si="18"/>
        <v>0</v>
      </c>
      <c r="AP17" s="78">
        <f t="shared" si="19"/>
        <v>0</v>
      </c>
      <c r="AQ17" s="79">
        <f t="shared" si="20"/>
        <v>0</v>
      </c>
      <c r="AR17" s="138"/>
      <c r="AS17" s="52"/>
      <c r="AT17" s="52"/>
      <c r="AU17" s="109">
        <f t="shared" si="21"/>
        <v>0</v>
      </c>
      <c r="AV17" s="103">
        <f t="shared" si="22"/>
        <v>0</v>
      </c>
      <c r="AW17" s="104">
        <f t="shared" si="1"/>
        <v>0</v>
      </c>
      <c r="AX17" s="104">
        <f t="shared" si="2"/>
        <v>0</v>
      </c>
      <c r="AY17" s="104">
        <f t="shared" si="3"/>
        <v>0</v>
      </c>
      <c r="AZ17" s="104">
        <f t="shared" si="4"/>
        <v>0</v>
      </c>
      <c r="BA17" s="104">
        <f t="shared" si="5"/>
        <v>0</v>
      </c>
      <c r="BB17" s="106">
        <f t="shared" si="23"/>
        <v>0</v>
      </c>
      <c r="BC17" s="106">
        <f t="shared" si="6"/>
        <v>0</v>
      </c>
      <c r="BD17" s="106">
        <f t="shared" si="24"/>
        <v>0</v>
      </c>
      <c r="BE17" s="106">
        <f t="shared" si="7"/>
        <v>0</v>
      </c>
      <c r="BF17" s="106">
        <f t="shared" si="8"/>
        <v>0</v>
      </c>
      <c r="BG17" s="106">
        <f t="shared" si="9"/>
        <v>0</v>
      </c>
    </row>
    <row r="18" spans="1:59" s="53" customFormat="1" ht="50.1" customHeight="1">
      <c r="A18" s="141">
        <v>11</v>
      </c>
      <c r="B18" s="47"/>
      <c r="C18" s="20"/>
      <c r="D18" s="21"/>
      <c r="E18" s="23"/>
      <c r="F18" s="48"/>
      <c r="G18" s="48"/>
      <c r="H18" s="49"/>
      <c r="I18" s="49"/>
      <c r="J18" s="181"/>
      <c r="K18" s="87"/>
      <c r="L18" s="92"/>
      <c r="M18" s="94"/>
      <c r="N18" s="94"/>
      <c r="O18" s="93"/>
      <c r="P18" s="152"/>
      <c r="Q18" s="183"/>
      <c r="R18" s="221"/>
      <c r="S18" s="211"/>
      <c r="T18" s="50"/>
      <c r="U18" s="112">
        <f t="shared" si="10"/>
        <v>0</v>
      </c>
      <c r="V18" s="113" t="s">
        <v>3</v>
      </c>
      <c r="W18" s="114"/>
      <c r="X18" s="115" t="s">
        <v>3</v>
      </c>
      <c r="Y18" s="114"/>
      <c r="Z18" s="115" t="s">
        <v>4</v>
      </c>
      <c r="AA18" s="116">
        <f t="shared" si="11"/>
        <v>0</v>
      </c>
      <c r="AB18" s="117"/>
      <c r="AC18" s="118"/>
      <c r="AD18" s="119">
        <f t="shared" si="12"/>
        <v>0</v>
      </c>
      <c r="AE18" s="119">
        <f t="shared" si="13"/>
        <v>0</v>
      </c>
      <c r="AF18" s="120">
        <f t="shared" si="14"/>
        <v>0</v>
      </c>
      <c r="AG18" s="121"/>
      <c r="AH18" s="131">
        <f t="shared" si="15"/>
        <v>0</v>
      </c>
      <c r="AI18" s="198"/>
      <c r="AJ18" s="198"/>
      <c r="AK18" s="191">
        <f t="shared" si="16"/>
        <v>0</v>
      </c>
      <c r="AL18" s="122"/>
      <c r="AM18" s="115" t="s">
        <v>5</v>
      </c>
      <c r="AN18" s="51">
        <f t="shared" si="17"/>
        <v>0</v>
      </c>
      <c r="AO18" s="139">
        <f t="shared" si="18"/>
        <v>0</v>
      </c>
      <c r="AP18" s="78">
        <f t="shared" si="19"/>
        <v>0</v>
      </c>
      <c r="AQ18" s="79">
        <f t="shared" si="20"/>
        <v>0</v>
      </c>
      <c r="AR18" s="138"/>
      <c r="AS18" s="52"/>
      <c r="AT18" s="52"/>
      <c r="AU18" s="109">
        <f t="shared" si="21"/>
        <v>0</v>
      </c>
      <c r="AV18" s="103">
        <f t="shared" si="22"/>
        <v>0</v>
      </c>
      <c r="AW18" s="104">
        <f t="shared" si="1"/>
        <v>0</v>
      </c>
      <c r="AX18" s="104">
        <f t="shared" si="2"/>
        <v>0</v>
      </c>
      <c r="AY18" s="104">
        <f t="shared" si="3"/>
        <v>0</v>
      </c>
      <c r="AZ18" s="104">
        <f t="shared" si="4"/>
        <v>0</v>
      </c>
      <c r="BA18" s="104">
        <f t="shared" si="5"/>
        <v>0</v>
      </c>
      <c r="BB18" s="106">
        <f t="shared" si="23"/>
        <v>0</v>
      </c>
      <c r="BC18" s="106">
        <f t="shared" si="6"/>
        <v>0</v>
      </c>
      <c r="BD18" s="106">
        <f t="shared" si="24"/>
        <v>0</v>
      </c>
      <c r="BE18" s="106">
        <f t="shared" si="7"/>
        <v>0</v>
      </c>
      <c r="BF18" s="106">
        <f t="shared" si="8"/>
        <v>0</v>
      </c>
      <c r="BG18" s="106">
        <f t="shared" si="9"/>
        <v>0</v>
      </c>
    </row>
    <row r="19" spans="1:59" s="53" customFormat="1" ht="50.1" customHeight="1">
      <c r="A19" s="141">
        <v>12</v>
      </c>
      <c r="B19" s="47"/>
      <c r="C19" s="20"/>
      <c r="D19" s="21"/>
      <c r="E19" s="23"/>
      <c r="F19" s="48"/>
      <c r="G19" s="48"/>
      <c r="H19" s="49"/>
      <c r="I19" s="49"/>
      <c r="J19" s="181"/>
      <c r="K19" s="87"/>
      <c r="L19" s="92"/>
      <c r="M19" s="94"/>
      <c r="N19" s="94"/>
      <c r="O19" s="93"/>
      <c r="P19" s="152"/>
      <c r="Q19" s="183"/>
      <c r="R19" s="221"/>
      <c r="S19" s="211"/>
      <c r="T19" s="50"/>
      <c r="U19" s="112">
        <f t="shared" si="10"/>
        <v>0</v>
      </c>
      <c r="V19" s="113" t="s">
        <v>3</v>
      </c>
      <c r="W19" s="114"/>
      <c r="X19" s="115" t="s">
        <v>3</v>
      </c>
      <c r="Y19" s="114"/>
      <c r="Z19" s="115" t="s">
        <v>4</v>
      </c>
      <c r="AA19" s="116">
        <f t="shared" si="11"/>
        <v>0</v>
      </c>
      <c r="AB19" s="117"/>
      <c r="AC19" s="118"/>
      <c r="AD19" s="119">
        <f t="shared" si="12"/>
        <v>0</v>
      </c>
      <c r="AE19" s="119">
        <f t="shared" si="13"/>
        <v>0</v>
      </c>
      <c r="AF19" s="120">
        <f t="shared" si="14"/>
        <v>0</v>
      </c>
      <c r="AG19" s="121"/>
      <c r="AH19" s="131">
        <f t="shared" si="15"/>
        <v>0</v>
      </c>
      <c r="AI19" s="198"/>
      <c r="AJ19" s="198"/>
      <c r="AK19" s="191">
        <f t="shared" si="16"/>
        <v>0</v>
      </c>
      <c r="AL19" s="122"/>
      <c r="AM19" s="115" t="s">
        <v>5</v>
      </c>
      <c r="AN19" s="51">
        <f t="shared" si="17"/>
        <v>0</v>
      </c>
      <c r="AO19" s="139">
        <f t="shared" si="18"/>
        <v>0</v>
      </c>
      <c r="AP19" s="78">
        <f t="shared" si="19"/>
        <v>0</v>
      </c>
      <c r="AQ19" s="79">
        <f t="shared" si="20"/>
        <v>0</v>
      </c>
      <c r="AR19" s="138"/>
      <c r="AS19" s="52"/>
      <c r="AT19" s="52"/>
      <c r="AU19" s="109">
        <f t="shared" si="21"/>
        <v>0</v>
      </c>
      <c r="AV19" s="103">
        <f t="shared" si="22"/>
        <v>0</v>
      </c>
      <c r="AW19" s="104">
        <f t="shared" si="1"/>
        <v>0</v>
      </c>
      <c r="AX19" s="104">
        <f t="shared" si="2"/>
        <v>0</v>
      </c>
      <c r="AY19" s="104">
        <f t="shared" si="3"/>
        <v>0</v>
      </c>
      <c r="AZ19" s="104">
        <f t="shared" si="4"/>
        <v>0</v>
      </c>
      <c r="BA19" s="104">
        <f t="shared" si="5"/>
        <v>0</v>
      </c>
      <c r="BB19" s="106">
        <f t="shared" si="23"/>
        <v>0</v>
      </c>
      <c r="BC19" s="106">
        <f t="shared" si="6"/>
        <v>0</v>
      </c>
      <c r="BD19" s="106">
        <f t="shared" si="24"/>
        <v>0</v>
      </c>
      <c r="BE19" s="106">
        <f t="shared" si="7"/>
        <v>0</v>
      </c>
      <c r="BF19" s="106">
        <f t="shared" si="8"/>
        <v>0</v>
      </c>
      <c r="BG19" s="106">
        <f t="shared" si="9"/>
        <v>0</v>
      </c>
    </row>
    <row r="20" spans="1:59" s="53" customFormat="1" ht="50.1" customHeight="1">
      <c r="A20" s="141">
        <v>13</v>
      </c>
      <c r="B20" s="47"/>
      <c r="C20" s="20"/>
      <c r="D20" s="21"/>
      <c r="E20" s="23"/>
      <c r="F20" s="48"/>
      <c r="G20" s="48"/>
      <c r="H20" s="49"/>
      <c r="I20" s="49"/>
      <c r="J20" s="181"/>
      <c r="K20" s="87"/>
      <c r="L20" s="92"/>
      <c r="M20" s="94"/>
      <c r="N20" s="94"/>
      <c r="O20" s="93"/>
      <c r="P20" s="152"/>
      <c r="Q20" s="183"/>
      <c r="R20" s="221"/>
      <c r="S20" s="211"/>
      <c r="T20" s="50"/>
      <c r="U20" s="112">
        <f t="shared" si="10"/>
        <v>0</v>
      </c>
      <c r="V20" s="113" t="s">
        <v>3</v>
      </c>
      <c r="W20" s="114"/>
      <c r="X20" s="115" t="s">
        <v>3</v>
      </c>
      <c r="Y20" s="114"/>
      <c r="Z20" s="115" t="s">
        <v>4</v>
      </c>
      <c r="AA20" s="116">
        <f t="shared" si="11"/>
        <v>0</v>
      </c>
      <c r="AB20" s="117"/>
      <c r="AC20" s="118"/>
      <c r="AD20" s="119">
        <f t="shared" si="12"/>
        <v>0</v>
      </c>
      <c r="AE20" s="119">
        <f t="shared" si="13"/>
        <v>0</v>
      </c>
      <c r="AF20" s="120">
        <f t="shared" si="14"/>
        <v>0</v>
      </c>
      <c r="AG20" s="121"/>
      <c r="AH20" s="131">
        <f t="shared" si="15"/>
        <v>0</v>
      </c>
      <c r="AI20" s="198"/>
      <c r="AJ20" s="198"/>
      <c r="AK20" s="191">
        <f t="shared" si="16"/>
        <v>0</v>
      </c>
      <c r="AL20" s="122"/>
      <c r="AM20" s="115" t="s">
        <v>5</v>
      </c>
      <c r="AN20" s="51">
        <f t="shared" si="17"/>
        <v>0</v>
      </c>
      <c r="AO20" s="139">
        <f t="shared" si="18"/>
        <v>0</v>
      </c>
      <c r="AP20" s="78">
        <f t="shared" si="19"/>
        <v>0</v>
      </c>
      <c r="AQ20" s="79">
        <f t="shared" si="20"/>
        <v>0</v>
      </c>
      <c r="AR20" s="138"/>
      <c r="AS20" s="52"/>
      <c r="AT20" s="52"/>
      <c r="AU20" s="109">
        <f t="shared" si="21"/>
        <v>0</v>
      </c>
      <c r="AV20" s="103">
        <f t="shared" si="22"/>
        <v>0</v>
      </c>
      <c r="AW20" s="104">
        <f t="shared" si="1"/>
        <v>0</v>
      </c>
      <c r="AX20" s="104">
        <f t="shared" si="2"/>
        <v>0</v>
      </c>
      <c r="AY20" s="104">
        <f t="shared" si="3"/>
        <v>0</v>
      </c>
      <c r="AZ20" s="104">
        <f t="shared" si="4"/>
        <v>0</v>
      </c>
      <c r="BA20" s="104">
        <f t="shared" si="5"/>
        <v>0</v>
      </c>
      <c r="BB20" s="106">
        <f t="shared" si="23"/>
        <v>0</v>
      </c>
      <c r="BC20" s="106">
        <f t="shared" si="6"/>
        <v>0</v>
      </c>
      <c r="BD20" s="106">
        <f t="shared" si="24"/>
        <v>0</v>
      </c>
      <c r="BE20" s="106">
        <f t="shared" si="7"/>
        <v>0</v>
      </c>
      <c r="BF20" s="106">
        <f t="shared" si="8"/>
        <v>0</v>
      </c>
      <c r="BG20" s="106">
        <f t="shared" si="9"/>
        <v>0</v>
      </c>
    </row>
    <row r="21" spans="1:59" s="53" customFormat="1" ht="50.1" customHeight="1">
      <c r="A21" s="141">
        <v>14</v>
      </c>
      <c r="B21" s="47"/>
      <c r="C21" s="20"/>
      <c r="D21" s="21"/>
      <c r="E21" s="23"/>
      <c r="F21" s="48"/>
      <c r="G21" s="48"/>
      <c r="H21" s="49"/>
      <c r="I21" s="49"/>
      <c r="J21" s="181"/>
      <c r="K21" s="87"/>
      <c r="L21" s="92"/>
      <c r="M21" s="94"/>
      <c r="N21" s="94"/>
      <c r="O21" s="93"/>
      <c r="P21" s="152"/>
      <c r="Q21" s="183"/>
      <c r="R21" s="221"/>
      <c r="S21" s="211"/>
      <c r="T21" s="50"/>
      <c r="U21" s="112">
        <f t="shared" si="10"/>
        <v>0</v>
      </c>
      <c r="V21" s="113" t="s">
        <v>3</v>
      </c>
      <c r="W21" s="114"/>
      <c r="X21" s="115" t="s">
        <v>3</v>
      </c>
      <c r="Y21" s="114"/>
      <c r="Z21" s="115" t="s">
        <v>4</v>
      </c>
      <c r="AA21" s="116">
        <f t="shared" si="11"/>
        <v>0</v>
      </c>
      <c r="AB21" s="117"/>
      <c r="AC21" s="118"/>
      <c r="AD21" s="119">
        <f t="shared" si="12"/>
        <v>0</v>
      </c>
      <c r="AE21" s="119">
        <f t="shared" si="13"/>
        <v>0</v>
      </c>
      <c r="AF21" s="120">
        <f t="shared" si="14"/>
        <v>0</v>
      </c>
      <c r="AG21" s="121"/>
      <c r="AH21" s="131">
        <f t="shared" si="15"/>
        <v>0</v>
      </c>
      <c r="AI21" s="198"/>
      <c r="AJ21" s="198"/>
      <c r="AK21" s="191">
        <f t="shared" si="16"/>
        <v>0</v>
      </c>
      <c r="AL21" s="122"/>
      <c r="AM21" s="115" t="s">
        <v>5</v>
      </c>
      <c r="AN21" s="51">
        <f t="shared" si="17"/>
        <v>0</v>
      </c>
      <c r="AO21" s="139">
        <f t="shared" si="18"/>
        <v>0</v>
      </c>
      <c r="AP21" s="78">
        <f t="shared" si="19"/>
        <v>0</v>
      </c>
      <c r="AQ21" s="79">
        <f t="shared" si="20"/>
        <v>0</v>
      </c>
      <c r="AR21" s="138"/>
      <c r="AS21" s="52"/>
      <c r="AT21" s="52"/>
      <c r="AU21" s="109">
        <f t="shared" si="21"/>
        <v>0</v>
      </c>
      <c r="AV21" s="103">
        <f t="shared" si="22"/>
        <v>0</v>
      </c>
      <c r="AW21" s="104">
        <f t="shared" si="1"/>
        <v>0</v>
      </c>
      <c r="AX21" s="104">
        <f t="shared" si="2"/>
        <v>0</v>
      </c>
      <c r="AY21" s="104">
        <f t="shared" si="3"/>
        <v>0</v>
      </c>
      <c r="AZ21" s="104">
        <f t="shared" si="4"/>
        <v>0</v>
      </c>
      <c r="BA21" s="104">
        <f t="shared" si="5"/>
        <v>0</v>
      </c>
      <c r="BB21" s="106">
        <f t="shared" si="23"/>
        <v>0</v>
      </c>
      <c r="BC21" s="106">
        <f t="shared" si="6"/>
        <v>0</v>
      </c>
      <c r="BD21" s="106">
        <f t="shared" si="24"/>
        <v>0</v>
      </c>
      <c r="BE21" s="106">
        <f t="shared" si="7"/>
        <v>0</v>
      </c>
      <c r="BF21" s="106">
        <f t="shared" si="8"/>
        <v>0</v>
      </c>
      <c r="BG21" s="106">
        <f t="shared" si="9"/>
        <v>0</v>
      </c>
    </row>
    <row r="22" spans="1:59" s="53" customFormat="1" ht="50.1" customHeight="1">
      <c r="A22" s="141">
        <v>15</v>
      </c>
      <c r="B22" s="47"/>
      <c r="C22" s="20"/>
      <c r="D22" s="21"/>
      <c r="E22" s="23"/>
      <c r="F22" s="48"/>
      <c r="G22" s="48"/>
      <c r="H22" s="49"/>
      <c r="I22" s="49"/>
      <c r="J22" s="181"/>
      <c r="K22" s="87"/>
      <c r="L22" s="92"/>
      <c r="M22" s="94"/>
      <c r="N22" s="94"/>
      <c r="O22" s="93"/>
      <c r="P22" s="152"/>
      <c r="Q22" s="183"/>
      <c r="R22" s="221"/>
      <c r="S22" s="211"/>
      <c r="T22" s="50"/>
      <c r="U22" s="112">
        <f t="shared" si="10"/>
        <v>0</v>
      </c>
      <c r="V22" s="113" t="s">
        <v>3</v>
      </c>
      <c r="W22" s="114"/>
      <c r="X22" s="115" t="s">
        <v>3</v>
      </c>
      <c r="Y22" s="114"/>
      <c r="Z22" s="115" t="s">
        <v>4</v>
      </c>
      <c r="AA22" s="116">
        <f t="shared" si="11"/>
        <v>0</v>
      </c>
      <c r="AB22" s="117"/>
      <c r="AC22" s="118"/>
      <c r="AD22" s="119">
        <f t="shared" si="12"/>
        <v>0</v>
      </c>
      <c r="AE22" s="119">
        <f t="shared" si="13"/>
        <v>0</v>
      </c>
      <c r="AF22" s="120">
        <f t="shared" si="14"/>
        <v>0</v>
      </c>
      <c r="AG22" s="121"/>
      <c r="AH22" s="131">
        <f t="shared" si="15"/>
        <v>0</v>
      </c>
      <c r="AI22" s="198"/>
      <c r="AJ22" s="198"/>
      <c r="AK22" s="191">
        <f t="shared" si="16"/>
        <v>0</v>
      </c>
      <c r="AL22" s="122"/>
      <c r="AM22" s="115" t="s">
        <v>5</v>
      </c>
      <c r="AN22" s="51">
        <f t="shared" si="17"/>
        <v>0</v>
      </c>
      <c r="AO22" s="139">
        <f t="shared" si="18"/>
        <v>0</v>
      </c>
      <c r="AP22" s="78">
        <f t="shared" si="19"/>
        <v>0</v>
      </c>
      <c r="AQ22" s="79">
        <f t="shared" si="20"/>
        <v>0</v>
      </c>
      <c r="AR22" s="138"/>
      <c r="AS22" s="52"/>
      <c r="AT22" s="52"/>
      <c r="AU22" s="109">
        <f t="shared" si="21"/>
        <v>0</v>
      </c>
      <c r="AV22" s="103">
        <f t="shared" si="22"/>
        <v>0</v>
      </c>
      <c r="AW22" s="104">
        <f t="shared" si="1"/>
        <v>0</v>
      </c>
      <c r="AX22" s="104">
        <f t="shared" si="2"/>
        <v>0</v>
      </c>
      <c r="AY22" s="104">
        <f t="shared" si="3"/>
        <v>0</v>
      </c>
      <c r="AZ22" s="104">
        <f t="shared" si="4"/>
        <v>0</v>
      </c>
      <c r="BA22" s="104">
        <f t="shared" si="5"/>
        <v>0</v>
      </c>
      <c r="BB22" s="106">
        <f t="shared" si="23"/>
        <v>0</v>
      </c>
      <c r="BC22" s="106">
        <f t="shared" si="6"/>
        <v>0</v>
      </c>
      <c r="BD22" s="106">
        <f t="shared" si="24"/>
        <v>0</v>
      </c>
      <c r="BE22" s="106">
        <f t="shared" si="7"/>
        <v>0</v>
      </c>
      <c r="BF22" s="106">
        <f t="shared" si="8"/>
        <v>0</v>
      </c>
      <c r="BG22" s="106">
        <f t="shared" si="9"/>
        <v>0</v>
      </c>
    </row>
    <row r="23" spans="1:59" s="53" customFormat="1" ht="50.1" customHeight="1">
      <c r="A23" s="141">
        <v>16</v>
      </c>
      <c r="B23" s="47"/>
      <c r="C23" s="20"/>
      <c r="D23" s="21"/>
      <c r="E23" s="23"/>
      <c r="F23" s="48"/>
      <c r="G23" s="48"/>
      <c r="H23" s="49"/>
      <c r="I23" s="49"/>
      <c r="J23" s="181"/>
      <c r="K23" s="87"/>
      <c r="L23" s="92"/>
      <c r="M23" s="95"/>
      <c r="N23" s="95"/>
      <c r="O23" s="93"/>
      <c r="P23" s="152"/>
      <c r="Q23" s="183"/>
      <c r="R23" s="221"/>
      <c r="S23" s="211"/>
      <c r="T23" s="50"/>
      <c r="U23" s="112">
        <f t="shared" si="10"/>
        <v>0</v>
      </c>
      <c r="V23" s="113" t="s">
        <v>3</v>
      </c>
      <c r="W23" s="114"/>
      <c r="X23" s="115" t="s">
        <v>3</v>
      </c>
      <c r="Y23" s="114"/>
      <c r="Z23" s="115" t="s">
        <v>4</v>
      </c>
      <c r="AA23" s="116">
        <f t="shared" si="11"/>
        <v>0</v>
      </c>
      <c r="AB23" s="117"/>
      <c r="AC23" s="118"/>
      <c r="AD23" s="119">
        <f t="shared" si="12"/>
        <v>0</v>
      </c>
      <c r="AE23" s="119">
        <f t="shared" si="13"/>
        <v>0</v>
      </c>
      <c r="AF23" s="120">
        <f t="shared" si="14"/>
        <v>0</v>
      </c>
      <c r="AG23" s="121"/>
      <c r="AH23" s="131">
        <f t="shared" si="15"/>
        <v>0</v>
      </c>
      <c r="AI23" s="198"/>
      <c r="AJ23" s="198"/>
      <c r="AK23" s="191">
        <f t="shared" si="16"/>
        <v>0</v>
      </c>
      <c r="AL23" s="122"/>
      <c r="AM23" s="115" t="s">
        <v>5</v>
      </c>
      <c r="AN23" s="51">
        <f t="shared" si="17"/>
        <v>0</v>
      </c>
      <c r="AO23" s="139">
        <f t="shared" si="18"/>
        <v>0</v>
      </c>
      <c r="AP23" s="78">
        <f t="shared" si="19"/>
        <v>0</v>
      </c>
      <c r="AQ23" s="79">
        <f t="shared" si="20"/>
        <v>0</v>
      </c>
      <c r="AR23" s="138"/>
      <c r="AS23" s="52"/>
      <c r="AT23" s="52"/>
      <c r="AU23" s="109">
        <f t="shared" si="21"/>
        <v>0</v>
      </c>
      <c r="AV23" s="103">
        <f t="shared" si="22"/>
        <v>0</v>
      </c>
      <c r="AW23" s="104">
        <f t="shared" si="1"/>
        <v>0</v>
      </c>
      <c r="AX23" s="104">
        <f t="shared" si="2"/>
        <v>0</v>
      </c>
      <c r="AY23" s="104">
        <f t="shared" si="3"/>
        <v>0</v>
      </c>
      <c r="AZ23" s="104">
        <f t="shared" si="4"/>
        <v>0</v>
      </c>
      <c r="BA23" s="104">
        <f t="shared" si="5"/>
        <v>0</v>
      </c>
      <c r="BB23" s="106">
        <f t="shared" si="23"/>
        <v>0</v>
      </c>
      <c r="BC23" s="106">
        <f t="shared" si="6"/>
        <v>0</v>
      </c>
      <c r="BD23" s="106">
        <f t="shared" si="24"/>
        <v>0</v>
      </c>
      <c r="BE23" s="106">
        <f t="shared" si="7"/>
        <v>0</v>
      </c>
      <c r="BF23" s="106">
        <f t="shared" si="8"/>
        <v>0</v>
      </c>
      <c r="BG23" s="106">
        <f t="shared" si="9"/>
        <v>0</v>
      </c>
    </row>
    <row r="24" spans="1:59" s="53" customFormat="1" ht="50.1" customHeight="1">
      <c r="A24" s="141">
        <v>17</v>
      </c>
      <c r="B24" s="47"/>
      <c r="C24" s="20"/>
      <c r="D24" s="21"/>
      <c r="E24" s="23"/>
      <c r="F24" s="48"/>
      <c r="G24" s="48"/>
      <c r="H24" s="49"/>
      <c r="I24" s="49"/>
      <c r="J24" s="181"/>
      <c r="K24" s="87"/>
      <c r="L24" s="92"/>
      <c r="M24" s="95"/>
      <c r="N24" s="95"/>
      <c r="O24" s="93"/>
      <c r="P24" s="152"/>
      <c r="Q24" s="183"/>
      <c r="R24" s="221"/>
      <c r="S24" s="211"/>
      <c r="T24" s="50"/>
      <c r="U24" s="112">
        <f t="shared" si="10"/>
        <v>0</v>
      </c>
      <c r="V24" s="113" t="s">
        <v>3</v>
      </c>
      <c r="W24" s="114"/>
      <c r="X24" s="115" t="s">
        <v>3</v>
      </c>
      <c r="Y24" s="114"/>
      <c r="Z24" s="115" t="s">
        <v>4</v>
      </c>
      <c r="AA24" s="116">
        <f t="shared" si="11"/>
        <v>0</v>
      </c>
      <c r="AB24" s="117"/>
      <c r="AC24" s="118"/>
      <c r="AD24" s="119">
        <f t="shared" si="12"/>
        <v>0</v>
      </c>
      <c r="AE24" s="119">
        <f t="shared" si="13"/>
        <v>0</v>
      </c>
      <c r="AF24" s="120">
        <f t="shared" si="14"/>
        <v>0</v>
      </c>
      <c r="AG24" s="121"/>
      <c r="AH24" s="131">
        <f t="shared" si="15"/>
        <v>0</v>
      </c>
      <c r="AI24" s="198"/>
      <c r="AJ24" s="198"/>
      <c r="AK24" s="191">
        <f t="shared" si="16"/>
        <v>0</v>
      </c>
      <c r="AL24" s="122"/>
      <c r="AM24" s="115" t="s">
        <v>5</v>
      </c>
      <c r="AN24" s="51">
        <f t="shared" si="17"/>
        <v>0</v>
      </c>
      <c r="AO24" s="139">
        <f t="shared" si="18"/>
        <v>0</v>
      </c>
      <c r="AP24" s="78">
        <f t="shared" si="19"/>
        <v>0</v>
      </c>
      <c r="AQ24" s="79">
        <f t="shared" si="20"/>
        <v>0</v>
      </c>
      <c r="AR24" s="138"/>
      <c r="AS24" s="52"/>
      <c r="AT24" s="52"/>
      <c r="AU24" s="109">
        <f t="shared" si="21"/>
        <v>0</v>
      </c>
      <c r="AV24" s="103">
        <f t="shared" si="22"/>
        <v>0</v>
      </c>
      <c r="AW24" s="104">
        <f t="shared" si="1"/>
        <v>0</v>
      </c>
      <c r="AX24" s="104">
        <f t="shared" si="2"/>
        <v>0</v>
      </c>
      <c r="AY24" s="104">
        <f t="shared" si="3"/>
        <v>0</v>
      </c>
      <c r="AZ24" s="104">
        <f t="shared" si="4"/>
        <v>0</v>
      </c>
      <c r="BA24" s="104">
        <f t="shared" si="5"/>
        <v>0</v>
      </c>
      <c r="BB24" s="106">
        <f t="shared" si="23"/>
        <v>0</v>
      </c>
      <c r="BC24" s="106">
        <f t="shared" si="6"/>
        <v>0</v>
      </c>
      <c r="BD24" s="106">
        <f t="shared" si="24"/>
        <v>0</v>
      </c>
      <c r="BE24" s="106">
        <f t="shared" si="7"/>
        <v>0</v>
      </c>
      <c r="BF24" s="106">
        <f t="shared" si="8"/>
        <v>0</v>
      </c>
      <c r="BG24" s="106">
        <f t="shared" si="9"/>
        <v>0</v>
      </c>
    </row>
    <row r="25" spans="1:59" s="53" customFormat="1" ht="50.1" customHeight="1">
      <c r="A25" s="141">
        <v>18</v>
      </c>
      <c r="B25" s="47"/>
      <c r="C25" s="20"/>
      <c r="D25" s="21"/>
      <c r="E25" s="23"/>
      <c r="F25" s="48"/>
      <c r="G25" s="48"/>
      <c r="H25" s="49"/>
      <c r="I25" s="49"/>
      <c r="J25" s="181"/>
      <c r="K25" s="87"/>
      <c r="L25" s="92"/>
      <c r="M25" s="95"/>
      <c r="N25" s="95"/>
      <c r="O25" s="93"/>
      <c r="P25" s="152"/>
      <c r="Q25" s="183"/>
      <c r="R25" s="221"/>
      <c r="S25" s="211"/>
      <c r="T25" s="50"/>
      <c r="U25" s="112">
        <f t="shared" si="10"/>
        <v>0</v>
      </c>
      <c r="V25" s="113" t="s">
        <v>3</v>
      </c>
      <c r="W25" s="114"/>
      <c r="X25" s="115" t="s">
        <v>3</v>
      </c>
      <c r="Y25" s="114"/>
      <c r="Z25" s="115" t="s">
        <v>4</v>
      </c>
      <c r="AA25" s="116">
        <f t="shared" si="11"/>
        <v>0</v>
      </c>
      <c r="AB25" s="117"/>
      <c r="AC25" s="118"/>
      <c r="AD25" s="119">
        <f t="shared" si="12"/>
        <v>0</v>
      </c>
      <c r="AE25" s="119">
        <f t="shared" si="13"/>
        <v>0</v>
      </c>
      <c r="AF25" s="120">
        <f t="shared" si="14"/>
        <v>0</v>
      </c>
      <c r="AG25" s="121"/>
      <c r="AH25" s="131">
        <f t="shared" si="15"/>
        <v>0</v>
      </c>
      <c r="AI25" s="198"/>
      <c r="AJ25" s="198"/>
      <c r="AK25" s="191">
        <f t="shared" si="16"/>
        <v>0</v>
      </c>
      <c r="AL25" s="122"/>
      <c r="AM25" s="115" t="s">
        <v>5</v>
      </c>
      <c r="AN25" s="51">
        <f t="shared" si="17"/>
        <v>0</v>
      </c>
      <c r="AO25" s="139">
        <f t="shared" si="18"/>
        <v>0</v>
      </c>
      <c r="AP25" s="78">
        <f t="shared" si="19"/>
        <v>0</v>
      </c>
      <c r="AQ25" s="79">
        <f t="shared" si="20"/>
        <v>0</v>
      </c>
      <c r="AR25" s="138"/>
      <c r="AS25" s="52"/>
      <c r="AT25" s="52"/>
      <c r="AU25" s="109">
        <f t="shared" si="21"/>
        <v>0</v>
      </c>
      <c r="AV25" s="103">
        <f t="shared" si="22"/>
        <v>0</v>
      </c>
      <c r="AW25" s="104">
        <f t="shared" si="1"/>
        <v>0</v>
      </c>
      <c r="AX25" s="104">
        <f t="shared" si="2"/>
        <v>0</v>
      </c>
      <c r="AY25" s="104">
        <f t="shared" si="3"/>
        <v>0</v>
      </c>
      <c r="AZ25" s="104">
        <f t="shared" si="4"/>
        <v>0</v>
      </c>
      <c r="BA25" s="104">
        <f t="shared" si="5"/>
        <v>0</v>
      </c>
      <c r="BB25" s="106">
        <f t="shared" si="23"/>
        <v>0</v>
      </c>
      <c r="BC25" s="106">
        <f t="shared" si="6"/>
        <v>0</v>
      </c>
      <c r="BD25" s="106">
        <f t="shared" si="24"/>
        <v>0</v>
      </c>
      <c r="BE25" s="106">
        <f t="shared" si="7"/>
        <v>0</v>
      </c>
      <c r="BF25" s="106">
        <f t="shared" si="8"/>
        <v>0</v>
      </c>
      <c r="BG25" s="106">
        <f t="shared" si="9"/>
        <v>0</v>
      </c>
    </row>
    <row r="26" spans="1:59" s="53" customFormat="1" ht="50.1" customHeight="1">
      <c r="A26" s="141">
        <v>19</v>
      </c>
      <c r="B26" s="47"/>
      <c r="C26" s="20"/>
      <c r="D26" s="21"/>
      <c r="E26" s="23"/>
      <c r="F26" s="48"/>
      <c r="G26" s="48"/>
      <c r="H26" s="49"/>
      <c r="I26" s="49"/>
      <c r="J26" s="181"/>
      <c r="K26" s="87"/>
      <c r="L26" s="92"/>
      <c r="M26" s="95"/>
      <c r="N26" s="95"/>
      <c r="O26" s="93"/>
      <c r="P26" s="152"/>
      <c r="Q26" s="75"/>
      <c r="R26" s="221"/>
      <c r="S26" s="178"/>
      <c r="T26" s="50"/>
      <c r="U26" s="112">
        <f t="shared" si="10"/>
        <v>0</v>
      </c>
      <c r="V26" s="113" t="s">
        <v>3</v>
      </c>
      <c r="W26" s="114"/>
      <c r="X26" s="115" t="s">
        <v>3</v>
      </c>
      <c r="Y26" s="114"/>
      <c r="Z26" s="115" t="s">
        <v>4</v>
      </c>
      <c r="AA26" s="116">
        <f t="shared" si="11"/>
        <v>0</v>
      </c>
      <c r="AB26" s="117"/>
      <c r="AC26" s="118"/>
      <c r="AD26" s="119">
        <f t="shared" si="12"/>
        <v>0</v>
      </c>
      <c r="AE26" s="119">
        <f t="shared" si="13"/>
        <v>0</v>
      </c>
      <c r="AF26" s="120">
        <f t="shared" si="14"/>
        <v>0</v>
      </c>
      <c r="AG26" s="121"/>
      <c r="AH26" s="131">
        <f t="shared" si="15"/>
        <v>0</v>
      </c>
      <c r="AI26" s="198"/>
      <c r="AJ26" s="198"/>
      <c r="AK26" s="191">
        <f t="shared" si="16"/>
        <v>0</v>
      </c>
      <c r="AL26" s="122"/>
      <c r="AM26" s="115" t="s">
        <v>5</v>
      </c>
      <c r="AN26" s="51">
        <f t="shared" si="17"/>
        <v>0</v>
      </c>
      <c r="AO26" s="139">
        <f t="shared" si="18"/>
        <v>0</v>
      </c>
      <c r="AP26" s="78">
        <f t="shared" si="19"/>
        <v>0</v>
      </c>
      <c r="AQ26" s="79">
        <f t="shared" si="20"/>
        <v>0</v>
      </c>
      <c r="AR26" s="138"/>
      <c r="AS26" s="52"/>
      <c r="AT26" s="52"/>
      <c r="AU26" s="109">
        <f t="shared" si="21"/>
        <v>0</v>
      </c>
      <c r="AV26" s="103">
        <f t="shared" si="22"/>
        <v>0</v>
      </c>
      <c r="AW26" s="104">
        <f t="shared" si="1"/>
        <v>0</v>
      </c>
      <c r="AX26" s="104">
        <f t="shared" si="2"/>
        <v>0</v>
      </c>
      <c r="AY26" s="104">
        <f t="shared" si="3"/>
        <v>0</v>
      </c>
      <c r="AZ26" s="104">
        <f t="shared" si="4"/>
        <v>0</v>
      </c>
      <c r="BA26" s="104">
        <f t="shared" si="5"/>
        <v>0</v>
      </c>
      <c r="BB26" s="106">
        <f t="shared" si="23"/>
        <v>0</v>
      </c>
      <c r="BC26" s="106">
        <f t="shared" si="6"/>
        <v>0</v>
      </c>
      <c r="BD26" s="106">
        <f t="shared" si="24"/>
        <v>0</v>
      </c>
      <c r="BE26" s="106">
        <f t="shared" si="7"/>
        <v>0</v>
      </c>
      <c r="BF26" s="106">
        <f t="shared" si="8"/>
        <v>0</v>
      </c>
      <c r="BG26" s="106">
        <f t="shared" si="9"/>
        <v>0</v>
      </c>
    </row>
    <row r="27" spans="1:59" s="53" customFormat="1" ht="50.1" customHeight="1">
      <c r="A27" s="141">
        <v>20</v>
      </c>
      <c r="B27" s="47"/>
      <c r="C27" s="20"/>
      <c r="D27" s="21"/>
      <c r="E27" s="23"/>
      <c r="F27" s="48"/>
      <c r="G27" s="48"/>
      <c r="H27" s="49"/>
      <c r="I27" s="49"/>
      <c r="J27" s="181"/>
      <c r="K27" s="87"/>
      <c r="L27" s="92"/>
      <c r="M27" s="95"/>
      <c r="N27" s="95"/>
      <c r="O27" s="93"/>
      <c r="P27" s="152"/>
      <c r="Q27" s="75"/>
      <c r="R27" s="221"/>
      <c r="S27" s="178"/>
      <c r="T27" s="50"/>
      <c r="U27" s="112">
        <f t="shared" si="10"/>
        <v>0</v>
      </c>
      <c r="V27" s="113" t="s">
        <v>3</v>
      </c>
      <c r="W27" s="114"/>
      <c r="X27" s="115" t="s">
        <v>3</v>
      </c>
      <c r="Y27" s="114"/>
      <c r="Z27" s="115" t="s">
        <v>4</v>
      </c>
      <c r="AA27" s="116">
        <f t="shared" si="11"/>
        <v>0</v>
      </c>
      <c r="AB27" s="117"/>
      <c r="AC27" s="118"/>
      <c r="AD27" s="119">
        <f t="shared" si="12"/>
        <v>0</v>
      </c>
      <c r="AE27" s="119">
        <f t="shared" si="13"/>
        <v>0</v>
      </c>
      <c r="AF27" s="120">
        <f t="shared" si="14"/>
        <v>0</v>
      </c>
      <c r="AG27" s="121"/>
      <c r="AH27" s="131">
        <f t="shared" si="15"/>
        <v>0</v>
      </c>
      <c r="AI27" s="198"/>
      <c r="AJ27" s="198"/>
      <c r="AK27" s="191">
        <f t="shared" si="16"/>
        <v>0</v>
      </c>
      <c r="AL27" s="122"/>
      <c r="AM27" s="115" t="s">
        <v>5</v>
      </c>
      <c r="AN27" s="51">
        <f t="shared" si="17"/>
        <v>0</v>
      </c>
      <c r="AO27" s="139">
        <f t="shared" si="18"/>
        <v>0</v>
      </c>
      <c r="AP27" s="78">
        <f t="shared" si="19"/>
        <v>0</v>
      </c>
      <c r="AQ27" s="79">
        <f t="shared" si="20"/>
        <v>0</v>
      </c>
      <c r="AR27" s="138"/>
      <c r="AS27" s="52"/>
      <c r="AT27" s="52"/>
      <c r="AU27" s="109">
        <f t="shared" si="21"/>
        <v>0</v>
      </c>
      <c r="AV27" s="103">
        <f t="shared" si="22"/>
        <v>0</v>
      </c>
      <c r="AW27" s="104">
        <f t="shared" si="1"/>
        <v>0</v>
      </c>
      <c r="AX27" s="104">
        <f t="shared" si="2"/>
        <v>0</v>
      </c>
      <c r="AY27" s="104">
        <f t="shared" si="3"/>
        <v>0</v>
      </c>
      <c r="AZ27" s="104">
        <f t="shared" si="4"/>
        <v>0</v>
      </c>
      <c r="BA27" s="104">
        <f t="shared" si="5"/>
        <v>0</v>
      </c>
      <c r="BB27" s="106">
        <f t="shared" si="23"/>
        <v>0</v>
      </c>
      <c r="BC27" s="106">
        <f t="shared" si="6"/>
        <v>0</v>
      </c>
      <c r="BD27" s="106">
        <f t="shared" si="24"/>
        <v>0</v>
      </c>
      <c r="BE27" s="106">
        <f t="shared" si="7"/>
        <v>0</v>
      </c>
      <c r="BF27" s="106">
        <f t="shared" si="8"/>
        <v>0</v>
      </c>
      <c r="BG27" s="106">
        <f t="shared" si="9"/>
        <v>0</v>
      </c>
    </row>
    <row r="28" spans="1:59" s="53" customFormat="1" ht="50.1" customHeight="1">
      <c r="A28" s="141">
        <v>21</v>
      </c>
      <c r="B28" s="47"/>
      <c r="C28" s="20"/>
      <c r="D28" s="21"/>
      <c r="E28" s="23"/>
      <c r="F28" s="48"/>
      <c r="G28" s="48"/>
      <c r="H28" s="49"/>
      <c r="I28" s="49"/>
      <c r="J28" s="181"/>
      <c r="K28" s="87"/>
      <c r="L28" s="92"/>
      <c r="M28" s="95"/>
      <c r="N28" s="95"/>
      <c r="O28" s="93"/>
      <c r="P28" s="152"/>
      <c r="Q28" s="75"/>
      <c r="R28" s="221"/>
      <c r="S28" s="178"/>
      <c r="T28" s="50"/>
      <c r="U28" s="112">
        <f t="shared" si="10"/>
        <v>0</v>
      </c>
      <c r="V28" s="113" t="s">
        <v>3</v>
      </c>
      <c r="W28" s="114"/>
      <c r="X28" s="115" t="s">
        <v>3</v>
      </c>
      <c r="Y28" s="114"/>
      <c r="Z28" s="115" t="s">
        <v>4</v>
      </c>
      <c r="AA28" s="116">
        <f t="shared" si="11"/>
        <v>0</v>
      </c>
      <c r="AB28" s="117"/>
      <c r="AC28" s="118"/>
      <c r="AD28" s="119">
        <f t="shared" si="12"/>
        <v>0</v>
      </c>
      <c r="AE28" s="119">
        <f t="shared" si="13"/>
        <v>0</v>
      </c>
      <c r="AF28" s="120">
        <f t="shared" si="14"/>
        <v>0</v>
      </c>
      <c r="AG28" s="121"/>
      <c r="AH28" s="131">
        <f t="shared" si="15"/>
        <v>0</v>
      </c>
      <c r="AI28" s="198"/>
      <c r="AJ28" s="198"/>
      <c r="AK28" s="191">
        <f t="shared" si="16"/>
        <v>0</v>
      </c>
      <c r="AL28" s="122"/>
      <c r="AM28" s="115" t="s">
        <v>5</v>
      </c>
      <c r="AN28" s="51">
        <f t="shared" si="17"/>
        <v>0</v>
      </c>
      <c r="AO28" s="139">
        <f t="shared" si="18"/>
        <v>0</v>
      </c>
      <c r="AP28" s="78">
        <f t="shared" si="19"/>
        <v>0</v>
      </c>
      <c r="AQ28" s="79">
        <f t="shared" si="20"/>
        <v>0</v>
      </c>
      <c r="AR28" s="138"/>
      <c r="AS28" s="52"/>
      <c r="AT28" s="52"/>
      <c r="AU28" s="109">
        <f t="shared" si="21"/>
        <v>0</v>
      </c>
      <c r="AV28" s="103">
        <f t="shared" si="22"/>
        <v>0</v>
      </c>
      <c r="AW28" s="104">
        <f t="shared" si="1"/>
        <v>0</v>
      </c>
      <c r="AX28" s="104">
        <f t="shared" si="2"/>
        <v>0</v>
      </c>
      <c r="AY28" s="104">
        <f t="shared" si="3"/>
        <v>0</v>
      </c>
      <c r="AZ28" s="104">
        <f t="shared" si="4"/>
        <v>0</v>
      </c>
      <c r="BA28" s="104">
        <f t="shared" si="5"/>
        <v>0</v>
      </c>
      <c r="BB28" s="106">
        <f t="shared" si="23"/>
        <v>0</v>
      </c>
      <c r="BC28" s="106">
        <f t="shared" si="6"/>
        <v>0</v>
      </c>
      <c r="BD28" s="106">
        <f t="shared" si="24"/>
        <v>0</v>
      </c>
      <c r="BE28" s="106">
        <f t="shared" si="7"/>
        <v>0</v>
      </c>
      <c r="BF28" s="106">
        <f t="shared" si="8"/>
        <v>0</v>
      </c>
      <c r="BG28" s="106">
        <f t="shared" si="9"/>
        <v>0</v>
      </c>
    </row>
    <row r="29" spans="1:59" s="53" customFormat="1" ht="50.1" customHeight="1">
      <c r="A29" s="141">
        <v>22</v>
      </c>
      <c r="B29" s="47"/>
      <c r="C29" s="20"/>
      <c r="D29" s="21"/>
      <c r="E29" s="23"/>
      <c r="F29" s="48"/>
      <c r="G29" s="48"/>
      <c r="H29" s="49"/>
      <c r="I29" s="49"/>
      <c r="J29" s="181"/>
      <c r="K29" s="87"/>
      <c r="L29" s="92"/>
      <c r="M29" s="94"/>
      <c r="N29" s="94"/>
      <c r="O29" s="93"/>
      <c r="P29" s="152"/>
      <c r="Q29" s="75"/>
      <c r="R29" s="221"/>
      <c r="S29" s="178"/>
      <c r="T29" s="50"/>
      <c r="U29" s="112">
        <f t="shared" si="10"/>
        <v>0</v>
      </c>
      <c r="V29" s="113" t="s">
        <v>3</v>
      </c>
      <c r="W29" s="114"/>
      <c r="X29" s="115" t="s">
        <v>3</v>
      </c>
      <c r="Y29" s="114"/>
      <c r="Z29" s="115" t="s">
        <v>4</v>
      </c>
      <c r="AA29" s="116">
        <f t="shared" si="11"/>
        <v>0</v>
      </c>
      <c r="AB29" s="117"/>
      <c r="AC29" s="118"/>
      <c r="AD29" s="119">
        <f t="shared" si="12"/>
        <v>0</v>
      </c>
      <c r="AE29" s="119">
        <f t="shared" si="13"/>
        <v>0</v>
      </c>
      <c r="AF29" s="120">
        <f t="shared" si="14"/>
        <v>0</v>
      </c>
      <c r="AG29" s="121"/>
      <c r="AH29" s="131">
        <f t="shared" si="15"/>
        <v>0</v>
      </c>
      <c r="AI29" s="198"/>
      <c r="AJ29" s="198"/>
      <c r="AK29" s="191">
        <f t="shared" si="16"/>
        <v>0</v>
      </c>
      <c r="AL29" s="122"/>
      <c r="AM29" s="115" t="s">
        <v>5</v>
      </c>
      <c r="AN29" s="51">
        <f t="shared" si="17"/>
        <v>0</v>
      </c>
      <c r="AO29" s="139">
        <f t="shared" si="18"/>
        <v>0</v>
      </c>
      <c r="AP29" s="78">
        <f t="shared" si="19"/>
        <v>0</v>
      </c>
      <c r="AQ29" s="79">
        <f t="shared" si="20"/>
        <v>0</v>
      </c>
      <c r="AR29" s="138"/>
      <c r="AS29" s="52"/>
      <c r="AT29" s="52"/>
      <c r="AU29" s="109">
        <f t="shared" si="21"/>
        <v>0</v>
      </c>
      <c r="AV29" s="103">
        <f t="shared" si="22"/>
        <v>0</v>
      </c>
      <c r="AW29" s="104">
        <f t="shared" si="1"/>
        <v>0</v>
      </c>
      <c r="AX29" s="104">
        <f t="shared" si="2"/>
        <v>0</v>
      </c>
      <c r="AY29" s="104">
        <f t="shared" si="3"/>
        <v>0</v>
      </c>
      <c r="AZ29" s="104">
        <f t="shared" si="4"/>
        <v>0</v>
      </c>
      <c r="BA29" s="104">
        <f t="shared" si="5"/>
        <v>0</v>
      </c>
      <c r="BB29" s="106">
        <f t="shared" si="23"/>
        <v>0</v>
      </c>
      <c r="BC29" s="106">
        <f t="shared" si="6"/>
        <v>0</v>
      </c>
      <c r="BD29" s="106">
        <f t="shared" si="24"/>
        <v>0</v>
      </c>
      <c r="BE29" s="106">
        <f t="shared" si="7"/>
        <v>0</v>
      </c>
      <c r="BF29" s="106">
        <f t="shared" si="8"/>
        <v>0</v>
      </c>
      <c r="BG29" s="106">
        <f t="shared" si="9"/>
        <v>0</v>
      </c>
    </row>
    <row r="30" spans="1:59" s="53" customFormat="1" ht="50.1" customHeight="1">
      <c r="A30" s="141">
        <v>23</v>
      </c>
      <c r="B30" s="47"/>
      <c r="C30" s="20"/>
      <c r="D30" s="21"/>
      <c r="E30" s="23"/>
      <c r="F30" s="48"/>
      <c r="G30" s="48"/>
      <c r="H30" s="49"/>
      <c r="I30" s="49"/>
      <c r="J30" s="181"/>
      <c r="K30" s="87"/>
      <c r="L30" s="92"/>
      <c r="M30" s="95"/>
      <c r="N30" s="95"/>
      <c r="O30" s="93"/>
      <c r="P30" s="152"/>
      <c r="Q30" s="75"/>
      <c r="R30" s="221"/>
      <c r="S30" s="178"/>
      <c r="T30" s="50"/>
      <c r="U30" s="112">
        <f t="shared" si="10"/>
        <v>0</v>
      </c>
      <c r="V30" s="113" t="s">
        <v>3</v>
      </c>
      <c r="W30" s="114"/>
      <c r="X30" s="115" t="s">
        <v>3</v>
      </c>
      <c r="Y30" s="114"/>
      <c r="Z30" s="115" t="s">
        <v>4</v>
      </c>
      <c r="AA30" s="116">
        <f t="shared" si="11"/>
        <v>0</v>
      </c>
      <c r="AB30" s="117"/>
      <c r="AC30" s="118"/>
      <c r="AD30" s="119">
        <f t="shared" si="12"/>
        <v>0</v>
      </c>
      <c r="AE30" s="119">
        <f t="shared" si="13"/>
        <v>0</v>
      </c>
      <c r="AF30" s="120">
        <f t="shared" si="14"/>
        <v>0</v>
      </c>
      <c r="AG30" s="121"/>
      <c r="AH30" s="131">
        <f t="shared" si="15"/>
        <v>0</v>
      </c>
      <c r="AI30" s="198"/>
      <c r="AJ30" s="198"/>
      <c r="AK30" s="191">
        <f t="shared" si="16"/>
        <v>0</v>
      </c>
      <c r="AL30" s="122"/>
      <c r="AM30" s="115" t="s">
        <v>5</v>
      </c>
      <c r="AN30" s="51">
        <f t="shared" si="17"/>
        <v>0</v>
      </c>
      <c r="AO30" s="139">
        <f t="shared" si="18"/>
        <v>0</v>
      </c>
      <c r="AP30" s="78">
        <f t="shared" si="19"/>
        <v>0</v>
      </c>
      <c r="AQ30" s="79">
        <f t="shared" si="20"/>
        <v>0</v>
      </c>
      <c r="AR30" s="138"/>
      <c r="AS30" s="52"/>
      <c r="AT30" s="52"/>
      <c r="AU30" s="109">
        <f t="shared" si="21"/>
        <v>0</v>
      </c>
      <c r="AV30" s="103">
        <f t="shared" si="22"/>
        <v>0</v>
      </c>
      <c r="AW30" s="104">
        <f t="shared" si="1"/>
        <v>0</v>
      </c>
      <c r="AX30" s="104">
        <f t="shared" si="2"/>
        <v>0</v>
      </c>
      <c r="AY30" s="104">
        <f t="shared" si="3"/>
        <v>0</v>
      </c>
      <c r="AZ30" s="104">
        <f t="shared" si="4"/>
        <v>0</v>
      </c>
      <c r="BA30" s="104">
        <f t="shared" si="5"/>
        <v>0</v>
      </c>
      <c r="BB30" s="106">
        <f t="shared" si="23"/>
        <v>0</v>
      </c>
      <c r="BC30" s="106">
        <f t="shared" si="6"/>
        <v>0</v>
      </c>
      <c r="BD30" s="106">
        <f t="shared" si="24"/>
        <v>0</v>
      </c>
      <c r="BE30" s="106">
        <f t="shared" si="7"/>
        <v>0</v>
      </c>
      <c r="BF30" s="106">
        <f t="shared" si="8"/>
        <v>0</v>
      </c>
      <c r="BG30" s="106">
        <f t="shared" si="9"/>
        <v>0</v>
      </c>
    </row>
    <row r="31" spans="1:59" s="53" customFormat="1" ht="50.1" customHeight="1">
      <c r="A31" s="141">
        <v>24</v>
      </c>
      <c r="B31" s="47"/>
      <c r="C31" s="20"/>
      <c r="D31" s="21"/>
      <c r="E31" s="23"/>
      <c r="F31" s="48"/>
      <c r="G31" s="48"/>
      <c r="H31" s="49"/>
      <c r="I31" s="49"/>
      <c r="J31" s="181"/>
      <c r="K31" s="87"/>
      <c r="L31" s="92"/>
      <c r="M31" s="95"/>
      <c r="N31" s="95"/>
      <c r="O31" s="93"/>
      <c r="P31" s="152"/>
      <c r="Q31" s="75"/>
      <c r="R31" s="221"/>
      <c r="S31" s="178"/>
      <c r="T31" s="50"/>
      <c r="U31" s="112">
        <f t="shared" si="10"/>
        <v>0</v>
      </c>
      <c r="V31" s="113" t="s">
        <v>3</v>
      </c>
      <c r="W31" s="114"/>
      <c r="X31" s="115" t="s">
        <v>3</v>
      </c>
      <c r="Y31" s="114"/>
      <c r="Z31" s="115" t="s">
        <v>4</v>
      </c>
      <c r="AA31" s="116">
        <f t="shared" si="11"/>
        <v>0</v>
      </c>
      <c r="AB31" s="117"/>
      <c r="AC31" s="118"/>
      <c r="AD31" s="119">
        <f t="shared" si="12"/>
        <v>0</v>
      </c>
      <c r="AE31" s="119">
        <f t="shared" si="13"/>
        <v>0</v>
      </c>
      <c r="AF31" s="120">
        <f t="shared" si="14"/>
        <v>0</v>
      </c>
      <c r="AG31" s="121"/>
      <c r="AH31" s="131">
        <f t="shared" si="15"/>
        <v>0</v>
      </c>
      <c r="AI31" s="198"/>
      <c r="AJ31" s="198"/>
      <c r="AK31" s="191">
        <f t="shared" si="16"/>
        <v>0</v>
      </c>
      <c r="AL31" s="122"/>
      <c r="AM31" s="115" t="s">
        <v>5</v>
      </c>
      <c r="AN31" s="51">
        <f t="shared" si="17"/>
        <v>0</v>
      </c>
      <c r="AO31" s="139">
        <f t="shared" si="18"/>
        <v>0</v>
      </c>
      <c r="AP31" s="78">
        <f t="shared" si="19"/>
        <v>0</v>
      </c>
      <c r="AQ31" s="79">
        <f t="shared" si="20"/>
        <v>0</v>
      </c>
      <c r="AR31" s="138"/>
      <c r="AS31" s="52"/>
      <c r="AT31" s="52"/>
      <c r="AU31" s="109">
        <f t="shared" si="21"/>
        <v>0</v>
      </c>
      <c r="AV31" s="103">
        <f t="shared" si="22"/>
        <v>0</v>
      </c>
      <c r="AW31" s="104">
        <f t="shared" si="1"/>
        <v>0</v>
      </c>
      <c r="AX31" s="104">
        <f t="shared" si="2"/>
        <v>0</v>
      </c>
      <c r="AY31" s="104">
        <f t="shared" si="3"/>
        <v>0</v>
      </c>
      <c r="AZ31" s="104">
        <f t="shared" si="4"/>
        <v>0</v>
      </c>
      <c r="BA31" s="104">
        <f t="shared" si="5"/>
        <v>0</v>
      </c>
      <c r="BB31" s="106">
        <f t="shared" si="23"/>
        <v>0</v>
      </c>
      <c r="BC31" s="106">
        <f t="shared" si="6"/>
        <v>0</v>
      </c>
      <c r="BD31" s="106">
        <f t="shared" si="24"/>
        <v>0</v>
      </c>
      <c r="BE31" s="106">
        <f t="shared" si="7"/>
        <v>0</v>
      </c>
      <c r="BF31" s="106">
        <f t="shared" si="8"/>
        <v>0</v>
      </c>
      <c r="BG31" s="106">
        <f t="shared" si="9"/>
        <v>0</v>
      </c>
    </row>
    <row r="32" spans="1:59" s="53" customFormat="1" ht="50.1" customHeight="1">
      <c r="A32" s="141">
        <v>25</v>
      </c>
      <c r="B32" s="47"/>
      <c r="C32" s="20"/>
      <c r="D32" s="21"/>
      <c r="E32" s="23"/>
      <c r="F32" s="48"/>
      <c r="G32" s="48"/>
      <c r="H32" s="49"/>
      <c r="I32" s="49"/>
      <c r="J32" s="181"/>
      <c r="K32" s="87"/>
      <c r="L32" s="92"/>
      <c r="M32" s="94"/>
      <c r="N32" s="94"/>
      <c r="O32" s="93"/>
      <c r="P32" s="152"/>
      <c r="Q32" s="75"/>
      <c r="R32" s="221"/>
      <c r="S32" s="178"/>
      <c r="T32" s="50"/>
      <c r="U32" s="112">
        <f t="shared" si="10"/>
        <v>0</v>
      </c>
      <c r="V32" s="113" t="s">
        <v>3</v>
      </c>
      <c r="W32" s="114"/>
      <c r="X32" s="115" t="s">
        <v>3</v>
      </c>
      <c r="Y32" s="114"/>
      <c r="Z32" s="115" t="s">
        <v>4</v>
      </c>
      <c r="AA32" s="116">
        <f t="shared" si="11"/>
        <v>0</v>
      </c>
      <c r="AB32" s="117"/>
      <c r="AC32" s="118"/>
      <c r="AD32" s="119">
        <f t="shared" si="12"/>
        <v>0</v>
      </c>
      <c r="AE32" s="119">
        <f t="shared" si="13"/>
        <v>0</v>
      </c>
      <c r="AF32" s="120">
        <f t="shared" si="14"/>
        <v>0</v>
      </c>
      <c r="AG32" s="121"/>
      <c r="AH32" s="131">
        <f t="shared" si="15"/>
        <v>0</v>
      </c>
      <c r="AI32" s="198"/>
      <c r="AJ32" s="198"/>
      <c r="AK32" s="191">
        <f t="shared" si="16"/>
        <v>0</v>
      </c>
      <c r="AL32" s="122"/>
      <c r="AM32" s="115" t="s">
        <v>5</v>
      </c>
      <c r="AN32" s="51">
        <f t="shared" si="17"/>
        <v>0</v>
      </c>
      <c r="AO32" s="139">
        <f t="shared" si="18"/>
        <v>0</v>
      </c>
      <c r="AP32" s="78">
        <f t="shared" si="19"/>
        <v>0</v>
      </c>
      <c r="AQ32" s="79">
        <f t="shared" si="20"/>
        <v>0</v>
      </c>
      <c r="AR32" s="138"/>
      <c r="AS32" s="52"/>
      <c r="AT32" s="52"/>
      <c r="AU32" s="109">
        <f t="shared" si="21"/>
        <v>0</v>
      </c>
      <c r="AV32" s="103">
        <f t="shared" si="22"/>
        <v>0</v>
      </c>
      <c r="AW32" s="104">
        <f t="shared" si="1"/>
        <v>0</v>
      </c>
      <c r="AX32" s="104">
        <f t="shared" si="2"/>
        <v>0</v>
      </c>
      <c r="AY32" s="104">
        <f t="shared" si="3"/>
        <v>0</v>
      </c>
      <c r="AZ32" s="104">
        <f t="shared" si="4"/>
        <v>0</v>
      </c>
      <c r="BA32" s="104">
        <f t="shared" si="5"/>
        <v>0</v>
      </c>
      <c r="BB32" s="106">
        <f t="shared" si="23"/>
        <v>0</v>
      </c>
      <c r="BC32" s="106">
        <f t="shared" si="6"/>
        <v>0</v>
      </c>
      <c r="BD32" s="106">
        <f t="shared" si="24"/>
        <v>0</v>
      </c>
      <c r="BE32" s="106">
        <f t="shared" si="7"/>
        <v>0</v>
      </c>
      <c r="BF32" s="106">
        <f t="shared" si="8"/>
        <v>0</v>
      </c>
      <c r="BG32" s="106">
        <f t="shared" si="9"/>
        <v>0</v>
      </c>
    </row>
    <row r="33" spans="1:59" s="53" customFormat="1" ht="50.1" customHeight="1">
      <c r="A33" s="141">
        <v>26</v>
      </c>
      <c r="B33" s="47"/>
      <c r="C33" s="20"/>
      <c r="D33" s="21"/>
      <c r="E33" s="23"/>
      <c r="F33" s="48"/>
      <c r="G33" s="48"/>
      <c r="H33" s="49"/>
      <c r="I33" s="49"/>
      <c r="J33" s="181"/>
      <c r="K33" s="173"/>
      <c r="L33" s="174"/>
      <c r="M33" s="186"/>
      <c r="N33" s="186"/>
      <c r="O33" s="176"/>
      <c r="P33" s="187"/>
      <c r="Q33" s="177"/>
      <c r="R33" s="221"/>
      <c r="S33" s="178"/>
      <c r="T33" s="50"/>
      <c r="U33" s="112">
        <f t="shared" si="10"/>
        <v>0</v>
      </c>
      <c r="V33" s="113" t="s">
        <v>3</v>
      </c>
      <c r="W33" s="114"/>
      <c r="X33" s="115" t="s">
        <v>3</v>
      </c>
      <c r="Y33" s="114"/>
      <c r="Z33" s="115" t="s">
        <v>4</v>
      </c>
      <c r="AA33" s="116">
        <f t="shared" si="11"/>
        <v>0</v>
      </c>
      <c r="AB33" s="117"/>
      <c r="AC33" s="118"/>
      <c r="AD33" s="119">
        <f t="shared" si="12"/>
        <v>0</v>
      </c>
      <c r="AE33" s="119">
        <f t="shared" si="13"/>
        <v>0</v>
      </c>
      <c r="AF33" s="120">
        <f t="shared" si="14"/>
        <v>0</v>
      </c>
      <c r="AG33" s="121"/>
      <c r="AH33" s="131">
        <f t="shared" si="15"/>
        <v>0</v>
      </c>
      <c r="AI33" s="198"/>
      <c r="AJ33" s="198"/>
      <c r="AK33" s="191">
        <f t="shared" si="16"/>
        <v>0</v>
      </c>
      <c r="AL33" s="189"/>
      <c r="AM33" s="115" t="s">
        <v>5</v>
      </c>
      <c r="AN33" s="51">
        <f t="shared" si="17"/>
        <v>0</v>
      </c>
      <c r="AO33" s="139">
        <f t="shared" si="18"/>
        <v>0</v>
      </c>
      <c r="AP33" s="78">
        <f t="shared" si="19"/>
        <v>0</v>
      </c>
      <c r="AQ33" s="79">
        <f t="shared" si="20"/>
        <v>0</v>
      </c>
      <c r="AR33" s="138"/>
      <c r="AS33" s="52"/>
      <c r="AT33" s="52"/>
      <c r="AU33" s="109">
        <f t="shared" si="21"/>
        <v>0</v>
      </c>
      <c r="AV33" s="103">
        <f t="shared" si="22"/>
        <v>0</v>
      </c>
      <c r="AW33" s="104">
        <f t="shared" si="1"/>
        <v>0</v>
      </c>
      <c r="AX33" s="104">
        <f t="shared" si="2"/>
        <v>0</v>
      </c>
      <c r="AY33" s="104">
        <f t="shared" si="3"/>
        <v>0</v>
      </c>
      <c r="AZ33" s="104">
        <f t="shared" si="4"/>
        <v>0</v>
      </c>
      <c r="BA33" s="104">
        <f t="shared" si="5"/>
        <v>0</v>
      </c>
      <c r="BB33" s="106">
        <f t="shared" si="23"/>
        <v>0</v>
      </c>
      <c r="BC33" s="106">
        <f t="shared" si="6"/>
        <v>0</v>
      </c>
      <c r="BD33" s="106">
        <f t="shared" si="24"/>
        <v>0</v>
      </c>
      <c r="BE33" s="106">
        <f t="shared" si="7"/>
        <v>0</v>
      </c>
      <c r="BF33" s="106">
        <f t="shared" si="8"/>
        <v>0</v>
      </c>
      <c r="BG33" s="106">
        <f t="shared" si="9"/>
        <v>0</v>
      </c>
    </row>
    <row r="34" spans="1:59" s="53" customFormat="1" ht="50.1" customHeight="1">
      <c r="A34" s="141">
        <v>27</v>
      </c>
      <c r="B34" s="47"/>
      <c r="C34" s="20"/>
      <c r="D34" s="21"/>
      <c r="E34" s="23"/>
      <c r="F34" s="48"/>
      <c r="G34" s="48"/>
      <c r="H34" s="49"/>
      <c r="I34" s="49"/>
      <c r="J34" s="181"/>
      <c r="K34" s="87"/>
      <c r="L34" s="92"/>
      <c r="M34" s="95"/>
      <c r="N34" s="95"/>
      <c r="O34" s="93"/>
      <c r="P34" s="152"/>
      <c r="Q34" s="183"/>
      <c r="R34" s="221"/>
      <c r="S34" s="211"/>
      <c r="T34" s="50"/>
      <c r="U34" s="112">
        <f t="shared" si="10"/>
        <v>0</v>
      </c>
      <c r="V34" s="113" t="s">
        <v>3</v>
      </c>
      <c r="W34" s="114"/>
      <c r="X34" s="115" t="s">
        <v>3</v>
      </c>
      <c r="Y34" s="114"/>
      <c r="Z34" s="115" t="s">
        <v>4</v>
      </c>
      <c r="AA34" s="116">
        <f t="shared" si="11"/>
        <v>0</v>
      </c>
      <c r="AB34" s="117"/>
      <c r="AC34" s="118"/>
      <c r="AD34" s="119">
        <f t="shared" si="12"/>
        <v>0</v>
      </c>
      <c r="AE34" s="119">
        <f t="shared" si="13"/>
        <v>0</v>
      </c>
      <c r="AF34" s="120">
        <f t="shared" si="14"/>
        <v>0</v>
      </c>
      <c r="AG34" s="121"/>
      <c r="AH34" s="131">
        <f t="shared" si="15"/>
        <v>0</v>
      </c>
      <c r="AI34" s="198"/>
      <c r="AJ34" s="198"/>
      <c r="AK34" s="191">
        <f t="shared" si="16"/>
        <v>0</v>
      </c>
      <c r="AL34" s="122"/>
      <c r="AM34" s="115" t="s">
        <v>5</v>
      </c>
      <c r="AN34" s="51">
        <f t="shared" si="17"/>
        <v>0</v>
      </c>
      <c r="AO34" s="139">
        <f t="shared" si="18"/>
        <v>0</v>
      </c>
      <c r="AP34" s="78">
        <f t="shared" si="19"/>
        <v>0</v>
      </c>
      <c r="AQ34" s="79">
        <f t="shared" si="20"/>
        <v>0</v>
      </c>
      <c r="AR34" s="138"/>
      <c r="AS34" s="52"/>
      <c r="AT34" s="52"/>
      <c r="AU34" s="109">
        <f t="shared" si="21"/>
        <v>0</v>
      </c>
      <c r="AV34" s="103">
        <f t="shared" si="22"/>
        <v>0</v>
      </c>
      <c r="AW34" s="104">
        <f t="shared" si="1"/>
        <v>0</v>
      </c>
      <c r="AX34" s="104">
        <f t="shared" si="2"/>
        <v>0</v>
      </c>
      <c r="AY34" s="104">
        <f t="shared" si="3"/>
        <v>0</v>
      </c>
      <c r="AZ34" s="104">
        <f t="shared" si="4"/>
        <v>0</v>
      </c>
      <c r="BA34" s="104">
        <f t="shared" si="5"/>
        <v>0</v>
      </c>
      <c r="BB34" s="106">
        <f t="shared" si="23"/>
        <v>0</v>
      </c>
      <c r="BC34" s="106">
        <f t="shared" si="6"/>
        <v>0</v>
      </c>
      <c r="BD34" s="106">
        <f t="shared" si="24"/>
        <v>0</v>
      </c>
      <c r="BE34" s="106">
        <f t="shared" si="7"/>
        <v>0</v>
      </c>
      <c r="BF34" s="106">
        <f t="shared" si="8"/>
        <v>0</v>
      </c>
      <c r="BG34" s="106">
        <f t="shared" si="9"/>
        <v>0</v>
      </c>
    </row>
    <row r="35" spans="1:59" s="53" customFormat="1" ht="50.1" customHeight="1">
      <c r="A35" s="141">
        <v>28</v>
      </c>
      <c r="B35" s="47"/>
      <c r="C35" s="20"/>
      <c r="D35" s="21"/>
      <c r="E35" s="23"/>
      <c r="F35" s="48"/>
      <c r="G35" s="48"/>
      <c r="H35" s="49"/>
      <c r="I35" s="49"/>
      <c r="J35" s="181"/>
      <c r="K35" s="87"/>
      <c r="L35" s="92"/>
      <c r="M35" s="94"/>
      <c r="N35" s="94"/>
      <c r="O35" s="93"/>
      <c r="P35" s="152"/>
      <c r="Q35" s="183"/>
      <c r="R35" s="221"/>
      <c r="S35" s="211"/>
      <c r="T35" s="50"/>
      <c r="U35" s="112">
        <f t="shared" si="10"/>
        <v>0</v>
      </c>
      <c r="V35" s="113" t="s">
        <v>3</v>
      </c>
      <c r="W35" s="114"/>
      <c r="X35" s="115" t="s">
        <v>3</v>
      </c>
      <c r="Y35" s="114"/>
      <c r="Z35" s="115" t="s">
        <v>4</v>
      </c>
      <c r="AA35" s="116">
        <f t="shared" si="11"/>
        <v>0</v>
      </c>
      <c r="AB35" s="117"/>
      <c r="AC35" s="118"/>
      <c r="AD35" s="119">
        <f t="shared" si="12"/>
        <v>0</v>
      </c>
      <c r="AE35" s="119">
        <f t="shared" si="13"/>
        <v>0</v>
      </c>
      <c r="AF35" s="120">
        <f t="shared" si="14"/>
        <v>0</v>
      </c>
      <c r="AG35" s="121"/>
      <c r="AH35" s="131">
        <f t="shared" si="15"/>
        <v>0</v>
      </c>
      <c r="AI35" s="198"/>
      <c r="AJ35" s="198"/>
      <c r="AK35" s="191">
        <f t="shared" si="16"/>
        <v>0</v>
      </c>
      <c r="AL35" s="122"/>
      <c r="AM35" s="115" t="s">
        <v>5</v>
      </c>
      <c r="AN35" s="51">
        <f t="shared" si="17"/>
        <v>0</v>
      </c>
      <c r="AO35" s="139">
        <f t="shared" si="18"/>
        <v>0</v>
      </c>
      <c r="AP35" s="78">
        <f t="shared" si="19"/>
        <v>0</v>
      </c>
      <c r="AQ35" s="79">
        <f t="shared" si="20"/>
        <v>0</v>
      </c>
      <c r="AR35" s="138"/>
      <c r="AS35" s="52"/>
      <c r="AT35" s="52"/>
      <c r="AU35" s="109">
        <f t="shared" si="21"/>
        <v>0</v>
      </c>
      <c r="AV35" s="103">
        <f t="shared" si="22"/>
        <v>0</v>
      </c>
      <c r="AW35" s="104">
        <f t="shared" si="1"/>
        <v>0</v>
      </c>
      <c r="AX35" s="104">
        <f t="shared" si="2"/>
        <v>0</v>
      </c>
      <c r="AY35" s="104">
        <f t="shared" si="3"/>
        <v>0</v>
      </c>
      <c r="AZ35" s="104">
        <f t="shared" si="4"/>
        <v>0</v>
      </c>
      <c r="BA35" s="104">
        <f t="shared" si="5"/>
        <v>0</v>
      </c>
      <c r="BB35" s="106">
        <f t="shared" si="23"/>
        <v>0</v>
      </c>
      <c r="BC35" s="106">
        <f t="shared" si="6"/>
        <v>0</v>
      </c>
      <c r="BD35" s="106">
        <f t="shared" si="24"/>
        <v>0</v>
      </c>
      <c r="BE35" s="106">
        <f t="shared" si="7"/>
        <v>0</v>
      </c>
      <c r="BF35" s="106">
        <f t="shared" si="8"/>
        <v>0</v>
      </c>
      <c r="BG35" s="106">
        <f t="shared" si="9"/>
        <v>0</v>
      </c>
    </row>
    <row r="36" spans="1:59" s="53" customFormat="1" ht="50.1" customHeight="1">
      <c r="A36" s="141">
        <v>29</v>
      </c>
      <c r="B36" s="47"/>
      <c r="C36" s="20"/>
      <c r="D36" s="21"/>
      <c r="E36" s="23"/>
      <c r="F36" s="48"/>
      <c r="G36" s="48"/>
      <c r="H36" s="49"/>
      <c r="I36" s="49"/>
      <c r="J36" s="181"/>
      <c r="K36" s="87"/>
      <c r="L36" s="92"/>
      <c r="M36" s="95"/>
      <c r="N36" s="95"/>
      <c r="O36" s="93"/>
      <c r="P36" s="152"/>
      <c r="Q36" s="183"/>
      <c r="R36" s="221"/>
      <c r="S36" s="211"/>
      <c r="T36" s="50"/>
      <c r="U36" s="112">
        <f t="shared" si="10"/>
        <v>0</v>
      </c>
      <c r="V36" s="113" t="s">
        <v>3</v>
      </c>
      <c r="W36" s="114"/>
      <c r="X36" s="115" t="s">
        <v>3</v>
      </c>
      <c r="Y36" s="114"/>
      <c r="Z36" s="115" t="s">
        <v>4</v>
      </c>
      <c r="AA36" s="116">
        <f t="shared" si="11"/>
        <v>0</v>
      </c>
      <c r="AB36" s="117"/>
      <c r="AC36" s="118"/>
      <c r="AD36" s="119">
        <f t="shared" si="12"/>
        <v>0</v>
      </c>
      <c r="AE36" s="119">
        <f t="shared" si="13"/>
        <v>0</v>
      </c>
      <c r="AF36" s="120">
        <f t="shared" si="14"/>
        <v>0</v>
      </c>
      <c r="AG36" s="121"/>
      <c r="AH36" s="131">
        <f t="shared" si="15"/>
        <v>0</v>
      </c>
      <c r="AI36" s="198"/>
      <c r="AJ36" s="198"/>
      <c r="AK36" s="191">
        <f t="shared" si="16"/>
        <v>0</v>
      </c>
      <c r="AL36" s="122"/>
      <c r="AM36" s="115" t="s">
        <v>5</v>
      </c>
      <c r="AN36" s="51">
        <f t="shared" si="17"/>
        <v>0</v>
      </c>
      <c r="AO36" s="139">
        <f t="shared" si="18"/>
        <v>0</v>
      </c>
      <c r="AP36" s="78">
        <f t="shared" si="19"/>
        <v>0</v>
      </c>
      <c r="AQ36" s="79">
        <f t="shared" si="20"/>
        <v>0</v>
      </c>
      <c r="AR36" s="138"/>
      <c r="AS36" s="52"/>
      <c r="AT36" s="52"/>
      <c r="AU36" s="109">
        <f t="shared" si="21"/>
        <v>0</v>
      </c>
      <c r="AV36" s="103">
        <f t="shared" si="22"/>
        <v>0</v>
      </c>
      <c r="AW36" s="104">
        <f t="shared" si="1"/>
        <v>0</v>
      </c>
      <c r="AX36" s="104">
        <f t="shared" si="2"/>
        <v>0</v>
      </c>
      <c r="AY36" s="104">
        <f t="shared" si="3"/>
        <v>0</v>
      </c>
      <c r="AZ36" s="104">
        <f t="shared" si="4"/>
        <v>0</v>
      </c>
      <c r="BA36" s="104">
        <f t="shared" si="5"/>
        <v>0</v>
      </c>
      <c r="BB36" s="106">
        <f t="shared" si="23"/>
        <v>0</v>
      </c>
      <c r="BC36" s="106">
        <f t="shared" si="6"/>
        <v>0</v>
      </c>
      <c r="BD36" s="106">
        <f t="shared" si="24"/>
        <v>0</v>
      </c>
      <c r="BE36" s="106">
        <f t="shared" si="7"/>
        <v>0</v>
      </c>
      <c r="BF36" s="106">
        <f t="shared" si="8"/>
        <v>0</v>
      </c>
      <c r="BG36" s="106">
        <f t="shared" si="9"/>
        <v>0</v>
      </c>
    </row>
    <row r="37" spans="1:59" s="53" customFormat="1" ht="50.1" customHeight="1">
      <c r="A37" s="141">
        <v>30</v>
      </c>
      <c r="B37" s="47"/>
      <c r="C37" s="20"/>
      <c r="D37" s="21"/>
      <c r="E37" s="23"/>
      <c r="F37" s="48"/>
      <c r="G37" s="48"/>
      <c r="H37" s="49"/>
      <c r="I37" s="49"/>
      <c r="J37" s="181"/>
      <c r="K37" s="87"/>
      <c r="L37" s="92"/>
      <c r="M37" s="95"/>
      <c r="N37" s="95"/>
      <c r="O37" s="93"/>
      <c r="P37" s="152"/>
      <c r="Q37" s="183"/>
      <c r="R37" s="221"/>
      <c r="S37" s="211"/>
      <c r="T37" s="50"/>
      <c r="U37" s="112">
        <f t="shared" si="10"/>
        <v>0</v>
      </c>
      <c r="V37" s="113" t="s">
        <v>3</v>
      </c>
      <c r="W37" s="114"/>
      <c r="X37" s="115" t="s">
        <v>3</v>
      </c>
      <c r="Y37" s="114"/>
      <c r="Z37" s="115" t="s">
        <v>4</v>
      </c>
      <c r="AA37" s="116">
        <f t="shared" si="11"/>
        <v>0</v>
      </c>
      <c r="AB37" s="117"/>
      <c r="AC37" s="118"/>
      <c r="AD37" s="119">
        <f t="shared" si="12"/>
        <v>0</v>
      </c>
      <c r="AE37" s="119">
        <f t="shared" si="13"/>
        <v>0</v>
      </c>
      <c r="AF37" s="120">
        <f t="shared" si="14"/>
        <v>0</v>
      </c>
      <c r="AG37" s="121"/>
      <c r="AH37" s="131">
        <f t="shared" si="15"/>
        <v>0</v>
      </c>
      <c r="AI37" s="198"/>
      <c r="AJ37" s="198"/>
      <c r="AK37" s="191">
        <f t="shared" si="16"/>
        <v>0</v>
      </c>
      <c r="AL37" s="122"/>
      <c r="AM37" s="115" t="s">
        <v>5</v>
      </c>
      <c r="AN37" s="51">
        <f t="shared" si="17"/>
        <v>0</v>
      </c>
      <c r="AO37" s="139">
        <f t="shared" si="18"/>
        <v>0</v>
      </c>
      <c r="AP37" s="78">
        <f t="shared" si="19"/>
        <v>0</v>
      </c>
      <c r="AQ37" s="79">
        <f t="shared" si="20"/>
        <v>0</v>
      </c>
      <c r="AR37" s="138"/>
      <c r="AS37" s="52"/>
      <c r="AT37" s="52"/>
      <c r="AU37" s="109">
        <f t="shared" si="21"/>
        <v>0</v>
      </c>
      <c r="AV37" s="103">
        <f t="shared" si="22"/>
        <v>0</v>
      </c>
      <c r="AW37" s="104">
        <f t="shared" si="1"/>
        <v>0</v>
      </c>
      <c r="AX37" s="104">
        <f t="shared" si="2"/>
        <v>0</v>
      </c>
      <c r="AY37" s="104">
        <f t="shared" si="3"/>
        <v>0</v>
      </c>
      <c r="AZ37" s="104">
        <f t="shared" si="4"/>
        <v>0</v>
      </c>
      <c r="BA37" s="104">
        <f t="shared" si="5"/>
        <v>0</v>
      </c>
      <c r="BB37" s="106">
        <f t="shared" si="23"/>
        <v>0</v>
      </c>
      <c r="BC37" s="106">
        <f t="shared" si="6"/>
        <v>0</v>
      </c>
      <c r="BD37" s="106">
        <f t="shared" si="24"/>
        <v>0</v>
      </c>
      <c r="BE37" s="106">
        <f t="shared" si="7"/>
        <v>0</v>
      </c>
      <c r="BF37" s="106">
        <f t="shared" si="8"/>
        <v>0</v>
      </c>
      <c r="BG37" s="106">
        <f t="shared" si="9"/>
        <v>0</v>
      </c>
    </row>
    <row r="38" spans="1:59" s="53" customFormat="1" ht="50.1" customHeight="1">
      <c r="A38" s="141">
        <v>31</v>
      </c>
      <c r="B38" s="47"/>
      <c r="C38" s="20"/>
      <c r="D38" s="21"/>
      <c r="E38" s="23"/>
      <c r="F38" s="48"/>
      <c r="G38" s="48"/>
      <c r="H38" s="49"/>
      <c r="I38" s="49"/>
      <c r="J38" s="181"/>
      <c r="K38" s="87"/>
      <c r="L38" s="92"/>
      <c r="M38" s="95"/>
      <c r="N38" s="95"/>
      <c r="O38" s="93"/>
      <c r="P38" s="152"/>
      <c r="Q38" s="183"/>
      <c r="R38" s="221"/>
      <c r="S38" s="211"/>
      <c r="T38" s="50"/>
      <c r="U38" s="112">
        <f t="shared" si="10"/>
        <v>0</v>
      </c>
      <c r="V38" s="113" t="s">
        <v>3</v>
      </c>
      <c r="W38" s="114"/>
      <c r="X38" s="115" t="s">
        <v>3</v>
      </c>
      <c r="Y38" s="114"/>
      <c r="Z38" s="115" t="s">
        <v>4</v>
      </c>
      <c r="AA38" s="116">
        <f t="shared" si="11"/>
        <v>0</v>
      </c>
      <c r="AB38" s="117"/>
      <c r="AC38" s="118"/>
      <c r="AD38" s="119">
        <f t="shared" si="12"/>
        <v>0</v>
      </c>
      <c r="AE38" s="119">
        <f t="shared" si="13"/>
        <v>0</v>
      </c>
      <c r="AF38" s="120">
        <f t="shared" si="14"/>
        <v>0</v>
      </c>
      <c r="AG38" s="121"/>
      <c r="AH38" s="131">
        <f t="shared" si="15"/>
        <v>0</v>
      </c>
      <c r="AI38" s="198"/>
      <c r="AJ38" s="198"/>
      <c r="AK38" s="191">
        <f t="shared" si="16"/>
        <v>0</v>
      </c>
      <c r="AL38" s="122"/>
      <c r="AM38" s="115" t="s">
        <v>5</v>
      </c>
      <c r="AN38" s="51">
        <f t="shared" si="17"/>
        <v>0</v>
      </c>
      <c r="AO38" s="139">
        <f t="shared" si="18"/>
        <v>0</v>
      </c>
      <c r="AP38" s="78">
        <f t="shared" si="19"/>
        <v>0</v>
      </c>
      <c r="AQ38" s="79">
        <f t="shared" si="20"/>
        <v>0</v>
      </c>
      <c r="AR38" s="138"/>
      <c r="AS38" s="52"/>
      <c r="AT38" s="52"/>
      <c r="AU38" s="109">
        <f t="shared" si="21"/>
        <v>0</v>
      </c>
      <c r="AV38" s="103">
        <f t="shared" si="22"/>
        <v>0</v>
      </c>
      <c r="AW38" s="104">
        <f t="shared" si="1"/>
        <v>0</v>
      </c>
      <c r="AX38" s="104">
        <f t="shared" si="2"/>
        <v>0</v>
      </c>
      <c r="AY38" s="104">
        <f t="shared" si="3"/>
        <v>0</v>
      </c>
      <c r="AZ38" s="104">
        <f t="shared" si="4"/>
        <v>0</v>
      </c>
      <c r="BA38" s="104">
        <f t="shared" si="5"/>
        <v>0</v>
      </c>
      <c r="BB38" s="106">
        <f t="shared" si="23"/>
        <v>0</v>
      </c>
      <c r="BC38" s="106">
        <f t="shared" si="6"/>
        <v>0</v>
      </c>
      <c r="BD38" s="106">
        <f t="shared" si="24"/>
        <v>0</v>
      </c>
      <c r="BE38" s="106">
        <f t="shared" si="7"/>
        <v>0</v>
      </c>
      <c r="BF38" s="106">
        <f t="shared" si="8"/>
        <v>0</v>
      </c>
      <c r="BG38" s="106">
        <f t="shared" si="9"/>
        <v>0</v>
      </c>
    </row>
    <row r="39" spans="1:59" s="53" customFormat="1" ht="50.1" customHeight="1">
      <c r="A39" s="141">
        <v>32</v>
      </c>
      <c r="B39" s="47"/>
      <c r="C39" s="20"/>
      <c r="D39" s="21"/>
      <c r="E39" s="23"/>
      <c r="F39" s="48"/>
      <c r="G39" s="48"/>
      <c r="H39" s="49"/>
      <c r="I39" s="49"/>
      <c r="J39" s="181"/>
      <c r="K39" s="87"/>
      <c r="L39" s="92"/>
      <c r="M39" s="95"/>
      <c r="N39" s="95"/>
      <c r="O39" s="93"/>
      <c r="P39" s="152"/>
      <c r="Q39" s="183"/>
      <c r="R39" s="221"/>
      <c r="S39" s="211"/>
      <c r="T39" s="50"/>
      <c r="U39" s="112">
        <f t="shared" si="10"/>
        <v>0</v>
      </c>
      <c r="V39" s="113" t="s">
        <v>3</v>
      </c>
      <c r="W39" s="114"/>
      <c r="X39" s="115" t="s">
        <v>3</v>
      </c>
      <c r="Y39" s="114"/>
      <c r="Z39" s="115" t="s">
        <v>4</v>
      </c>
      <c r="AA39" s="116">
        <f t="shared" si="11"/>
        <v>0</v>
      </c>
      <c r="AB39" s="117"/>
      <c r="AC39" s="118"/>
      <c r="AD39" s="119">
        <f t="shared" si="12"/>
        <v>0</v>
      </c>
      <c r="AE39" s="119">
        <f t="shared" si="13"/>
        <v>0</v>
      </c>
      <c r="AF39" s="120">
        <f t="shared" si="14"/>
        <v>0</v>
      </c>
      <c r="AG39" s="121"/>
      <c r="AH39" s="131">
        <f t="shared" si="15"/>
        <v>0</v>
      </c>
      <c r="AI39" s="198"/>
      <c r="AJ39" s="198"/>
      <c r="AK39" s="191">
        <f t="shared" si="16"/>
        <v>0</v>
      </c>
      <c r="AL39" s="122"/>
      <c r="AM39" s="115" t="s">
        <v>5</v>
      </c>
      <c r="AN39" s="51">
        <f t="shared" si="17"/>
        <v>0</v>
      </c>
      <c r="AO39" s="139">
        <f t="shared" si="18"/>
        <v>0</v>
      </c>
      <c r="AP39" s="78">
        <f t="shared" si="19"/>
        <v>0</v>
      </c>
      <c r="AQ39" s="79">
        <f t="shared" si="20"/>
        <v>0</v>
      </c>
      <c r="AR39" s="138"/>
      <c r="AS39" s="52"/>
      <c r="AT39" s="52"/>
      <c r="AU39" s="109">
        <f t="shared" si="21"/>
        <v>0</v>
      </c>
      <c r="AV39" s="103">
        <f t="shared" si="22"/>
        <v>0</v>
      </c>
      <c r="AW39" s="104">
        <f t="shared" si="1"/>
        <v>0</v>
      </c>
      <c r="AX39" s="104">
        <f t="shared" si="2"/>
        <v>0</v>
      </c>
      <c r="AY39" s="104">
        <f t="shared" si="3"/>
        <v>0</v>
      </c>
      <c r="AZ39" s="104">
        <f t="shared" si="4"/>
        <v>0</v>
      </c>
      <c r="BA39" s="104">
        <f t="shared" si="5"/>
        <v>0</v>
      </c>
      <c r="BB39" s="106">
        <f t="shared" si="23"/>
        <v>0</v>
      </c>
      <c r="BC39" s="106">
        <f t="shared" si="6"/>
        <v>0</v>
      </c>
      <c r="BD39" s="106">
        <f t="shared" si="24"/>
        <v>0</v>
      </c>
      <c r="BE39" s="106">
        <f t="shared" si="7"/>
        <v>0</v>
      </c>
      <c r="BF39" s="106">
        <f t="shared" si="8"/>
        <v>0</v>
      </c>
      <c r="BG39" s="106">
        <f t="shared" si="9"/>
        <v>0</v>
      </c>
    </row>
    <row r="40" spans="1:59" s="53" customFormat="1" ht="50.1" customHeight="1">
      <c r="A40" s="141">
        <v>33</v>
      </c>
      <c r="B40" s="47"/>
      <c r="C40" s="20"/>
      <c r="D40" s="21"/>
      <c r="E40" s="23"/>
      <c r="F40" s="48"/>
      <c r="G40" s="48"/>
      <c r="H40" s="49"/>
      <c r="I40" s="49"/>
      <c r="J40" s="181"/>
      <c r="K40" s="87"/>
      <c r="L40" s="92"/>
      <c r="M40" s="95"/>
      <c r="N40" s="95"/>
      <c r="O40" s="93"/>
      <c r="P40" s="152"/>
      <c r="Q40" s="183"/>
      <c r="R40" s="221"/>
      <c r="S40" s="212"/>
      <c r="T40" s="50"/>
      <c r="U40" s="112">
        <f t="shared" si="10"/>
        <v>0</v>
      </c>
      <c r="V40" s="113" t="s">
        <v>3</v>
      </c>
      <c r="W40" s="114"/>
      <c r="X40" s="115" t="s">
        <v>3</v>
      </c>
      <c r="Y40" s="114"/>
      <c r="Z40" s="115" t="s">
        <v>4</v>
      </c>
      <c r="AA40" s="116">
        <f t="shared" si="11"/>
        <v>0</v>
      </c>
      <c r="AB40" s="117"/>
      <c r="AC40" s="118"/>
      <c r="AD40" s="119">
        <f t="shared" si="12"/>
        <v>0</v>
      </c>
      <c r="AE40" s="119">
        <f t="shared" si="13"/>
        <v>0</v>
      </c>
      <c r="AF40" s="120">
        <f t="shared" si="14"/>
        <v>0</v>
      </c>
      <c r="AG40" s="121"/>
      <c r="AH40" s="131">
        <f t="shared" si="15"/>
        <v>0</v>
      </c>
      <c r="AI40" s="198"/>
      <c r="AJ40" s="198"/>
      <c r="AK40" s="191">
        <f t="shared" si="16"/>
        <v>0</v>
      </c>
      <c r="AL40" s="122"/>
      <c r="AM40" s="115" t="s">
        <v>5</v>
      </c>
      <c r="AN40" s="51">
        <f t="shared" si="17"/>
        <v>0</v>
      </c>
      <c r="AO40" s="139">
        <f t="shared" si="18"/>
        <v>0</v>
      </c>
      <c r="AP40" s="78">
        <f t="shared" si="19"/>
        <v>0</v>
      </c>
      <c r="AQ40" s="79">
        <f t="shared" si="20"/>
        <v>0</v>
      </c>
      <c r="AR40" s="138"/>
      <c r="AS40" s="52"/>
      <c r="AT40" s="52"/>
      <c r="AU40" s="109">
        <f t="shared" si="21"/>
        <v>0</v>
      </c>
      <c r="AV40" s="103">
        <f t="shared" si="22"/>
        <v>0</v>
      </c>
      <c r="AW40" s="104">
        <f t="shared" si="1"/>
        <v>0</v>
      </c>
      <c r="AX40" s="104">
        <f t="shared" si="2"/>
        <v>0</v>
      </c>
      <c r="AY40" s="104">
        <f t="shared" si="3"/>
        <v>0</v>
      </c>
      <c r="AZ40" s="104">
        <f t="shared" si="4"/>
        <v>0</v>
      </c>
      <c r="BA40" s="104">
        <f t="shared" si="5"/>
        <v>0</v>
      </c>
      <c r="BB40" s="106">
        <f t="shared" si="23"/>
        <v>0</v>
      </c>
      <c r="BC40" s="106">
        <f t="shared" si="6"/>
        <v>0</v>
      </c>
      <c r="BD40" s="106">
        <f t="shared" si="24"/>
        <v>0</v>
      </c>
      <c r="BE40" s="106">
        <f t="shared" si="7"/>
        <v>0</v>
      </c>
      <c r="BF40" s="106">
        <f t="shared" si="8"/>
        <v>0</v>
      </c>
      <c r="BG40" s="106">
        <f t="shared" si="9"/>
        <v>0</v>
      </c>
    </row>
    <row r="41" spans="1:59" s="53" customFormat="1" ht="50.1" customHeight="1">
      <c r="A41" s="141">
        <v>34</v>
      </c>
      <c r="B41" s="47"/>
      <c r="C41" s="20"/>
      <c r="D41" s="21"/>
      <c r="E41" s="23"/>
      <c r="F41" s="48"/>
      <c r="G41" s="48"/>
      <c r="H41" s="49"/>
      <c r="I41" s="49"/>
      <c r="J41" s="181"/>
      <c r="K41" s="87"/>
      <c r="L41" s="92"/>
      <c r="M41" s="94"/>
      <c r="N41" s="94"/>
      <c r="O41" s="93"/>
      <c r="P41" s="152"/>
      <c r="Q41" s="183"/>
      <c r="R41" s="221"/>
      <c r="S41" s="211"/>
      <c r="T41" s="50"/>
      <c r="U41" s="112">
        <f t="shared" si="10"/>
        <v>0</v>
      </c>
      <c r="V41" s="113" t="s">
        <v>3</v>
      </c>
      <c r="W41" s="114"/>
      <c r="X41" s="115" t="s">
        <v>3</v>
      </c>
      <c r="Y41" s="114"/>
      <c r="Z41" s="115" t="s">
        <v>4</v>
      </c>
      <c r="AA41" s="116">
        <f t="shared" si="11"/>
        <v>0</v>
      </c>
      <c r="AB41" s="117"/>
      <c r="AC41" s="118"/>
      <c r="AD41" s="119">
        <f t="shared" si="12"/>
        <v>0</v>
      </c>
      <c r="AE41" s="119">
        <f t="shared" si="13"/>
        <v>0</v>
      </c>
      <c r="AF41" s="120">
        <f t="shared" si="14"/>
        <v>0</v>
      </c>
      <c r="AG41" s="121"/>
      <c r="AH41" s="131">
        <f t="shared" si="15"/>
        <v>0</v>
      </c>
      <c r="AI41" s="198"/>
      <c r="AJ41" s="198"/>
      <c r="AK41" s="191">
        <f t="shared" si="16"/>
        <v>0</v>
      </c>
      <c r="AL41" s="122"/>
      <c r="AM41" s="115" t="s">
        <v>5</v>
      </c>
      <c r="AN41" s="51">
        <f t="shared" si="17"/>
        <v>0</v>
      </c>
      <c r="AO41" s="139">
        <f t="shared" si="18"/>
        <v>0</v>
      </c>
      <c r="AP41" s="78">
        <f t="shared" si="19"/>
        <v>0</v>
      </c>
      <c r="AQ41" s="79">
        <f t="shared" si="20"/>
        <v>0</v>
      </c>
      <c r="AR41" s="138"/>
      <c r="AS41" s="52"/>
      <c r="AT41" s="52"/>
      <c r="AU41" s="109">
        <f t="shared" si="21"/>
        <v>0</v>
      </c>
      <c r="AV41" s="103">
        <f t="shared" si="22"/>
        <v>0</v>
      </c>
      <c r="AW41" s="104">
        <f t="shared" si="1"/>
        <v>0</v>
      </c>
      <c r="AX41" s="104">
        <f t="shared" si="2"/>
        <v>0</v>
      </c>
      <c r="AY41" s="104">
        <f t="shared" si="3"/>
        <v>0</v>
      </c>
      <c r="AZ41" s="104">
        <f t="shared" si="4"/>
        <v>0</v>
      </c>
      <c r="BA41" s="104">
        <f t="shared" si="5"/>
        <v>0</v>
      </c>
      <c r="BB41" s="106">
        <f t="shared" si="23"/>
        <v>0</v>
      </c>
      <c r="BC41" s="106">
        <f t="shared" si="6"/>
        <v>0</v>
      </c>
      <c r="BD41" s="106">
        <f t="shared" si="24"/>
        <v>0</v>
      </c>
      <c r="BE41" s="106">
        <f t="shared" si="7"/>
        <v>0</v>
      </c>
      <c r="BF41" s="106">
        <f t="shared" si="8"/>
        <v>0</v>
      </c>
      <c r="BG41" s="106">
        <f t="shared" si="9"/>
        <v>0</v>
      </c>
    </row>
    <row r="42" spans="1:59" s="53" customFormat="1" ht="50.1" customHeight="1">
      <c r="A42" s="141">
        <v>35</v>
      </c>
      <c r="B42" s="47"/>
      <c r="C42" s="20"/>
      <c r="D42" s="21"/>
      <c r="E42" s="23"/>
      <c r="F42" s="48"/>
      <c r="G42" s="48"/>
      <c r="H42" s="49"/>
      <c r="I42" s="49"/>
      <c r="J42" s="181"/>
      <c r="K42" s="87"/>
      <c r="L42" s="92"/>
      <c r="M42" s="94"/>
      <c r="N42" s="94"/>
      <c r="O42" s="93"/>
      <c r="P42" s="152"/>
      <c r="Q42" s="183"/>
      <c r="R42" s="221"/>
      <c r="S42" s="211"/>
      <c r="T42" s="50"/>
      <c r="U42" s="112">
        <f t="shared" si="10"/>
        <v>0</v>
      </c>
      <c r="V42" s="113" t="s">
        <v>3</v>
      </c>
      <c r="W42" s="114"/>
      <c r="X42" s="115" t="s">
        <v>3</v>
      </c>
      <c r="Y42" s="114"/>
      <c r="Z42" s="115" t="s">
        <v>4</v>
      </c>
      <c r="AA42" s="116">
        <f t="shared" si="11"/>
        <v>0</v>
      </c>
      <c r="AB42" s="117"/>
      <c r="AC42" s="118"/>
      <c r="AD42" s="119">
        <f t="shared" si="12"/>
        <v>0</v>
      </c>
      <c r="AE42" s="119">
        <f t="shared" si="13"/>
        <v>0</v>
      </c>
      <c r="AF42" s="120">
        <f t="shared" si="14"/>
        <v>0</v>
      </c>
      <c r="AG42" s="121"/>
      <c r="AH42" s="131">
        <f t="shared" si="15"/>
        <v>0</v>
      </c>
      <c r="AI42" s="198"/>
      <c r="AJ42" s="198"/>
      <c r="AK42" s="191">
        <f t="shared" si="16"/>
        <v>0</v>
      </c>
      <c r="AL42" s="122"/>
      <c r="AM42" s="115" t="s">
        <v>5</v>
      </c>
      <c r="AN42" s="51">
        <f t="shared" si="17"/>
        <v>0</v>
      </c>
      <c r="AO42" s="139">
        <f t="shared" si="18"/>
        <v>0</v>
      </c>
      <c r="AP42" s="78">
        <f t="shared" si="19"/>
        <v>0</v>
      </c>
      <c r="AQ42" s="79">
        <f t="shared" si="20"/>
        <v>0</v>
      </c>
      <c r="AR42" s="138"/>
      <c r="AS42" s="52"/>
      <c r="AT42" s="52"/>
      <c r="AU42" s="109">
        <f t="shared" si="21"/>
        <v>0</v>
      </c>
      <c r="AV42" s="103">
        <f t="shared" si="22"/>
        <v>0</v>
      </c>
      <c r="AW42" s="104">
        <f t="shared" si="1"/>
        <v>0</v>
      </c>
      <c r="AX42" s="104">
        <f t="shared" si="2"/>
        <v>0</v>
      </c>
      <c r="AY42" s="104">
        <f t="shared" si="3"/>
        <v>0</v>
      </c>
      <c r="AZ42" s="104">
        <f t="shared" si="4"/>
        <v>0</v>
      </c>
      <c r="BA42" s="104">
        <f t="shared" si="5"/>
        <v>0</v>
      </c>
      <c r="BB42" s="106">
        <f t="shared" si="23"/>
        <v>0</v>
      </c>
      <c r="BC42" s="106">
        <f t="shared" si="6"/>
        <v>0</v>
      </c>
      <c r="BD42" s="106">
        <f t="shared" si="24"/>
        <v>0</v>
      </c>
      <c r="BE42" s="106">
        <f t="shared" si="7"/>
        <v>0</v>
      </c>
      <c r="BF42" s="106">
        <f t="shared" si="8"/>
        <v>0</v>
      </c>
      <c r="BG42" s="106">
        <f t="shared" si="9"/>
        <v>0</v>
      </c>
    </row>
    <row r="43" spans="1:59" s="53" customFormat="1" ht="50.1" customHeight="1">
      <c r="A43" s="141">
        <v>36</v>
      </c>
      <c r="B43" s="47"/>
      <c r="C43" s="20"/>
      <c r="D43" s="21"/>
      <c r="E43" s="23"/>
      <c r="F43" s="48"/>
      <c r="G43" s="48"/>
      <c r="H43" s="49"/>
      <c r="I43" s="49"/>
      <c r="J43" s="181"/>
      <c r="K43" s="87"/>
      <c r="L43" s="92"/>
      <c r="M43" s="94"/>
      <c r="N43" s="94"/>
      <c r="O43" s="93"/>
      <c r="P43" s="152"/>
      <c r="Q43" s="183"/>
      <c r="R43" s="221"/>
      <c r="S43" s="211"/>
      <c r="T43" s="50"/>
      <c r="U43" s="112">
        <f t="shared" si="10"/>
        <v>0</v>
      </c>
      <c r="V43" s="113" t="s">
        <v>3</v>
      </c>
      <c r="W43" s="114"/>
      <c r="X43" s="115" t="s">
        <v>3</v>
      </c>
      <c r="Y43" s="114"/>
      <c r="Z43" s="115" t="s">
        <v>4</v>
      </c>
      <c r="AA43" s="116">
        <f t="shared" si="11"/>
        <v>0</v>
      </c>
      <c r="AB43" s="117"/>
      <c r="AC43" s="118"/>
      <c r="AD43" s="119">
        <f t="shared" si="12"/>
        <v>0</v>
      </c>
      <c r="AE43" s="119">
        <f t="shared" si="13"/>
        <v>0</v>
      </c>
      <c r="AF43" s="120">
        <f t="shared" si="14"/>
        <v>0</v>
      </c>
      <c r="AG43" s="121"/>
      <c r="AH43" s="131">
        <f t="shared" si="15"/>
        <v>0</v>
      </c>
      <c r="AI43" s="198"/>
      <c r="AJ43" s="198"/>
      <c r="AK43" s="191">
        <f t="shared" si="16"/>
        <v>0</v>
      </c>
      <c r="AL43" s="122"/>
      <c r="AM43" s="115" t="s">
        <v>5</v>
      </c>
      <c r="AN43" s="51">
        <f t="shared" si="17"/>
        <v>0</v>
      </c>
      <c r="AO43" s="139">
        <f t="shared" si="18"/>
        <v>0</v>
      </c>
      <c r="AP43" s="78">
        <f t="shared" si="19"/>
        <v>0</v>
      </c>
      <c r="AQ43" s="79">
        <f t="shared" si="20"/>
        <v>0</v>
      </c>
      <c r="AR43" s="138"/>
      <c r="AS43" s="52"/>
      <c r="AT43" s="52"/>
      <c r="AU43" s="109">
        <f t="shared" si="21"/>
        <v>0</v>
      </c>
      <c r="AV43" s="103">
        <f t="shared" si="22"/>
        <v>0</v>
      </c>
      <c r="AW43" s="104">
        <f t="shared" si="1"/>
        <v>0</v>
      </c>
      <c r="AX43" s="104">
        <f t="shared" si="2"/>
        <v>0</v>
      </c>
      <c r="AY43" s="104">
        <f t="shared" si="3"/>
        <v>0</v>
      </c>
      <c r="AZ43" s="104">
        <f t="shared" si="4"/>
        <v>0</v>
      </c>
      <c r="BA43" s="104">
        <f t="shared" si="5"/>
        <v>0</v>
      </c>
      <c r="BB43" s="106">
        <f t="shared" si="23"/>
        <v>0</v>
      </c>
      <c r="BC43" s="106">
        <f t="shared" si="6"/>
        <v>0</v>
      </c>
      <c r="BD43" s="106">
        <f t="shared" si="24"/>
        <v>0</v>
      </c>
      <c r="BE43" s="106">
        <f t="shared" si="7"/>
        <v>0</v>
      </c>
      <c r="BF43" s="106">
        <f t="shared" si="8"/>
        <v>0</v>
      </c>
      <c r="BG43" s="106">
        <f t="shared" si="9"/>
        <v>0</v>
      </c>
    </row>
    <row r="44" spans="1:59" s="53" customFormat="1" ht="50.1" customHeight="1">
      <c r="A44" s="141">
        <v>37</v>
      </c>
      <c r="B44" s="47"/>
      <c r="C44" s="20"/>
      <c r="D44" s="21"/>
      <c r="E44" s="23"/>
      <c r="F44" s="48"/>
      <c r="G44" s="48"/>
      <c r="H44" s="49"/>
      <c r="I44" s="49"/>
      <c r="J44" s="181"/>
      <c r="K44" s="87"/>
      <c r="L44" s="92"/>
      <c r="M44" s="94"/>
      <c r="N44" s="94"/>
      <c r="O44" s="93"/>
      <c r="P44" s="152"/>
      <c r="Q44" s="183"/>
      <c r="R44" s="221"/>
      <c r="S44" s="211"/>
      <c r="T44" s="50"/>
      <c r="U44" s="112">
        <f t="shared" si="10"/>
        <v>0</v>
      </c>
      <c r="V44" s="113" t="s">
        <v>3</v>
      </c>
      <c r="W44" s="114"/>
      <c r="X44" s="115" t="s">
        <v>3</v>
      </c>
      <c r="Y44" s="114"/>
      <c r="Z44" s="115" t="s">
        <v>4</v>
      </c>
      <c r="AA44" s="116">
        <f t="shared" si="11"/>
        <v>0</v>
      </c>
      <c r="AB44" s="117"/>
      <c r="AC44" s="118"/>
      <c r="AD44" s="119">
        <f t="shared" si="12"/>
        <v>0</v>
      </c>
      <c r="AE44" s="119">
        <f t="shared" si="13"/>
        <v>0</v>
      </c>
      <c r="AF44" s="120">
        <f t="shared" si="14"/>
        <v>0</v>
      </c>
      <c r="AG44" s="121"/>
      <c r="AH44" s="131">
        <f t="shared" si="15"/>
        <v>0</v>
      </c>
      <c r="AI44" s="198"/>
      <c r="AJ44" s="198"/>
      <c r="AK44" s="191">
        <f t="shared" si="16"/>
        <v>0</v>
      </c>
      <c r="AL44" s="122"/>
      <c r="AM44" s="115" t="s">
        <v>5</v>
      </c>
      <c r="AN44" s="51">
        <f t="shared" si="17"/>
        <v>0</v>
      </c>
      <c r="AO44" s="139">
        <f t="shared" si="18"/>
        <v>0</v>
      </c>
      <c r="AP44" s="78">
        <f t="shared" si="19"/>
        <v>0</v>
      </c>
      <c r="AQ44" s="79">
        <f t="shared" si="20"/>
        <v>0</v>
      </c>
      <c r="AR44" s="138"/>
      <c r="AS44" s="52"/>
      <c r="AT44" s="52"/>
      <c r="AU44" s="109">
        <f t="shared" si="21"/>
        <v>0</v>
      </c>
      <c r="AV44" s="103">
        <f t="shared" si="22"/>
        <v>0</v>
      </c>
      <c r="AW44" s="104">
        <f t="shared" si="1"/>
        <v>0</v>
      </c>
      <c r="AX44" s="104">
        <f t="shared" si="2"/>
        <v>0</v>
      </c>
      <c r="AY44" s="104">
        <f t="shared" si="3"/>
        <v>0</v>
      </c>
      <c r="AZ44" s="104">
        <f t="shared" si="4"/>
        <v>0</v>
      </c>
      <c r="BA44" s="104">
        <f t="shared" si="5"/>
        <v>0</v>
      </c>
      <c r="BB44" s="106">
        <f t="shared" si="23"/>
        <v>0</v>
      </c>
      <c r="BC44" s="106">
        <f t="shared" si="6"/>
        <v>0</v>
      </c>
      <c r="BD44" s="106">
        <f t="shared" si="24"/>
        <v>0</v>
      </c>
      <c r="BE44" s="106">
        <f t="shared" si="7"/>
        <v>0</v>
      </c>
      <c r="BF44" s="106">
        <f t="shared" si="8"/>
        <v>0</v>
      </c>
      <c r="BG44" s="106">
        <f t="shared" si="9"/>
        <v>0</v>
      </c>
    </row>
    <row r="45" spans="1:59" s="53" customFormat="1" ht="50.1" customHeight="1">
      <c r="A45" s="141">
        <v>38</v>
      </c>
      <c r="B45" s="47"/>
      <c r="C45" s="20"/>
      <c r="D45" s="21"/>
      <c r="E45" s="23"/>
      <c r="F45" s="48"/>
      <c r="G45" s="48"/>
      <c r="H45" s="49"/>
      <c r="I45" s="49"/>
      <c r="J45" s="181"/>
      <c r="K45" s="87"/>
      <c r="L45" s="92"/>
      <c r="M45" s="94"/>
      <c r="N45" s="94"/>
      <c r="O45" s="93"/>
      <c r="P45" s="152"/>
      <c r="Q45" s="183"/>
      <c r="R45" s="221"/>
      <c r="S45" s="211"/>
      <c r="T45" s="50"/>
      <c r="U45" s="112">
        <f t="shared" si="10"/>
        <v>0</v>
      </c>
      <c r="V45" s="113" t="s">
        <v>3</v>
      </c>
      <c r="W45" s="114"/>
      <c r="X45" s="115" t="s">
        <v>3</v>
      </c>
      <c r="Y45" s="114"/>
      <c r="Z45" s="115" t="s">
        <v>4</v>
      </c>
      <c r="AA45" s="116">
        <f t="shared" si="11"/>
        <v>0</v>
      </c>
      <c r="AB45" s="117"/>
      <c r="AC45" s="118"/>
      <c r="AD45" s="119">
        <f t="shared" si="12"/>
        <v>0</v>
      </c>
      <c r="AE45" s="119">
        <f t="shared" si="13"/>
        <v>0</v>
      </c>
      <c r="AF45" s="120">
        <f t="shared" si="14"/>
        <v>0</v>
      </c>
      <c r="AG45" s="121"/>
      <c r="AH45" s="131">
        <f t="shared" si="15"/>
        <v>0</v>
      </c>
      <c r="AI45" s="198"/>
      <c r="AJ45" s="198"/>
      <c r="AK45" s="191">
        <f t="shared" si="16"/>
        <v>0</v>
      </c>
      <c r="AL45" s="122"/>
      <c r="AM45" s="115" t="s">
        <v>5</v>
      </c>
      <c r="AN45" s="51">
        <f t="shared" si="17"/>
        <v>0</v>
      </c>
      <c r="AO45" s="139">
        <f t="shared" si="18"/>
        <v>0</v>
      </c>
      <c r="AP45" s="78">
        <f t="shared" si="19"/>
        <v>0</v>
      </c>
      <c r="AQ45" s="79">
        <f t="shared" si="20"/>
        <v>0</v>
      </c>
      <c r="AR45" s="138"/>
      <c r="AS45" s="52"/>
      <c r="AT45" s="52"/>
      <c r="AU45" s="109">
        <f t="shared" si="21"/>
        <v>0</v>
      </c>
      <c r="AV45" s="103">
        <f t="shared" si="22"/>
        <v>0</v>
      </c>
      <c r="AW45" s="104">
        <f t="shared" si="1"/>
        <v>0</v>
      </c>
      <c r="AX45" s="104">
        <f t="shared" si="2"/>
        <v>0</v>
      </c>
      <c r="AY45" s="104">
        <f t="shared" si="3"/>
        <v>0</v>
      </c>
      <c r="AZ45" s="104">
        <f t="shared" si="4"/>
        <v>0</v>
      </c>
      <c r="BA45" s="104">
        <f t="shared" si="5"/>
        <v>0</v>
      </c>
      <c r="BB45" s="106">
        <f t="shared" si="23"/>
        <v>0</v>
      </c>
      <c r="BC45" s="106">
        <f t="shared" si="6"/>
        <v>0</v>
      </c>
      <c r="BD45" s="106">
        <f t="shared" si="24"/>
        <v>0</v>
      </c>
      <c r="BE45" s="106">
        <f t="shared" si="7"/>
        <v>0</v>
      </c>
      <c r="BF45" s="106">
        <f t="shared" si="8"/>
        <v>0</v>
      </c>
      <c r="BG45" s="106">
        <f t="shared" si="9"/>
        <v>0</v>
      </c>
    </row>
    <row r="46" spans="1:59" s="53" customFormat="1" ht="50.1" customHeight="1">
      <c r="A46" s="141">
        <v>39</v>
      </c>
      <c r="B46" s="47"/>
      <c r="C46" s="20"/>
      <c r="D46" s="21"/>
      <c r="E46" s="23"/>
      <c r="F46" s="48"/>
      <c r="G46" s="48"/>
      <c r="H46" s="49"/>
      <c r="I46" s="49"/>
      <c r="J46" s="181"/>
      <c r="K46" s="87"/>
      <c r="L46" s="92"/>
      <c r="M46" s="94"/>
      <c r="N46" s="94"/>
      <c r="O46" s="93"/>
      <c r="P46" s="152"/>
      <c r="Q46" s="202"/>
      <c r="R46" s="221"/>
      <c r="S46" s="184"/>
      <c r="T46" s="50"/>
      <c r="U46" s="112">
        <f t="shared" si="10"/>
        <v>0</v>
      </c>
      <c r="V46" s="113" t="s">
        <v>3</v>
      </c>
      <c r="W46" s="114"/>
      <c r="X46" s="115" t="s">
        <v>3</v>
      </c>
      <c r="Y46" s="114"/>
      <c r="Z46" s="115" t="s">
        <v>4</v>
      </c>
      <c r="AA46" s="116">
        <f t="shared" si="11"/>
        <v>0</v>
      </c>
      <c r="AB46" s="117"/>
      <c r="AC46" s="118"/>
      <c r="AD46" s="119">
        <f t="shared" si="12"/>
        <v>0</v>
      </c>
      <c r="AE46" s="119">
        <f t="shared" si="13"/>
        <v>0</v>
      </c>
      <c r="AF46" s="120">
        <f t="shared" si="14"/>
        <v>0</v>
      </c>
      <c r="AG46" s="121"/>
      <c r="AH46" s="131">
        <f t="shared" si="15"/>
        <v>0</v>
      </c>
      <c r="AI46" s="198"/>
      <c r="AJ46" s="198"/>
      <c r="AK46" s="191">
        <f t="shared" si="16"/>
        <v>0</v>
      </c>
      <c r="AL46" s="122"/>
      <c r="AM46" s="115" t="s">
        <v>5</v>
      </c>
      <c r="AN46" s="51">
        <f t="shared" si="17"/>
        <v>0</v>
      </c>
      <c r="AO46" s="139">
        <f t="shared" si="18"/>
        <v>0</v>
      </c>
      <c r="AP46" s="78">
        <f t="shared" si="19"/>
        <v>0</v>
      </c>
      <c r="AQ46" s="79">
        <f t="shared" si="20"/>
        <v>0</v>
      </c>
      <c r="AR46" s="138"/>
      <c r="AS46" s="52"/>
      <c r="AT46" s="52"/>
      <c r="AU46" s="109">
        <f t="shared" si="21"/>
        <v>0</v>
      </c>
      <c r="AV46" s="103">
        <f t="shared" si="22"/>
        <v>0</v>
      </c>
      <c r="AW46" s="104">
        <f t="shared" si="1"/>
        <v>0</v>
      </c>
      <c r="AX46" s="104">
        <f t="shared" si="2"/>
        <v>0</v>
      </c>
      <c r="AY46" s="104">
        <f t="shared" si="3"/>
        <v>0</v>
      </c>
      <c r="AZ46" s="104">
        <f t="shared" si="4"/>
        <v>0</v>
      </c>
      <c r="BA46" s="104">
        <f t="shared" si="5"/>
        <v>0</v>
      </c>
      <c r="BB46" s="106">
        <f t="shared" si="23"/>
        <v>0</v>
      </c>
      <c r="BC46" s="106">
        <f t="shared" si="6"/>
        <v>0</v>
      </c>
      <c r="BD46" s="106">
        <f t="shared" si="24"/>
        <v>0</v>
      </c>
      <c r="BE46" s="106">
        <f t="shared" si="7"/>
        <v>0</v>
      </c>
      <c r="BF46" s="106">
        <f t="shared" si="8"/>
        <v>0</v>
      </c>
      <c r="BG46" s="106">
        <f t="shared" si="9"/>
        <v>0</v>
      </c>
    </row>
    <row r="47" spans="1:59" s="53" customFormat="1" ht="50.1" customHeight="1">
      <c r="A47" s="141">
        <v>40</v>
      </c>
      <c r="B47" s="47"/>
      <c r="C47" s="20"/>
      <c r="D47" s="21"/>
      <c r="E47" s="23"/>
      <c r="F47" s="48"/>
      <c r="G47" s="48"/>
      <c r="H47" s="49"/>
      <c r="I47" s="49"/>
      <c r="J47" s="181"/>
      <c r="K47" s="87"/>
      <c r="L47" s="92"/>
      <c r="M47" s="94"/>
      <c r="N47" s="94"/>
      <c r="O47" s="93"/>
      <c r="P47" s="152"/>
      <c r="Q47" s="75"/>
      <c r="R47" s="221"/>
      <c r="S47" s="178"/>
      <c r="T47" s="50"/>
      <c r="U47" s="112">
        <f t="shared" si="10"/>
        <v>0</v>
      </c>
      <c r="V47" s="113" t="s">
        <v>3</v>
      </c>
      <c r="W47" s="114"/>
      <c r="X47" s="115" t="s">
        <v>3</v>
      </c>
      <c r="Y47" s="114"/>
      <c r="Z47" s="115" t="s">
        <v>4</v>
      </c>
      <c r="AA47" s="116">
        <f t="shared" si="11"/>
        <v>0</v>
      </c>
      <c r="AB47" s="117"/>
      <c r="AC47" s="118"/>
      <c r="AD47" s="119">
        <f t="shared" si="12"/>
        <v>0</v>
      </c>
      <c r="AE47" s="119">
        <f t="shared" si="13"/>
        <v>0</v>
      </c>
      <c r="AF47" s="120">
        <f t="shared" si="14"/>
        <v>0</v>
      </c>
      <c r="AG47" s="121"/>
      <c r="AH47" s="131">
        <f t="shared" si="15"/>
        <v>0</v>
      </c>
      <c r="AI47" s="198"/>
      <c r="AJ47" s="198"/>
      <c r="AK47" s="191">
        <f t="shared" si="16"/>
        <v>0</v>
      </c>
      <c r="AL47" s="122"/>
      <c r="AM47" s="115" t="s">
        <v>5</v>
      </c>
      <c r="AN47" s="51">
        <f t="shared" si="17"/>
        <v>0</v>
      </c>
      <c r="AO47" s="139">
        <f t="shared" si="18"/>
        <v>0</v>
      </c>
      <c r="AP47" s="78">
        <f t="shared" si="19"/>
        <v>0</v>
      </c>
      <c r="AQ47" s="79">
        <f t="shared" si="20"/>
        <v>0</v>
      </c>
      <c r="AR47" s="138"/>
      <c r="AS47" s="52"/>
      <c r="AT47" s="52"/>
      <c r="AU47" s="109">
        <f t="shared" si="21"/>
        <v>0</v>
      </c>
      <c r="AV47" s="103">
        <f t="shared" si="22"/>
        <v>0</v>
      </c>
      <c r="AW47" s="104">
        <f t="shared" si="1"/>
        <v>0</v>
      </c>
      <c r="AX47" s="104">
        <f t="shared" si="2"/>
        <v>0</v>
      </c>
      <c r="AY47" s="104">
        <f t="shared" si="3"/>
        <v>0</v>
      </c>
      <c r="AZ47" s="104">
        <f t="shared" si="4"/>
        <v>0</v>
      </c>
      <c r="BA47" s="104">
        <f t="shared" si="5"/>
        <v>0</v>
      </c>
      <c r="BB47" s="106">
        <f t="shared" si="23"/>
        <v>0</v>
      </c>
      <c r="BC47" s="106">
        <f t="shared" si="6"/>
        <v>0</v>
      </c>
      <c r="BD47" s="106">
        <f t="shared" si="24"/>
        <v>0</v>
      </c>
      <c r="BE47" s="106">
        <f t="shared" si="7"/>
        <v>0</v>
      </c>
      <c r="BF47" s="106">
        <f t="shared" si="8"/>
        <v>0</v>
      </c>
      <c r="BG47" s="106">
        <f t="shared" si="9"/>
        <v>0</v>
      </c>
    </row>
    <row r="48" spans="1:59" s="53" customFormat="1" ht="50.1" customHeight="1">
      <c r="A48" s="141">
        <v>41</v>
      </c>
      <c r="B48" s="47"/>
      <c r="C48" s="20"/>
      <c r="D48" s="21"/>
      <c r="E48" s="23"/>
      <c r="F48" s="48"/>
      <c r="G48" s="48"/>
      <c r="H48" s="49"/>
      <c r="I48" s="49"/>
      <c r="J48" s="181"/>
      <c r="K48" s="87"/>
      <c r="L48" s="92"/>
      <c r="M48" s="94"/>
      <c r="N48" s="94"/>
      <c r="O48" s="93"/>
      <c r="P48" s="152"/>
      <c r="Q48" s="75"/>
      <c r="R48" s="221"/>
      <c r="S48" s="178"/>
      <c r="T48" s="50"/>
      <c r="U48" s="112">
        <f t="shared" si="10"/>
        <v>0</v>
      </c>
      <c r="V48" s="113" t="s">
        <v>3</v>
      </c>
      <c r="W48" s="114"/>
      <c r="X48" s="115" t="s">
        <v>3</v>
      </c>
      <c r="Y48" s="114"/>
      <c r="Z48" s="115" t="s">
        <v>4</v>
      </c>
      <c r="AA48" s="116">
        <f t="shared" si="11"/>
        <v>0</v>
      </c>
      <c r="AB48" s="117"/>
      <c r="AC48" s="118"/>
      <c r="AD48" s="119">
        <f t="shared" si="12"/>
        <v>0</v>
      </c>
      <c r="AE48" s="119">
        <f t="shared" si="13"/>
        <v>0</v>
      </c>
      <c r="AF48" s="120">
        <f t="shared" si="14"/>
        <v>0</v>
      </c>
      <c r="AG48" s="121"/>
      <c r="AH48" s="131">
        <f t="shared" si="15"/>
        <v>0</v>
      </c>
      <c r="AI48" s="198"/>
      <c r="AJ48" s="198"/>
      <c r="AK48" s="191">
        <f t="shared" si="16"/>
        <v>0</v>
      </c>
      <c r="AL48" s="122"/>
      <c r="AM48" s="115" t="s">
        <v>5</v>
      </c>
      <c r="AN48" s="51">
        <f t="shared" si="17"/>
        <v>0</v>
      </c>
      <c r="AO48" s="139">
        <f t="shared" si="18"/>
        <v>0</v>
      </c>
      <c r="AP48" s="78">
        <f t="shared" si="19"/>
        <v>0</v>
      </c>
      <c r="AQ48" s="79">
        <f t="shared" si="20"/>
        <v>0</v>
      </c>
      <c r="AR48" s="138"/>
      <c r="AS48" s="52"/>
      <c r="AT48" s="52"/>
      <c r="AU48" s="109">
        <f t="shared" si="21"/>
        <v>0</v>
      </c>
      <c r="AV48" s="103">
        <f t="shared" si="22"/>
        <v>0</v>
      </c>
      <c r="AW48" s="104">
        <f t="shared" si="1"/>
        <v>0</v>
      </c>
      <c r="AX48" s="104">
        <f t="shared" si="2"/>
        <v>0</v>
      </c>
      <c r="AY48" s="104">
        <f t="shared" si="3"/>
        <v>0</v>
      </c>
      <c r="AZ48" s="104">
        <f t="shared" si="4"/>
        <v>0</v>
      </c>
      <c r="BA48" s="104">
        <f t="shared" si="5"/>
        <v>0</v>
      </c>
      <c r="BB48" s="106">
        <f t="shared" si="23"/>
        <v>0</v>
      </c>
      <c r="BC48" s="106">
        <f t="shared" si="6"/>
        <v>0</v>
      </c>
      <c r="BD48" s="106">
        <f t="shared" si="24"/>
        <v>0</v>
      </c>
      <c r="BE48" s="106">
        <f t="shared" si="7"/>
        <v>0</v>
      </c>
      <c r="BF48" s="106">
        <f t="shared" si="8"/>
        <v>0</v>
      </c>
      <c r="BG48" s="106">
        <f t="shared" si="9"/>
        <v>0</v>
      </c>
    </row>
    <row r="49" spans="1:59" s="53" customFormat="1" ht="50.1" customHeight="1">
      <c r="A49" s="141">
        <v>42</v>
      </c>
      <c r="B49" s="47"/>
      <c r="C49" s="20"/>
      <c r="D49" s="21"/>
      <c r="E49" s="23"/>
      <c r="F49" s="48"/>
      <c r="G49" s="48"/>
      <c r="H49" s="49"/>
      <c r="I49" s="49"/>
      <c r="J49" s="181"/>
      <c r="K49" s="87"/>
      <c r="L49" s="92"/>
      <c r="M49" s="94"/>
      <c r="N49" s="94"/>
      <c r="O49" s="93"/>
      <c r="P49" s="152"/>
      <c r="Q49" s="75"/>
      <c r="R49" s="221"/>
      <c r="S49" s="178"/>
      <c r="T49" s="50"/>
      <c r="U49" s="112">
        <f t="shared" si="10"/>
        <v>0</v>
      </c>
      <c r="V49" s="113" t="s">
        <v>3</v>
      </c>
      <c r="W49" s="114"/>
      <c r="X49" s="115" t="s">
        <v>3</v>
      </c>
      <c r="Y49" s="114"/>
      <c r="Z49" s="115" t="s">
        <v>4</v>
      </c>
      <c r="AA49" s="116">
        <f t="shared" si="11"/>
        <v>0</v>
      </c>
      <c r="AB49" s="117"/>
      <c r="AC49" s="118"/>
      <c r="AD49" s="119">
        <f t="shared" si="12"/>
        <v>0</v>
      </c>
      <c r="AE49" s="119">
        <f t="shared" si="13"/>
        <v>0</v>
      </c>
      <c r="AF49" s="120">
        <f t="shared" si="14"/>
        <v>0</v>
      </c>
      <c r="AG49" s="121"/>
      <c r="AH49" s="131">
        <f t="shared" si="15"/>
        <v>0</v>
      </c>
      <c r="AI49" s="198"/>
      <c r="AJ49" s="198"/>
      <c r="AK49" s="191">
        <f t="shared" si="16"/>
        <v>0</v>
      </c>
      <c r="AL49" s="122"/>
      <c r="AM49" s="115" t="s">
        <v>5</v>
      </c>
      <c r="AN49" s="51">
        <f t="shared" si="17"/>
        <v>0</v>
      </c>
      <c r="AO49" s="139">
        <f t="shared" si="18"/>
        <v>0</v>
      </c>
      <c r="AP49" s="78">
        <f t="shared" si="19"/>
        <v>0</v>
      </c>
      <c r="AQ49" s="79">
        <f t="shared" si="20"/>
        <v>0</v>
      </c>
      <c r="AR49" s="138"/>
      <c r="AS49" s="52"/>
      <c r="AT49" s="52"/>
      <c r="AU49" s="109">
        <f t="shared" si="21"/>
        <v>0</v>
      </c>
      <c r="AV49" s="103">
        <f t="shared" si="22"/>
        <v>0</v>
      </c>
      <c r="AW49" s="104">
        <f t="shared" si="1"/>
        <v>0</v>
      </c>
      <c r="AX49" s="104">
        <f t="shared" si="2"/>
        <v>0</v>
      </c>
      <c r="AY49" s="104">
        <f t="shared" si="3"/>
        <v>0</v>
      </c>
      <c r="AZ49" s="104">
        <f t="shared" si="4"/>
        <v>0</v>
      </c>
      <c r="BA49" s="104">
        <f t="shared" si="5"/>
        <v>0</v>
      </c>
      <c r="BB49" s="106">
        <f t="shared" si="23"/>
        <v>0</v>
      </c>
      <c r="BC49" s="106">
        <f t="shared" si="6"/>
        <v>0</v>
      </c>
      <c r="BD49" s="106">
        <f t="shared" si="24"/>
        <v>0</v>
      </c>
      <c r="BE49" s="106">
        <f t="shared" si="7"/>
        <v>0</v>
      </c>
      <c r="BF49" s="106">
        <f t="shared" si="8"/>
        <v>0</v>
      </c>
      <c r="BG49" s="106">
        <f t="shared" si="9"/>
        <v>0</v>
      </c>
    </row>
    <row r="50" spans="1:59" s="53" customFormat="1" ht="50.1" customHeight="1">
      <c r="A50" s="141">
        <v>43</v>
      </c>
      <c r="B50" s="47"/>
      <c r="C50" s="20"/>
      <c r="D50" s="21"/>
      <c r="E50" s="23"/>
      <c r="F50" s="48"/>
      <c r="G50" s="48"/>
      <c r="H50" s="49"/>
      <c r="I50" s="49"/>
      <c r="J50" s="181"/>
      <c r="K50" s="87"/>
      <c r="L50" s="92"/>
      <c r="M50" s="94"/>
      <c r="N50" s="94"/>
      <c r="O50" s="93"/>
      <c r="P50" s="152"/>
      <c r="Q50" s="75"/>
      <c r="R50" s="221"/>
      <c r="S50" s="178"/>
      <c r="T50" s="50"/>
      <c r="U50" s="112">
        <f t="shared" si="10"/>
        <v>0</v>
      </c>
      <c r="V50" s="113" t="s">
        <v>3</v>
      </c>
      <c r="W50" s="114"/>
      <c r="X50" s="115" t="s">
        <v>3</v>
      </c>
      <c r="Y50" s="114"/>
      <c r="Z50" s="115" t="s">
        <v>4</v>
      </c>
      <c r="AA50" s="116">
        <f t="shared" si="11"/>
        <v>0</v>
      </c>
      <c r="AB50" s="117"/>
      <c r="AC50" s="118"/>
      <c r="AD50" s="119">
        <f t="shared" si="12"/>
        <v>0</v>
      </c>
      <c r="AE50" s="119">
        <f t="shared" si="13"/>
        <v>0</v>
      </c>
      <c r="AF50" s="120">
        <f t="shared" si="14"/>
        <v>0</v>
      </c>
      <c r="AG50" s="121"/>
      <c r="AH50" s="131">
        <f t="shared" si="15"/>
        <v>0</v>
      </c>
      <c r="AI50" s="198"/>
      <c r="AJ50" s="198"/>
      <c r="AK50" s="191">
        <f t="shared" si="16"/>
        <v>0</v>
      </c>
      <c r="AL50" s="122"/>
      <c r="AM50" s="115" t="s">
        <v>5</v>
      </c>
      <c r="AN50" s="51">
        <f t="shared" si="17"/>
        <v>0</v>
      </c>
      <c r="AO50" s="139">
        <f t="shared" si="18"/>
        <v>0</v>
      </c>
      <c r="AP50" s="78">
        <f t="shared" si="19"/>
        <v>0</v>
      </c>
      <c r="AQ50" s="79">
        <f t="shared" si="20"/>
        <v>0</v>
      </c>
      <c r="AR50" s="138"/>
      <c r="AS50" s="52"/>
      <c r="AT50" s="52"/>
      <c r="AU50" s="109">
        <f t="shared" si="21"/>
        <v>0</v>
      </c>
      <c r="AV50" s="103">
        <f t="shared" si="22"/>
        <v>0</v>
      </c>
      <c r="AW50" s="104">
        <f t="shared" si="1"/>
        <v>0</v>
      </c>
      <c r="AX50" s="104">
        <f t="shared" si="2"/>
        <v>0</v>
      </c>
      <c r="AY50" s="104">
        <f t="shared" si="3"/>
        <v>0</v>
      </c>
      <c r="AZ50" s="104">
        <f t="shared" si="4"/>
        <v>0</v>
      </c>
      <c r="BA50" s="104">
        <f t="shared" si="5"/>
        <v>0</v>
      </c>
      <c r="BB50" s="106">
        <f t="shared" si="23"/>
        <v>0</v>
      </c>
      <c r="BC50" s="106">
        <f t="shared" si="6"/>
        <v>0</v>
      </c>
      <c r="BD50" s="106">
        <f t="shared" si="24"/>
        <v>0</v>
      </c>
      <c r="BE50" s="106">
        <f t="shared" si="7"/>
        <v>0</v>
      </c>
      <c r="BF50" s="106">
        <f t="shared" si="8"/>
        <v>0</v>
      </c>
      <c r="BG50" s="106">
        <f t="shared" si="9"/>
        <v>0</v>
      </c>
    </row>
    <row r="51" spans="1:59" s="53" customFormat="1" ht="50.1" customHeight="1">
      <c r="A51" s="141">
        <v>44</v>
      </c>
      <c r="B51" s="47"/>
      <c r="C51" s="20"/>
      <c r="D51" s="21"/>
      <c r="E51" s="23"/>
      <c r="F51" s="48"/>
      <c r="G51" s="48"/>
      <c r="H51" s="49"/>
      <c r="I51" s="49"/>
      <c r="J51" s="181"/>
      <c r="K51" s="87"/>
      <c r="L51" s="92"/>
      <c r="M51" s="94"/>
      <c r="N51" s="94"/>
      <c r="O51" s="93"/>
      <c r="P51" s="152"/>
      <c r="Q51" s="75"/>
      <c r="R51" s="221"/>
      <c r="S51" s="178"/>
      <c r="T51" s="50"/>
      <c r="U51" s="112">
        <f t="shared" si="10"/>
        <v>0</v>
      </c>
      <c r="V51" s="113" t="s">
        <v>3</v>
      </c>
      <c r="W51" s="114"/>
      <c r="X51" s="115" t="s">
        <v>3</v>
      </c>
      <c r="Y51" s="114"/>
      <c r="Z51" s="115" t="s">
        <v>4</v>
      </c>
      <c r="AA51" s="116">
        <f t="shared" si="11"/>
        <v>0</v>
      </c>
      <c r="AB51" s="117"/>
      <c r="AC51" s="118"/>
      <c r="AD51" s="119">
        <f t="shared" si="12"/>
        <v>0</v>
      </c>
      <c r="AE51" s="119">
        <f t="shared" si="13"/>
        <v>0</v>
      </c>
      <c r="AF51" s="120">
        <f t="shared" si="14"/>
        <v>0</v>
      </c>
      <c r="AG51" s="121"/>
      <c r="AH51" s="131">
        <f t="shared" si="15"/>
        <v>0</v>
      </c>
      <c r="AI51" s="198"/>
      <c r="AJ51" s="198"/>
      <c r="AK51" s="191">
        <f t="shared" si="16"/>
        <v>0</v>
      </c>
      <c r="AL51" s="122"/>
      <c r="AM51" s="115" t="s">
        <v>5</v>
      </c>
      <c r="AN51" s="51">
        <f t="shared" si="17"/>
        <v>0</v>
      </c>
      <c r="AO51" s="139">
        <f t="shared" si="18"/>
        <v>0</v>
      </c>
      <c r="AP51" s="78">
        <f t="shared" si="19"/>
        <v>0</v>
      </c>
      <c r="AQ51" s="79">
        <f t="shared" si="20"/>
        <v>0</v>
      </c>
      <c r="AR51" s="138"/>
      <c r="AS51" s="52"/>
      <c r="AT51" s="52"/>
      <c r="AU51" s="109">
        <f t="shared" si="21"/>
        <v>0</v>
      </c>
      <c r="AV51" s="103">
        <f t="shared" si="22"/>
        <v>0</v>
      </c>
      <c r="AW51" s="104">
        <f t="shared" si="1"/>
        <v>0</v>
      </c>
      <c r="AX51" s="104">
        <f t="shared" si="2"/>
        <v>0</v>
      </c>
      <c r="AY51" s="104">
        <f t="shared" si="3"/>
        <v>0</v>
      </c>
      <c r="AZ51" s="104">
        <f t="shared" si="4"/>
        <v>0</v>
      </c>
      <c r="BA51" s="104">
        <f t="shared" si="5"/>
        <v>0</v>
      </c>
      <c r="BB51" s="106">
        <f t="shared" si="23"/>
        <v>0</v>
      </c>
      <c r="BC51" s="106">
        <f t="shared" si="6"/>
        <v>0</v>
      </c>
      <c r="BD51" s="106">
        <f t="shared" si="24"/>
        <v>0</v>
      </c>
      <c r="BE51" s="106">
        <f t="shared" si="7"/>
        <v>0</v>
      </c>
      <c r="BF51" s="106">
        <f t="shared" si="8"/>
        <v>0</v>
      </c>
      <c r="BG51" s="106">
        <f t="shared" si="9"/>
        <v>0</v>
      </c>
    </row>
    <row r="52" spans="1:59" s="53" customFormat="1" ht="50.1" customHeight="1">
      <c r="A52" s="141">
        <v>45</v>
      </c>
      <c r="B52" s="47"/>
      <c r="C52" s="20"/>
      <c r="D52" s="21"/>
      <c r="E52" s="23"/>
      <c r="F52" s="48"/>
      <c r="G52" s="48"/>
      <c r="H52" s="49"/>
      <c r="I52" s="49"/>
      <c r="J52" s="181"/>
      <c r="K52" s="87"/>
      <c r="L52" s="92"/>
      <c r="M52" s="94"/>
      <c r="N52" s="94"/>
      <c r="O52" s="93"/>
      <c r="P52" s="152"/>
      <c r="Q52" s="75"/>
      <c r="R52" s="221"/>
      <c r="S52" s="178"/>
      <c r="T52" s="50"/>
      <c r="U52" s="112">
        <f t="shared" si="10"/>
        <v>0</v>
      </c>
      <c r="V52" s="113" t="s">
        <v>3</v>
      </c>
      <c r="W52" s="114"/>
      <c r="X52" s="115" t="s">
        <v>3</v>
      </c>
      <c r="Y52" s="114"/>
      <c r="Z52" s="115" t="s">
        <v>4</v>
      </c>
      <c r="AA52" s="116">
        <f t="shared" si="11"/>
        <v>0</v>
      </c>
      <c r="AB52" s="117"/>
      <c r="AC52" s="118"/>
      <c r="AD52" s="119">
        <f t="shared" si="12"/>
        <v>0</v>
      </c>
      <c r="AE52" s="119">
        <f t="shared" si="13"/>
        <v>0</v>
      </c>
      <c r="AF52" s="120">
        <f t="shared" si="14"/>
        <v>0</v>
      </c>
      <c r="AG52" s="121"/>
      <c r="AH52" s="131">
        <f t="shared" si="15"/>
        <v>0</v>
      </c>
      <c r="AI52" s="198"/>
      <c r="AJ52" s="198"/>
      <c r="AK52" s="191">
        <f t="shared" si="16"/>
        <v>0</v>
      </c>
      <c r="AL52" s="122"/>
      <c r="AM52" s="115" t="s">
        <v>5</v>
      </c>
      <c r="AN52" s="51">
        <f t="shared" si="17"/>
        <v>0</v>
      </c>
      <c r="AO52" s="139">
        <f t="shared" si="18"/>
        <v>0</v>
      </c>
      <c r="AP52" s="78">
        <f t="shared" si="19"/>
        <v>0</v>
      </c>
      <c r="AQ52" s="79">
        <f t="shared" si="20"/>
        <v>0</v>
      </c>
      <c r="AR52" s="138"/>
      <c r="AS52" s="52"/>
      <c r="AT52" s="52"/>
      <c r="AU52" s="109">
        <f t="shared" si="21"/>
        <v>0</v>
      </c>
      <c r="AV52" s="103">
        <f t="shared" si="22"/>
        <v>0</v>
      </c>
      <c r="AW52" s="104">
        <f t="shared" si="1"/>
        <v>0</v>
      </c>
      <c r="AX52" s="104">
        <f t="shared" si="2"/>
        <v>0</v>
      </c>
      <c r="AY52" s="104">
        <f t="shared" si="3"/>
        <v>0</v>
      </c>
      <c r="AZ52" s="104">
        <f t="shared" si="4"/>
        <v>0</v>
      </c>
      <c r="BA52" s="104">
        <f t="shared" si="5"/>
        <v>0</v>
      </c>
      <c r="BB52" s="106">
        <f t="shared" si="23"/>
        <v>0</v>
      </c>
      <c r="BC52" s="106">
        <f t="shared" si="6"/>
        <v>0</v>
      </c>
      <c r="BD52" s="106">
        <f t="shared" si="24"/>
        <v>0</v>
      </c>
      <c r="BE52" s="106">
        <f t="shared" si="7"/>
        <v>0</v>
      </c>
      <c r="BF52" s="106">
        <f t="shared" si="8"/>
        <v>0</v>
      </c>
      <c r="BG52" s="106">
        <f t="shared" si="9"/>
        <v>0</v>
      </c>
    </row>
    <row r="53" spans="1:59" s="53" customFormat="1" ht="50.1" customHeight="1">
      <c r="A53" s="141">
        <v>46</v>
      </c>
      <c r="B53" s="47"/>
      <c r="C53" s="20"/>
      <c r="D53" s="21"/>
      <c r="E53" s="23"/>
      <c r="F53" s="48"/>
      <c r="G53" s="48"/>
      <c r="H53" s="49"/>
      <c r="I53" s="49"/>
      <c r="J53" s="181"/>
      <c r="K53" s="87"/>
      <c r="L53" s="92"/>
      <c r="M53" s="94"/>
      <c r="N53" s="94"/>
      <c r="O53" s="93"/>
      <c r="P53" s="152"/>
      <c r="Q53" s="75"/>
      <c r="R53" s="221"/>
      <c r="S53" s="178"/>
      <c r="T53" s="50"/>
      <c r="U53" s="112">
        <f t="shared" si="10"/>
        <v>0</v>
      </c>
      <c r="V53" s="113" t="s">
        <v>3</v>
      </c>
      <c r="W53" s="114"/>
      <c r="X53" s="115" t="s">
        <v>3</v>
      </c>
      <c r="Y53" s="114"/>
      <c r="Z53" s="115" t="s">
        <v>4</v>
      </c>
      <c r="AA53" s="116">
        <f t="shared" si="11"/>
        <v>0</v>
      </c>
      <c r="AB53" s="117"/>
      <c r="AC53" s="118"/>
      <c r="AD53" s="119">
        <f t="shared" si="12"/>
        <v>0</v>
      </c>
      <c r="AE53" s="119">
        <f t="shared" si="13"/>
        <v>0</v>
      </c>
      <c r="AF53" s="120">
        <f t="shared" si="14"/>
        <v>0</v>
      </c>
      <c r="AG53" s="121"/>
      <c r="AH53" s="131">
        <f t="shared" si="15"/>
        <v>0</v>
      </c>
      <c r="AI53" s="198"/>
      <c r="AJ53" s="198"/>
      <c r="AK53" s="191">
        <f t="shared" si="16"/>
        <v>0</v>
      </c>
      <c r="AL53" s="122"/>
      <c r="AM53" s="115" t="s">
        <v>5</v>
      </c>
      <c r="AN53" s="51">
        <f t="shared" si="17"/>
        <v>0</v>
      </c>
      <c r="AO53" s="139">
        <f t="shared" si="18"/>
        <v>0</v>
      </c>
      <c r="AP53" s="78">
        <f t="shared" si="19"/>
        <v>0</v>
      </c>
      <c r="AQ53" s="79">
        <f t="shared" si="20"/>
        <v>0</v>
      </c>
      <c r="AR53" s="138"/>
      <c r="AS53" s="52"/>
      <c r="AT53" s="52"/>
      <c r="AU53" s="109">
        <f t="shared" si="21"/>
        <v>0</v>
      </c>
      <c r="AV53" s="103">
        <f t="shared" si="22"/>
        <v>0</v>
      </c>
      <c r="AW53" s="104">
        <f t="shared" si="1"/>
        <v>0</v>
      </c>
      <c r="AX53" s="104">
        <f t="shared" si="2"/>
        <v>0</v>
      </c>
      <c r="AY53" s="104">
        <f t="shared" si="3"/>
        <v>0</v>
      </c>
      <c r="AZ53" s="104">
        <f t="shared" si="4"/>
        <v>0</v>
      </c>
      <c r="BA53" s="104">
        <f t="shared" si="5"/>
        <v>0</v>
      </c>
      <c r="BB53" s="106">
        <f t="shared" si="23"/>
        <v>0</v>
      </c>
      <c r="BC53" s="106">
        <f t="shared" si="6"/>
        <v>0</v>
      </c>
      <c r="BD53" s="106">
        <f t="shared" si="24"/>
        <v>0</v>
      </c>
      <c r="BE53" s="106">
        <f t="shared" si="7"/>
        <v>0</v>
      </c>
      <c r="BF53" s="106">
        <f t="shared" si="8"/>
        <v>0</v>
      </c>
      <c r="BG53" s="106">
        <f t="shared" si="9"/>
        <v>0</v>
      </c>
    </row>
    <row r="54" spans="1:59" s="53" customFormat="1" ht="50.1" customHeight="1">
      <c r="A54" s="141">
        <v>47</v>
      </c>
      <c r="B54" s="47"/>
      <c r="C54" s="20"/>
      <c r="D54" s="21"/>
      <c r="E54" s="23"/>
      <c r="F54" s="48"/>
      <c r="G54" s="48"/>
      <c r="H54" s="49"/>
      <c r="I54" s="49"/>
      <c r="J54" s="181"/>
      <c r="K54" s="87"/>
      <c r="L54" s="92"/>
      <c r="M54" s="94"/>
      <c r="N54" s="94"/>
      <c r="O54" s="93"/>
      <c r="P54" s="152"/>
      <c r="Q54" s="75"/>
      <c r="R54" s="221"/>
      <c r="S54" s="178"/>
      <c r="T54" s="50"/>
      <c r="U54" s="112">
        <f t="shared" si="10"/>
        <v>0</v>
      </c>
      <c r="V54" s="113" t="s">
        <v>3</v>
      </c>
      <c r="W54" s="114"/>
      <c r="X54" s="115" t="s">
        <v>3</v>
      </c>
      <c r="Y54" s="114"/>
      <c r="Z54" s="115" t="s">
        <v>4</v>
      </c>
      <c r="AA54" s="116">
        <f t="shared" si="11"/>
        <v>0</v>
      </c>
      <c r="AB54" s="117"/>
      <c r="AC54" s="118"/>
      <c r="AD54" s="119">
        <f t="shared" si="12"/>
        <v>0</v>
      </c>
      <c r="AE54" s="119">
        <f t="shared" si="13"/>
        <v>0</v>
      </c>
      <c r="AF54" s="120">
        <f t="shared" si="14"/>
        <v>0</v>
      </c>
      <c r="AG54" s="121"/>
      <c r="AH54" s="131">
        <f t="shared" si="15"/>
        <v>0</v>
      </c>
      <c r="AI54" s="198"/>
      <c r="AJ54" s="198"/>
      <c r="AK54" s="191">
        <f t="shared" si="16"/>
        <v>0</v>
      </c>
      <c r="AL54" s="122"/>
      <c r="AM54" s="115" t="s">
        <v>5</v>
      </c>
      <c r="AN54" s="51">
        <f t="shared" si="17"/>
        <v>0</v>
      </c>
      <c r="AO54" s="139">
        <f t="shared" si="18"/>
        <v>0</v>
      </c>
      <c r="AP54" s="78">
        <f t="shared" si="19"/>
        <v>0</v>
      </c>
      <c r="AQ54" s="79">
        <f t="shared" si="20"/>
        <v>0</v>
      </c>
      <c r="AR54" s="138"/>
      <c r="AS54" s="52"/>
      <c r="AT54" s="52"/>
      <c r="AU54" s="109">
        <f t="shared" si="21"/>
        <v>0</v>
      </c>
      <c r="AV54" s="103">
        <f t="shared" si="22"/>
        <v>0</v>
      </c>
      <c r="AW54" s="104">
        <f t="shared" si="1"/>
        <v>0</v>
      </c>
      <c r="AX54" s="104">
        <f t="shared" si="2"/>
        <v>0</v>
      </c>
      <c r="AY54" s="104">
        <f t="shared" si="3"/>
        <v>0</v>
      </c>
      <c r="AZ54" s="104">
        <f t="shared" si="4"/>
        <v>0</v>
      </c>
      <c r="BA54" s="104">
        <f t="shared" si="5"/>
        <v>0</v>
      </c>
      <c r="BB54" s="106">
        <f t="shared" si="23"/>
        <v>0</v>
      </c>
      <c r="BC54" s="106">
        <f t="shared" si="6"/>
        <v>0</v>
      </c>
      <c r="BD54" s="106">
        <f t="shared" si="24"/>
        <v>0</v>
      </c>
      <c r="BE54" s="106">
        <f t="shared" si="7"/>
        <v>0</v>
      </c>
      <c r="BF54" s="106">
        <f t="shared" si="8"/>
        <v>0</v>
      </c>
      <c r="BG54" s="106">
        <f t="shared" si="9"/>
        <v>0</v>
      </c>
    </row>
    <row r="55" spans="1:59" s="53" customFormat="1" ht="50.1" customHeight="1">
      <c r="A55" s="141">
        <v>48</v>
      </c>
      <c r="B55" s="47"/>
      <c r="C55" s="20"/>
      <c r="D55" s="21"/>
      <c r="E55" s="23"/>
      <c r="F55" s="48"/>
      <c r="G55" s="48"/>
      <c r="H55" s="49"/>
      <c r="I55" s="49"/>
      <c r="J55" s="181"/>
      <c r="K55" s="87"/>
      <c r="L55" s="92"/>
      <c r="M55" s="94"/>
      <c r="N55" s="94"/>
      <c r="O55" s="93"/>
      <c r="P55" s="152"/>
      <c r="Q55" s="75"/>
      <c r="R55" s="221"/>
      <c r="S55" s="178"/>
      <c r="T55" s="50"/>
      <c r="U55" s="112">
        <f t="shared" si="10"/>
        <v>0</v>
      </c>
      <c r="V55" s="113" t="s">
        <v>3</v>
      </c>
      <c r="W55" s="114"/>
      <c r="X55" s="115" t="s">
        <v>3</v>
      </c>
      <c r="Y55" s="114"/>
      <c r="Z55" s="115" t="s">
        <v>4</v>
      </c>
      <c r="AA55" s="116">
        <f t="shared" si="11"/>
        <v>0</v>
      </c>
      <c r="AB55" s="117"/>
      <c r="AC55" s="118"/>
      <c r="AD55" s="119">
        <f t="shared" si="12"/>
        <v>0</v>
      </c>
      <c r="AE55" s="119">
        <f t="shared" si="13"/>
        <v>0</v>
      </c>
      <c r="AF55" s="120">
        <f t="shared" si="14"/>
        <v>0</v>
      </c>
      <c r="AG55" s="121"/>
      <c r="AH55" s="131">
        <f t="shared" si="15"/>
        <v>0</v>
      </c>
      <c r="AI55" s="198"/>
      <c r="AJ55" s="198"/>
      <c r="AK55" s="191">
        <f t="shared" si="16"/>
        <v>0</v>
      </c>
      <c r="AL55" s="122"/>
      <c r="AM55" s="115" t="s">
        <v>5</v>
      </c>
      <c r="AN55" s="51">
        <f t="shared" si="17"/>
        <v>0</v>
      </c>
      <c r="AO55" s="139">
        <f t="shared" si="18"/>
        <v>0</v>
      </c>
      <c r="AP55" s="78">
        <f t="shared" si="19"/>
        <v>0</v>
      </c>
      <c r="AQ55" s="79">
        <f t="shared" si="20"/>
        <v>0</v>
      </c>
      <c r="AR55" s="138"/>
      <c r="AS55" s="52"/>
      <c r="AT55" s="52"/>
      <c r="AU55" s="109">
        <f t="shared" si="21"/>
        <v>0</v>
      </c>
      <c r="AV55" s="103">
        <f t="shared" si="22"/>
        <v>0</v>
      </c>
      <c r="AW55" s="104">
        <f t="shared" si="1"/>
        <v>0</v>
      </c>
      <c r="AX55" s="104">
        <f t="shared" si="2"/>
        <v>0</v>
      </c>
      <c r="AY55" s="104">
        <f t="shared" si="3"/>
        <v>0</v>
      </c>
      <c r="AZ55" s="104">
        <f t="shared" si="4"/>
        <v>0</v>
      </c>
      <c r="BA55" s="104">
        <f t="shared" si="5"/>
        <v>0</v>
      </c>
      <c r="BB55" s="106">
        <f t="shared" si="23"/>
        <v>0</v>
      </c>
      <c r="BC55" s="106">
        <f t="shared" si="6"/>
        <v>0</v>
      </c>
      <c r="BD55" s="106">
        <f t="shared" si="24"/>
        <v>0</v>
      </c>
      <c r="BE55" s="106">
        <f t="shared" si="7"/>
        <v>0</v>
      </c>
      <c r="BF55" s="106">
        <f t="shared" si="8"/>
        <v>0</v>
      </c>
      <c r="BG55" s="106">
        <f t="shared" si="9"/>
        <v>0</v>
      </c>
    </row>
    <row r="56" spans="1:59" s="53" customFormat="1" ht="50.1" customHeight="1">
      <c r="A56" s="141">
        <v>49</v>
      </c>
      <c r="B56" s="47"/>
      <c r="C56" s="20"/>
      <c r="D56" s="21"/>
      <c r="E56" s="23"/>
      <c r="F56" s="48"/>
      <c r="G56" s="48"/>
      <c r="H56" s="49"/>
      <c r="I56" s="49"/>
      <c r="J56" s="181"/>
      <c r="K56" s="169"/>
      <c r="L56" s="170"/>
      <c r="M56" s="171"/>
      <c r="N56" s="171"/>
      <c r="O56" s="172"/>
      <c r="P56" s="188"/>
      <c r="Q56" s="177"/>
      <c r="R56" s="221"/>
      <c r="S56" s="184"/>
      <c r="T56" s="185"/>
      <c r="U56" s="112">
        <f t="shared" si="10"/>
        <v>0</v>
      </c>
      <c r="V56" s="113" t="s">
        <v>3</v>
      </c>
      <c r="W56" s="114"/>
      <c r="X56" s="115" t="s">
        <v>3</v>
      </c>
      <c r="Y56" s="114"/>
      <c r="Z56" s="115" t="s">
        <v>4</v>
      </c>
      <c r="AA56" s="116">
        <f t="shared" si="11"/>
        <v>0</v>
      </c>
      <c r="AB56" s="117"/>
      <c r="AC56" s="118"/>
      <c r="AD56" s="119">
        <f t="shared" si="12"/>
        <v>0</v>
      </c>
      <c r="AE56" s="119">
        <f t="shared" si="13"/>
        <v>0</v>
      </c>
      <c r="AF56" s="120">
        <f t="shared" si="14"/>
        <v>0</v>
      </c>
      <c r="AG56" s="121"/>
      <c r="AH56" s="131">
        <f t="shared" si="15"/>
        <v>0</v>
      </c>
      <c r="AI56" s="198"/>
      <c r="AJ56" s="198"/>
      <c r="AK56" s="191">
        <f t="shared" si="16"/>
        <v>0</v>
      </c>
      <c r="AL56" s="122"/>
      <c r="AM56" s="115" t="s">
        <v>5</v>
      </c>
      <c r="AN56" s="51">
        <f t="shared" si="17"/>
        <v>0</v>
      </c>
      <c r="AO56" s="139">
        <f t="shared" si="18"/>
        <v>0</v>
      </c>
      <c r="AP56" s="78">
        <f t="shared" si="19"/>
        <v>0</v>
      </c>
      <c r="AQ56" s="79">
        <f t="shared" si="20"/>
        <v>0</v>
      </c>
      <c r="AR56" s="138"/>
      <c r="AS56" s="52"/>
      <c r="AT56" s="52"/>
      <c r="AU56" s="109">
        <f t="shared" si="21"/>
        <v>0</v>
      </c>
      <c r="AV56" s="103">
        <f t="shared" si="22"/>
        <v>0</v>
      </c>
      <c r="AW56" s="104">
        <f t="shared" si="1"/>
        <v>0</v>
      </c>
      <c r="AX56" s="104">
        <f t="shared" si="2"/>
        <v>0</v>
      </c>
      <c r="AY56" s="104">
        <f t="shared" si="3"/>
        <v>0</v>
      </c>
      <c r="AZ56" s="104">
        <f t="shared" si="4"/>
        <v>0</v>
      </c>
      <c r="BA56" s="104">
        <f t="shared" si="5"/>
        <v>0</v>
      </c>
      <c r="BB56" s="106">
        <f t="shared" si="23"/>
        <v>0</v>
      </c>
      <c r="BC56" s="106">
        <f t="shared" si="6"/>
        <v>0</v>
      </c>
      <c r="BD56" s="106">
        <f t="shared" si="24"/>
        <v>0</v>
      </c>
      <c r="BE56" s="106">
        <f t="shared" si="7"/>
        <v>0</v>
      </c>
      <c r="BF56" s="106">
        <f t="shared" si="8"/>
        <v>0</v>
      </c>
      <c r="BG56" s="106">
        <f t="shared" si="9"/>
        <v>0</v>
      </c>
    </row>
    <row r="57" spans="1:59" s="53" customFormat="1" ht="50.1" customHeight="1">
      <c r="A57" s="141">
        <v>50</v>
      </c>
      <c r="B57" s="47"/>
      <c r="C57" s="20"/>
      <c r="D57" s="21"/>
      <c r="E57" s="23"/>
      <c r="F57" s="48"/>
      <c r="G57" s="48"/>
      <c r="H57" s="49"/>
      <c r="I57" s="49"/>
      <c r="J57" s="181"/>
      <c r="K57" s="173"/>
      <c r="L57" s="174"/>
      <c r="M57" s="175"/>
      <c r="N57" s="175"/>
      <c r="O57" s="176"/>
      <c r="P57" s="187"/>
      <c r="Q57" s="190"/>
      <c r="R57" s="221"/>
      <c r="S57" s="213"/>
      <c r="T57" s="50"/>
      <c r="U57" s="112">
        <f t="shared" si="10"/>
        <v>0</v>
      </c>
      <c r="V57" s="113" t="s">
        <v>3</v>
      </c>
      <c r="W57" s="114"/>
      <c r="X57" s="115" t="s">
        <v>3</v>
      </c>
      <c r="Y57" s="114"/>
      <c r="Z57" s="115" t="s">
        <v>4</v>
      </c>
      <c r="AA57" s="116">
        <f t="shared" si="11"/>
        <v>0</v>
      </c>
      <c r="AB57" s="117"/>
      <c r="AC57" s="118"/>
      <c r="AD57" s="119">
        <f t="shared" si="12"/>
        <v>0</v>
      </c>
      <c r="AE57" s="119">
        <f t="shared" si="13"/>
        <v>0</v>
      </c>
      <c r="AF57" s="120">
        <f t="shared" si="14"/>
        <v>0</v>
      </c>
      <c r="AG57" s="121"/>
      <c r="AH57" s="131">
        <f t="shared" si="15"/>
        <v>0</v>
      </c>
      <c r="AI57" s="198"/>
      <c r="AJ57" s="198"/>
      <c r="AK57" s="191">
        <f t="shared" si="16"/>
        <v>0</v>
      </c>
      <c r="AL57" s="122"/>
      <c r="AM57" s="115" t="s">
        <v>5</v>
      </c>
      <c r="AN57" s="51">
        <f t="shared" si="17"/>
        <v>0</v>
      </c>
      <c r="AO57" s="139">
        <f t="shared" si="18"/>
        <v>0</v>
      </c>
      <c r="AP57" s="78">
        <f t="shared" si="19"/>
        <v>0</v>
      </c>
      <c r="AQ57" s="79">
        <f t="shared" si="20"/>
        <v>0</v>
      </c>
      <c r="AR57" s="138"/>
      <c r="AS57" s="52"/>
      <c r="AT57" s="52"/>
      <c r="AU57" s="109">
        <f t="shared" si="21"/>
        <v>0</v>
      </c>
      <c r="AV57" s="103">
        <f t="shared" si="22"/>
        <v>0</v>
      </c>
      <c r="AW57" s="104">
        <f t="shared" si="1"/>
        <v>0</v>
      </c>
      <c r="AX57" s="104">
        <f t="shared" si="2"/>
        <v>0</v>
      </c>
      <c r="AY57" s="104">
        <f t="shared" si="3"/>
        <v>0</v>
      </c>
      <c r="AZ57" s="104">
        <f t="shared" si="4"/>
        <v>0</v>
      </c>
      <c r="BA57" s="104">
        <f t="shared" si="5"/>
        <v>0</v>
      </c>
      <c r="BB57" s="106">
        <f t="shared" si="23"/>
        <v>0</v>
      </c>
      <c r="BC57" s="106">
        <f t="shared" si="6"/>
        <v>0</v>
      </c>
      <c r="BD57" s="106">
        <f t="shared" si="24"/>
        <v>0</v>
      </c>
      <c r="BE57" s="106">
        <f t="shared" si="7"/>
        <v>0</v>
      </c>
      <c r="BF57" s="106">
        <f t="shared" si="8"/>
        <v>0</v>
      </c>
      <c r="BG57" s="106">
        <f t="shared" si="9"/>
        <v>0</v>
      </c>
    </row>
    <row r="58" spans="1:59" s="53" customFormat="1" ht="50.1" customHeight="1">
      <c r="A58" s="141">
        <v>51</v>
      </c>
      <c r="B58" s="47"/>
      <c r="C58" s="20"/>
      <c r="D58" s="21"/>
      <c r="E58" s="23"/>
      <c r="F58" s="48"/>
      <c r="G58" s="48"/>
      <c r="H58" s="49"/>
      <c r="I58" s="49"/>
      <c r="J58" s="181"/>
      <c r="K58" s="173"/>
      <c r="L58" s="174"/>
      <c r="M58" s="175"/>
      <c r="N58" s="175"/>
      <c r="O58" s="176"/>
      <c r="P58" s="187"/>
      <c r="Q58" s="190"/>
      <c r="R58" s="221"/>
      <c r="S58" s="213"/>
      <c r="T58" s="50"/>
      <c r="U58" s="112">
        <f t="shared" si="10"/>
        <v>0</v>
      </c>
      <c r="V58" s="113" t="s">
        <v>3</v>
      </c>
      <c r="W58" s="114"/>
      <c r="X58" s="115" t="s">
        <v>3</v>
      </c>
      <c r="Y58" s="114"/>
      <c r="Z58" s="115" t="s">
        <v>4</v>
      </c>
      <c r="AA58" s="116">
        <f t="shared" si="11"/>
        <v>0</v>
      </c>
      <c r="AB58" s="117"/>
      <c r="AC58" s="118"/>
      <c r="AD58" s="119">
        <f t="shared" si="12"/>
        <v>0</v>
      </c>
      <c r="AE58" s="119">
        <f t="shared" si="13"/>
        <v>0</v>
      </c>
      <c r="AF58" s="120">
        <f t="shared" si="14"/>
        <v>0</v>
      </c>
      <c r="AG58" s="121"/>
      <c r="AH58" s="131">
        <f t="shared" si="15"/>
        <v>0</v>
      </c>
      <c r="AI58" s="198"/>
      <c r="AJ58" s="198"/>
      <c r="AK58" s="191">
        <f t="shared" si="16"/>
        <v>0</v>
      </c>
      <c r="AL58" s="122"/>
      <c r="AM58" s="115" t="s">
        <v>5</v>
      </c>
      <c r="AN58" s="51">
        <f t="shared" si="17"/>
        <v>0</v>
      </c>
      <c r="AO58" s="139">
        <f t="shared" si="18"/>
        <v>0</v>
      </c>
      <c r="AP58" s="78">
        <f t="shared" si="19"/>
        <v>0</v>
      </c>
      <c r="AQ58" s="79">
        <f t="shared" si="20"/>
        <v>0</v>
      </c>
      <c r="AR58" s="138"/>
      <c r="AS58" s="52"/>
      <c r="AT58" s="52"/>
      <c r="AU58" s="109">
        <f t="shared" si="21"/>
        <v>0</v>
      </c>
      <c r="AV58" s="103">
        <f t="shared" si="22"/>
        <v>0</v>
      </c>
      <c r="AW58" s="104">
        <f t="shared" si="1"/>
        <v>0</v>
      </c>
      <c r="AX58" s="104">
        <f t="shared" si="2"/>
        <v>0</v>
      </c>
      <c r="AY58" s="104">
        <f t="shared" si="3"/>
        <v>0</v>
      </c>
      <c r="AZ58" s="104">
        <f t="shared" si="4"/>
        <v>0</v>
      </c>
      <c r="BA58" s="104">
        <f t="shared" si="5"/>
        <v>0</v>
      </c>
      <c r="BB58" s="106">
        <f t="shared" si="23"/>
        <v>0</v>
      </c>
      <c r="BC58" s="106">
        <f t="shared" si="6"/>
        <v>0</v>
      </c>
      <c r="BD58" s="106">
        <f t="shared" si="24"/>
        <v>0</v>
      </c>
      <c r="BE58" s="106">
        <f t="shared" si="7"/>
        <v>0</v>
      </c>
      <c r="BF58" s="106">
        <f t="shared" si="8"/>
        <v>0</v>
      </c>
      <c r="BG58" s="106">
        <f t="shared" si="9"/>
        <v>0</v>
      </c>
    </row>
    <row r="59" spans="1:59" s="53" customFormat="1" ht="50.1" customHeight="1">
      <c r="A59" s="141">
        <v>52</v>
      </c>
      <c r="B59" s="47"/>
      <c r="C59" s="20"/>
      <c r="D59" s="21"/>
      <c r="E59" s="23"/>
      <c r="F59" s="48"/>
      <c r="G59" s="48"/>
      <c r="H59" s="49"/>
      <c r="I59" s="49"/>
      <c r="J59" s="181"/>
      <c r="K59" s="173"/>
      <c r="L59" s="174"/>
      <c r="M59" s="175"/>
      <c r="N59" s="175"/>
      <c r="O59" s="176"/>
      <c r="P59" s="187"/>
      <c r="Q59" s="190"/>
      <c r="R59" s="221"/>
      <c r="S59" s="213"/>
      <c r="T59" s="50"/>
      <c r="U59" s="112">
        <f t="shared" si="10"/>
        <v>0</v>
      </c>
      <c r="V59" s="113" t="s">
        <v>3</v>
      </c>
      <c r="W59" s="114"/>
      <c r="X59" s="115" t="s">
        <v>3</v>
      </c>
      <c r="Y59" s="114"/>
      <c r="Z59" s="115" t="s">
        <v>4</v>
      </c>
      <c r="AA59" s="116">
        <f t="shared" si="11"/>
        <v>0</v>
      </c>
      <c r="AB59" s="117"/>
      <c r="AC59" s="118"/>
      <c r="AD59" s="119">
        <f t="shared" si="12"/>
        <v>0</v>
      </c>
      <c r="AE59" s="119">
        <f t="shared" si="13"/>
        <v>0</v>
      </c>
      <c r="AF59" s="120">
        <f t="shared" si="14"/>
        <v>0</v>
      </c>
      <c r="AG59" s="121"/>
      <c r="AH59" s="131">
        <f t="shared" si="15"/>
        <v>0</v>
      </c>
      <c r="AI59" s="198"/>
      <c r="AJ59" s="198"/>
      <c r="AK59" s="191">
        <f t="shared" si="16"/>
        <v>0</v>
      </c>
      <c r="AL59" s="122"/>
      <c r="AM59" s="115" t="s">
        <v>5</v>
      </c>
      <c r="AN59" s="51">
        <f t="shared" si="17"/>
        <v>0</v>
      </c>
      <c r="AO59" s="139">
        <f t="shared" si="18"/>
        <v>0</v>
      </c>
      <c r="AP59" s="78">
        <f t="shared" si="19"/>
        <v>0</v>
      </c>
      <c r="AQ59" s="79">
        <f t="shared" si="20"/>
        <v>0</v>
      </c>
      <c r="AR59" s="138"/>
      <c r="AS59" s="52"/>
      <c r="AT59" s="52"/>
      <c r="AU59" s="109">
        <f t="shared" si="21"/>
        <v>0</v>
      </c>
      <c r="AV59" s="103">
        <f t="shared" si="22"/>
        <v>0</v>
      </c>
      <c r="AW59" s="104">
        <f t="shared" si="1"/>
        <v>0</v>
      </c>
      <c r="AX59" s="104">
        <f t="shared" si="2"/>
        <v>0</v>
      </c>
      <c r="AY59" s="104">
        <f t="shared" si="3"/>
        <v>0</v>
      </c>
      <c r="AZ59" s="104">
        <f t="shared" si="4"/>
        <v>0</v>
      </c>
      <c r="BA59" s="104">
        <f t="shared" si="5"/>
        <v>0</v>
      </c>
      <c r="BB59" s="106">
        <f t="shared" si="23"/>
        <v>0</v>
      </c>
      <c r="BC59" s="106">
        <f t="shared" si="6"/>
        <v>0</v>
      </c>
      <c r="BD59" s="106">
        <f t="shared" si="24"/>
        <v>0</v>
      </c>
      <c r="BE59" s="106">
        <f t="shared" si="7"/>
        <v>0</v>
      </c>
      <c r="BF59" s="106">
        <f t="shared" si="8"/>
        <v>0</v>
      </c>
      <c r="BG59" s="106">
        <f t="shared" si="9"/>
        <v>0</v>
      </c>
    </row>
    <row r="60" spans="1:59" s="53" customFormat="1" ht="50.1" customHeight="1">
      <c r="A60" s="141">
        <v>53</v>
      </c>
      <c r="B60" s="47"/>
      <c r="C60" s="20"/>
      <c r="D60" s="21"/>
      <c r="E60" s="23"/>
      <c r="F60" s="48"/>
      <c r="G60" s="48"/>
      <c r="H60" s="49"/>
      <c r="I60" s="49"/>
      <c r="J60" s="181"/>
      <c r="K60" s="87"/>
      <c r="L60" s="92"/>
      <c r="M60" s="94"/>
      <c r="N60" s="94"/>
      <c r="O60" s="93"/>
      <c r="P60" s="152"/>
      <c r="Q60" s="183"/>
      <c r="R60" s="221"/>
      <c r="S60" s="213"/>
      <c r="T60" s="50"/>
      <c r="U60" s="112">
        <f t="shared" si="10"/>
        <v>0</v>
      </c>
      <c r="V60" s="113" t="s">
        <v>3</v>
      </c>
      <c r="W60" s="114"/>
      <c r="X60" s="115" t="s">
        <v>3</v>
      </c>
      <c r="Y60" s="114"/>
      <c r="Z60" s="115" t="s">
        <v>4</v>
      </c>
      <c r="AA60" s="116">
        <f t="shared" si="11"/>
        <v>0</v>
      </c>
      <c r="AB60" s="117"/>
      <c r="AC60" s="118"/>
      <c r="AD60" s="119">
        <f t="shared" si="12"/>
        <v>0</v>
      </c>
      <c r="AE60" s="119">
        <f t="shared" si="13"/>
        <v>0</v>
      </c>
      <c r="AF60" s="120">
        <f t="shared" si="14"/>
        <v>0</v>
      </c>
      <c r="AG60" s="121"/>
      <c r="AH60" s="131">
        <f t="shared" si="15"/>
        <v>0</v>
      </c>
      <c r="AI60" s="198"/>
      <c r="AJ60" s="198"/>
      <c r="AK60" s="191">
        <f t="shared" si="16"/>
        <v>0</v>
      </c>
      <c r="AL60" s="122"/>
      <c r="AM60" s="115" t="s">
        <v>5</v>
      </c>
      <c r="AN60" s="51">
        <f t="shared" si="17"/>
        <v>0</v>
      </c>
      <c r="AO60" s="139">
        <f t="shared" si="18"/>
        <v>0</v>
      </c>
      <c r="AP60" s="78">
        <f t="shared" si="19"/>
        <v>0</v>
      </c>
      <c r="AQ60" s="79">
        <f t="shared" si="20"/>
        <v>0</v>
      </c>
      <c r="AR60" s="138"/>
      <c r="AS60" s="52"/>
      <c r="AT60" s="52"/>
      <c r="AU60" s="109">
        <f t="shared" si="21"/>
        <v>0</v>
      </c>
      <c r="AV60" s="103">
        <f t="shared" si="22"/>
        <v>0</v>
      </c>
      <c r="AW60" s="104">
        <f t="shared" si="1"/>
        <v>0</v>
      </c>
      <c r="AX60" s="104">
        <f t="shared" si="2"/>
        <v>0</v>
      </c>
      <c r="AY60" s="104">
        <f t="shared" si="3"/>
        <v>0</v>
      </c>
      <c r="AZ60" s="104">
        <f t="shared" si="4"/>
        <v>0</v>
      </c>
      <c r="BA60" s="104">
        <f t="shared" si="5"/>
        <v>0</v>
      </c>
      <c r="BB60" s="106">
        <f t="shared" si="23"/>
        <v>0</v>
      </c>
      <c r="BC60" s="106">
        <f t="shared" si="6"/>
        <v>0</v>
      </c>
      <c r="BD60" s="106">
        <f t="shared" si="24"/>
        <v>0</v>
      </c>
      <c r="BE60" s="106">
        <f t="shared" si="7"/>
        <v>0</v>
      </c>
      <c r="BF60" s="106">
        <f t="shared" si="8"/>
        <v>0</v>
      </c>
      <c r="BG60" s="106">
        <f t="shared" si="9"/>
        <v>0</v>
      </c>
    </row>
    <row r="61" spans="1:59" s="53" customFormat="1" ht="50.1" customHeight="1">
      <c r="A61" s="141">
        <v>54</v>
      </c>
      <c r="B61" s="47"/>
      <c r="C61" s="20"/>
      <c r="D61" s="21"/>
      <c r="E61" s="23"/>
      <c r="F61" s="48"/>
      <c r="G61" s="48"/>
      <c r="H61" s="49"/>
      <c r="I61" s="49"/>
      <c r="J61" s="182"/>
      <c r="K61" s="88"/>
      <c r="L61" s="88"/>
      <c r="M61" s="96"/>
      <c r="N61" s="96"/>
      <c r="O61" s="88"/>
      <c r="P61" s="152"/>
      <c r="Q61" s="183"/>
      <c r="R61" s="221"/>
      <c r="S61" s="213"/>
      <c r="T61" s="50"/>
      <c r="U61" s="112">
        <f t="shared" si="10"/>
        <v>0</v>
      </c>
      <c r="V61" s="113" t="s">
        <v>3</v>
      </c>
      <c r="W61" s="114"/>
      <c r="X61" s="115" t="s">
        <v>3</v>
      </c>
      <c r="Y61" s="114"/>
      <c r="Z61" s="115" t="s">
        <v>4</v>
      </c>
      <c r="AA61" s="116">
        <f t="shared" si="11"/>
        <v>0</v>
      </c>
      <c r="AB61" s="117"/>
      <c r="AC61" s="118"/>
      <c r="AD61" s="119">
        <f t="shared" si="12"/>
        <v>0</v>
      </c>
      <c r="AE61" s="119">
        <f t="shared" si="13"/>
        <v>0</v>
      </c>
      <c r="AF61" s="120">
        <f t="shared" si="14"/>
        <v>0</v>
      </c>
      <c r="AG61" s="121"/>
      <c r="AH61" s="131">
        <f t="shared" si="15"/>
        <v>0</v>
      </c>
      <c r="AI61" s="198"/>
      <c r="AJ61" s="198"/>
      <c r="AK61" s="191">
        <f t="shared" si="16"/>
        <v>0</v>
      </c>
      <c r="AL61" s="122"/>
      <c r="AM61" s="115" t="s">
        <v>5</v>
      </c>
      <c r="AN61" s="51">
        <f t="shared" si="17"/>
        <v>0</v>
      </c>
      <c r="AO61" s="139">
        <f t="shared" si="18"/>
        <v>0</v>
      </c>
      <c r="AP61" s="78">
        <f t="shared" si="19"/>
        <v>0</v>
      </c>
      <c r="AQ61" s="79">
        <f t="shared" si="20"/>
        <v>0</v>
      </c>
      <c r="AR61" s="138"/>
      <c r="AS61" s="52"/>
      <c r="AT61" s="52"/>
      <c r="AU61" s="109">
        <f t="shared" si="21"/>
        <v>0</v>
      </c>
      <c r="AV61" s="103">
        <f t="shared" si="22"/>
        <v>0</v>
      </c>
      <c r="AW61" s="104">
        <f t="shared" si="1"/>
        <v>0</v>
      </c>
      <c r="AX61" s="104">
        <f t="shared" si="2"/>
        <v>0</v>
      </c>
      <c r="AY61" s="104">
        <f t="shared" si="3"/>
        <v>0</v>
      </c>
      <c r="AZ61" s="104">
        <f t="shared" si="4"/>
        <v>0</v>
      </c>
      <c r="BA61" s="104">
        <f t="shared" si="5"/>
        <v>0</v>
      </c>
      <c r="BB61" s="106">
        <f t="shared" si="23"/>
        <v>0</v>
      </c>
      <c r="BC61" s="106">
        <f t="shared" si="6"/>
        <v>0</v>
      </c>
      <c r="BD61" s="106">
        <f t="shared" si="24"/>
        <v>0</v>
      </c>
      <c r="BE61" s="106">
        <f t="shared" si="7"/>
        <v>0</v>
      </c>
      <c r="BF61" s="106">
        <f t="shared" si="8"/>
        <v>0</v>
      </c>
      <c r="BG61" s="106">
        <f t="shared" si="9"/>
        <v>0</v>
      </c>
    </row>
    <row r="62" spans="1:59" s="53" customFormat="1" ht="50.1" customHeight="1">
      <c r="A62" s="141">
        <v>55</v>
      </c>
      <c r="B62" s="47"/>
      <c r="C62" s="20"/>
      <c r="D62" s="21"/>
      <c r="E62" s="23"/>
      <c r="F62" s="48"/>
      <c r="G62" s="48"/>
      <c r="H62" s="49"/>
      <c r="I62" s="49"/>
      <c r="J62" s="181"/>
      <c r="K62" s="87"/>
      <c r="L62" s="92"/>
      <c r="M62" s="94"/>
      <c r="N62" s="94"/>
      <c r="O62" s="93"/>
      <c r="P62" s="152"/>
      <c r="Q62" s="75"/>
      <c r="R62" s="221"/>
      <c r="S62" s="184"/>
      <c r="T62" s="50"/>
      <c r="U62" s="112">
        <f t="shared" si="10"/>
        <v>0</v>
      </c>
      <c r="V62" s="113" t="s">
        <v>3</v>
      </c>
      <c r="W62" s="114"/>
      <c r="X62" s="115" t="s">
        <v>3</v>
      </c>
      <c r="Y62" s="114"/>
      <c r="Z62" s="115" t="s">
        <v>4</v>
      </c>
      <c r="AA62" s="116">
        <f t="shared" si="11"/>
        <v>0</v>
      </c>
      <c r="AB62" s="117"/>
      <c r="AC62" s="118"/>
      <c r="AD62" s="119">
        <f t="shared" si="12"/>
        <v>0</v>
      </c>
      <c r="AE62" s="119">
        <f t="shared" si="13"/>
        <v>0</v>
      </c>
      <c r="AF62" s="120">
        <f t="shared" si="14"/>
        <v>0</v>
      </c>
      <c r="AG62" s="121"/>
      <c r="AH62" s="131">
        <f t="shared" si="15"/>
        <v>0</v>
      </c>
      <c r="AI62" s="198"/>
      <c r="AJ62" s="198"/>
      <c r="AK62" s="191">
        <f t="shared" si="16"/>
        <v>0</v>
      </c>
      <c r="AL62" s="122"/>
      <c r="AM62" s="115" t="s">
        <v>5</v>
      </c>
      <c r="AN62" s="51">
        <f t="shared" si="17"/>
        <v>0</v>
      </c>
      <c r="AO62" s="139">
        <f t="shared" si="18"/>
        <v>0</v>
      </c>
      <c r="AP62" s="78">
        <f t="shared" si="19"/>
        <v>0</v>
      </c>
      <c r="AQ62" s="79">
        <f t="shared" si="20"/>
        <v>0</v>
      </c>
      <c r="AR62" s="138"/>
      <c r="AS62" s="52"/>
      <c r="AT62" s="52"/>
      <c r="AU62" s="109">
        <f t="shared" si="21"/>
        <v>0</v>
      </c>
      <c r="AV62" s="103">
        <f t="shared" si="22"/>
        <v>0</v>
      </c>
      <c r="AW62" s="104">
        <f t="shared" si="1"/>
        <v>0</v>
      </c>
      <c r="AX62" s="104">
        <f t="shared" si="2"/>
        <v>0</v>
      </c>
      <c r="AY62" s="104">
        <f t="shared" si="3"/>
        <v>0</v>
      </c>
      <c r="AZ62" s="104">
        <f t="shared" si="4"/>
        <v>0</v>
      </c>
      <c r="BA62" s="104">
        <f t="shared" si="5"/>
        <v>0</v>
      </c>
      <c r="BB62" s="106">
        <f t="shared" si="23"/>
        <v>0</v>
      </c>
      <c r="BC62" s="106">
        <f t="shared" si="6"/>
        <v>0</v>
      </c>
      <c r="BD62" s="106">
        <f t="shared" si="24"/>
        <v>0</v>
      </c>
      <c r="BE62" s="106">
        <f t="shared" si="7"/>
        <v>0</v>
      </c>
      <c r="BF62" s="106">
        <f t="shared" si="8"/>
        <v>0</v>
      </c>
      <c r="BG62" s="106">
        <f t="shared" si="9"/>
        <v>0</v>
      </c>
    </row>
    <row r="63" spans="1:59" s="53" customFormat="1" ht="50.1" customHeight="1">
      <c r="A63" s="141">
        <v>56</v>
      </c>
      <c r="B63" s="47"/>
      <c r="C63" s="20"/>
      <c r="D63" s="21"/>
      <c r="E63" s="23"/>
      <c r="F63" s="48"/>
      <c r="G63" s="48"/>
      <c r="H63" s="49"/>
      <c r="I63" s="49"/>
      <c r="J63" s="181"/>
      <c r="K63" s="87"/>
      <c r="L63" s="92"/>
      <c r="M63" s="94"/>
      <c r="N63" s="94"/>
      <c r="O63" s="93"/>
      <c r="P63" s="152"/>
      <c r="Q63" s="75"/>
      <c r="R63" s="221"/>
      <c r="S63" s="184"/>
      <c r="T63" s="50"/>
      <c r="U63" s="112">
        <f t="shared" si="10"/>
        <v>0</v>
      </c>
      <c r="V63" s="113" t="s">
        <v>3</v>
      </c>
      <c r="W63" s="114"/>
      <c r="X63" s="115" t="s">
        <v>3</v>
      </c>
      <c r="Y63" s="114"/>
      <c r="Z63" s="115" t="s">
        <v>4</v>
      </c>
      <c r="AA63" s="116">
        <f t="shared" si="11"/>
        <v>0</v>
      </c>
      <c r="AB63" s="117"/>
      <c r="AC63" s="118"/>
      <c r="AD63" s="119">
        <f t="shared" si="12"/>
        <v>0</v>
      </c>
      <c r="AE63" s="119">
        <f t="shared" si="13"/>
        <v>0</v>
      </c>
      <c r="AF63" s="120">
        <f t="shared" si="14"/>
        <v>0</v>
      </c>
      <c r="AG63" s="121"/>
      <c r="AH63" s="131">
        <f t="shared" si="15"/>
        <v>0</v>
      </c>
      <c r="AI63" s="198"/>
      <c r="AJ63" s="198"/>
      <c r="AK63" s="191">
        <f t="shared" si="16"/>
        <v>0</v>
      </c>
      <c r="AL63" s="122"/>
      <c r="AM63" s="115" t="s">
        <v>5</v>
      </c>
      <c r="AN63" s="51">
        <f t="shared" si="17"/>
        <v>0</v>
      </c>
      <c r="AO63" s="139">
        <f t="shared" si="18"/>
        <v>0</v>
      </c>
      <c r="AP63" s="78">
        <f t="shared" si="19"/>
        <v>0</v>
      </c>
      <c r="AQ63" s="79">
        <f t="shared" si="20"/>
        <v>0</v>
      </c>
      <c r="AR63" s="138"/>
      <c r="AS63" s="52"/>
      <c r="AT63" s="52"/>
      <c r="AU63" s="109">
        <f t="shared" si="21"/>
        <v>0</v>
      </c>
      <c r="AV63" s="103">
        <f t="shared" si="22"/>
        <v>0</v>
      </c>
      <c r="AW63" s="104">
        <f t="shared" si="1"/>
        <v>0</v>
      </c>
      <c r="AX63" s="104">
        <f t="shared" si="2"/>
        <v>0</v>
      </c>
      <c r="AY63" s="104">
        <f t="shared" si="3"/>
        <v>0</v>
      </c>
      <c r="AZ63" s="104">
        <f t="shared" si="4"/>
        <v>0</v>
      </c>
      <c r="BA63" s="104">
        <f t="shared" si="5"/>
        <v>0</v>
      </c>
      <c r="BB63" s="106">
        <f t="shared" si="23"/>
        <v>0</v>
      </c>
      <c r="BC63" s="106">
        <f t="shared" si="6"/>
        <v>0</v>
      </c>
      <c r="BD63" s="106">
        <f t="shared" si="24"/>
        <v>0</v>
      </c>
      <c r="BE63" s="106">
        <f t="shared" si="7"/>
        <v>0</v>
      </c>
      <c r="BF63" s="106">
        <f t="shared" si="8"/>
        <v>0</v>
      </c>
      <c r="BG63" s="106">
        <f t="shared" si="9"/>
        <v>0</v>
      </c>
    </row>
    <row r="64" spans="1:59" s="53" customFormat="1" ht="50.1" customHeight="1">
      <c r="A64" s="141">
        <v>57</v>
      </c>
      <c r="B64" s="47"/>
      <c r="C64" s="20"/>
      <c r="D64" s="21"/>
      <c r="E64" s="23"/>
      <c r="F64" s="48"/>
      <c r="G64" s="48"/>
      <c r="H64" s="49"/>
      <c r="I64" s="49"/>
      <c r="J64" s="181"/>
      <c r="K64" s="87"/>
      <c r="L64" s="92"/>
      <c r="M64" s="94"/>
      <c r="N64" s="94"/>
      <c r="O64" s="93"/>
      <c r="P64" s="152"/>
      <c r="Q64" s="75"/>
      <c r="R64" s="221"/>
      <c r="S64" s="184"/>
      <c r="T64" s="50"/>
      <c r="U64" s="112">
        <f t="shared" si="10"/>
        <v>0</v>
      </c>
      <c r="V64" s="113" t="s">
        <v>3</v>
      </c>
      <c r="W64" s="114"/>
      <c r="X64" s="115" t="s">
        <v>3</v>
      </c>
      <c r="Y64" s="114"/>
      <c r="Z64" s="115" t="s">
        <v>4</v>
      </c>
      <c r="AA64" s="116">
        <f t="shared" si="11"/>
        <v>0</v>
      </c>
      <c r="AB64" s="117"/>
      <c r="AC64" s="118"/>
      <c r="AD64" s="119">
        <f t="shared" si="12"/>
        <v>0</v>
      </c>
      <c r="AE64" s="119">
        <f t="shared" si="13"/>
        <v>0</v>
      </c>
      <c r="AF64" s="120">
        <f t="shared" si="14"/>
        <v>0</v>
      </c>
      <c r="AG64" s="121"/>
      <c r="AH64" s="131">
        <f t="shared" si="15"/>
        <v>0</v>
      </c>
      <c r="AI64" s="198"/>
      <c r="AJ64" s="198"/>
      <c r="AK64" s="191">
        <f t="shared" si="16"/>
        <v>0</v>
      </c>
      <c r="AL64" s="122"/>
      <c r="AM64" s="115" t="s">
        <v>5</v>
      </c>
      <c r="AN64" s="51">
        <f t="shared" si="17"/>
        <v>0</v>
      </c>
      <c r="AO64" s="139">
        <f t="shared" si="18"/>
        <v>0</v>
      </c>
      <c r="AP64" s="78">
        <f t="shared" si="19"/>
        <v>0</v>
      </c>
      <c r="AQ64" s="79">
        <f t="shared" si="20"/>
        <v>0</v>
      </c>
      <c r="AR64" s="138"/>
      <c r="AS64" s="52"/>
      <c r="AT64" s="52"/>
      <c r="AU64" s="109">
        <f t="shared" si="21"/>
        <v>0</v>
      </c>
      <c r="AV64" s="103">
        <f t="shared" si="22"/>
        <v>0</v>
      </c>
      <c r="AW64" s="104">
        <f t="shared" si="1"/>
        <v>0</v>
      </c>
      <c r="AX64" s="104">
        <f t="shared" si="2"/>
        <v>0</v>
      </c>
      <c r="AY64" s="104">
        <f t="shared" si="3"/>
        <v>0</v>
      </c>
      <c r="AZ64" s="104">
        <f t="shared" si="4"/>
        <v>0</v>
      </c>
      <c r="BA64" s="104">
        <f t="shared" si="5"/>
        <v>0</v>
      </c>
      <c r="BB64" s="106">
        <f t="shared" si="23"/>
        <v>0</v>
      </c>
      <c r="BC64" s="106">
        <f t="shared" si="6"/>
        <v>0</v>
      </c>
      <c r="BD64" s="106">
        <f t="shared" si="24"/>
        <v>0</v>
      </c>
      <c r="BE64" s="106">
        <f t="shared" si="7"/>
        <v>0</v>
      </c>
      <c r="BF64" s="106">
        <f t="shared" si="8"/>
        <v>0</v>
      </c>
      <c r="BG64" s="106">
        <f t="shared" si="9"/>
        <v>0</v>
      </c>
    </row>
    <row r="65" spans="1:59" s="53" customFormat="1" ht="50.1" customHeight="1">
      <c r="A65" s="141">
        <v>58</v>
      </c>
      <c r="B65" s="47"/>
      <c r="C65" s="20"/>
      <c r="D65" s="21"/>
      <c r="E65" s="23"/>
      <c r="F65" s="48"/>
      <c r="G65" s="48"/>
      <c r="H65" s="49"/>
      <c r="I65" s="49"/>
      <c r="J65" s="181"/>
      <c r="K65" s="87"/>
      <c r="L65" s="92"/>
      <c r="M65" s="94"/>
      <c r="N65" s="94"/>
      <c r="O65" s="93"/>
      <c r="P65" s="152"/>
      <c r="Q65" s="75"/>
      <c r="R65" s="221"/>
      <c r="S65" s="178"/>
      <c r="T65" s="50"/>
      <c r="U65" s="112">
        <f t="shared" si="10"/>
        <v>0</v>
      </c>
      <c r="V65" s="113" t="s">
        <v>3</v>
      </c>
      <c r="W65" s="114"/>
      <c r="X65" s="115" t="s">
        <v>3</v>
      </c>
      <c r="Y65" s="114"/>
      <c r="Z65" s="115" t="s">
        <v>4</v>
      </c>
      <c r="AA65" s="116">
        <f t="shared" si="11"/>
        <v>0</v>
      </c>
      <c r="AB65" s="117"/>
      <c r="AC65" s="118"/>
      <c r="AD65" s="119">
        <f t="shared" si="12"/>
        <v>0</v>
      </c>
      <c r="AE65" s="119">
        <f t="shared" si="13"/>
        <v>0</v>
      </c>
      <c r="AF65" s="120">
        <f t="shared" si="14"/>
        <v>0</v>
      </c>
      <c r="AG65" s="121"/>
      <c r="AH65" s="131">
        <f t="shared" si="15"/>
        <v>0</v>
      </c>
      <c r="AI65" s="198"/>
      <c r="AJ65" s="198"/>
      <c r="AK65" s="191">
        <f t="shared" si="16"/>
        <v>0</v>
      </c>
      <c r="AL65" s="122"/>
      <c r="AM65" s="115" t="s">
        <v>5</v>
      </c>
      <c r="AN65" s="51">
        <f t="shared" si="17"/>
        <v>0</v>
      </c>
      <c r="AO65" s="139">
        <f t="shared" si="18"/>
        <v>0</v>
      </c>
      <c r="AP65" s="78">
        <f t="shared" si="19"/>
        <v>0</v>
      </c>
      <c r="AQ65" s="79">
        <f t="shared" si="20"/>
        <v>0</v>
      </c>
      <c r="AR65" s="138"/>
      <c r="AS65" s="52"/>
      <c r="AT65" s="52"/>
      <c r="AU65" s="109">
        <f t="shared" si="21"/>
        <v>0</v>
      </c>
      <c r="AV65" s="103">
        <f t="shared" si="22"/>
        <v>0</v>
      </c>
      <c r="AW65" s="104">
        <f t="shared" si="1"/>
        <v>0</v>
      </c>
      <c r="AX65" s="104">
        <f t="shared" si="2"/>
        <v>0</v>
      </c>
      <c r="AY65" s="104">
        <f t="shared" si="3"/>
        <v>0</v>
      </c>
      <c r="AZ65" s="104">
        <f t="shared" si="4"/>
        <v>0</v>
      </c>
      <c r="BA65" s="104">
        <f t="shared" si="5"/>
        <v>0</v>
      </c>
      <c r="BB65" s="106">
        <f t="shared" si="23"/>
        <v>0</v>
      </c>
      <c r="BC65" s="106">
        <f t="shared" si="6"/>
        <v>0</v>
      </c>
      <c r="BD65" s="106">
        <f t="shared" si="24"/>
        <v>0</v>
      </c>
      <c r="BE65" s="106">
        <f t="shared" si="7"/>
        <v>0</v>
      </c>
      <c r="BF65" s="106">
        <f t="shared" si="8"/>
        <v>0</v>
      </c>
      <c r="BG65" s="106">
        <f t="shared" si="9"/>
        <v>0</v>
      </c>
    </row>
    <row r="66" spans="1:59" s="53" customFormat="1" ht="50.1" customHeight="1">
      <c r="A66" s="141">
        <v>59</v>
      </c>
      <c r="B66" s="47"/>
      <c r="C66" s="20"/>
      <c r="D66" s="21"/>
      <c r="E66" s="23"/>
      <c r="F66" s="48"/>
      <c r="G66" s="48"/>
      <c r="H66" s="49"/>
      <c r="I66" s="49"/>
      <c r="J66" s="181"/>
      <c r="K66" s="87"/>
      <c r="L66" s="92"/>
      <c r="M66" s="94"/>
      <c r="N66" s="94"/>
      <c r="O66" s="93"/>
      <c r="P66" s="152"/>
      <c r="Q66" s="75"/>
      <c r="R66" s="221"/>
      <c r="S66" s="178"/>
      <c r="T66" s="50"/>
      <c r="U66" s="112">
        <f t="shared" si="10"/>
        <v>0</v>
      </c>
      <c r="V66" s="113" t="s">
        <v>3</v>
      </c>
      <c r="W66" s="114"/>
      <c r="X66" s="115" t="s">
        <v>3</v>
      </c>
      <c r="Y66" s="114"/>
      <c r="Z66" s="115" t="s">
        <v>4</v>
      </c>
      <c r="AA66" s="116">
        <f t="shared" si="11"/>
        <v>0</v>
      </c>
      <c r="AB66" s="117"/>
      <c r="AC66" s="118"/>
      <c r="AD66" s="119">
        <f t="shared" si="12"/>
        <v>0</v>
      </c>
      <c r="AE66" s="119">
        <f t="shared" si="13"/>
        <v>0</v>
      </c>
      <c r="AF66" s="120">
        <f t="shared" si="14"/>
        <v>0</v>
      </c>
      <c r="AG66" s="121"/>
      <c r="AH66" s="131">
        <f t="shared" si="15"/>
        <v>0</v>
      </c>
      <c r="AI66" s="198"/>
      <c r="AJ66" s="198"/>
      <c r="AK66" s="191">
        <f t="shared" si="16"/>
        <v>0</v>
      </c>
      <c r="AL66" s="122"/>
      <c r="AM66" s="115" t="s">
        <v>5</v>
      </c>
      <c r="AN66" s="51">
        <f t="shared" si="17"/>
        <v>0</v>
      </c>
      <c r="AO66" s="139">
        <f t="shared" si="18"/>
        <v>0</v>
      </c>
      <c r="AP66" s="78">
        <f t="shared" si="19"/>
        <v>0</v>
      </c>
      <c r="AQ66" s="79">
        <f t="shared" si="20"/>
        <v>0</v>
      </c>
      <c r="AR66" s="138"/>
      <c r="AS66" s="52"/>
      <c r="AT66" s="52"/>
      <c r="AU66" s="109">
        <f t="shared" si="21"/>
        <v>0</v>
      </c>
      <c r="AV66" s="103">
        <f t="shared" si="22"/>
        <v>0</v>
      </c>
      <c r="AW66" s="104">
        <f t="shared" si="1"/>
        <v>0</v>
      </c>
      <c r="AX66" s="104">
        <f t="shared" si="2"/>
        <v>0</v>
      </c>
      <c r="AY66" s="104">
        <f t="shared" si="3"/>
        <v>0</v>
      </c>
      <c r="AZ66" s="104">
        <f t="shared" si="4"/>
        <v>0</v>
      </c>
      <c r="BA66" s="104">
        <f t="shared" si="5"/>
        <v>0</v>
      </c>
      <c r="BB66" s="106">
        <f t="shared" si="23"/>
        <v>0</v>
      </c>
      <c r="BC66" s="106">
        <f t="shared" si="6"/>
        <v>0</v>
      </c>
      <c r="BD66" s="106">
        <f t="shared" si="24"/>
        <v>0</v>
      </c>
      <c r="BE66" s="106">
        <f t="shared" si="7"/>
        <v>0</v>
      </c>
      <c r="BF66" s="106">
        <f t="shared" si="8"/>
        <v>0</v>
      </c>
      <c r="BG66" s="106">
        <f t="shared" si="9"/>
        <v>0</v>
      </c>
    </row>
    <row r="67" spans="1:59" s="53" customFormat="1" ht="50.1" customHeight="1">
      <c r="A67" s="141">
        <v>60</v>
      </c>
      <c r="B67" s="47"/>
      <c r="C67" s="20"/>
      <c r="D67" s="21"/>
      <c r="E67" s="23"/>
      <c r="F67" s="48"/>
      <c r="G67" s="48"/>
      <c r="H67" s="49"/>
      <c r="I67" s="49"/>
      <c r="J67" s="181"/>
      <c r="K67" s="87"/>
      <c r="L67" s="92"/>
      <c r="M67" s="94"/>
      <c r="N67" s="94"/>
      <c r="O67" s="93"/>
      <c r="P67" s="152"/>
      <c r="Q67" s="75"/>
      <c r="R67" s="221"/>
      <c r="S67" s="178"/>
      <c r="T67" s="50"/>
      <c r="U67" s="112">
        <f t="shared" si="10"/>
        <v>0</v>
      </c>
      <c r="V67" s="113" t="s">
        <v>3</v>
      </c>
      <c r="W67" s="114"/>
      <c r="X67" s="115" t="s">
        <v>3</v>
      </c>
      <c r="Y67" s="114"/>
      <c r="Z67" s="115" t="s">
        <v>4</v>
      </c>
      <c r="AA67" s="116">
        <f t="shared" si="11"/>
        <v>0</v>
      </c>
      <c r="AB67" s="117"/>
      <c r="AC67" s="118"/>
      <c r="AD67" s="119">
        <f t="shared" si="12"/>
        <v>0</v>
      </c>
      <c r="AE67" s="119">
        <f t="shared" si="13"/>
        <v>0</v>
      </c>
      <c r="AF67" s="120">
        <f t="shared" si="14"/>
        <v>0</v>
      </c>
      <c r="AG67" s="121"/>
      <c r="AH67" s="131">
        <f t="shared" si="15"/>
        <v>0</v>
      </c>
      <c r="AI67" s="198"/>
      <c r="AJ67" s="198"/>
      <c r="AK67" s="191">
        <f t="shared" si="16"/>
        <v>0</v>
      </c>
      <c r="AL67" s="122"/>
      <c r="AM67" s="115" t="s">
        <v>5</v>
      </c>
      <c r="AN67" s="51">
        <f t="shared" si="17"/>
        <v>0</v>
      </c>
      <c r="AO67" s="139">
        <f t="shared" si="18"/>
        <v>0</v>
      </c>
      <c r="AP67" s="78">
        <f t="shared" si="19"/>
        <v>0</v>
      </c>
      <c r="AQ67" s="79">
        <f t="shared" si="20"/>
        <v>0</v>
      </c>
      <c r="AR67" s="138"/>
      <c r="AS67" s="52"/>
      <c r="AT67" s="52"/>
      <c r="AU67" s="109">
        <f t="shared" si="21"/>
        <v>0</v>
      </c>
      <c r="AV67" s="103">
        <f t="shared" si="22"/>
        <v>0</v>
      </c>
      <c r="AW67" s="104">
        <f t="shared" si="1"/>
        <v>0</v>
      </c>
      <c r="AX67" s="104">
        <f t="shared" si="2"/>
        <v>0</v>
      </c>
      <c r="AY67" s="104">
        <f t="shared" si="3"/>
        <v>0</v>
      </c>
      <c r="AZ67" s="104">
        <f t="shared" si="4"/>
        <v>0</v>
      </c>
      <c r="BA67" s="104">
        <f t="shared" si="5"/>
        <v>0</v>
      </c>
      <c r="BB67" s="106">
        <f t="shared" si="23"/>
        <v>0</v>
      </c>
      <c r="BC67" s="106">
        <f t="shared" si="6"/>
        <v>0</v>
      </c>
      <c r="BD67" s="106">
        <f t="shared" si="24"/>
        <v>0</v>
      </c>
      <c r="BE67" s="106">
        <f t="shared" si="7"/>
        <v>0</v>
      </c>
      <c r="BF67" s="106">
        <f t="shared" si="8"/>
        <v>0</v>
      </c>
      <c r="BG67" s="106">
        <f t="shared" si="9"/>
        <v>0</v>
      </c>
    </row>
    <row r="68" spans="1:59" s="53" customFormat="1" ht="50.1" customHeight="1">
      <c r="A68" s="141">
        <v>61</v>
      </c>
      <c r="B68" s="47"/>
      <c r="C68" s="20"/>
      <c r="D68" s="21"/>
      <c r="E68" s="23"/>
      <c r="F68" s="48"/>
      <c r="G68" s="48"/>
      <c r="H68" s="49"/>
      <c r="I68" s="49"/>
      <c r="J68" s="181"/>
      <c r="K68" s="87"/>
      <c r="L68" s="92"/>
      <c r="M68" s="94"/>
      <c r="N68" s="94"/>
      <c r="O68" s="93"/>
      <c r="P68" s="152"/>
      <c r="Q68" s="75"/>
      <c r="R68" s="221"/>
      <c r="S68" s="178"/>
      <c r="T68" s="50"/>
      <c r="U68" s="112">
        <f t="shared" si="10"/>
        <v>0</v>
      </c>
      <c r="V68" s="113" t="s">
        <v>3</v>
      </c>
      <c r="W68" s="114"/>
      <c r="X68" s="115" t="s">
        <v>3</v>
      </c>
      <c r="Y68" s="114"/>
      <c r="Z68" s="115" t="s">
        <v>4</v>
      </c>
      <c r="AA68" s="116">
        <f t="shared" si="11"/>
        <v>0</v>
      </c>
      <c r="AB68" s="117"/>
      <c r="AC68" s="118"/>
      <c r="AD68" s="119">
        <f t="shared" si="12"/>
        <v>0</v>
      </c>
      <c r="AE68" s="119">
        <f t="shared" si="13"/>
        <v>0</v>
      </c>
      <c r="AF68" s="120">
        <f t="shared" si="14"/>
        <v>0</v>
      </c>
      <c r="AG68" s="121"/>
      <c r="AH68" s="131">
        <f t="shared" si="15"/>
        <v>0</v>
      </c>
      <c r="AI68" s="198"/>
      <c r="AJ68" s="198"/>
      <c r="AK68" s="191">
        <f t="shared" si="16"/>
        <v>0</v>
      </c>
      <c r="AL68" s="122"/>
      <c r="AM68" s="115" t="s">
        <v>5</v>
      </c>
      <c r="AN68" s="51">
        <f t="shared" si="17"/>
        <v>0</v>
      </c>
      <c r="AO68" s="139">
        <f t="shared" si="18"/>
        <v>0</v>
      </c>
      <c r="AP68" s="78">
        <f t="shared" si="19"/>
        <v>0</v>
      </c>
      <c r="AQ68" s="79">
        <f t="shared" si="20"/>
        <v>0</v>
      </c>
      <c r="AR68" s="138"/>
      <c r="AS68" s="52"/>
      <c r="AT68" s="52"/>
      <c r="AU68" s="109">
        <f t="shared" si="21"/>
        <v>0</v>
      </c>
      <c r="AV68" s="103">
        <f t="shared" si="22"/>
        <v>0</v>
      </c>
      <c r="AW68" s="104">
        <f t="shared" si="1"/>
        <v>0</v>
      </c>
      <c r="AX68" s="104">
        <f t="shared" si="2"/>
        <v>0</v>
      </c>
      <c r="AY68" s="104">
        <f t="shared" si="3"/>
        <v>0</v>
      </c>
      <c r="AZ68" s="104">
        <f t="shared" si="4"/>
        <v>0</v>
      </c>
      <c r="BA68" s="104">
        <f t="shared" si="5"/>
        <v>0</v>
      </c>
      <c r="BB68" s="106">
        <f t="shared" si="23"/>
        <v>0</v>
      </c>
      <c r="BC68" s="106">
        <f t="shared" si="6"/>
        <v>0</v>
      </c>
      <c r="BD68" s="106">
        <f t="shared" si="24"/>
        <v>0</v>
      </c>
      <c r="BE68" s="106">
        <f t="shared" si="7"/>
        <v>0</v>
      </c>
      <c r="BF68" s="106">
        <f t="shared" si="8"/>
        <v>0</v>
      </c>
      <c r="BG68" s="106">
        <f t="shared" si="9"/>
        <v>0</v>
      </c>
    </row>
    <row r="69" spans="1:59" s="53" customFormat="1" ht="50.1" customHeight="1">
      <c r="A69" s="141">
        <v>62</v>
      </c>
      <c r="B69" s="47"/>
      <c r="C69" s="20"/>
      <c r="D69" s="21"/>
      <c r="E69" s="23"/>
      <c r="F69" s="48"/>
      <c r="G69" s="48"/>
      <c r="H69" s="49"/>
      <c r="I69" s="49"/>
      <c r="J69" s="181"/>
      <c r="K69" s="87"/>
      <c r="L69" s="92"/>
      <c r="M69" s="94"/>
      <c r="N69" s="94"/>
      <c r="O69" s="93"/>
      <c r="P69" s="152"/>
      <c r="Q69" s="75"/>
      <c r="R69" s="221"/>
      <c r="S69" s="178"/>
      <c r="T69" s="50"/>
      <c r="U69" s="112">
        <f t="shared" si="10"/>
        <v>0</v>
      </c>
      <c r="V69" s="113" t="s">
        <v>3</v>
      </c>
      <c r="W69" s="114"/>
      <c r="X69" s="115" t="s">
        <v>3</v>
      </c>
      <c r="Y69" s="114"/>
      <c r="Z69" s="115" t="s">
        <v>4</v>
      </c>
      <c r="AA69" s="116">
        <f t="shared" si="11"/>
        <v>0</v>
      </c>
      <c r="AB69" s="117"/>
      <c r="AC69" s="118"/>
      <c r="AD69" s="119">
        <f t="shared" si="12"/>
        <v>0</v>
      </c>
      <c r="AE69" s="119">
        <f t="shared" si="13"/>
        <v>0</v>
      </c>
      <c r="AF69" s="120">
        <f t="shared" si="14"/>
        <v>0</v>
      </c>
      <c r="AG69" s="121"/>
      <c r="AH69" s="131">
        <f t="shared" si="15"/>
        <v>0</v>
      </c>
      <c r="AI69" s="198"/>
      <c r="AJ69" s="198"/>
      <c r="AK69" s="191">
        <f t="shared" si="16"/>
        <v>0</v>
      </c>
      <c r="AL69" s="122"/>
      <c r="AM69" s="115" t="s">
        <v>5</v>
      </c>
      <c r="AN69" s="51">
        <f t="shared" si="17"/>
        <v>0</v>
      </c>
      <c r="AO69" s="139">
        <f t="shared" si="18"/>
        <v>0</v>
      </c>
      <c r="AP69" s="78">
        <f t="shared" si="19"/>
        <v>0</v>
      </c>
      <c r="AQ69" s="79">
        <f t="shared" si="20"/>
        <v>0</v>
      </c>
      <c r="AR69" s="138"/>
      <c r="AS69" s="52"/>
      <c r="AT69" s="52"/>
      <c r="AU69" s="109">
        <f t="shared" si="21"/>
        <v>0</v>
      </c>
      <c r="AV69" s="103">
        <f t="shared" si="22"/>
        <v>0</v>
      </c>
      <c r="AW69" s="104">
        <f t="shared" si="1"/>
        <v>0</v>
      </c>
      <c r="AX69" s="104">
        <f t="shared" si="2"/>
        <v>0</v>
      </c>
      <c r="AY69" s="104">
        <f t="shared" si="3"/>
        <v>0</v>
      </c>
      <c r="AZ69" s="104">
        <f t="shared" si="4"/>
        <v>0</v>
      </c>
      <c r="BA69" s="104">
        <f t="shared" si="5"/>
        <v>0</v>
      </c>
      <c r="BB69" s="106">
        <f t="shared" si="23"/>
        <v>0</v>
      </c>
      <c r="BC69" s="106">
        <f t="shared" si="6"/>
        <v>0</v>
      </c>
      <c r="BD69" s="106">
        <f t="shared" si="24"/>
        <v>0</v>
      </c>
      <c r="BE69" s="106">
        <f t="shared" si="7"/>
        <v>0</v>
      </c>
      <c r="BF69" s="106">
        <f t="shared" si="8"/>
        <v>0</v>
      </c>
      <c r="BG69" s="106">
        <f t="shared" si="9"/>
        <v>0</v>
      </c>
    </row>
    <row r="70" spans="1:59" s="168" customFormat="1" ht="50.1" customHeight="1">
      <c r="A70" s="141">
        <v>63</v>
      </c>
      <c r="B70" s="147"/>
      <c r="C70" s="148"/>
      <c r="D70" s="149"/>
      <c r="E70" s="150"/>
      <c r="F70" s="151"/>
      <c r="G70" s="151"/>
      <c r="H70" s="152"/>
      <c r="I70" s="152"/>
      <c r="J70" s="192"/>
      <c r="K70" s="153"/>
      <c r="L70" s="153"/>
      <c r="M70" s="154"/>
      <c r="N70" s="154"/>
      <c r="O70" s="153"/>
      <c r="P70" s="155"/>
      <c r="Q70" s="156"/>
      <c r="R70" s="222"/>
      <c r="S70" s="214"/>
      <c r="T70" s="157"/>
      <c r="U70" s="112">
        <f t="shared" si="10"/>
        <v>0</v>
      </c>
      <c r="V70" s="158" t="s">
        <v>3</v>
      </c>
      <c r="W70" s="159"/>
      <c r="X70" s="160" t="s">
        <v>3</v>
      </c>
      <c r="Y70" s="159"/>
      <c r="Z70" s="160" t="s">
        <v>4</v>
      </c>
      <c r="AA70" s="116">
        <f t="shared" si="11"/>
        <v>0</v>
      </c>
      <c r="AB70" s="161"/>
      <c r="AC70" s="162"/>
      <c r="AD70" s="119">
        <f t="shared" si="12"/>
        <v>0</v>
      </c>
      <c r="AE70" s="119">
        <f t="shared" si="13"/>
        <v>0</v>
      </c>
      <c r="AF70" s="120">
        <f t="shared" si="14"/>
        <v>0</v>
      </c>
      <c r="AG70" s="163"/>
      <c r="AH70" s="164">
        <f t="shared" si="15"/>
        <v>0</v>
      </c>
      <c r="AI70" s="199"/>
      <c r="AJ70" s="199"/>
      <c r="AK70" s="191">
        <f t="shared" si="16"/>
        <v>0</v>
      </c>
      <c r="AL70" s="165"/>
      <c r="AM70" s="160" t="s">
        <v>5</v>
      </c>
      <c r="AN70" s="51">
        <f t="shared" si="17"/>
        <v>0</v>
      </c>
      <c r="AO70" s="139">
        <f t="shared" si="18"/>
        <v>0</v>
      </c>
      <c r="AP70" s="78">
        <f t="shared" si="19"/>
        <v>0</v>
      </c>
      <c r="AQ70" s="79">
        <f t="shared" si="20"/>
        <v>0</v>
      </c>
      <c r="AR70" s="166"/>
      <c r="AS70" s="167"/>
      <c r="AT70" s="167"/>
      <c r="AU70" s="109">
        <f t="shared" si="21"/>
        <v>0</v>
      </c>
      <c r="AV70" s="103">
        <f t="shared" si="22"/>
        <v>0</v>
      </c>
      <c r="AW70" s="104">
        <f t="shared" si="1"/>
        <v>0</v>
      </c>
      <c r="AX70" s="104">
        <f t="shared" si="2"/>
        <v>0</v>
      </c>
      <c r="AY70" s="104">
        <f t="shared" si="3"/>
        <v>0</v>
      </c>
      <c r="AZ70" s="104">
        <f t="shared" si="4"/>
        <v>0</v>
      </c>
      <c r="BA70" s="104">
        <f t="shared" si="5"/>
        <v>0</v>
      </c>
      <c r="BB70" s="106">
        <f t="shared" si="23"/>
        <v>0</v>
      </c>
      <c r="BC70" s="106">
        <f t="shared" si="6"/>
        <v>0</v>
      </c>
      <c r="BD70" s="106">
        <f t="shared" si="24"/>
        <v>0</v>
      </c>
      <c r="BE70" s="106">
        <f t="shared" si="7"/>
        <v>0</v>
      </c>
      <c r="BF70" s="106">
        <f t="shared" si="8"/>
        <v>0</v>
      </c>
      <c r="BG70" s="106">
        <f t="shared" si="9"/>
        <v>0</v>
      </c>
    </row>
    <row r="71" spans="1:59" s="53" customFormat="1" ht="50.1" customHeight="1">
      <c r="A71" s="141">
        <v>64</v>
      </c>
      <c r="B71" s="47"/>
      <c r="C71" s="20"/>
      <c r="D71" s="21"/>
      <c r="E71" s="23"/>
      <c r="F71" s="48"/>
      <c r="G71" s="48"/>
      <c r="H71" s="49"/>
      <c r="I71" s="49"/>
      <c r="J71" s="181"/>
      <c r="K71" s="87"/>
      <c r="L71" s="92"/>
      <c r="M71" s="94"/>
      <c r="N71" s="94"/>
      <c r="O71" s="93"/>
      <c r="P71" s="152"/>
      <c r="Q71" s="75"/>
      <c r="R71" s="221"/>
      <c r="S71" s="178"/>
      <c r="T71" s="50"/>
      <c r="U71" s="112">
        <f t="shared" si="10"/>
        <v>0</v>
      </c>
      <c r="V71" s="113" t="s">
        <v>3</v>
      </c>
      <c r="W71" s="114"/>
      <c r="X71" s="115" t="s">
        <v>3</v>
      </c>
      <c r="Y71" s="114"/>
      <c r="Z71" s="115" t="s">
        <v>4</v>
      </c>
      <c r="AA71" s="116">
        <f t="shared" si="11"/>
        <v>0</v>
      </c>
      <c r="AB71" s="117"/>
      <c r="AC71" s="118"/>
      <c r="AD71" s="119">
        <f t="shared" si="12"/>
        <v>0</v>
      </c>
      <c r="AE71" s="119">
        <f t="shared" si="13"/>
        <v>0</v>
      </c>
      <c r="AF71" s="120">
        <f t="shared" si="14"/>
        <v>0</v>
      </c>
      <c r="AG71" s="121"/>
      <c r="AH71" s="131">
        <f t="shared" si="15"/>
        <v>0</v>
      </c>
      <c r="AI71" s="198"/>
      <c r="AJ71" s="198"/>
      <c r="AK71" s="191">
        <f t="shared" si="16"/>
        <v>0</v>
      </c>
      <c r="AL71" s="122"/>
      <c r="AM71" s="115" t="s">
        <v>5</v>
      </c>
      <c r="AN71" s="51">
        <f t="shared" si="17"/>
        <v>0</v>
      </c>
      <c r="AO71" s="139">
        <f t="shared" si="18"/>
        <v>0</v>
      </c>
      <c r="AP71" s="78">
        <f t="shared" si="19"/>
        <v>0</v>
      </c>
      <c r="AQ71" s="79">
        <f t="shared" si="20"/>
        <v>0</v>
      </c>
      <c r="AR71" s="138"/>
      <c r="AS71" s="52"/>
      <c r="AT71" s="52"/>
      <c r="AU71" s="109">
        <f t="shared" si="21"/>
        <v>0</v>
      </c>
      <c r="AV71" s="103">
        <f t="shared" si="22"/>
        <v>0</v>
      </c>
      <c r="AW71" s="104">
        <f t="shared" si="1"/>
        <v>0</v>
      </c>
      <c r="AX71" s="104">
        <f t="shared" si="2"/>
        <v>0</v>
      </c>
      <c r="AY71" s="104">
        <f t="shared" si="3"/>
        <v>0</v>
      </c>
      <c r="AZ71" s="104">
        <f t="shared" si="4"/>
        <v>0</v>
      </c>
      <c r="BA71" s="104">
        <f t="shared" si="5"/>
        <v>0</v>
      </c>
      <c r="BB71" s="106">
        <f t="shared" si="23"/>
        <v>0</v>
      </c>
      <c r="BC71" s="106">
        <f t="shared" si="6"/>
        <v>0</v>
      </c>
      <c r="BD71" s="106">
        <f t="shared" si="24"/>
        <v>0</v>
      </c>
      <c r="BE71" s="106">
        <f t="shared" si="7"/>
        <v>0</v>
      </c>
      <c r="BF71" s="106">
        <f t="shared" si="8"/>
        <v>0</v>
      </c>
      <c r="BG71" s="106">
        <f t="shared" si="9"/>
        <v>0</v>
      </c>
    </row>
    <row r="72" spans="1:59" s="53" customFormat="1" ht="50.1" customHeight="1">
      <c r="A72" s="141">
        <v>65</v>
      </c>
      <c r="B72" s="47"/>
      <c r="C72" s="20"/>
      <c r="D72" s="21"/>
      <c r="E72" s="23"/>
      <c r="F72" s="48"/>
      <c r="G72" s="48"/>
      <c r="H72" s="49"/>
      <c r="I72" s="49"/>
      <c r="J72" s="181"/>
      <c r="K72" s="87"/>
      <c r="L72" s="92"/>
      <c r="M72" s="94"/>
      <c r="N72" s="94"/>
      <c r="O72" s="93"/>
      <c r="P72" s="152"/>
      <c r="Q72" s="75"/>
      <c r="R72" s="221"/>
      <c r="S72" s="178"/>
      <c r="T72" s="50"/>
      <c r="U72" s="112">
        <f t="shared" si="10"/>
        <v>0</v>
      </c>
      <c r="V72" s="113" t="s">
        <v>3</v>
      </c>
      <c r="W72" s="114"/>
      <c r="X72" s="115" t="s">
        <v>3</v>
      </c>
      <c r="Y72" s="114"/>
      <c r="Z72" s="115" t="s">
        <v>4</v>
      </c>
      <c r="AA72" s="116">
        <f t="shared" si="11"/>
        <v>0</v>
      </c>
      <c r="AB72" s="117"/>
      <c r="AC72" s="118"/>
      <c r="AD72" s="119">
        <f t="shared" si="12"/>
        <v>0</v>
      </c>
      <c r="AE72" s="119">
        <f t="shared" si="13"/>
        <v>0</v>
      </c>
      <c r="AF72" s="120">
        <f t="shared" si="14"/>
        <v>0</v>
      </c>
      <c r="AG72" s="121"/>
      <c r="AH72" s="131">
        <f t="shared" si="15"/>
        <v>0</v>
      </c>
      <c r="AI72" s="198"/>
      <c r="AJ72" s="198"/>
      <c r="AK72" s="191">
        <f t="shared" si="16"/>
        <v>0</v>
      </c>
      <c r="AL72" s="122"/>
      <c r="AM72" s="115" t="s">
        <v>5</v>
      </c>
      <c r="AN72" s="51">
        <f t="shared" si="17"/>
        <v>0</v>
      </c>
      <c r="AO72" s="139">
        <f t="shared" si="18"/>
        <v>0</v>
      </c>
      <c r="AP72" s="78">
        <f t="shared" si="19"/>
        <v>0</v>
      </c>
      <c r="AQ72" s="79">
        <f t="shared" si="20"/>
        <v>0</v>
      </c>
      <c r="AR72" s="138"/>
      <c r="AS72" s="52"/>
      <c r="AT72" s="52"/>
      <c r="AU72" s="109">
        <f t="shared" si="21"/>
        <v>0</v>
      </c>
      <c r="AV72" s="103">
        <f t="shared" si="22"/>
        <v>0</v>
      </c>
      <c r="AW72" s="104">
        <f t="shared" ref="AW72:AW135" si="25">INT((AO72-(AV72*100))/50)</f>
        <v>0</v>
      </c>
      <c r="AX72" s="104">
        <f t="shared" ref="AX72:AX135" si="26">INT((AO72-(AV72*100+AW72*50))/20)</f>
        <v>0</v>
      </c>
      <c r="AY72" s="104">
        <f t="shared" ref="AY72:AY135" si="27">INT((AO72-(AV72*100+AW72*50+AX72*20))/10)</f>
        <v>0</v>
      </c>
      <c r="AZ72" s="104">
        <f t="shared" ref="AZ72:AZ135" si="28">INT((AO72-(AV72*100+AW72*50+AX72*20+AY72*10))/5)</f>
        <v>0</v>
      </c>
      <c r="BA72" s="104">
        <f t="shared" ref="BA72:BA135" si="29">INT((AO72-(AV72*100+AW72*50+AX72*20+AY72*10+AZ72*5))/1)</f>
        <v>0</v>
      </c>
      <c r="BB72" s="106">
        <f t="shared" si="23"/>
        <v>0</v>
      </c>
      <c r="BC72" s="106">
        <f t="shared" ref="BC72:BC135" si="30">INT((AQ72-(BB72*10000))/5000)</f>
        <v>0</v>
      </c>
      <c r="BD72" s="106">
        <f t="shared" si="24"/>
        <v>0</v>
      </c>
      <c r="BE72" s="106">
        <f t="shared" ref="BE72:BE135" si="31">INT((AQ72-(BB72*10000+BC72*5000+BD72*2000))/1000)</f>
        <v>0</v>
      </c>
      <c r="BF72" s="106">
        <f t="shared" ref="BF72:BF135" si="32">INT((AQ72-(BB72*10000+BC72*5000+BD72*2000+BE72*1000))/500)</f>
        <v>0</v>
      </c>
      <c r="BG72" s="106">
        <f t="shared" ref="BG72:BG135" si="33">INT((AQ72-(BB72*10000+BC72*5000+BD72*2000+BE72*1000+BF72*500))/100)</f>
        <v>0</v>
      </c>
    </row>
    <row r="73" spans="1:59" s="53" customFormat="1" ht="50.1" customHeight="1">
      <c r="A73" s="141">
        <v>66</v>
      </c>
      <c r="B73" s="47"/>
      <c r="C73" s="20"/>
      <c r="D73" s="21"/>
      <c r="E73" s="23"/>
      <c r="F73" s="48"/>
      <c r="G73" s="48"/>
      <c r="H73" s="49"/>
      <c r="I73" s="49"/>
      <c r="J73" s="181"/>
      <c r="K73" s="87"/>
      <c r="L73" s="92"/>
      <c r="M73" s="94"/>
      <c r="N73" s="94"/>
      <c r="O73" s="93"/>
      <c r="P73" s="152"/>
      <c r="Q73" s="75"/>
      <c r="R73" s="221"/>
      <c r="S73" s="178"/>
      <c r="T73" s="50"/>
      <c r="U73" s="112">
        <f t="shared" ref="U73:U136" si="34">SUM(T73*8)</f>
        <v>0</v>
      </c>
      <c r="V73" s="113" t="s">
        <v>3</v>
      </c>
      <c r="W73" s="114"/>
      <c r="X73" s="115" t="s">
        <v>3</v>
      </c>
      <c r="Y73" s="114"/>
      <c r="Z73" s="115" t="s">
        <v>4</v>
      </c>
      <c r="AA73" s="116">
        <f t="shared" ref="AA73:AA136" si="35">U73+W73+Y73</f>
        <v>0</v>
      </c>
      <c r="AB73" s="117"/>
      <c r="AC73" s="118"/>
      <c r="AD73" s="119">
        <f t="shared" ref="AD73:AD136" si="36">R73/208*U73</f>
        <v>0</v>
      </c>
      <c r="AE73" s="119">
        <f t="shared" ref="AE73:AE136" si="37">R73/208*W73*1.5</f>
        <v>0</v>
      </c>
      <c r="AF73" s="120">
        <f t="shared" ref="AF73:AF136" si="38">R73/208*Y73*2</f>
        <v>0</v>
      </c>
      <c r="AG73" s="121"/>
      <c r="AH73" s="131">
        <f t="shared" ref="AH73:AH136" si="39">AG73*R73/26</f>
        <v>0</v>
      </c>
      <c r="AI73" s="198"/>
      <c r="AJ73" s="198"/>
      <c r="AK73" s="191">
        <f t="shared" ref="AK73:AK136" si="40">10/26*(T73+AL73)</f>
        <v>0</v>
      </c>
      <c r="AL73" s="122"/>
      <c r="AM73" s="115" t="s">
        <v>5</v>
      </c>
      <c r="AN73" s="51">
        <f t="shared" ref="AN73:AN136" si="41">R73/26*AL73</f>
        <v>0</v>
      </c>
      <c r="AO73" s="139">
        <f t="shared" ref="AO73:AO136" si="42">AD73+AE73+AF73+AH73+AK73+AN73+AI73+AJ73</f>
        <v>0</v>
      </c>
      <c r="AP73" s="78">
        <f t="shared" ref="AP73:AP136" si="43">AO73-(AU73/4000)</f>
        <v>0</v>
      </c>
      <c r="AQ73" s="79">
        <f t="shared" ref="AQ73:AQ136" si="44">AU73</f>
        <v>0</v>
      </c>
      <c r="AR73" s="138"/>
      <c r="AS73" s="52"/>
      <c r="AT73" s="52"/>
      <c r="AU73" s="109">
        <f t="shared" ref="AU73:AU136" si="45">ROUNDUP(((AO73-(AV73*100+AW73*50+AX73*20+AY73*10+AZ73*5+BA73*1))*4000)/100,0)*100</f>
        <v>0</v>
      </c>
      <c r="AV73" s="103">
        <f t="shared" ref="AV73:AV136" si="46">INT(AO73/100)</f>
        <v>0</v>
      </c>
      <c r="AW73" s="104">
        <f t="shared" si="25"/>
        <v>0</v>
      </c>
      <c r="AX73" s="104">
        <f t="shared" si="26"/>
        <v>0</v>
      </c>
      <c r="AY73" s="104">
        <f t="shared" si="27"/>
        <v>0</v>
      </c>
      <c r="AZ73" s="104">
        <f t="shared" si="28"/>
        <v>0</v>
      </c>
      <c r="BA73" s="104">
        <f t="shared" si="29"/>
        <v>0</v>
      </c>
      <c r="BB73" s="106">
        <f t="shared" ref="BB73:BB136" si="47">INT(AQ73/10000)</f>
        <v>0</v>
      </c>
      <c r="BC73" s="106">
        <f t="shared" si="30"/>
        <v>0</v>
      </c>
      <c r="BD73" s="106">
        <f t="shared" ref="BD73:BD136" si="48">INT((AQ73-(BB73*10000+BC73*5000))/2000)</f>
        <v>0</v>
      </c>
      <c r="BE73" s="106">
        <f t="shared" si="31"/>
        <v>0</v>
      </c>
      <c r="BF73" s="106">
        <f t="shared" si="32"/>
        <v>0</v>
      </c>
      <c r="BG73" s="106">
        <f t="shared" si="33"/>
        <v>0</v>
      </c>
    </row>
    <row r="74" spans="1:59" s="53" customFormat="1" ht="50.1" customHeight="1">
      <c r="A74" s="141">
        <v>67</v>
      </c>
      <c r="B74" s="47"/>
      <c r="C74" s="20"/>
      <c r="D74" s="21"/>
      <c r="E74" s="23"/>
      <c r="F74" s="48"/>
      <c r="G74" s="48"/>
      <c r="H74" s="49"/>
      <c r="I74" s="49"/>
      <c r="J74" s="181"/>
      <c r="K74" s="87"/>
      <c r="L74" s="92"/>
      <c r="M74" s="94"/>
      <c r="N74" s="94"/>
      <c r="O74" s="93"/>
      <c r="P74" s="152"/>
      <c r="Q74" s="75"/>
      <c r="R74" s="221"/>
      <c r="S74" s="178"/>
      <c r="T74" s="50"/>
      <c r="U74" s="112">
        <f t="shared" si="34"/>
        <v>0</v>
      </c>
      <c r="V74" s="113" t="s">
        <v>3</v>
      </c>
      <c r="W74" s="114"/>
      <c r="X74" s="115" t="s">
        <v>3</v>
      </c>
      <c r="Y74" s="114"/>
      <c r="Z74" s="115" t="s">
        <v>4</v>
      </c>
      <c r="AA74" s="116">
        <f t="shared" si="35"/>
        <v>0</v>
      </c>
      <c r="AB74" s="117"/>
      <c r="AC74" s="118"/>
      <c r="AD74" s="119">
        <f t="shared" si="36"/>
        <v>0</v>
      </c>
      <c r="AE74" s="119">
        <f t="shared" si="37"/>
        <v>0</v>
      </c>
      <c r="AF74" s="120">
        <f t="shared" si="38"/>
        <v>0</v>
      </c>
      <c r="AG74" s="121"/>
      <c r="AH74" s="131">
        <f t="shared" si="39"/>
        <v>0</v>
      </c>
      <c r="AI74" s="198"/>
      <c r="AJ74" s="198"/>
      <c r="AK74" s="191">
        <f t="shared" si="40"/>
        <v>0</v>
      </c>
      <c r="AL74" s="122"/>
      <c r="AM74" s="115" t="s">
        <v>5</v>
      </c>
      <c r="AN74" s="51">
        <f t="shared" si="41"/>
        <v>0</v>
      </c>
      <c r="AO74" s="139">
        <f t="shared" si="42"/>
        <v>0</v>
      </c>
      <c r="AP74" s="78">
        <f t="shared" si="43"/>
        <v>0</v>
      </c>
      <c r="AQ74" s="79">
        <f t="shared" si="44"/>
        <v>0</v>
      </c>
      <c r="AR74" s="138"/>
      <c r="AS74" s="52"/>
      <c r="AT74" s="52"/>
      <c r="AU74" s="109">
        <f t="shared" si="45"/>
        <v>0</v>
      </c>
      <c r="AV74" s="103">
        <f t="shared" si="46"/>
        <v>0</v>
      </c>
      <c r="AW74" s="104">
        <f t="shared" si="25"/>
        <v>0</v>
      </c>
      <c r="AX74" s="104">
        <f t="shared" si="26"/>
        <v>0</v>
      </c>
      <c r="AY74" s="104">
        <f t="shared" si="27"/>
        <v>0</v>
      </c>
      <c r="AZ74" s="104">
        <f t="shared" si="28"/>
        <v>0</v>
      </c>
      <c r="BA74" s="104">
        <f t="shared" si="29"/>
        <v>0</v>
      </c>
      <c r="BB74" s="106">
        <f t="shared" si="47"/>
        <v>0</v>
      </c>
      <c r="BC74" s="106">
        <f t="shared" si="30"/>
        <v>0</v>
      </c>
      <c r="BD74" s="106">
        <f t="shared" si="48"/>
        <v>0</v>
      </c>
      <c r="BE74" s="106">
        <f t="shared" si="31"/>
        <v>0</v>
      </c>
      <c r="BF74" s="106">
        <f t="shared" si="32"/>
        <v>0</v>
      </c>
      <c r="BG74" s="106">
        <f t="shared" si="33"/>
        <v>0</v>
      </c>
    </row>
    <row r="75" spans="1:59" s="53" customFormat="1" ht="50.1" customHeight="1">
      <c r="A75" s="141">
        <v>68</v>
      </c>
      <c r="B75" s="47"/>
      <c r="C75" s="20"/>
      <c r="D75" s="21"/>
      <c r="E75" s="23"/>
      <c r="F75" s="48"/>
      <c r="G75" s="48"/>
      <c r="H75" s="49"/>
      <c r="I75" s="49"/>
      <c r="J75" s="181"/>
      <c r="K75" s="87"/>
      <c r="L75" s="92"/>
      <c r="M75" s="94"/>
      <c r="N75" s="94"/>
      <c r="O75" s="93"/>
      <c r="P75" s="152"/>
      <c r="Q75" s="75"/>
      <c r="R75" s="221"/>
      <c r="S75" s="178"/>
      <c r="T75" s="50"/>
      <c r="U75" s="112">
        <f t="shared" si="34"/>
        <v>0</v>
      </c>
      <c r="V75" s="113" t="s">
        <v>3</v>
      </c>
      <c r="W75" s="114"/>
      <c r="X75" s="115" t="s">
        <v>3</v>
      </c>
      <c r="Y75" s="114"/>
      <c r="Z75" s="115" t="s">
        <v>4</v>
      </c>
      <c r="AA75" s="116">
        <f t="shared" si="35"/>
        <v>0</v>
      </c>
      <c r="AB75" s="117"/>
      <c r="AC75" s="118"/>
      <c r="AD75" s="119">
        <f t="shared" si="36"/>
        <v>0</v>
      </c>
      <c r="AE75" s="119">
        <f t="shared" si="37"/>
        <v>0</v>
      </c>
      <c r="AF75" s="120">
        <f t="shared" si="38"/>
        <v>0</v>
      </c>
      <c r="AG75" s="121"/>
      <c r="AH75" s="131">
        <f t="shared" si="39"/>
        <v>0</v>
      </c>
      <c r="AI75" s="198"/>
      <c r="AJ75" s="198"/>
      <c r="AK75" s="191">
        <f t="shared" si="40"/>
        <v>0</v>
      </c>
      <c r="AL75" s="122"/>
      <c r="AM75" s="115" t="s">
        <v>5</v>
      </c>
      <c r="AN75" s="51">
        <f t="shared" si="41"/>
        <v>0</v>
      </c>
      <c r="AO75" s="139">
        <f t="shared" si="42"/>
        <v>0</v>
      </c>
      <c r="AP75" s="78">
        <f t="shared" si="43"/>
        <v>0</v>
      </c>
      <c r="AQ75" s="79">
        <f t="shared" si="44"/>
        <v>0</v>
      </c>
      <c r="AR75" s="138"/>
      <c r="AS75" s="52"/>
      <c r="AT75" s="52"/>
      <c r="AU75" s="109">
        <f t="shared" si="45"/>
        <v>0</v>
      </c>
      <c r="AV75" s="103">
        <f t="shared" si="46"/>
        <v>0</v>
      </c>
      <c r="AW75" s="104">
        <f t="shared" si="25"/>
        <v>0</v>
      </c>
      <c r="AX75" s="104">
        <f t="shared" si="26"/>
        <v>0</v>
      </c>
      <c r="AY75" s="104">
        <f t="shared" si="27"/>
        <v>0</v>
      </c>
      <c r="AZ75" s="104">
        <f t="shared" si="28"/>
        <v>0</v>
      </c>
      <c r="BA75" s="104">
        <f t="shared" si="29"/>
        <v>0</v>
      </c>
      <c r="BB75" s="106">
        <f t="shared" si="47"/>
        <v>0</v>
      </c>
      <c r="BC75" s="106">
        <f t="shared" si="30"/>
        <v>0</v>
      </c>
      <c r="BD75" s="106">
        <f t="shared" si="48"/>
        <v>0</v>
      </c>
      <c r="BE75" s="106">
        <f t="shared" si="31"/>
        <v>0</v>
      </c>
      <c r="BF75" s="106">
        <f t="shared" si="32"/>
        <v>0</v>
      </c>
      <c r="BG75" s="106">
        <f t="shared" si="33"/>
        <v>0</v>
      </c>
    </row>
    <row r="76" spans="1:59" s="53" customFormat="1" ht="50.1" customHeight="1">
      <c r="A76" s="141">
        <v>69</v>
      </c>
      <c r="B76" s="47"/>
      <c r="C76" s="20"/>
      <c r="D76" s="21"/>
      <c r="E76" s="23"/>
      <c r="F76" s="48"/>
      <c r="G76" s="48"/>
      <c r="H76" s="49"/>
      <c r="I76" s="49"/>
      <c r="J76" s="181"/>
      <c r="K76" s="87"/>
      <c r="L76" s="92"/>
      <c r="M76" s="94"/>
      <c r="N76" s="94"/>
      <c r="O76" s="93"/>
      <c r="P76" s="152"/>
      <c r="Q76" s="75"/>
      <c r="R76" s="221"/>
      <c r="S76" s="178"/>
      <c r="T76" s="50"/>
      <c r="U76" s="112">
        <f t="shared" si="34"/>
        <v>0</v>
      </c>
      <c r="V76" s="113" t="s">
        <v>3</v>
      </c>
      <c r="W76" s="114"/>
      <c r="X76" s="115" t="s">
        <v>3</v>
      </c>
      <c r="Y76" s="114"/>
      <c r="Z76" s="115" t="s">
        <v>4</v>
      </c>
      <c r="AA76" s="116">
        <f t="shared" si="35"/>
        <v>0</v>
      </c>
      <c r="AB76" s="117"/>
      <c r="AC76" s="118"/>
      <c r="AD76" s="119">
        <f t="shared" si="36"/>
        <v>0</v>
      </c>
      <c r="AE76" s="119">
        <f t="shared" si="37"/>
        <v>0</v>
      </c>
      <c r="AF76" s="120">
        <f t="shared" si="38"/>
        <v>0</v>
      </c>
      <c r="AG76" s="121"/>
      <c r="AH76" s="131">
        <f t="shared" si="39"/>
        <v>0</v>
      </c>
      <c r="AI76" s="198"/>
      <c r="AJ76" s="198"/>
      <c r="AK76" s="191">
        <f t="shared" si="40"/>
        <v>0</v>
      </c>
      <c r="AL76" s="122"/>
      <c r="AM76" s="115" t="s">
        <v>5</v>
      </c>
      <c r="AN76" s="51">
        <f t="shared" si="41"/>
        <v>0</v>
      </c>
      <c r="AO76" s="139">
        <f t="shared" si="42"/>
        <v>0</v>
      </c>
      <c r="AP76" s="78">
        <f t="shared" si="43"/>
        <v>0</v>
      </c>
      <c r="AQ76" s="79">
        <f t="shared" si="44"/>
        <v>0</v>
      </c>
      <c r="AR76" s="138"/>
      <c r="AS76" s="52"/>
      <c r="AT76" s="52"/>
      <c r="AU76" s="109">
        <f t="shared" si="45"/>
        <v>0</v>
      </c>
      <c r="AV76" s="103">
        <f t="shared" si="46"/>
        <v>0</v>
      </c>
      <c r="AW76" s="104">
        <f t="shared" si="25"/>
        <v>0</v>
      </c>
      <c r="AX76" s="104">
        <f t="shared" si="26"/>
        <v>0</v>
      </c>
      <c r="AY76" s="104">
        <f t="shared" si="27"/>
        <v>0</v>
      </c>
      <c r="AZ76" s="104">
        <f t="shared" si="28"/>
        <v>0</v>
      </c>
      <c r="BA76" s="104">
        <f t="shared" si="29"/>
        <v>0</v>
      </c>
      <c r="BB76" s="106">
        <f t="shared" si="47"/>
        <v>0</v>
      </c>
      <c r="BC76" s="106">
        <f t="shared" si="30"/>
        <v>0</v>
      </c>
      <c r="BD76" s="106">
        <f t="shared" si="48"/>
        <v>0</v>
      </c>
      <c r="BE76" s="106">
        <f t="shared" si="31"/>
        <v>0</v>
      </c>
      <c r="BF76" s="106">
        <f t="shared" si="32"/>
        <v>0</v>
      </c>
      <c r="BG76" s="106">
        <f t="shared" si="33"/>
        <v>0</v>
      </c>
    </row>
    <row r="77" spans="1:59" s="53" customFormat="1" ht="50.1" customHeight="1">
      <c r="A77" s="141">
        <v>70</v>
      </c>
      <c r="B77" s="47"/>
      <c r="C77" s="20"/>
      <c r="D77" s="21"/>
      <c r="E77" s="23"/>
      <c r="F77" s="48"/>
      <c r="G77" s="48"/>
      <c r="H77" s="49"/>
      <c r="I77" s="49"/>
      <c r="J77" s="182"/>
      <c r="K77" s="88"/>
      <c r="L77" s="88"/>
      <c r="M77" s="96"/>
      <c r="N77" s="96"/>
      <c r="O77" s="88"/>
      <c r="P77" s="152"/>
      <c r="Q77" s="75"/>
      <c r="R77" s="221"/>
      <c r="S77" s="178"/>
      <c r="T77" s="50"/>
      <c r="U77" s="112">
        <f t="shared" si="34"/>
        <v>0</v>
      </c>
      <c r="V77" s="113" t="s">
        <v>3</v>
      </c>
      <c r="W77" s="114"/>
      <c r="X77" s="115" t="s">
        <v>3</v>
      </c>
      <c r="Y77" s="114"/>
      <c r="Z77" s="115" t="s">
        <v>4</v>
      </c>
      <c r="AA77" s="116">
        <f t="shared" si="35"/>
        <v>0</v>
      </c>
      <c r="AB77" s="117"/>
      <c r="AC77" s="118"/>
      <c r="AD77" s="119">
        <f t="shared" si="36"/>
        <v>0</v>
      </c>
      <c r="AE77" s="119">
        <f t="shared" si="37"/>
        <v>0</v>
      </c>
      <c r="AF77" s="120">
        <f t="shared" si="38"/>
        <v>0</v>
      </c>
      <c r="AG77" s="121"/>
      <c r="AH77" s="131">
        <f t="shared" si="39"/>
        <v>0</v>
      </c>
      <c r="AI77" s="198"/>
      <c r="AJ77" s="198"/>
      <c r="AK77" s="191">
        <f t="shared" si="40"/>
        <v>0</v>
      </c>
      <c r="AL77" s="122"/>
      <c r="AM77" s="115" t="s">
        <v>5</v>
      </c>
      <c r="AN77" s="51">
        <f t="shared" si="41"/>
        <v>0</v>
      </c>
      <c r="AO77" s="139">
        <f t="shared" si="42"/>
        <v>0</v>
      </c>
      <c r="AP77" s="78">
        <f t="shared" si="43"/>
        <v>0</v>
      </c>
      <c r="AQ77" s="79">
        <f t="shared" si="44"/>
        <v>0</v>
      </c>
      <c r="AR77" s="138"/>
      <c r="AS77" s="52"/>
      <c r="AT77" s="52"/>
      <c r="AU77" s="109">
        <f t="shared" si="45"/>
        <v>0</v>
      </c>
      <c r="AV77" s="103">
        <f t="shared" si="46"/>
        <v>0</v>
      </c>
      <c r="AW77" s="104">
        <f t="shared" si="25"/>
        <v>0</v>
      </c>
      <c r="AX77" s="104">
        <f t="shared" si="26"/>
        <v>0</v>
      </c>
      <c r="AY77" s="104">
        <f t="shared" si="27"/>
        <v>0</v>
      </c>
      <c r="AZ77" s="104">
        <f t="shared" si="28"/>
        <v>0</v>
      </c>
      <c r="BA77" s="104">
        <f t="shared" si="29"/>
        <v>0</v>
      </c>
      <c r="BB77" s="106">
        <f t="shared" si="47"/>
        <v>0</v>
      </c>
      <c r="BC77" s="106">
        <f t="shared" si="30"/>
        <v>0</v>
      </c>
      <c r="BD77" s="106">
        <f t="shared" si="48"/>
        <v>0</v>
      </c>
      <c r="BE77" s="106">
        <f t="shared" si="31"/>
        <v>0</v>
      </c>
      <c r="BF77" s="106">
        <f t="shared" si="32"/>
        <v>0</v>
      </c>
      <c r="BG77" s="106">
        <f t="shared" si="33"/>
        <v>0</v>
      </c>
    </row>
    <row r="78" spans="1:59" s="53" customFormat="1" ht="50.1" customHeight="1">
      <c r="A78" s="141">
        <v>71</v>
      </c>
      <c r="B78" s="47"/>
      <c r="C78" s="20"/>
      <c r="D78" s="21"/>
      <c r="E78" s="23"/>
      <c r="F78" s="48"/>
      <c r="G78" s="48"/>
      <c r="H78" s="49"/>
      <c r="I78" s="49"/>
      <c r="J78" s="181"/>
      <c r="K78" s="87"/>
      <c r="L78" s="92"/>
      <c r="M78" s="94"/>
      <c r="N78" s="94"/>
      <c r="O78" s="93"/>
      <c r="P78" s="152"/>
      <c r="Q78" s="75"/>
      <c r="R78" s="221"/>
      <c r="S78" s="178"/>
      <c r="T78" s="50"/>
      <c r="U78" s="112">
        <f t="shared" si="34"/>
        <v>0</v>
      </c>
      <c r="V78" s="113" t="s">
        <v>3</v>
      </c>
      <c r="W78" s="114"/>
      <c r="X78" s="115" t="s">
        <v>3</v>
      </c>
      <c r="Y78" s="114"/>
      <c r="Z78" s="115" t="s">
        <v>4</v>
      </c>
      <c r="AA78" s="116">
        <f t="shared" si="35"/>
        <v>0</v>
      </c>
      <c r="AB78" s="117"/>
      <c r="AC78" s="118"/>
      <c r="AD78" s="119">
        <f t="shared" si="36"/>
        <v>0</v>
      </c>
      <c r="AE78" s="119">
        <f t="shared" si="37"/>
        <v>0</v>
      </c>
      <c r="AF78" s="120">
        <f t="shared" si="38"/>
        <v>0</v>
      </c>
      <c r="AG78" s="121"/>
      <c r="AH78" s="131">
        <f t="shared" si="39"/>
        <v>0</v>
      </c>
      <c r="AI78" s="198"/>
      <c r="AJ78" s="198"/>
      <c r="AK78" s="191">
        <f t="shared" si="40"/>
        <v>0</v>
      </c>
      <c r="AL78" s="122"/>
      <c r="AM78" s="115" t="s">
        <v>5</v>
      </c>
      <c r="AN78" s="51">
        <f t="shared" si="41"/>
        <v>0</v>
      </c>
      <c r="AO78" s="139">
        <f t="shared" si="42"/>
        <v>0</v>
      </c>
      <c r="AP78" s="78">
        <f t="shared" si="43"/>
        <v>0</v>
      </c>
      <c r="AQ78" s="79">
        <f t="shared" si="44"/>
        <v>0</v>
      </c>
      <c r="AR78" s="138"/>
      <c r="AS78" s="52"/>
      <c r="AT78" s="52"/>
      <c r="AU78" s="109">
        <f t="shared" si="45"/>
        <v>0</v>
      </c>
      <c r="AV78" s="103">
        <f t="shared" si="46"/>
        <v>0</v>
      </c>
      <c r="AW78" s="104">
        <f t="shared" si="25"/>
        <v>0</v>
      </c>
      <c r="AX78" s="104">
        <f t="shared" si="26"/>
        <v>0</v>
      </c>
      <c r="AY78" s="104">
        <f t="shared" si="27"/>
        <v>0</v>
      </c>
      <c r="AZ78" s="104">
        <f t="shared" si="28"/>
        <v>0</v>
      </c>
      <c r="BA78" s="104">
        <f t="shared" si="29"/>
        <v>0</v>
      </c>
      <c r="BB78" s="106">
        <f t="shared" si="47"/>
        <v>0</v>
      </c>
      <c r="BC78" s="106">
        <f t="shared" si="30"/>
        <v>0</v>
      </c>
      <c r="BD78" s="106">
        <f t="shared" si="48"/>
        <v>0</v>
      </c>
      <c r="BE78" s="106">
        <f t="shared" si="31"/>
        <v>0</v>
      </c>
      <c r="BF78" s="106">
        <f t="shared" si="32"/>
        <v>0</v>
      </c>
      <c r="BG78" s="106">
        <f t="shared" si="33"/>
        <v>0</v>
      </c>
    </row>
    <row r="79" spans="1:59" s="53" customFormat="1" ht="50.1" customHeight="1">
      <c r="A79" s="141">
        <v>72</v>
      </c>
      <c r="B79" s="47"/>
      <c r="C79" s="20"/>
      <c r="D79" s="21"/>
      <c r="E79" s="23"/>
      <c r="F79" s="48"/>
      <c r="G79" s="48"/>
      <c r="H79" s="49"/>
      <c r="I79" s="49"/>
      <c r="J79" s="181"/>
      <c r="K79" s="87"/>
      <c r="L79" s="92"/>
      <c r="M79" s="94"/>
      <c r="N79" s="94"/>
      <c r="O79" s="93"/>
      <c r="P79" s="152"/>
      <c r="Q79" s="75"/>
      <c r="R79" s="221"/>
      <c r="S79" s="178"/>
      <c r="T79" s="50"/>
      <c r="U79" s="112">
        <f t="shared" si="34"/>
        <v>0</v>
      </c>
      <c r="V79" s="113" t="s">
        <v>3</v>
      </c>
      <c r="W79" s="114"/>
      <c r="X79" s="115" t="s">
        <v>3</v>
      </c>
      <c r="Y79" s="114"/>
      <c r="Z79" s="115" t="s">
        <v>4</v>
      </c>
      <c r="AA79" s="116">
        <f t="shared" si="35"/>
        <v>0</v>
      </c>
      <c r="AB79" s="117"/>
      <c r="AC79" s="118"/>
      <c r="AD79" s="119">
        <f t="shared" si="36"/>
        <v>0</v>
      </c>
      <c r="AE79" s="119">
        <f t="shared" si="37"/>
        <v>0</v>
      </c>
      <c r="AF79" s="120">
        <f t="shared" si="38"/>
        <v>0</v>
      </c>
      <c r="AG79" s="121"/>
      <c r="AH79" s="131">
        <f t="shared" si="39"/>
        <v>0</v>
      </c>
      <c r="AI79" s="198"/>
      <c r="AJ79" s="198"/>
      <c r="AK79" s="191">
        <f t="shared" si="40"/>
        <v>0</v>
      </c>
      <c r="AL79" s="122"/>
      <c r="AM79" s="115" t="s">
        <v>5</v>
      </c>
      <c r="AN79" s="51">
        <f t="shared" si="41"/>
        <v>0</v>
      </c>
      <c r="AO79" s="139">
        <f t="shared" si="42"/>
        <v>0</v>
      </c>
      <c r="AP79" s="78">
        <f t="shared" si="43"/>
        <v>0</v>
      </c>
      <c r="AQ79" s="79">
        <f t="shared" si="44"/>
        <v>0</v>
      </c>
      <c r="AR79" s="138"/>
      <c r="AS79" s="52"/>
      <c r="AT79" s="52"/>
      <c r="AU79" s="109">
        <f t="shared" si="45"/>
        <v>0</v>
      </c>
      <c r="AV79" s="103">
        <f t="shared" si="46"/>
        <v>0</v>
      </c>
      <c r="AW79" s="104">
        <f t="shared" si="25"/>
        <v>0</v>
      </c>
      <c r="AX79" s="104">
        <f t="shared" si="26"/>
        <v>0</v>
      </c>
      <c r="AY79" s="104">
        <f t="shared" si="27"/>
        <v>0</v>
      </c>
      <c r="AZ79" s="104">
        <f t="shared" si="28"/>
        <v>0</v>
      </c>
      <c r="BA79" s="104">
        <f t="shared" si="29"/>
        <v>0</v>
      </c>
      <c r="BB79" s="106">
        <f t="shared" si="47"/>
        <v>0</v>
      </c>
      <c r="BC79" s="106">
        <f t="shared" si="30"/>
        <v>0</v>
      </c>
      <c r="BD79" s="106">
        <f t="shared" si="48"/>
        <v>0</v>
      </c>
      <c r="BE79" s="106">
        <f t="shared" si="31"/>
        <v>0</v>
      </c>
      <c r="BF79" s="106">
        <f t="shared" si="32"/>
        <v>0</v>
      </c>
      <c r="BG79" s="106">
        <f t="shared" si="33"/>
        <v>0</v>
      </c>
    </row>
    <row r="80" spans="1:59" s="53" customFormat="1" ht="50.1" customHeight="1">
      <c r="A80" s="141">
        <v>73</v>
      </c>
      <c r="B80" s="47"/>
      <c r="C80" s="20"/>
      <c r="D80" s="21"/>
      <c r="E80" s="23"/>
      <c r="F80" s="48"/>
      <c r="G80" s="48"/>
      <c r="H80" s="49"/>
      <c r="I80" s="49"/>
      <c r="J80" s="182"/>
      <c r="K80" s="88"/>
      <c r="L80" s="88"/>
      <c r="M80" s="96"/>
      <c r="N80" s="96"/>
      <c r="O80" s="88"/>
      <c r="P80" s="152"/>
      <c r="Q80" s="75"/>
      <c r="R80" s="221"/>
      <c r="S80" s="178"/>
      <c r="T80" s="50"/>
      <c r="U80" s="112">
        <f t="shared" si="34"/>
        <v>0</v>
      </c>
      <c r="V80" s="113" t="s">
        <v>3</v>
      </c>
      <c r="W80" s="114"/>
      <c r="X80" s="115" t="s">
        <v>3</v>
      </c>
      <c r="Y80" s="114"/>
      <c r="Z80" s="115" t="s">
        <v>4</v>
      </c>
      <c r="AA80" s="116">
        <f t="shared" si="35"/>
        <v>0</v>
      </c>
      <c r="AB80" s="117"/>
      <c r="AC80" s="118"/>
      <c r="AD80" s="119">
        <f t="shared" si="36"/>
        <v>0</v>
      </c>
      <c r="AE80" s="119">
        <f t="shared" si="37"/>
        <v>0</v>
      </c>
      <c r="AF80" s="120">
        <f t="shared" si="38"/>
        <v>0</v>
      </c>
      <c r="AG80" s="121"/>
      <c r="AH80" s="131">
        <f t="shared" si="39"/>
        <v>0</v>
      </c>
      <c r="AI80" s="198"/>
      <c r="AJ80" s="198"/>
      <c r="AK80" s="191">
        <f t="shared" si="40"/>
        <v>0</v>
      </c>
      <c r="AL80" s="122"/>
      <c r="AM80" s="115" t="s">
        <v>5</v>
      </c>
      <c r="AN80" s="51">
        <f t="shared" si="41"/>
        <v>0</v>
      </c>
      <c r="AO80" s="139">
        <f t="shared" si="42"/>
        <v>0</v>
      </c>
      <c r="AP80" s="78">
        <f t="shared" si="43"/>
        <v>0</v>
      </c>
      <c r="AQ80" s="79">
        <f t="shared" si="44"/>
        <v>0</v>
      </c>
      <c r="AR80" s="138"/>
      <c r="AS80" s="52"/>
      <c r="AT80" s="52"/>
      <c r="AU80" s="109">
        <f t="shared" si="45"/>
        <v>0</v>
      </c>
      <c r="AV80" s="103">
        <f t="shared" si="46"/>
        <v>0</v>
      </c>
      <c r="AW80" s="104">
        <f t="shared" si="25"/>
        <v>0</v>
      </c>
      <c r="AX80" s="104">
        <f t="shared" si="26"/>
        <v>0</v>
      </c>
      <c r="AY80" s="104">
        <f t="shared" si="27"/>
        <v>0</v>
      </c>
      <c r="AZ80" s="104">
        <f t="shared" si="28"/>
        <v>0</v>
      </c>
      <c r="BA80" s="104">
        <f t="shared" si="29"/>
        <v>0</v>
      </c>
      <c r="BB80" s="106">
        <f t="shared" si="47"/>
        <v>0</v>
      </c>
      <c r="BC80" s="106">
        <f t="shared" si="30"/>
        <v>0</v>
      </c>
      <c r="BD80" s="106">
        <f t="shared" si="48"/>
        <v>0</v>
      </c>
      <c r="BE80" s="106">
        <f t="shared" si="31"/>
        <v>0</v>
      </c>
      <c r="BF80" s="106">
        <f t="shared" si="32"/>
        <v>0</v>
      </c>
      <c r="BG80" s="106">
        <f t="shared" si="33"/>
        <v>0</v>
      </c>
    </row>
    <row r="81" spans="1:59" s="53" customFormat="1" ht="50.1" customHeight="1">
      <c r="A81" s="141">
        <v>74</v>
      </c>
      <c r="B81" s="47"/>
      <c r="C81" s="20"/>
      <c r="D81" s="21"/>
      <c r="E81" s="23"/>
      <c r="F81" s="48"/>
      <c r="G81" s="48"/>
      <c r="H81" s="49"/>
      <c r="I81" s="49"/>
      <c r="J81" s="181"/>
      <c r="K81" s="173"/>
      <c r="L81" s="174"/>
      <c r="M81" s="175"/>
      <c r="N81" s="175"/>
      <c r="O81" s="176"/>
      <c r="P81" s="187"/>
      <c r="Q81" s="177"/>
      <c r="R81" s="221"/>
      <c r="S81" s="178"/>
      <c r="T81" s="50"/>
      <c r="U81" s="112">
        <f t="shared" si="34"/>
        <v>0</v>
      </c>
      <c r="V81" s="113" t="s">
        <v>3</v>
      </c>
      <c r="W81" s="114"/>
      <c r="X81" s="115" t="s">
        <v>3</v>
      </c>
      <c r="Y81" s="114"/>
      <c r="Z81" s="115" t="s">
        <v>4</v>
      </c>
      <c r="AA81" s="116">
        <f t="shared" si="35"/>
        <v>0</v>
      </c>
      <c r="AB81" s="117"/>
      <c r="AC81" s="118"/>
      <c r="AD81" s="119">
        <f t="shared" si="36"/>
        <v>0</v>
      </c>
      <c r="AE81" s="119">
        <f t="shared" si="37"/>
        <v>0</v>
      </c>
      <c r="AF81" s="120">
        <f t="shared" si="38"/>
        <v>0</v>
      </c>
      <c r="AG81" s="121"/>
      <c r="AH81" s="131">
        <f t="shared" si="39"/>
        <v>0</v>
      </c>
      <c r="AI81" s="198"/>
      <c r="AJ81" s="198"/>
      <c r="AK81" s="191">
        <f t="shared" si="40"/>
        <v>0</v>
      </c>
      <c r="AL81" s="122"/>
      <c r="AM81" s="115" t="s">
        <v>5</v>
      </c>
      <c r="AN81" s="51">
        <f t="shared" si="41"/>
        <v>0</v>
      </c>
      <c r="AO81" s="139">
        <f t="shared" si="42"/>
        <v>0</v>
      </c>
      <c r="AP81" s="78">
        <f t="shared" si="43"/>
        <v>0</v>
      </c>
      <c r="AQ81" s="79">
        <f t="shared" si="44"/>
        <v>0</v>
      </c>
      <c r="AR81" s="138"/>
      <c r="AS81" s="52"/>
      <c r="AT81" s="52"/>
      <c r="AU81" s="109">
        <f t="shared" si="45"/>
        <v>0</v>
      </c>
      <c r="AV81" s="103">
        <f t="shared" si="46"/>
        <v>0</v>
      </c>
      <c r="AW81" s="104">
        <f t="shared" si="25"/>
        <v>0</v>
      </c>
      <c r="AX81" s="104">
        <f t="shared" si="26"/>
        <v>0</v>
      </c>
      <c r="AY81" s="104">
        <f t="shared" si="27"/>
        <v>0</v>
      </c>
      <c r="AZ81" s="104">
        <f t="shared" si="28"/>
        <v>0</v>
      </c>
      <c r="BA81" s="104">
        <f t="shared" si="29"/>
        <v>0</v>
      </c>
      <c r="BB81" s="106">
        <f t="shared" si="47"/>
        <v>0</v>
      </c>
      <c r="BC81" s="106">
        <f t="shared" si="30"/>
        <v>0</v>
      </c>
      <c r="BD81" s="106">
        <f t="shared" si="48"/>
        <v>0</v>
      </c>
      <c r="BE81" s="106">
        <f t="shared" si="31"/>
        <v>0</v>
      </c>
      <c r="BF81" s="106">
        <f t="shared" si="32"/>
        <v>0</v>
      </c>
      <c r="BG81" s="106">
        <f t="shared" si="33"/>
        <v>0</v>
      </c>
    </row>
    <row r="82" spans="1:59" s="53" customFormat="1" ht="50.1" customHeight="1">
      <c r="A82" s="141">
        <v>75</v>
      </c>
      <c r="B82" s="47"/>
      <c r="C82" s="20"/>
      <c r="D82" s="21"/>
      <c r="E82" s="23"/>
      <c r="F82" s="48"/>
      <c r="G82" s="48"/>
      <c r="H82" s="49"/>
      <c r="I82" s="49"/>
      <c r="J82" s="181"/>
      <c r="K82" s="87"/>
      <c r="L82" s="92"/>
      <c r="M82" s="94"/>
      <c r="N82" s="94"/>
      <c r="O82" s="93"/>
      <c r="P82" s="155"/>
      <c r="Q82" s="75"/>
      <c r="R82" s="221"/>
      <c r="S82" s="178"/>
      <c r="T82" s="50"/>
      <c r="U82" s="112">
        <f t="shared" si="34"/>
        <v>0</v>
      </c>
      <c r="V82" s="113" t="s">
        <v>3</v>
      </c>
      <c r="W82" s="114"/>
      <c r="X82" s="115" t="s">
        <v>3</v>
      </c>
      <c r="Y82" s="114"/>
      <c r="Z82" s="115" t="s">
        <v>4</v>
      </c>
      <c r="AA82" s="116">
        <f t="shared" si="35"/>
        <v>0</v>
      </c>
      <c r="AB82" s="117"/>
      <c r="AC82" s="118"/>
      <c r="AD82" s="119">
        <f t="shared" si="36"/>
        <v>0</v>
      </c>
      <c r="AE82" s="119">
        <f t="shared" si="37"/>
        <v>0</v>
      </c>
      <c r="AF82" s="120">
        <f t="shared" si="38"/>
        <v>0</v>
      </c>
      <c r="AG82" s="121"/>
      <c r="AH82" s="131">
        <f t="shared" si="39"/>
        <v>0</v>
      </c>
      <c r="AI82" s="198"/>
      <c r="AJ82" s="198"/>
      <c r="AK82" s="191">
        <f t="shared" si="40"/>
        <v>0</v>
      </c>
      <c r="AL82" s="122"/>
      <c r="AM82" s="115" t="s">
        <v>5</v>
      </c>
      <c r="AN82" s="51">
        <f t="shared" si="41"/>
        <v>0</v>
      </c>
      <c r="AO82" s="139">
        <f t="shared" si="42"/>
        <v>0</v>
      </c>
      <c r="AP82" s="78">
        <f t="shared" si="43"/>
        <v>0</v>
      </c>
      <c r="AQ82" s="79">
        <f t="shared" si="44"/>
        <v>0</v>
      </c>
      <c r="AR82" s="138"/>
      <c r="AS82" s="52"/>
      <c r="AT82" s="52"/>
      <c r="AU82" s="109">
        <f t="shared" si="45"/>
        <v>0</v>
      </c>
      <c r="AV82" s="103">
        <f t="shared" si="46"/>
        <v>0</v>
      </c>
      <c r="AW82" s="104">
        <f t="shared" si="25"/>
        <v>0</v>
      </c>
      <c r="AX82" s="104">
        <f t="shared" si="26"/>
        <v>0</v>
      </c>
      <c r="AY82" s="104">
        <f t="shared" si="27"/>
        <v>0</v>
      </c>
      <c r="AZ82" s="104">
        <f t="shared" si="28"/>
        <v>0</v>
      </c>
      <c r="BA82" s="104">
        <f t="shared" si="29"/>
        <v>0</v>
      </c>
      <c r="BB82" s="106">
        <f t="shared" si="47"/>
        <v>0</v>
      </c>
      <c r="BC82" s="106">
        <f t="shared" si="30"/>
        <v>0</v>
      </c>
      <c r="BD82" s="106">
        <f t="shared" si="48"/>
        <v>0</v>
      </c>
      <c r="BE82" s="106">
        <f t="shared" si="31"/>
        <v>0</v>
      </c>
      <c r="BF82" s="106">
        <f t="shared" si="32"/>
        <v>0</v>
      </c>
      <c r="BG82" s="106">
        <f t="shared" si="33"/>
        <v>0</v>
      </c>
    </row>
    <row r="83" spans="1:59" s="53" customFormat="1" ht="50.1" customHeight="1">
      <c r="A83" s="141">
        <v>76</v>
      </c>
      <c r="B83" s="47"/>
      <c r="C83" s="20"/>
      <c r="D83" s="21"/>
      <c r="E83" s="23"/>
      <c r="F83" s="48"/>
      <c r="G83" s="48"/>
      <c r="H83" s="49"/>
      <c r="I83" s="49"/>
      <c r="J83" s="181"/>
      <c r="K83" s="87"/>
      <c r="L83" s="92"/>
      <c r="M83" s="94"/>
      <c r="N83" s="94"/>
      <c r="O83" s="93"/>
      <c r="P83" s="152"/>
      <c r="Q83" s="75"/>
      <c r="R83" s="221"/>
      <c r="S83" s="178"/>
      <c r="T83" s="50"/>
      <c r="U83" s="112">
        <f t="shared" si="34"/>
        <v>0</v>
      </c>
      <c r="V83" s="113" t="s">
        <v>3</v>
      </c>
      <c r="W83" s="114"/>
      <c r="X83" s="115" t="s">
        <v>3</v>
      </c>
      <c r="Y83" s="114"/>
      <c r="Z83" s="115" t="s">
        <v>4</v>
      </c>
      <c r="AA83" s="116">
        <f t="shared" si="35"/>
        <v>0</v>
      </c>
      <c r="AB83" s="117"/>
      <c r="AC83" s="118"/>
      <c r="AD83" s="119">
        <f t="shared" si="36"/>
        <v>0</v>
      </c>
      <c r="AE83" s="119">
        <f t="shared" si="37"/>
        <v>0</v>
      </c>
      <c r="AF83" s="120">
        <f t="shared" si="38"/>
        <v>0</v>
      </c>
      <c r="AG83" s="121"/>
      <c r="AH83" s="131">
        <f t="shared" si="39"/>
        <v>0</v>
      </c>
      <c r="AI83" s="198"/>
      <c r="AJ83" s="198"/>
      <c r="AK83" s="191">
        <f t="shared" si="40"/>
        <v>0</v>
      </c>
      <c r="AL83" s="122"/>
      <c r="AM83" s="115" t="s">
        <v>5</v>
      </c>
      <c r="AN83" s="51">
        <f t="shared" si="41"/>
        <v>0</v>
      </c>
      <c r="AO83" s="139">
        <f t="shared" si="42"/>
        <v>0</v>
      </c>
      <c r="AP83" s="78">
        <f t="shared" si="43"/>
        <v>0</v>
      </c>
      <c r="AQ83" s="79">
        <f t="shared" si="44"/>
        <v>0</v>
      </c>
      <c r="AR83" s="138"/>
      <c r="AS83" s="52"/>
      <c r="AT83" s="52"/>
      <c r="AU83" s="109">
        <f t="shared" si="45"/>
        <v>0</v>
      </c>
      <c r="AV83" s="103">
        <f t="shared" si="46"/>
        <v>0</v>
      </c>
      <c r="AW83" s="104">
        <f t="shared" si="25"/>
        <v>0</v>
      </c>
      <c r="AX83" s="104">
        <f t="shared" si="26"/>
        <v>0</v>
      </c>
      <c r="AY83" s="104">
        <f t="shared" si="27"/>
        <v>0</v>
      </c>
      <c r="AZ83" s="104">
        <f t="shared" si="28"/>
        <v>0</v>
      </c>
      <c r="BA83" s="104">
        <f t="shared" si="29"/>
        <v>0</v>
      </c>
      <c r="BB83" s="106">
        <f t="shared" si="47"/>
        <v>0</v>
      </c>
      <c r="BC83" s="106">
        <f t="shared" si="30"/>
        <v>0</v>
      </c>
      <c r="BD83" s="106">
        <f t="shared" si="48"/>
        <v>0</v>
      </c>
      <c r="BE83" s="106">
        <f t="shared" si="31"/>
        <v>0</v>
      </c>
      <c r="BF83" s="106">
        <f t="shared" si="32"/>
        <v>0</v>
      </c>
      <c r="BG83" s="106">
        <f t="shared" si="33"/>
        <v>0</v>
      </c>
    </row>
    <row r="84" spans="1:59" s="53" customFormat="1" ht="50.1" customHeight="1">
      <c r="A84" s="141">
        <v>77</v>
      </c>
      <c r="B84" s="47"/>
      <c r="C84" s="20"/>
      <c r="D84" s="21"/>
      <c r="E84" s="23"/>
      <c r="F84" s="48"/>
      <c r="G84" s="48"/>
      <c r="H84" s="49"/>
      <c r="I84" s="49"/>
      <c r="J84" s="182"/>
      <c r="K84" s="88"/>
      <c r="L84" s="88"/>
      <c r="M84" s="96"/>
      <c r="N84" s="96"/>
      <c r="O84" s="88"/>
      <c r="P84" s="152"/>
      <c r="Q84" s="75"/>
      <c r="R84" s="221"/>
      <c r="S84" s="178"/>
      <c r="T84" s="50"/>
      <c r="U84" s="112">
        <f t="shared" si="34"/>
        <v>0</v>
      </c>
      <c r="V84" s="113" t="s">
        <v>3</v>
      </c>
      <c r="W84" s="114"/>
      <c r="X84" s="115" t="s">
        <v>3</v>
      </c>
      <c r="Y84" s="114"/>
      <c r="Z84" s="115" t="s">
        <v>4</v>
      </c>
      <c r="AA84" s="116">
        <f t="shared" si="35"/>
        <v>0</v>
      </c>
      <c r="AB84" s="117"/>
      <c r="AC84" s="118"/>
      <c r="AD84" s="119">
        <f t="shared" si="36"/>
        <v>0</v>
      </c>
      <c r="AE84" s="119">
        <f t="shared" si="37"/>
        <v>0</v>
      </c>
      <c r="AF84" s="120">
        <f t="shared" si="38"/>
        <v>0</v>
      </c>
      <c r="AG84" s="121"/>
      <c r="AH84" s="131">
        <f t="shared" si="39"/>
        <v>0</v>
      </c>
      <c r="AI84" s="198"/>
      <c r="AJ84" s="198"/>
      <c r="AK84" s="191">
        <f t="shared" si="40"/>
        <v>0</v>
      </c>
      <c r="AL84" s="122"/>
      <c r="AM84" s="115" t="s">
        <v>5</v>
      </c>
      <c r="AN84" s="51">
        <f t="shared" si="41"/>
        <v>0</v>
      </c>
      <c r="AO84" s="139">
        <f t="shared" si="42"/>
        <v>0</v>
      </c>
      <c r="AP84" s="78">
        <f t="shared" si="43"/>
        <v>0</v>
      </c>
      <c r="AQ84" s="79">
        <f t="shared" si="44"/>
        <v>0</v>
      </c>
      <c r="AR84" s="138"/>
      <c r="AS84" s="52"/>
      <c r="AT84" s="52"/>
      <c r="AU84" s="109">
        <f t="shared" si="45"/>
        <v>0</v>
      </c>
      <c r="AV84" s="103">
        <f t="shared" si="46"/>
        <v>0</v>
      </c>
      <c r="AW84" s="104">
        <f t="shared" si="25"/>
        <v>0</v>
      </c>
      <c r="AX84" s="104">
        <f t="shared" si="26"/>
        <v>0</v>
      </c>
      <c r="AY84" s="104">
        <f t="shared" si="27"/>
        <v>0</v>
      </c>
      <c r="AZ84" s="104">
        <f t="shared" si="28"/>
        <v>0</v>
      </c>
      <c r="BA84" s="104">
        <f t="shared" si="29"/>
        <v>0</v>
      </c>
      <c r="BB84" s="106">
        <f t="shared" si="47"/>
        <v>0</v>
      </c>
      <c r="BC84" s="106">
        <f t="shared" si="30"/>
        <v>0</v>
      </c>
      <c r="BD84" s="106">
        <f t="shared" si="48"/>
        <v>0</v>
      </c>
      <c r="BE84" s="106">
        <f t="shared" si="31"/>
        <v>0</v>
      </c>
      <c r="BF84" s="106">
        <f t="shared" si="32"/>
        <v>0</v>
      </c>
      <c r="BG84" s="106">
        <f t="shared" si="33"/>
        <v>0</v>
      </c>
    </row>
    <row r="85" spans="1:59" s="53" customFormat="1" ht="50.1" customHeight="1">
      <c r="A85" s="141">
        <v>78</v>
      </c>
      <c r="B85" s="47"/>
      <c r="C85" s="20"/>
      <c r="D85" s="21"/>
      <c r="E85" s="23"/>
      <c r="F85" s="48"/>
      <c r="G85" s="48"/>
      <c r="H85" s="49"/>
      <c r="I85" s="49"/>
      <c r="J85" s="182"/>
      <c r="K85" s="88"/>
      <c r="L85" s="88"/>
      <c r="M85" s="96"/>
      <c r="N85" s="96"/>
      <c r="O85" s="88"/>
      <c r="P85" s="152"/>
      <c r="Q85" s="75"/>
      <c r="R85" s="221"/>
      <c r="S85" s="178"/>
      <c r="T85" s="50"/>
      <c r="U85" s="112">
        <f t="shared" si="34"/>
        <v>0</v>
      </c>
      <c r="V85" s="113" t="s">
        <v>3</v>
      </c>
      <c r="W85" s="114"/>
      <c r="X85" s="115" t="s">
        <v>3</v>
      </c>
      <c r="Y85" s="114"/>
      <c r="Z85" s="115" t="s">
        <v>4</v>
      </c>
      <c r="AA85" s="116">
        <f t="shared" si="35"/>
        <v>0</v>
      </c>
      <c r="AB85" s="117"/>
      <c r="AC85" s="118"/>
      <c r="AD85" s="119">
        <f t="shared" si="36"/>
        <v>0</v>
      </c>
      <c r="AE85" s="119">
        <f t="shared" si="37"/>
        <v>0</v>
      </c>
      <c r="AF85" s="120">
        <f t="shared" si="38"/>
        <v>0</v>
      </c>
      <c r="AG85" s="121"/>
      <c r="AH85" s="131">
        <f t="shared" si="39"/>
        <v>0</v>
      </c>
      <c r="AI85" s="198"/>
      <c r="AJ85" s="198"/>
      <c r="AK85" s="191">
        <f t="shared" si="40"/>
        <v>0</v>
      </c>
      <c r="AL85" s="122"/>
      <c r="AM85" s="115" t="s">
        <v>5</v>
      </c>
      <c r="AN85" s="51">
        <f t="shared" si="41"/>
        <v>0</v>
      </c>
      <c r="AO85" s="139">
        <f t="shared" si="42"/>
        <v>0</v>
      </c>
      <c r="AP85" s="78">
        <f t="shared" si="43"/>
        <v>0</v>
      </c>
      <c r="AQ85" s="79">
        <f t="shared" si="44"/>
        <v>0</v>
      </c>
      <c r="AR85" s="138"/>
      <c r="AS85" s="52"/>
      <c r="AT85" s="52"/>
      <c r="AU85" s="109">
        <f t="shared" si="45"/>
        <v>0</v>
      </c>
      <c r="AV85" s="103">
        <f t="shared" si="46"/>
        <v>0</v>
      </c>
      <c r="AW85" s="104">
        <f t="shared" si="25"/>
        <v>0</v>
      </c>
      <c r="AX85" s="104">
        <f t="shared" si="26"/>
        <v>0</v>
      </c>
      <c r="AY85" s="104">
        <f t="shared" si="27"/>
        <v>0</v>
      </c>
      <c r="AZ85" s="104">
        <f t="shared" si="28"/>
        <v>0</v>
      </c>
      <c r="BA85" s="104">
        <f t="shared" si="29"/>
        <v>0</v>
      </c>
      <c r="BB85" s="106">
        <f t="shared" si="47"/>
        <v>0</v>
      </c>
      <c r="BC85" s="106">
        <f t="shared" si="30"/>
        <v>0</v>
      </c>
      <c r="BD85" s="106">
        <f t="shared" si="48"/>
        <v>0</v>
      </c>
      <c r="BE85" s="106">
        <f t="shared" si="31"/>
        <v>0</v>
      </c>
      <c r="BF85" s="106">
        <f t="shared" si="32"/>
        <v>0</v>
      </c>
      <c r="BG85" s="106">
        <f t="shared" si="33"/>
        <v>0</v>
      </c>
    </row>
    <row r="86" spans="1:59" s="53" customFormat="1" ht="50.1" customHeight="1">
      <c r="A86" s="141">
        <v>79</v>
      </c>
      <c r="B86" s="47"/>
      <c r="C86" s="20"/>
      <c r="D86" s="21"/>
      <c r="E86" s="23"/>
      <c r="F86" s="48"/>
      <c r="G86" s="48"/>
      <c r="H86" s="49"/>
      <c r="I86" s="49"/>
      <c r="J86" s="181"/>
      <c r="K86" s="87"/>
      <c r="L86" s="92"/>
      <c r="M86" s="94"/>
      <c r="N86" s="94"/>
      <c r="O86" s="93"/>
      <c r="P86" s="152"/>
      <c r="Q86" s="75"/>
      <c r="R86" s="221"/>
      <c r="S86" s="178"/>
      <c r="T86" s="50"/>
      <c r="U86" s="112">
        <f t="shared" si="34"/>
        <v>0</v>
      </c>
      <c r="V86" s="113" t="s">
        <v>3</v>
      </c>
      <c r="W86" s="114"/>
      <c r="X86" s="115" t="s">
        <v>3</v>
      </c>
      <c r="Y86" s="114"/>
      <c r="Z86" s="115" t="s">
        <v>4</v>
      </c>
      <c r="AA86" s="116">
        <f t="shared" si="35"/>
        <v>0</v>
      </c>
      <c r="AB86" s="117"/>
      <c r="AC86" s="118"/>
      <c r="AD86" s="119">
        <f t="shared" si="36"/>
        <v>0</v>
      </c>
      <c r="AE86" s="119">
        <f t="shared" si="37"/>
        <v>0</v>
      </c>
      <c r="AF86" s="120">
        <f t="shared" si="38"/>
        <v>0</v>
      </c>
      <c r="AG86" s="121"/>
      <c r="AH86" s="131">
        <f t="shared" si="39"/>
        <v>0</v>
      </c>
      <c r="AI86" s="198"/>
      <c r="AJ86" s="198"/>
      <c r="AK86" s="191">
        <f t="shared" si="40"/>
        <v>0</v>
      </c>
      <c r="AL86" s="122"/>
      <c r="AM86" s="115" t="s">
        <v>5</v>
      </c>
      <c r="AN86" s="51">
        <f t="shared" si="41"/>
        <v>0</v>
      </c>
      <c r="AO86" s="139">
        <f t="shared" si="42"/>
        <v>0</v>
      </c>
      <c r="AP86" s="78">
        <f t="shared" si="43"/>
        <v>0</v>
      </c>
      <c r="AQ86" s="79">
        <f t="shared" si="44"/>
        <v>0</v>
      </c>
      <c r="AR86" s="138"/>
      <c r="AS86" s="52"/>
      <c r="AT86" s="52"/>
      <c r="AU86" s="109">
        <f t="shared" si="45"/>
        <v>0</v>
      </c>
      <c r="AV86" s="103">
        <f t="shared" si="46"/>
        <v>0</v>
      </c>
      <c r="AW86" s="104">
        <f t="shared" si="25"/>
        <v>0</v>
      </c>
      <c r="AX86" s="104">
        <f t="shared" si="26"/>
        <v>0</v>
      </c>
      <c r="AY86" s="104">
        <f t="shared" si="27"/>
        <v>0</v>
      </c>
      <c r="AZ86" s="104">
        <f t="shared" si="28"/>
        <v>0</v>
      </c>
      <c r="BA86" s="104">
        <f t="shared" si="29"/>
        <v>0</v>
      </c>
      <c r="BB86" s="106">
        <f t="shared" si="47"/>
        <v>0</v>
      </c>
      <c r="BC86" s="106">
        <f t="shared" si="30"/>
        <v>0</v>
      </c>
      <c r="BD86" s="106">
        <f t="shared" si="48"/>
        <v>0</v>
      </c>
      <c r="BE86" s="106">
        <f t="shared" si="31"/>
        <v>0</v>
      </c>
      <c r="BF86" s="106">
        <f t="shared" si="32"/>
        <v>0</v>
      </c>
      <c r="BG86" s="106">
        <f t="shared" si="33"/>
        <v>0</v>
      </c>
    </row>
    <row r="87" spans="1:59" s="53" customFormat="1" ht="50.1" customHeight="1">
      <c r="A87" s="141">
        <v>80</v>
      </c>
      <c r="B87" s="47"/>
      <c r="C87" s="20"/>
      <c r="D87" s="21"/>
      <c r="E87" s="23"/>
      <c r="F87" s="48"/>
      <c r="G87" s="48"/>
      <c r="H87" s="49"/>
      <c r="I87" s="49"/>
      <c r="J87" s="181"/>
      <c r="K87" s="173"/>
      <c r="L87" s="174"/>
      <c r="M87" s="175"/>
      <c r="N87" s="175"/>
      <c r="O87" s="176"/>
      <c r="P87" s="187"/>
      <c r="Q87" s="177"/>
      <c r="R87" s="221"/>
      <c r="S87" s="178"/>
      <c r="T87" s="50"/>
      <c r="U87" s="112">
        <f t="shared" si="34"/>
        <v>0</v>
      </c>
      <c r="V87" s="113" t="s">
        <v>3</v>
      </c>
      <c r="W87" s="114"/>
      <c r="X87" s="115" t="s">
        <v>3</v>
      </c>
      <c r="Y87" s="114"/>
      <c r="Z87" s="115" t="s">
        <v>4</v>
      </c>
      <c r="AA87" s="116">
        <f t="shared" si="35"/>
        <v>0</v>
      </c>
      <c r="AB87" s="117"/>
      <c r="AC87" s="118"/>
      <c r="AD87" s="119">
        <f t="shared" si="36"/>
        <v>0</v>
      </c>
      <c r="AE87" s="119">
        <f t="shared" si="37"/>
        <v>0</v>
      </c>
      <c r="AF87" s="120">
        <f t="shared" si="38"/>
        <v>0</v>
      </c>
      <c r="AG87" s="121"/>
      <c r="AH87" s="131">
        <f t="shared" si="39"/>
        <v>0</v>
      </c>
      <c r="AI87" s="198"/>
      <c r="AJ87" s="198"/>
      <c r="AK87" s="191">
        <f t="shared" si="40"/>
        <v>0</v>
      </c>
      <c r="AL87" s="122"/>
      <c r="AM87" s="115" t="s">
        <v>5</v>
      </c>
      <c r="AN87" s="51">
        <f t="shared" si="41"/>
        <v>0</v>
      </c>
      <c r="AO87" s="139">
        <f t="shared" si="42"/>
        <v>0</v>
      </c>
      <c r="AP87" s="78">
        <f t="shared" si="43"/>
        <v>0</v>
      </c>
      <c r="AQ87" s="79">
        <f t="shared" si="44"/>
        <v>0</v>
      </c>
      <c r="AR87" s="138"/>
      <c r="AS87" s="52"/>
      <c r="AT87" s="52"/>
      <c r="AU87" s="109">
        <f t="shared" si="45"/>
        <v>0</v>
      </c>
      <c r="AV87" s="103">
        <f t="shared" si="46"/>
        <v>0</v>
      </c>
      <c r="AW87" s="104">
        <f t="shared" si="25"/>
        <v>0</v>
      </c>
      <c r="AX87" s="104">
        <f t="shared" si="26"/>
        <v>0</v>
      </c>
      <c r="AY87" s="104">
        <f t="shared" si="27"/>
        <v>0</v>
      </c>
      <c r="AZ87" s="104">
        <f t="shared" si="28"/>
        <v>0</v>
      </c>
      <c r="BA87" s="104">
        <f t="shared" si="29"/>
        <v>0</v>
      </c>
      <c r="BB87" s="106">
        <f t="shared" si="47"/>
        <v>0</v>
      </c>
      <c r="BC87" s="106">
        <f t="shared" si="30"/>
        <v>0</v>
      </c>
      <c r="BD87" s="106">
        <f t="shared" si="48"/>
        <v>0</v>
      </c>
      <c r="BE87" s="106">
        <f t="shared" si="31"/>
        <v>0</v>
      </c>
      <c r="BF87" s="106">
        <f t="shared" si="32"/>
        <v>0</v>
      </c>
      <c r="BG87" s="106">
        <f t="shared" si="33"/>
        <v>0</v>
      </c>
    </row>
    <row r="88" spans="1:59" s="53" customFormat="1" ht="50.1" customHeight="1">
      <c r="A88" s="141">
        <v>81</v>
      </c>
      <c r="B88" s="47"/>
      <c r="C88" s="20"/>
      <c r="D88" s="21"/>
      <c r="E88" s="23"/>
      <c r="F88" s="48"/>
      <c r="G88" s="48"/>
      <c r="H88" s="49"/>
      <c r="I88" s="49"/>
      <c r="J88" s="181"/>
      <c r="K88" s="87"/>
      <c r="L88" s="92"/>
      <c r="M88" s="94"/>
      <c r="N88" s="94"/>
      <c r="O88" s="93"/>
      <c r="P88" s="152"/>
      <c r="Q88" s="183"/>
      <c r="R88" s="221"/>
      <c r="S88" s="211"/>
      <c r="T88" s="50"/>
      <c r="U88" s="112">
        <f t="shared" si="34"/>
        <v>0</v>
      </c>
      <c r="V88" s="113" t="s">
        <v>3</v>
      </c>
      <c r="W88" s="114"/>
      <c r="X88" s="115" t="s">
        <v>3</v>
      </c>
      <c r="Y88" s="114"/>
      <c r="Z88" s="115" t="s">
        <v>4</v>
      </c>
      <c r="AA88" s="116">
        <f t="shared" si="35"/>
        <v>0</v>
      </c>
      <c r="AB88" s="117"/>
      <c r="AC88" s="118"/>
      <c r="AD88" s="119">
        <f t="shared" si="36"/>
        <v>0</v>
      </c>
      <c r="AE88" s="119">
        <f t="shared" si="37"/>
        <v>0</v>
      </c>
      <c r="AF88" s="120">
        <f t="shared" si="38"/>
        <v>0</v>
      </c>
      <c r="AG88" s="121"/>
      <c r="AH88" s="131">
        <f t="shared" si="39"/>
        <v>0</v>
      </c>
      <c r="AI88" s="198"/>
      <c r="AJ88" s="198"/>
      <c r="AK88" s="191">
        <f t="shared" si="40"/>
        <v>0</v>
      </c>
      <c r="AL88" s="122"/>
      <c r="AM88" s="115" t="s">
        <v>5</v>
      </c>
      <c r="AN88" s="51">
        <f t="shared" si="41"/>
        <v>0</v>
      </c>
      <c r="AO88" s="139">
        <f t="shared" si="42"/>
        <v>0</v>
      </c>
      <c r="AP88" s="78">
        <f t="shared" si="43"/>
        <v>0</v>
      </c>
      <c r="AQ88" s="79">
        <f t="shared" si="44"/>
        <v>0</v>
      </c>
      <c r="AR88" s="138"/>
      <c r="AS88" s="52"/>
      <c r="AT88" s="52"/>
      <c r="AU88" s="109">
        <f t="shared" si="45"/>
        <v>0</v>
      </c>
      <c r="AV88" s="103">
        <f t="shared" si="46"/>
        <v>0</v>
      </c>
      <c r="AW88" s="104">
        <f t="shared" si="25"/>
        <v>0</v>
      </c>
      <c r="AX88" s="104">
        <f t="shared" si="26"/>
        <v>0</v>
      </c>
      <c r="AY88" s="104">
        <f t="shared" si="27"/>
        <v>0</v>
      </c>
      <c r="AZ88" s="104">
        <f t="shared" si="28"/>
        <v>0</v>
      </c>
      <c r="BA88" s="104">
        <f t="shared" si="29"/>
        <v>0</v>
      </c>
      <c r="BB88" s="106">
        <f t="shared" si="47"/>
        <v>0</v>
      </c>
      <c r="BC88" s="106">
        <f t="shared" si="30"/>
        <v>0</v>
      </c>
      <c r="BD88" s="106">
        <f t="shared" si="48"/>
        <v>0</v>
      </c>
      <c r="BE88" s="106">
        <f t="shared" si="31"/>
        <v>0</v>
      </c>
      <c r="BF88" s="106">
        <f t="shared" si="32"/>
        <v>0</v>
      </c>
      <c r="BG88" s="106">
        <f t="shared" si="33"/>
        <v>0</v>
      </c>
    </row>
    <row r="89" spans="1:59" s="53" customFormat="1" ht="50.1" customHeight="1">
      <c r="A89" s="141">
        <v>82</v>
      </c>
      <c r="B89" s="47"/>
      <c r="C89" s="20"/>
      <c r="D89" s="21"/>
      <c r="E89" s="23"/>
      <c r="F89" s="48"/>
      <c r="G89" s="48"/>
      <c r="H89" s="49"/>
      <c r="I89" s="49"/>
      <c r="J89" s="181"/>
      <c r="K89" s="87"/>
      <c r="L89" s="92"/>
      <c r="M89" s="94"/>
      <c r="N89" s="94"/>
      <c r="O89" s="93"/>
      <c r="P89" s="152"/>
      <c r="Q89" s="75"/>
      <c r="R89" s="221"/>
      <c r="S89" s="178"/>
      <c r="T89" s="50"/>
      <c r="U89" s="112">
        <f t="shared" si="34"/>
        <v>0</v>
      </c>
      <c r="V89" s="113" t="s">
        <v>3</v>
      </c>
      <c r="W89" s="114"/>
      <c r="X89" s="115" t="s">
        <v>3</v>
      </c>
      <c r="Y89" s="114"/>
      <c r="Z89" s="115" t="s">
        <v>4</v>
      </c>
      <c r="AA89" s="116">
        <f t="shared" si="35"/>
        <v>0</v>
      </c>
      <c r="AB89" s="117"/>
      <c r="AC89" s="118"/>
      <c r="AD89" s="119">
        <f t="shared" si="36"/>
        <v>0</v>
      </c>
      <c r="AE89" s="119">
        <f t="shared" si="37"/>
        <v>0</v>
      </c>
      <c r="AF89" s="120">
        <f t="shared" si="38"/>
        <v>0</v>
      </c>
      <c r="AG89" s="121"/>
      <c r="AH89" s="131">
        <f t="shared" si="39"/>
        <v>0</v>
      </c>
      <c r="AI89" s="198"/>
      <c r="AJ89" s="198"/>
      <c r="AK89" s="191">
        <f t="shared" si="40"/>
        <v>0</v>
      </c>
      <c r="AL89" s="122"/>
      <c r="AM89" s="115" t="s">
        <v>5</v>
      </c>
      <c r="AN89" s="51">
        <f t="shared" si="41"/>
        <v>0</v>
      </c>
      <c r="AO89" s="139">
        <f t="shared" si="42"/>
        <v>0</v>
      </c>
      <c r="AP89" s="78">
        <f t="shared" si="43"/>
        <v>0</v>
      </c>
      <c r="AQ89" s="79">
        <f t="shared" si="44"/>
        <v>0</v>
      </c>
      <c r="AR89" s="138"/>
      <c r="AS89" s="52"/>
      <c r="AT89" s="52"/>
      <c r="AU89" s="109">
        <f t="shared" si="45"/>
        <v>0</v>
      </c>
      <c r="AV89" s="103">
        <f t="shared" si="46"/>
        <v>0</v>
      </c>
      <c r="AW89" s="104">
        <f t="shared" si="25"/>
        <v>0</v>
      </c>
      <c r="AX89" s="104">
        <f t="shared" si="26"/>
        <v>0</v>
      </c>
      <c r="AY89" s="104">
        <f t="shared" si="27"/>
        <v>0</v>
      </c>
      <c r="AZ89" s="104">
        <f t="shared" si="28"/>
        <v>0</v>
      </c>
      <c r="BA89" s="104">
        <f t="shared" si="29"/>
        <v>0</v>
      </c>
      <c r="BB89" s="106">
        <f t="shared" si="47"/>
        <v>0</v>
      </c>
      <c r="BC89" s="106">
        <f t="shared" si="30"/>
        <v>0</v>
      </c>
      <c r="BD89" s="106">
        <f t="shared" si="48"/>
        <v>0</v>
      </c>
      <c r="BE89" s="106">
        <f t="shared" si="31"/>
        <v>0</v>
      </c>
      <c r="BF89" s="106">
        <f t="shared" si="32"/>
        <v>0</v>
      </c>
      <c r="BG89" s="106">
        <f t="shared" si="33"/>
        <v>0</v>
      </c>
    </row>
    <row r="90" spans="1:59" s="53" customFormat="1" ht="50.1" customHeight="1">
      <c r="A90" s="141">
        <v>83</v>
      </c>
      <c r="B90" s="47"/>
      <c r="C90" s="20"/>
      <c r="D90" s="21"/>
      <c r="E90" s="23"/>
      <c r="F90" s="48"/>
      <c r="G90" s="48"/>
      <c r="H90" s="49"/>
      <c r="I90" s="49"/>
      <c r="J90" s="182"/>
      <c r="K90" s="88"/>
      <c r="L90" s="88"/>
      <c r="M90" s="96"/>
      <c r="N90" s="96"/>
      <c r="O90" s="88"/>
      <c r="P90" s="152"/>
      <c r="Q90" s="75"/>
      <c r="R90" s="221"/>
      <c r="S90" s="178"/>
      <c r="T90" s="50"/>
      <c r="U90" s="112">
        <f t="shared" si="34"/>
        <v>0</v>
      </c>
      <c r="V90" s="113" t="s">
        <v>3</v>
      </c>
      <c r="W90" s="114"/>
      <c r="X90" s="115" t="s">
        <v>3</v>
      </c>
      <c r="Y90" s="114"/>
      <c r="Z90" s="115" t="s">
        <v>4</v>
      </c>
      <c r="AA90" s="116">
        <f t="shared" si="35"/>
        <v>0</v>
      </c>
      <c r="AB90" s="117"/>
      <c r="AC90" s="118"/>
      <c r="AD90" s="119">
        <f t="shared" si="36"/>
        <v>0</v>
      </c>
      <c r="AE90" s="119">
        <f t="shared" si="37"/>
        <v>0</v>
      </c>
      <c r="AF90" s="120">
        <f t="shared" si="38"/>
        <v>0</v>
      </c>
      <c r="AG90" s="121"/>
      <c r="AH90" s="131">
        <f t="shared" si="39"/>
        <v>0</v>
      </c>
      <c r="AI90" s="198"/>
      <c r="AJ90" s="198"/>
      <c r="AK90" s="191">
        <f t="shared" si="40"/>
        <v>0</v>
      </c>
      <c r="AL90" s="122"/>
      <c r="AM90" s="115" t="s">
        <v>5</v>
      </c>
      <c r="AN90" s="51">
        <f t="shared" si="41"/>
        <v>0</v>
      </c>
      <c r="AO90" s="139">
        <f t="shared" si="42"/>
        <v>0</v>
      </c>
      <c r="AP90" s="78">
        <f t="shared" si="43"/>
        <v>0</v>
      </c>
      <c r="AQ90" s="79">
        <f t="shared" si="44"/>
        <v>0</v>
      </c>
      <c r="AR90" s="138"/>
      <c r="AS90" s="52"/>
      <c r="AT90" s="52"/>
      <c r="AU90" s="109">
        <f t="shared" si="45"/>
        <v>0</v>
      </c>
      <c r="AV90" s="103">
        <f t="shared" si="46"/>
        <v>0</v>
      </c>
      <c r="AW90" s="104">
        <f t="shared" si="25"/>
        <v>0</v>
      </c>
      <c r="AX90" s="104">
        <f t="shared" si="26"/>
        <v>0</v>
      </c>
      <c r="AY90" s="104">
        <f t="shared" si="27"/>
        <v>0</v>
      </c>
      <c r="AZ90" s="104">
        <f t="shared" si="28"/>
        <v>0</v>
      </c>
      <c r="BA90" s="104">
        <f t="shared" si="29"/>
        <v>0</v>
      </c>
      <c r="BB90" s="106">
        <f t="shared" si="47"/>
        <v>0</v>
      </c>
      <c r="BC90" s="106">
        <f t="shared" si="30"/>
        <v>0</v>
      </c>
      <c r="BD90" s="106">
        <f t="shared" si="48"/>
        <v>0</v>
      </c>
      <c r="BE90" s="106">
        <f t="shared" si="31"/>
        <v>0</v>
      </c>
      <c r="BF90" s="106">
        <f t="shared" si="32"/>
        <v>0</v>
      </c>
      <c r="BG90" s="106">
        <f t="shared" si="33"/>
        <v>0</v>
      </c>
    </row>
    <row r="91" spans="1:59" s="53" customFormat="1" ht="50.1" customHeight="1">
      <c r="A91" s="141">
        <v>84</v>
      </c>
      <c r="B91" s="47"/>
      <c r="C91" s="20"/>
      <c r="D91" s="21"/>
      <c r="E91" s="23"/>
      <c r="F91" s="48"/>
      <c r="G91" s="48"/>
      <c r="H91" s="49"/>
      <c r="I91" s="49"/>
      <c r="J91" s="181"/>
      <c r="K91" s="87"/>
      <c r="L91" s="92"/>
      <c r="M91" s="94"/>
      <c r="N91" s="94"/>
      <c r="O91" s="93"/>
      <c r="P91" s="152"/>
      <c r="Q91" s="75"/>
      <c r="R91" s="221"/>
      <c r="S91" s="178"/>
      <c r="T91" s="50"/>
      <c r="U91" s="112">
        <f t="shared" si="34"/>
        <v>0</v>
      </c>
      <c r="V91" s="113" t="s">
        <v>3</v>
      </c>
      <c r="W91" s="114"/>
      <c r="X91" s="115" t="s">
        <v>3</v>
      </c>
      <c r="Y91" s="114"/>
      <c r="Z91" s="115" t="s">
        <v>4</v>
      </c>
      <c r="AA91" s="116">
        <f t="shared" si="35"/>
        <v>0</v>
      </c>
      <c r="AB91" s="117"/>
      <c r="AC91" s="118"/>
      <c r="AD91" s="119">
        <f t="shared" si="36"/>
        <v>0</v>
      </c>
      <c r="AE91" s="119">
        <f t="shared" si="37"/>
        <v>0</v>
      </c>
      <c r="AF91" s="120">
        <f t="shared" si="38"/>
        <v>0</v>
      </c>
      <c r="AG91" s="121"/>
      <c r="AH91" s="131">
        <f t="shared" si="39"/>
        <v>0</v>
      </c>
      <c r="AI91" s="198"/>
      <c r="AJ91" s="198"/>
      <c r="AK91" s="191">
        <f t="shared" si="40"/>
        <v>0</v>
      </c>
      <c r="AL91" s="122"/>
      <c r="AM91" s="115" t="s">
        <v>5</v>
      </c>
      <c r="AN91" s="51">
        <f t="shared" si="41"/>
        <v>0</v>
      </c>
      <c r="AO91" s="139">
        <f t="shared" si="42"/>
        <v>0</v>
      </c>
      <c r="AP91" s="78">
        <f t="shared" si="43"/>
        <v>0</v>
      </c>
      <c r="AQ91" s="79">
        <f t="shared" si="44"/>
        <v>0</v>
      </c>
      <c r="AR91" s="138"/>
      <c r="AS91" s="52"/>
      <c r="AT91" s="52"/>
      <c r="AU91" s="109">
        <f t="shared" si="45"/>
        <v>0</v>
      </c>
      <c r="AV91" s="103">
        <f t="shared" si="46"/>
        <v>0</v>
      </c>
      <c r="AW91" s="104">
        <f t="shared" si="25"/>
        <v>0</v>
      </c>
      <c r="AX91" s="104">
        <f t="shared" si="26"/>
        <v>0</v>
      </c>
      <c r="AY91" s="104">
        <f t="shared" si="27"/>
        <v>0</v>
      </c>
      <c r="AZ91" s="104">
        <f t="shared" si="28"/>
        <v>0</v>
      </c>
      <c r="BA91" s="104">
        <f t="shared" si="29"/>
        <v>0</v>
      </c>
      <c r="BB91" s="106">
        <f t="shared" si="47"/>
        <v>0</v>
      </c>
      <c r="BC91" s="106">
        <f t="shared" si="30"/>
        <v>0</v>
      </c>
      <c r="BD91" s="106">
        <f t="shared" si="48"/>
        <v>0</v>
      </c>
      <c r="BE91" s="106">
        <f t="shared" si="31"/>
        <v>0</v>
      </c>
      <c r="BF91" s="106">
        <f t="shared" si="32"/>
        <v>0</v>
      </c>
      <c r="BG91" s="106">
        <f t="shared" si="33"/>
        <v>0</v>
      </c>
    </row>
    <row r="92" spans="1:59" s="53" customFormat="1" ht="50.1" customHeight="1">
      <c r="A92" s="141">
        <v>85</v>
      </c>
      <c r="B92" s="47"/>
      <c r="C92" s="20"/>
      <c r="D92" s="21"/>
      <c r="E92" s="23"/>
      <c r="F92" s="48"/>
      <c r="G92" s="48"/>
      <c r="H92" s="49"/>
      <c r="I92" s="49"/>
      <c r="J92" s="181"/>
      <c r="K92" s="87"/>
      <c r="L92" s="92"/>
      <c r="M92" s="94"/>
      <c r="N92" s="94"/>
      <c r="O92" s="93"/>
      <c r="P92" s="152"/>
      <c r="Q92" s="75"/>
      <c r="R92" s="221"/>
      <c r="S92" s="178"/>
      <c r="T92" s="50"/>
      <c r="U92" s="112">
        <f t="shared" si="34"/>
        <v>0</v>
      </c>
      <c r="V92" s="113" t="s">
        <v>3</v>
      </c>
      <c r="W92" s="114"/>
      <c r="X92" s="115" t="s">
        <v>3</v>
      </c>
      <c r="Y92" s="114"/>
      <c r="Z92" s="115" t="s">
        <v>4</v>
      </c>
      <c r="AA92" s="116">
        <f t="shared" si="35"/>
        <v>0</v>
      </c>
      <c r="AB92" s="117"/>
      <c r="AC92" s="118"/>
      <c r="AD92" s="119">
        <f t="shared" si="36"/>
        <v>0</v>
      </c>
      <c r="AE92" s="119">
        <f t="shared" si="37"/>
        <v>0</v>
      </c>
      <c r="AF92" s="120">
        <f t="shared" si="38"/>
        <v>0</v>
      </c>
      <c r="AG92" s="121"/>
      <c r="AH92" s="131">
        <f t="shared" si="39"/>
        <v>0</v>
      </c>
      <c r="AI92" s="198"/>
      <c r="AJ92" s="198"/>
      <c r="AK92" s="191">
        <f t="shared" si="40"/>
        <v>0</v>
      </c>
      <c r="AL92" s="122"/>
      <c r="AM92" s="115" t="s">
        <v>5</v>
      </c>
      <c r="AN92" s="51">
        <f t="shared" si="41"/>
        <v>0</v>
      </c>
      <c r="AO92" s="139">
        <f t="shared" si="42"/>
        <v>0</v>
      </c>
      <c r="AP92" s="78">
        <f t="shared" si="43"/>
        <v>0</v>
      </c>
      <c r="AQ92" s="79">
        <f t="shared" si="44"/>
        <v>0</v>
      </c>
      <c r="AR92" s="138"/>
      <c r="AS92" s="52"/>
      <c r="AT92" s="52"/>
      <c r="AU92" s="109">
        <f t="shared" si="45"/>
        <v>0</v>
      </c>
      <c r="AV92" s="103">
        <f t="shared" si="46"/>
        <v>0</v>
      </c>
      <c r="AW92" s="104">
        <f t="shared" si="25"/>
        <v>0</v>
      </c>
      <c r="AX92" s="104">
        <f t="shared" si="26"/>
        <v>0</v>
      </c>
      <c r="AY92" s="104">
        <f t="shared" si="27"/>
        <v>0</v>
      </c>
      <c r="AZ92" s="104">
        <f t="shared" si="28"/>
        <v>0</v>
      </c>
      <c r="BA92" s="104">
        <f t="shared" si="29"/>
        <v>0</v>
      </c>
      <c r="BB92" s="106">
        <f t="shared" si="47"/>
        <v>0</v>
      </c>
      <c r="BC92" s="106">
        <f t="shared" si="30"/>
        <v>0</v>
      </c>
      <c r="BD92" s="106">
        <f t="shared" si="48"/>
        <v>0</v>
      </c>
      <c r="BE92" s="106">
        <f t="shared" si="31"/>
        <v>0</v>
      </c>
      <c r="BF92" s="106">
        <f t="shared" si="32"/>
        <v>0</v>
      </c>
      <c r="BG92" s="106">
        <f t="shared" si="33"/>
        <v>0</v>
      </c>
    </row>
    <row r="93" spans="1:59" s="53" customFormat="1" ht="50.1" customHeight="1">
      <c r="A93" s="141">
        <v>86</v>
      </c>
      <c r="B93" s="47"/>
      <c r="C93" s="20"/>
      <c r="D93" s="21"/>
      <c r="E93" s="23"/>
      <c r="F93" s="48"/>
      <c r="G93" s="48"/>
      <c r="H93" s="49"/>
      <c r="I93" s="49"/>
      <c r="J93" s="182"/>
      <c r="K93" s="88"/>
      <c r="L93" s="88"/>
      <c r="M93" s="96"/>
      <c r="N93" s="96"/>
      <c r="O93" s="88"/>
      <c r="P93" s="152"/>
      <c r="Q93" s="75"/>
      <c r="R93" s="221"/>
      <c r="S93" s="178"/>
      <c r="T93" s="50"/>
      <c r="U93" s="112">
        <f t="shared" si="34"/>
        <v>0</v>
      </c>
      <c r="V93" s="113" t="s">
        <v>3</v>
      </c>
      <c r="W93" s="114"/>
      <c r="X93" s="115" t="s">
        <v>3</v>
      </c>
      <c r="Y93" s="114"/>
      <c r="Z93" s="115" t="s">
        <v>4</v>
      </c>
      <c r="AA93" s="116">
        <f t="shared" si="35"/>
        <v>0</v>
      </c>
      <c r="AB93" s="117"/>
      <c r="AC93" s="118"/>
      <c r="AD93" s="119">
        <f t="shared" si="36"/>
        <v>0</v>
      </c>
      <c r="AE93" s="119">
        <f t="shared" si="37"/>
        <v>0</v>
      </c>
      <c r="AF93" s="120">
        <f t="shared" si="38"/>
        <v>0</v>
      </c>
      <c r="AG93" s="121"/>
      <c r="AH93" s="131">
        <f t="shared" si="39"/>
        <v>0</v>
      </c>
      <c r="AI93" s="198"/>
      <c r="AJ93" s="198"/>
      <c r="AK93" s="191">
        <f t="shared" si="40"/>
        <v>0</v>
      </c>
      <c r="AL93" s="122"/>
      <c r="AM93" s="115" t="s">
        <v>5</v>
      </c>
      <c r="AN93" s="51">
        <f t="shared" si="41"/>
        <v>0</v>
      </c>
      <c r="AO93" s="139">
        <f t="shared" si="42"/>
        <v>0</v>
      </c>
      <c r="AP93" s="78">
        <f t="shared" si="43"/>
        <v>0</v>
      </c>
      <c r="AQ93" s="79">
        <f t="shared" si="44"/>
        <v>0</v>
      </c>
      <c r="AR93" s="138"/>
      <c r="AS93" s="52"/>
      <c r="AT93" s="52"/>
      <c r="AU93" s="109">
        <f t="shared" si="45"/>
        <v>0</v>
      </c>
      <c r="AV93" s="103">
        <f t="shared" si="46"/>
        <v>0</v>
      </c>
      <c r="AW93" s="104">
        <f t="shared" si="25"/>
        <v>0</v>
      </c>
      <c r="AX93" s="104">
        <f t="shared" si="26"/>
        <v>0</v>
      </c>
      <c r="AY93" s="104">
        <f t="shared" si="27"/>
        <v>0</v>
      </c>
      <c r="AZ93" s="104">
        <f t="shared" si="28"/>
        <v>0</v>
      </c>
      <c r="BA93" s="104">
        <f t="shared" si="29"/>
        <v>0</v>
      </c>
      <c r="BB93" s="106">
        <f t="shared" si="47"/>
        <v>0</v>
      </c>
      <c r="BC93" s="106">
        <f t="shared" si="30"/>
        <v>0</v>
      </c>
      <c r="BD93" s="106">
        <f t="shared" si="48"/>
        <v>0</v>
      </c>
      <c r="BE93" s="106">
        <f t="shared" si="31"/>
        <v>0</v>
      </c>
      <c r="BF93" s="106">
        <f t="shared" si="32"/>
        <v>0</v>
      </c>
      <c r="BG93" s="106">
        <f t="shared" si="33"/>
        <v>0</v>
      </c>
    </row>
    <row r="94" spans="1:59" s="53" customFormat="1" ht="50.1" customHeight="1">
      <c r="A94" s="141">
        <v>87</v>
      </c>
      <c r="B94" s="47"/>
      <c r="C94" s="20"/>
      <c r="D94" s="21"/>
      <c r="E94" s="23"/>
      <c r="F94" s="48"/>
      <c r="G94" s="48"/>
      <c r="H94" s="49"/>
      <c r="I94" s="49"/>
      <c r="J94" s="181"/>
      <c r="K94" s="87"/>
      <c r="L94" s="92"/>
      <c r="M94" s="94"/>
      <c r="N94" s="94"/>
      <c r="O94" s="93"/>
      <c r="P94" s="152"/>
      <c r="Q94" s="75"/>
      <c r="R94" s="221"/>
      <c r="S94" s="178"/>
      <c r="T94" s="50"/>
      <c r="U94" s="112">
        <f t="shared" si="34"/>
        <v>0</v>
      </c>
      <c r="V94" s="113" t="s">
        <v>3</v>
      </c>
      <c r="W94" s="114"/>
      <c r="X94" s="115" t="s">
        <v>3</v>
      </c>
      <c r="Y94" s="114"/>
      <c r="Z94" s="115" t="s">
        <v>4</v>
      </c>
      <c r="AA94" s="116">
        <f t="shared" si="35"/>
        <v>0</v>
      </c>
      <c r="AB94" s="117"/>
      <c r="AC94" s="118"/>
      <c r="AD94" s="119">
        <f t="shared" si="36"/>
        <v>0</v>
      </c>
      <c r="AE94" s="119">
        <f t="shared" si="37"/>
        <v>0</v>
      </c>
      <c r="AF94" s="120">
        <f t="shared" si="38"/>
        <v>0</v>
      </c>
      <c r="AG94" s="121"/>
      <c r="AH94" s="131">
        <f t="shared" si="39"/>
        <v>0</v>
      </c>
      <c r="AI94" s="198"/>
      <c r="AJ94" s="198"/>
      <c r="AK94" s="191">
        <f t="shared" si="40"/>
        <v>0</v>
      </c>
      <c r="AL94" s="122"/>
      <c r="AM94" s="115" t="s">
        <v>5</v>
      </c>
      <c r="AN94" s="51">
        <f t="shared" si="41"/>
        <v>0</v>
      </c>
      <c r="AO94" s="139">
        <f t="shared" si="42"/>
        <v>0</v>
      </c>
      <c r="AP94" s="78">
        <f t="shared" si="43"/>
        <v>0</v>
      </c>
      <c r="AQ94" s="79">
        <f t="shared" si="44"/>
        <v>0</v>
      </c>
      <c r="AR94" s="138"/>
      <c r="AS94" s="52"/>
      <c r="AT94" s="52"/>
      <c r="AU94" s="109">
        <f t="shared" si="45"/>
        <v>0</v>
      </c>
      <c r="AV94" s="103">
        <f t="shared" si="46"/>
        <v>0</v>
      </c>
      <c r="AW94" s="104">
        <f t="shared" si="25"/>
        <v>0</v>
      </c>
      <c r="AX94" s="104">
        <f t="shared" si="26"/>
        <v>0</v>
      </c>
      <c r="AY94" s="104">
        <f t="shared" si="27"/>
        <v>0</v>
      </c>
      <c r="AZ94" s="104">
        <f t="shared" si="28"/>
        <v>0</v>
      </c>
      <c r="BA94" s="104">
        <f t="shared" si="29"/>
        <v>0</v>
      </c>
      <c r="BB94" s="106">
        <f t="shared" si="47"/>
        <v>0</v>
      </c>
      <c r="BC94" s="106">
        <f t="shared" si="30"/>
        <v>0</v>
      </c>
      <c r="BD94" s="106">
        <f t="shared" si="48"/>
        <v>0</v>
      </c>
      <c r="BE94" s="106">
        <f t="shared" si="31"/>
        <v>0</v>
      </c>
      <c r="BF94" s="106">
        <f t="shared" si="32"/>
        <v>0</v>
      </c>
      <c r="BG94" s="106">
        <f t="shared" si="33"/>
        <v>0</v>
      </c>
    </row>
    <row r="95" spans="1:59" s="53" customFormat="1" ht="50.1" customHeight="1">
      <c r="A95" s="141">
        <v>88</v>
      </c>
      <c r="B95" s="47"/>
      <c r="C95" s="20"/>
      <c r="D95" s="21"/>
      <c r="E95" s="23"/>
      <c r="F95" s="48"/>
      <c r="G95" s="48"/>
      <c r="H95" s="49"/>
      <c r="I95" s="49"/>
      <c r="J95" s="181"/>
      <c r="K95" s="87"/>
      <c r="L95" s="92"/>
      <c r="M95" s="94"/>
      <c r="N95" s="94"/>
      <c r="O95" s="93"/>
      <c r="P95" s="152"/>
      <c r="Q95" s="75"/>
      <c r="R95" s="221"/>
      <c r="S95" s="178"/>
      <c r="T95" s="50"/>
      <c r="U95" s="112">
        <f t="shared" si="34"/>
        <v>0</v>
      </c>
      <c r="V95" s="113" t="s">
        <v>3</v>
      </c>
      <c r="W95" s="114"/>
      <c r="X95" s="115" t="s">
        <v>3</v>
      </c>
      <c r="Y95" s="114"/>
      <c r="Z95" s="115" t="s">
        <v>4</v>
      </c>
      <c r="AA95" s="116">
        <f t="shared" si="35"/>
        <v>0</v>
      </c>
      <c r="AB95" s="117"/>
      <c r="AC95" s="118"/>
      <c r="AD95" s="119">
        <f t="shared" si="36"/>
        <v>0</v>
      </c>
      <c r="AE95" s="119">
        <f t="shared" si="37"/>
        <v>0</v>
      </c>
      <c r="AF95" s="120">
        <f t="shared" si="38"/>
        <v>0</v>
      </c>
      <c r="AG95" s="121"/>
      <c r="AH95" s="131">
        <f t="shared" si="39"/>
        <v>0</v>
      </c>
      <c r="AI95" s="198"/>
      <c r="AJ95" s="198"/>
      <c r="AK95" s="191">
        <f t="shared" si="40"/>
        <v>0</v>
      </c>
      <c r="AL95" s="122"/>
      <c r="AM95" s="115" t="s">
        <v>5</v>
      </c>
      <c r="AN95" s="51">
        <f t="shared" si="41"/>
        <v>0</v>
      </c>
      <c r="AO95" s="139">
        <f t="shared" si="42"/>
        <v>0</v>
      </c>
      <c r="AP95" s="78">
        <f t="shared" si="43"/>
        <v>0</v>
      </c>
      <c r="AQ95" s="79">
        <f t="shared" si="44"/>
        <v>0</v>
      </c>
      <c r="AR95" s="138"/>
      <c r="AS95" s="52"/>
      <c r="AT95" s="52"/>
      <c r="AU95" s="109">
        <f t="shared" si="45"/>
        <v>0</v>
      </c>
      <c r="AV95" s="103">
        <f t="shared" si="46"/>
        <v>0</v>
      </c>
      <c r="AW95" s="104">
        <f t="shared" si="25"/>
        <v>0</v>
      </c>
      <c r="AX95" s="104">
        <f t="shared" si="26"/>
        <v>0</v>
      </c>
      <c r="AY95" s="104">
        <f t="shared" si="27"/>
        <v>0</v>
      </c>
      <c r="AZ95" s="104">
        <f t="shared" si="28"/>
        <v>0</v>
      </c>
      <c r="BA95" s="104">
        <f t="shared" si="29"/>
        <v>0</v>
      </c>
      <c r="BB95" s="106">
        <f t="shared" si="47"/>
        <v>0</v>
      </c>
      <c r="BC95" s="106">
        <f t="shared" si="30"/>
        <v>0</v>
      </c>
      <c r="BD95" s="106">
        <f t="shared" si="48"/>
        <v>0</v>
      </c>
      <c r="BE95" s="106">
        <f t="shared" si="31"/>
        <v>0</v>
      </c>
      <c r="BF95" s="106">
        <f t="shared" si="32"/>
        <v>0</v>
      </c>
      <c r="BG95" s="106">
        <f t="shared" si="33"/>
        <v>0</v>
      </c>
    </row>
    <row r="96" spans="1:59" s="53" customFormat="1" ht="50.1" customHeight="1">
      <c r="A96" s="141">
        <v>89</v>
      </c>
      <c r="B96" s="47"/>
      <c r="C96" s="20"/>
      <c r="D96" s="21"/>
      <c r="E96" s="23"/>
      <c r="F96" s="48"/>
      <c r="G96" s="48"/>
      <c r="H96" s="49"/>
      <c r="I96" s="49"/>
      <c r="J96" s="182"/>
      <c r="K96" s="88"/>
      <c r="L96" s="88"/>
      <c r="M96" s="96"/>
      <c r="N96" s="96"/>
      <c r="O96" s="88"/>
      <c r="P96" s="152"/>
      <c r="Q96" s="75"/>
      <c r="R96" s="221"/>
      <c r="S96" s="178"/>
      <c r="T96" s="50"/>
      <c r="U96" s="112">
        <f t="shared" si="34"/>
        <v>0</v>
      </c>
      <c r="V96" s="113" t="s">
        <v>3</v>
      </c>
      <c r="W96" s="114"/>
      <c r="X96" s="115" t="s">
        <v>3</v>
      </c>
      <c r="Y96" s="114"/>
      <c r="Z96" s="115" t="s">
        <v>4</v>
      </c>
      <c r="AA96" s="116">
        <f t="shared" si="35"/>
        <v>0</v>
      </c>
      <c r="AB96" s="117"/>
      <c r="AC96" s="118"/>
      <c r="AD96" s="119">
        <f t="shared" si="36"/>
        <v>0</v>
      </c>
      <c r="AE96" s="119">
        <f t="shared" si="37"/>
        <v>0</v>
      </c>
      <c r="AF96" s="120">
        <f t="shared" si="38"/>
        <v>0</v>
      </c>
      <c r="AG96" s="121"/>
      <c r="AH96" s="131">
        <f t="shared" si="39"/>
        <v>0</v>
      </c>
      <c r="AI96" s="198"/>
      <c r="AJ96" s="198"/>
      <c r="AK96" s="191">
        <f t="shared" si="40"/>
        <v>0</v>
      </c>
      <c r="AL96" s="122"/>
      <c r="AM96" s="115" t="s">
        <v>5</v>
      </c>
      <c r="AN96" s="51">
        <f t="shared" si="41"/>
        <v>0</v>
      </c>
      <c r="AO96" s="139">
        <f t="shared" si="42"/>
        <v>0</v>
      </c>
      <c r="AP96" s="78">
        <f t="shared" si="43"/>
        <v>0</v>
      </c>
      <c r="AQ96" s="79">
        <f t="shared" si="44"/>
        <v>0</v>
      </c>
      <c r="AR96" s="138"/>
      <c r="AS96" s="52"/>
      <c r="AT96" s="52"/>
      <c r="AU96" s="109">
        <f t="shared" si="45"/>
        <v>0</v>
      </c>
      <c r="AV96" s="103">
        <f t="shared" si="46"/>
        <v>0</v>
      </c>
      <c r="AW96" s="104">
        <f t="shared" si="25"/>
        <v>0</v>
      </c>
      <c r="AX96" s="104">
        <f t="shared" si="26"/>
        <v>0</v>
      </c>
      <c r="AY96" s="104">
        <f t="shared" si="27"/>
        <v>0</v>
      </c>
      <c r="AZ96" s="104">
        <f t="shared" si="28"/>
        <v>0</v>
      </c>
      <c r="BA96" s="104">
        <f t="shared" si="29"/>
        <v>0</v>
      </c>
      <c r="BB96" s="106">
        <f t="shared" si="47"/>
        <v>0</v>
      </c>
      <c r="BC96" s="106">
        <f t="shared" si="30"/>
        <v>0</v>
      </c>
      <c r="BD96" s="106">
        <f t="shared" si="48"/>
        <v>0</v>
      </c>
      <c r="BE96" s="106">
        <f t="shared" si="31"/>
        <v>0</v>
      </c>
      <c r="BF96" s="106">
        <f t="shared" si="32"/>
        <v>0</v>
      </c>
      <c r="BG96" s="106">
        <f t="shared" si="33"/>
        <v>0</v>
      </c>
    </row>
    <row r="97" spans="1:59" s="53" customFormat="1" ht="50.1" customHeight="1">
      <c r="A97" s="141">
        <v>90</v>
      </c>
      <c r="B97" s="47"/>
      <c r="C97" s="20"/>
      <c r="D97" s="21"/>
      <c r="E97" s="23"/>
      <c r="F97" s="48"/>
      <c r="G97" s="48"/>
      <c r="H97" s="49"/>
      <c r="I97" s="49"/>
      <c r="J97" s="181"/>
      <c r="K97" s="87"/>
      <c r="L97" s="92"/>
      <c r="M97" s="94"/>
      <c r="N97" s="94"/>
      <c r="O97" s="93"/>
      <c r="P97" s="152"/>
      <c r="Q97" s="75"/>
      <c r="R97" s="221"/>
      <c r="S97" s="178"/>
      <c r="T97" s="50"/>
      <c r="U97" s="112">
        <f t="shared" si="34"/>
        <v>0</v>
      </c>
      <c r="V97" s="113" t="s">
        <v>3</v>
      </c>
      <c r="W97" s="114"/>
      <c r="X97" s="115" t="s">
        <v>3</v>
      </c>
      <c r="Y97" s="114"/>
      <c r="Z97" s="115" t="s">
        <v>4</v>
      </c>
      <c r="AA97" s="116">
        <f t="shared" si="35"/>
        <v>0</v>
      </c>
      <c r="AB97" s="117"/>
      <c r="AC97" s="118"/>
      <c r="AD97" s="119">
        <f t="shared" si="36"/>
        <v>0</v>
      </c>
      <c r="AE97" s="119">
        <f t="shared" si="37"/>
        <v>0</v>
      </c>
      <c r="AF97" s="120">
        <f t="shared" si="38"/>
        <v>0</v>
      </c>
      <c r="AG97" s="121"/>
      <c r="AH97" s="131">
        <f t="shared" si="39"/>
        <v>0</v>
      </c>
      <c r="AI97" s="198"/>
      <c r="AJ97" s="198"/>
      <c r="AK97" s="191">
        <f t="shared" si="40"/>
        <v>0</v>
      </c>
      <c r="AL97" s="122"/>
      <c r="AM97" s="115" t="s">
        <v>5</v>
      </c>
      <c r="AN97" s="51">
        <f t="shared" si="41"/>
        <v>0</v>
      </c>
      <c r="AO97" s="139">
        <f t="shared" si="42"/>
        <v>0</v>
      </c>
      <c r="AP97" s="78">
        <f t="shared" si="43"/>
        <v>0</v>
      </c>
      <c r="AQ97" s="79">
        <f t="shared" si="44"/>
        <v>0</v>
      </c>
      <c r="AR97" s="138"/>
      <c r="AS97" s="52"/>
      <c r="AT97" s="52"/>
      <c r="AU97" s="109">
        <f t="shared" si="45"/>
        <v>0</v>
      </c>
      <c r="AV97" s="103">
        <f t="shared" si="46"/>
        <v>0</v>
      </c>
      <c r="AW97" s="104">
        <f t="shared" si="25"/>
        <v>0</v>
      </c>
      <c r="AX97" s="104">
        <f t="shared" si="26"/>
        <v>0</v>
      </c>
      <c r="AY97" s="104">
        <f t="shared" si="27"/>
        <v>0</v>
      </c>
      <c r="AZ97" s="104">
        <f t="shared" si="28"/>
        <v>0</v>
      </c>
      <c r="BA97" s="104">
        <f t="shared" si="29"/>
        <v>0</v>
      </c>
      <c r="BB97" s="106">
        <f t="shared" si="47"/>
        <v>0</v>
      </c>
      <c r="BC97" s="106">
        <f t="shared" si="30"/>
        <v>0</v>
      </c>
      <c r="BD97" s="106">
        <f t="shared" si="48"/>
        <v>0</v>
      </c>
      <c r="BE97" s="106">
        <f t="shared" si="31"/>
        <v>0</v>
      </c>
      <c r="BF97" s="106">
        <f t="shared" si="32"/>
        <v>0</v>
      </c>
      <c r="BG97" s="106">
        <f t="shared" si="33"/>
        <v>0</v>
      </c>
    </row>
    <row r="98" spans="1:59" s="53" customFormat="1" ht="50.1" customHeight="1">
      <c r="A98" s="141">
        <v>91</v>
      </c>
      <c r="B98" s="47"/>
      <c r="C98" s="20"/>
      <c r="D98" s="21"/>
      <c r="E98" s="23"/>
      <c r="F98" s="48"/>
      <c r="G98" s="48"/>
      <c r="H98" s="49"/>
      <c r="I98" s="49"/>
      <c r="J98" s="181"/>
      <c r="K98" s="87"/>
      <c r="L98" s="92"/>
      <c r="M98" s="94"/>
      <c r="N98" s="94"/>
      <c r="O98" s="93"/>
      <c r="P98" s="152"/>
      <c r="Q98" s="75"/>
      <c r="R98" s="221"/>
      <c r="S98" s="178"/>
      <c r="T98" s="50"/>
      <c r="U98" s="112">
        <f t="shared" si="34"/>
        <v>0</v>
      </c>
      <c r="V98" s="113" t="s">
        <v>3</v>
      </c>
      <c r="W98" s="114"/>
      <c r="X98" s="115" t="s">
        <v>3</v>
      </c>
      <c r="Y98" s="114"/>
      <c r="Z98" s="115" t="s">
        <v>4</v>
      </c>
      <c r="AA98" s="116">
        <f t="shared" si="35"/>
        <v>0</v>
      </c>
      <c r="AB98" s="117"/>
      <c r="AC98" s="118"/>
      <c r="AD98" s="119">
        <f t="shared" si="36"/>
        <v>0</v>
      </c>
      <c r="AE98" s="119">
        <f t="shared" si="37"/>
        <v>0</v>
      </c>
      <c r="AF98" s="120">
        <f t="shared" si="38"/>
        <v>0</v>
      </c>
      <c r="AG98" s="121"/>
      <c r="AH98" s="131">
        <f t="shared" si="39"/>
        <v>0</v>
      </c>
      <c r="AI98" s="198"/>
      <c r="AJ98" s="198"/>
      <c r="AK98" s="191">
        <f t="shared" si="40"/>
        <v>0</v>
      </c>
      <c r="AL98" s="122"/>
      <c r="AM98" s="115" t="s">
        <v>5</v>
      </c>
      <c r="AN98" s="51">
        <f t="shared" si="41"/>
        <v>0</v>
      </c>
      <c r="AO98" s="139">
        <f t="shared" si="42"/>
        <v>0</v>
      </c>
      <c r="AP98" s="78">
        <f t="shared" si="43"/>
        <v>0</v>
      </c>
      <c r="AQ98" s="79">
        <f t="shared" si="44"/>
        <v>0</v>
      </c>
      <c r="AR98" s="138"/>
      <c r="AS98" s="52"/>
      <c r="AT98" s="52"/>
      <c r="AU98" s="109">
        <f t="shared" si="45"/>
        <v>0</v>
      </c>
      <c r="AV98" s="103">
        <f t="shared" si="46"/>
        <v>0</v>
      </c>
      <c r="AW98" s="104">
        <f t="shared" si="25"/>
        <v>0</v>
      </c>
      <c r="AX98" s="104">
        <f t="shared" si="26"/>
        <v>0</v>
      </c>
      <c r="AY98" s="104">
        <f t="shared" si="27"/>
        <v>0</v>
      </c>
      <c r="AZ98" s="104">
        <f t="shared" si="28"/>
        <v>0</v>
      </c>
      <c r="BA98" s="104">
        <f t="shared" si="29"/>
        <v>0</v>
      </c>
      <c r="BB98" s="106">
        <f t="shared" si="47"/>
        <v>0</v>
      </c>
      <c r="BC98" s="106">
        <f t="shared" si="30"/>
        <v>0</v>
      </c>
      <c r="BD98" s="106">
        <f t="shared" si="48"/>
        <v>0</v>
      </c>
      <c r="BE98" s="106">
        <f t="shared" si="31"/>
        <v>0</v>
      </c>
      <c r="BF98" s="106">
        <f t="shared" si="32"/>
        <v>0</v>
      </c>
      <c r="BG98" s="106">
        <f t="shared" si="33"/>
        <v>0</v>
      </c>
    </row>
    <row r="99" spans="1:59" s="53" customFormat="1" ht="50.1" customHeight="1">
      <c r="A99" s="141">
        <v>92</v>
      </c>
      <c r="B99" s="47"/>
      <c r="C99" s="20"/>
      <c r="D99" s="21"/>
      <c r="E99" s="23"/>
      <c r="F99" s="48"/>
      <c r="G99" s="48"/>
      <c r="H99" s="49"/>
      <c r="I99" s="49"/>
      <c r="J99" s="182"/>
      <c r="K99" s="88"/>
      <c r="L99" s="88"/>
      <c r="M99" s="96"/>
      <c r="N99" s="96"/>
      <c r="O99" s="88"/>
      <c r="P99" s="152"/>
      <c r="Q99" s="75"/>
      <c r="R99" s="221"/>
      <c r="S99" s="178"/>
      <c r="T99" s="50"/>
      <c r="U99" s="112">
        <f t="shared" si="34"/>
        <v>0</v>
      </c>
      <c r="V99" s="113" t="s">
        <v>3</v>
      </c>
      <c r="W99" s="114"/>
      <c r="X99" s="115" t="s">
        <v>3</v>
      </c>
      <c r="Y99" s="114"/>
      <c r="Z99" s="115" t="s">
        <v>4</v>
      </c>
      <c r="AA99" s="116">
        <f t="shared" si="35"/>
        <v>0</v>
      </c>
      <c r="AB99" s="117"/>
      <c r="AC99" s="118"/>
      <c r="AD99" s="119">
        <f t="shared" si="36"/>
        <v>0</v>
      </c>
      <c r="AE99" s="119">
        <f t="shared" si="37"/>
        <v>0</v>
      </c>
      <c r="AF99" s="120">
        <f t="shared" si="38"/>
        <v>0</v>
      </c>
      <c r="AG99" s="121"/>
      <c r="AH99" s="131">
        <f t="shared" si="39"/>
        <v>0</v>
      </c>
      <c r="AI99" s="198"/>
      <c r="AJ99" s="198"/>
      <c r="AK99" s="191">
        <f t="shared" si="40"/>
        <v>0</v>
      </c>
      <c r="AL99" s="122"/>
      <c r="AM99" s="115" t="s">
        <v>5</v>
      </c>
      <c r="AN99" s="51">
        <f t="shared" si="41"/>
        <v>0</v>
      </c>
      <c r="AO99" s="139">
        <f t="shared" si="42"/>
        <v>0</v>
      </c>
      <c r="AP99" s="78">
        <f t="shared" si="43"/>
        <v>0</v>
      </c>
      <c r="AQ99" s="79">
        <f t="shared" si="44"/>
        <v>0</v>
      </c>
      <c r="AR99" s="138"/>
      <c r="AS99" s="52"/>
      <c r="AT99" s="52"/>
      <c r="AU99" s="109">
        <f t="shared" si="45"/>
        <v>0</v>
      </c>
      <c r="AV99" s="103">
        <f t="shared" si="46"/>
        <v>0</v>
      </c>
      <c r="AW99" s="104">
        <f t="shared" si="25"/>
        <v>0</v>
      </c>
      <c r="AX99" s="104">
        <f t="shared" si="26"/>
        <v>0</v>
      </c>
      <c r="AY99" s="104">
        <f t="shared" si="27"/>
        <v>0</v>
      </c>
      <c r="AZ99" s="104">
        <f t="shared" si="28"/>
        <v>0</v>
      </c>
      <c r="BA99" s="104">
        <f t="shared" si="29"/>
        <v>0</v>
      </c>
      <c r="BB99" s="106">
        <f t="shared" si="47"/>
        <v>0</v>
      </c>
      <c r="BC99" s="106">
        <f t="shared" si="30"/>
        <v>0</v>
      </c>
      <c r="BD99" s="106">
        <f t="shared" si="48"/>
        <v>0</v>
      </c>
      <c r="BE99" s="106">
        <f t="shared" si="31"/>
        <v>0</v>
      </c>
      <c r="BF99" s="106">
        <f t="shared" si="32"/>
        <v>0</v>
      </c>
      <c r="BG99" s="106">
        <f t="shared" si="33"/>
        <v>0</v>
      </c>
    </row>
    <row r="100" spans="1:59" s="53" customFormat="1" ht="50.1" customHeight="1">
      <c r="A100" s="141">
        <v>93</v>
      </c>
      <c r="B100" s="47"/>
      <c r="C100" s="20"/>
      <c r="D100" s="21"/>
      <c r="E100" s="23"/>
      <c r="F100" s="48"/>
      <c r="G100" s="48"/>
      <c r="H100" s="49"/>
      <c r="I100" s="49"/>
      <c r="J100" s="181"/>
      <c r="K100" s="87"/>
      <c r="L100" s="92"/>
      <c r="M100" s="94"/>
      <c r="N100" s="94"/>
      <c r="O100" s="93"/>
      <c r="P100" s="152"/>
      <c r="Q100" s="75"/>
      <c r="R100" s="221"/>
      <c r="S100" s="178"/>
      <c r="T100" s="50"/>
      <c r="U100" s="112">
        <f t="shared" si="34"/>
        <v>0</v>
      </c>
      <c r="V100" s="113" t="s">
        <v>3</v>
      </c>
      <c r="W100" s="114"/>
      <c r="X100" s="115" t="s">
        <v>3</v>
      </c>
      <c r="Y100" s="114"/>
      <c r="Z100" s="115" t="s">
        <v>4</v>
      </c>
      <c r="AA100" s="116">
        <f t="shared" si="35"/>
        <v>0</v>
      </c>
      <c r="AB100" s="117"/>
      <c r="AC100" s="118"/>
      <c r="AD100" s="119">
        <f t="shared" si="36"/>
        <v>0</v>
      </c>
      <c r="AE100" s="119">
        <f t="shared" si="37"/>
        <v>0</v>
      </c>
      <c r="AF100" s="120">
        <f t="shared" si="38"/>
        <v>0</v>
      </c>
      <c r="AG100" s="121"/>
      <c r="AH100" s="131">
        <f t="shared" si="39"/>
        <v>0</v>
      </c>
      <c r="AI100" s="198"/>
      <c r="AJ100" s="198"/>
      <c r="AK100" s="191">
        <f t="shared" si="40"/>
        <v>0</v>
      </c>
      <c r="AL100" s="122"/>
      <c r="AM100" s="115" t="s">
        <v>5</v>
      </c>
      <c r="AN100" s="51">
        <f t="shared" si="41"/>
        <v>0</v>
      </c>
      <c r="AO100" s="139">
        <f t="shared" si="42"/>
        <v>0</v>
      </c>
      <c r="AP100" s="78">
        <f t="shared" si="43"/>
        <v>0</v>
      </c>
      <c r="AQ100" s="79">
        <f t="shared" si="44"/>
        <v>0</v>
      </c>
      <c r="AR100" s="138"/>
      <c r="AS100" s="52"/>
      <c r="AT100" s="52"/>
      <c r="AU100" s="109">
        <f t="shared" si="45"/>
        <v>0</v>
      </c>
      <c r="AV100" s="103">
        <f t="shared" si="46"/>
        <v>0</v>
      </c>
      <c r="AW100" s="104">
        <f t="shared" si="25"/>
        <v>0</v>
      </c>
      <c r="AX100" s="104">
        <f t="shared" si="26"/>
        <v>0</v>
      </c>
      <c r="AY100" s="104">
        <f t="shared" si="27"/>
        <v>0</v>
      </c>
      <c r="AZ100" s="104">
        <f t="shared" si="28"/>
        <v>0</v>
      </c>
      <c r="BA100" s="104">
        <f t="shared" si="29"/>
        <v>0</v>
      </c>
      <c r="BB100" s="106">
        <f t="shared" si="47"/>
        <v>0</v>
      </c>
      <c r="BC100" s="106">
        <f t="shared" si="30"/>
        <v>0</v>
      </c>
      <c r="BD100" s="106">
        <f t="shared" si="48"/>
        <v>0</v>
      </c>
      <c r="BE100" s="106">
        <f t="shared" si="31"/>
        <v>0</v>
      </c>
      <c r="BF100" s="106">
        <f t="shared" si="32"/>
        <v>0</v>
      </c>
      <c r="BG100" s="106">
        <f t="shared" si="33"/>
        <v>0</v>
      </c>
    </row>
    <row r="101" spans="1:59" s="53" customFormat="1" ht="50.1" customHeight="1">
      <c r="A101" s="141">
        <v>94</v>
      </c>
      <c r="B101" s="47"/>
      <c r="C101" s="20"/>
      <c r="D101" s="21"/>
      <c r="E101" s="23"/>
      <c r="F101" s="48"/>
      <c r="G101" s="48"/>
      <c r="H101" s="49"/>
      <c r="I101" s="49"/>
      <c r="J101" s="181"/>
      <c r="K101" s="87"/>
      <c r="L101" s="92"/>
      <c r="M101" s="94"/>
      <c r="N101" s="94"/>
      <c r="O101" s="93"/>
      <c r="P101" s="152"/>
      <c r="Q101" s="75"/>
      <c r="R101" s="221"/>
      <c r="S101" s="178"/>
      <c r="T101" s="50"/>
      <c r="U101" s="112">
        <f t="shared" si="34"/>
        <v>0</v>
      </c>
      <c r="V101" s="113" t="s">
        <v>3</v>
      </c>
      <c r="W101" s="114"/>
      <c r="X101" s="115" t="s">
        <v>3</v>
      </c>
      <c r="Y101" s="114"/>
      <c r="Z101" s="115" t="s">
        <v>4</v>
      </c>
      <c r="AA101" s="116">
        <f t="shared" si="35"/>
        <v>0</v>
      </c>
      <c r="AB101" s="117"/>
      <c r="AC101" s="118"/>
      <c r="AD101" s="119">
        <f t="shared" si="36"/>
        <v>0</v>
      </c>
      <c r="AE101" s="119">
        <f t="shared" si="37"/>
        <v>0</v>
      </c>
      <c r="AF101" s="120">
        <f t="shared" si="38"/>
        <v>0</v>
      </c>
      <c r="AG101" s="121"/>
      <c r="AH101" s="131">
        <f t="shared" si="39"/>
        <v>0</v>
      </c>
      <c r="AI101" s="198"/>
      <c r="AJ101" s="198"/>
      <c r="AK101" s="191">
        <f t="shared" si="40"/>
        <v>0</v>
      </c>
      <c r="AL101" s="122"/>
      <c r="AM101" s="115" t="s">
        <v>5</v>
      </c>
      <c r="AN101" s="51">
        <f t="shared" si="41"/>
        <v>0</v>
      </c>
      <c r="AO101" s="139">
        <f t="shared" si="42"/>
        <v>0</v>
      </c>
      <c r="AP101" s="78">
        <f t="shared" si="43"/>
        <v>0</v>
      </c>
      <c r="AQ101" s="79">
        <f t="shared" si="44"/>
        <v>0</v>
      </c>
      <c r="AR101" s="138"/>
      <c r="AS101" s="52"/>
      <c r="AT101" s="52"/>
      <c r="AU101" s="109">
        <f t="shared" si="45"/>
        <v>0</v>
      </c>
      <c r="AV101" s="103">
        <f t="shared" si="46"/>
        <v>0</v>
      </c>
      <c r="AW101" s="104">
        <f t="shared" si="25"/>
        <v>0</v>
      </c>
      <c r="AX101" s="104">
        <f t="shared" si="26"/>
        <v>0</v>
      </c>
      <c r="AY101" s="104">
        <f t="shared" si="27"/>
        <v>0</v>
      </c>
      <c r="AZ101" s="104">
        <f t="shared" si="28"/>
        <v>0</v>
      </c>
      <c r="BA101" s="104">
        <f t="shared" si="29"/>
        <v>0</v>
      </c>
      <c r="BB101" s="106">
        <f t="shared" si="47"/>
        <v>0</v>
      </c>
      <c r="BC101" s="106">
        <f t="shared" si="30"/>
        <v>0</v>
      </c>
      <c r="BD101" s="106">
        <f t="shared" si="48"/>
        <v>0</v>
      </c>
      <c r="BE101" s="106">
        <f t="shared" si="31"/>
        <v>0</v>
      </c>
      <c r="BF101" s="106">
        <f t="shared" si="32"/>
        <v>0</v>
      </c>
      <c r="BG101" s="106">
        <f t="shared" si="33"/>
        <v>0</v>
      </c>
    </row>
    <row r="102" spans="1:59" s="53" customFormat="1" ht="50.1" customHeight="1">
      <c r="A102" s="141">
        <v>95</v>
      </c>
      <c r="B102" s="47"/>
      <c r="C102" s="20"/>
      <c r="D102" s="21"/>
      <c r="E102" s="23"/>
      <c r="F102" s="48"/>
      <c r="G102" s="48"/>
      <c r="H102" s="49"/>
      <c r="I102" s="49"/>
      <c r="J102" s="182"/>
      <c r="K102" s="88"/>
      <c r="L102" s="88"/>
      <c r="M102" s="96"/>
      <c r="N102" s="96"/>
      <c r="O102" s="88"/>
      <c r="P102" s="152"/>
      <c r="Q102" s="75"/>
      <c r="R102" s="221"/>
      <c r="S102" s="178"/>
      <c r="T102" s="50"/>
      <c r="U102" s="112">
        <f t="shared" si="34"/>
        <v>0</v>
      </c>
      <c r="V102" s="113" t="s">
        <v>3</v>
      </c>
      <c r="W102" s="114"/>
      <c r="X102" s="115" t="s">
        <v>3</v>
      </c>
      <c r="Y102" s="114"/>
      <c r="Z102" s="115" t="s">
        <v>4</v>
      </c>
      <c r="AA102" s="116">
        <f t="shared" si="35"/>
        <v>0</v>
      </c>
      <c r="AB102" s="117"/>
      <c r="AC102" s="118"/>
      <c r="AD102" s="119">
        <f t="shared" si="36"/>
        <v>0</v>
      </c>
      <c r="AE102" s="119">
        <f t="shared" si="37"/>
        <v>0</v>
      </c>
      <c r="AF102" s="120">
        <f t="shared" si="38"/>
        <v>0</v>
      </c>
      <c r="AG102" s="121"/>
      <c r="AH102" s="131">
        <f t="shared" si="39"/>
        <v>0</v>
      </c>
      <c r="AI102" s="198"/>
      <c r="AJ102" s="198"/>
      <c r="AK102" s="191">
        <f t="shared" si="40"/>
        <v>0</v>
      </c>
      <c r="AL102" s="122"/>
      <c r="AM102" s="115" t="s">
        <v>5</v>
      </c>
      <c r="AN102" s="51">
        <f t="shared" si="41"/>
        <v>0</v>
      </c>
      <c r="AO102" s="139">
        <f t="shared" si="42"/>
        <v>0</v>
      </c>
      <c r="AP102" s="78">
        <f t="shared" si="43"/>
        <v>0</v>
      </c>
      <c r="AQ102" s="79">
        <f t="shared" si="44"/>
        <v>0</v>
      </c>
      <c r="AR102" s="138"/>
      <c r="AS102" s="52"/>
      <c r="AT102" s="52"/>
      <c r="AU102" s="109">
        <f t="shared" si="45"/>
        <v>0</v>
      </c>
      <c r="AV102" s="103">
        <f t="shared" si="46"/>
        <v>0</v>
      </c>
      <c r="AW102" s="104">
        <f t="shared" si="25"/>
        <v>0</v>
      </c>
      <c r="AX102" s="104">
        <f t="shared" si="26"/>
        <v>0</v>
      </c>
      <c r="AY102" s="104">
        <f t="shared" si="27"/>
        <v>0</v>
      </c>
      <c r="AZ102" s="104">
        <f t="shared" si="28"/>
        <v>0</v>
      </c>
      <c r="BA102" s="104">
        <f t="shared" si="29"/>
        <v>0</v>
      </c>
      <c r="BB102" s="106">
        <f t="shared" si="47"/>
        <v>0</v>
      </c>
      <c r="BC102" s="106">
        <f t="shared" si="30"/>
        <v>0</v>
      </c>
      <c r="BD102" s="106">
        <f t="shared" si="48"/>
        <v>0</v>
      </c>
      <c r="BE102" s="106">
        <f t="shared" si="31"/>
        <v>0</v>
      </c>
      <c r="BF102" s="106">
        <f t="shared" si="32"/>
        <v>0</v>
      </c>
      <c r="BG102" s="106">
        <f t="shared" si="33"/>
        <v>0</v>
      </c>
    </row>
    <row r="103" spans="1:59" s="53" customFormat="1" ht="50.1" customHeight="1">
      <c r="A103" s="141">
        <v>96</v>
      </c>
      <c r="B103" s="47"/>
      <c r="C103" s="20"/>
      <c r="D103" s="21"/>
      <c r="E103" s="23"/>
      <c r="F103" s="48"/>
      <c r="G103" s="48"/>
      <c r="H103" s="49"/>
      <c r="I103" s="49"/>
      <c r="J103" s="181"/>
      <c r="K103" s="87"/>
      <c r="L103" s="92"/>
      <c r="M103" s="94"/>
      <c r="N103" s="94"/>
      <c r="O103" s="93"/>
      <c r="P103" s="152"/>
      <c r="Q103" s="75"/>
      <c r="R103" s="221"/>
      <c r="S103" s="178"/>
      <c r="T103" s="50"/>
      <c r="U103" s="112">
        <f t="shared" si="34"/>
        <v>0</v>
      </c>
      <c r="V103" s="113" t="s">
        <v>3</v>
      </c>
      <c r="W103" s="114"/>
      <c r="X103" s="115" t="s">
        <v>3</v>
      </c>
      <c r="Y103" s="114"/>
      <c r="Z103" s="115" t="s">
        <v>4</v>
      </c>
      <c r="AA103" s="116">
        <f t="shared" si="35"/>
        <v>0</v>
      </c>
      <c r="AB103" s="117"/>
      <c r="AC103" s="118"/>
      <c r="AD103" s="119">
        <f t="shared" si="36"/>
        <v>0</v>
      </c>
      <c r="AE103" s="119">
        <f t="shared" si="37"/>
        <v>0</v>
      </c>
      <c r="AF103" s="120">
        <f t="shared" si="38"/>
        <v>0</v>
      </c>
      <c r="AG103" s="121"/>
      <c r="AH103" s="131">
        <f t="shared" si="39"/>
        <v>0</v>
      </c>
      <c r="AI103" s="198"/>
      <c r="AJ103" s="198"/>
      <c r="AK103" s="191">
        <f t="shared" si="40"/>
        <v>0</v>
      </c>
      <c r="AL103" s="122"/>
      <c r="AM103" s="115" t="s">
        <v>5</v>
      </c>
      <c r="AN103" s="51">
        <f t="shared" si="41"/>
        <v>0</v>
      </c>
      <c r="AO103" s="139">
        <f t="shared" si="42"/>
        <v>0</v>
      </c>
      <c r="AP103" s="78">
        <f t="shared" si="43"/>
        <v>0</v>
      </c>
      <c r="AQ103" s="79">
        <f t="shared" si="44"/>
        <v>0</v>
      </c>
      <c r="AR103" s="138"/>
      <c r="AS103" s="52"/>
      <c r="AT103" s="52"/>
      <c r="AU103" s="109">
        <f t="shared" si="45"/>
        <v>0</v>
      </c>
      <c r="AV103" s="103">
        <f t="shared" si="46"/>
        <v>0</v>
      </c>
      <c r="AW103" s="104">
        <f t="shared" si="25"/>
        <v>0</v>
      </c>
      <c r="AX103" s="104">
        <f t="shared" si="26"/>
        <v>0</v>
      </c>
      <c r="AY103" s="104">
        <f t="shared" si="27"/>
        <v>0</v>
      </c>
      <c r="AZ103" s="104">
        <f t="shared" si="28"/>
        <v>0</v>
      </c>
      <c r="BA103" s="104">
        <f t="shared" si="29"/>
        <v>0</v>
      </c>
      <c r="BB103" s="106">
        <f t="shared" si="47"/>
        <v>0</v>
      </c>
      <c r="BC103" s="106">
        <f t="shared" si="30"/>
        <v>0</v>
      </c>
      <c r="BD103" s="106">
        <f t="shared" si="48"/>
        <v>0</v>
      </c>
      <c r="BE103" s="106">
        <f t="shared" si="31"/>
        <v>0</v>
      </c>
      <c r="BF103" s="106">
        <f t="shared" si="32"/>
        <v>0</v>
      </c>
      <c r="BG103" s="106">
        <f t="shared" si="33"/>
        <v>0</v>
      </c>
    </row>
    <row r="104" spans="1:59" s="53" customFormat="1" ht="50.1" customHeight="1">
      <c r="A104" s="141">
        <v>97</v>
      </c>
      <c r="B104" s="47"/>
      <c r="C104" s="20"/>
      <c r="D104" s="21"/>
      <c r="E104" s="23"/>
      <c r="F104" s="48"/>
      <c r="G104" s="48"/>
      <c r="H104" s="49"/>
      <c r="I104" s="49"/>
      <c r="J104" s="181"/>
      <c r="K104" s="87"/>
      <c r="L104" s="92"/>
      <c r="M104" s="94"/>
      <c r="N104" s="94"/>
      <c r="O104" s="93"/>
      <c r="P104" s="152"/>
      <c r="Q104" s="75"/>
      <c r="R104" s="221"/>
      <c r="S104" s="178"/>
      <c r="T104" s="50"/>
      <c r="U104" s="112">
        <f t="shared" si="34"/>
        <v>0</v>
      </c>
      <c r="V104" s="113" t="s">
        <v>3</v>
      </c>
      <c r="W104" s="114"/>
      <c r="X104" s="115" t="s">
        <v>3</v>
      </c>
      <c r="Y104" s="114"/>
      <c r="Z104" s="115" t="s">
        <v>4</v>
      </c>
      <c r="AA104" s="116">
        <f t="shared" si="35"/>
        <v>0</v>
      </c>
      <c r="AB104" s="117"/>
      <c r="AC104" s="118"/>
      <c r="AD104" s="119">
        <f t="shared" si="36"/>
        <v>0</v>
      </c>
      <c r="AE104" s="119">
        <f t="shared" si="37"/>
        <v>0</v>
      </c>
      <c r="AF104" s="120">
        <f t="shared" si="38"/>
        <v>0</v>
      </c>
      <c r="AG104" s="121"/>
      <c r="AH104" s="131">
        <f t="shared" si="39"/>
        <v>0</v>
      </c>
      <c r="AI104" s="198"/>
      <c r="AJ104" s="198"/>
      <c r="AK104" s="191">
        <f t="shared" si="40"/>
        <v>0</v>
      </c>
      <c r="AL104" s="122"/>
      <c r="AM104" s="115" t="s">
        <v>5</v>
      </c>
      <c r="AN104" s="51">
        <f t="shared" si="41"/>
        <v>0</v>
      </c>
      <c r="AO104" s="139">
        <f t="shared" si="42"/>
        <v>0</v>
      </c>
      <c r="AP104" s="78">
        <f t="shared" si="43"/>
        <v>0</v>
      </c>
      <c r="AQ104" s="79">
        <f t="shared" si="44"/>
        <v>0</v>
      </c>
      <c r="AR104" s="138"/>
      <c r="AS104" s="52"/>
      <c r="AT104" s="52"/>
      <c r="AU104" s="109">
        <f t="shared" si="45"/>
        <v>0</v>
      </c>
      <c r="AV104" s="103">
        <f t="shared" si="46"/>
        <v>0</v>
      </c>
      <c r="AW104" s="104">
        <f t="shared" si="25"/>
        <v>0</v>
      </c>
      <c r="AX104" s="104">
        <f t="shared" si="26"/>
        <v>0</v>
      </c>
      <c r="AY104" s="104">
        <f t="shared" si="27"/>
        <v>0</v>
      </c>
      <c r="AZ104" s="104">
        <f t="shared" si="28"/>
        <v>0</v>
      </c>
      <c r="BA104" s="104">
        <f t="shared" si="29"/>
        <v>0</v>
      </c>
      <c r="BB104" s="106">
        <f t="shared" si="47"/>
        <v>0</v>
      </c>
      <c r="BC104" s="106">
        <f t="shared" si="30"/>
        <v>0</v>
      </c>
      <c r="BD104" s="106">
        <f t="shared" si="48"/>
        <v>0</v>
      </c>
      <c r="BE104" s="106">
        <f t="shared" si="31"/>
        <v>0</v>
      </c>
      <c r="BF104" s="106">
        <f t="shared" si="32"/>
        <v>0</v>
      </c>
      <c r="BG104" s="106">
        <f t="shared" si="33"/>
        <v>0</v>
      </c>
    </row>
    <row r="105" spans="1:59" s="53" customFormat="1" ht="50.1" customHeight="1">
      <c r="A105" s="141">
        <v>98</v>
      </c>
      <c r="B105" s="47"/>
      <c r="C105" s="20"/>
      <c r="D105" s="21"/>
      <c r="E105" s="23"/>
      <c r="F105" s="48"/>
      <c r="G105" s="48"/>
      <c r="H105" s="49"/>
      <c r="I105" s="49"/>
      <c r="J105" s="182"/>
      <c r="K105" s="88"/>
      <c r="L105" s="88"/>
      <c r="M105" s="96"/>
      <c r="N105" s="96"/>
      <c r="O105" s="88"/>
      <c r="P105" s="152"/>
      <c r="Q105" s="75"/>
      <c r="R105" s="221"/>
      <c r="S105" s="178"/>
      <c r="T105" s="50"/>
      <c r="U105" s="112">
        <f t="shared" si="34"/>
        <v>0</v>
      </c>
      <c r="V105" s="113" t="s">
        <v>3</v>
      </c>
      <c r="W105" s="114"/>
      <c r="X105" s="115" t="s">
        <v>3</v>
      </c>
      <c r="Y105" s="114"/>
      <c r="Z105" s="115" t="s">
        <v>4</v>
      </c>
      <c r="AA105" s="116">
        <f t="shared" si="35"/>
        <v>0</v>
      </c>
      <c r="AB105" s="117"/>
      <c r="AC105" s="118"/>
      <c r="AD105" s="119">
        <f t="shared" si="36"/>
        <v>0</v>
      </c>
      <c r="AE105" s="119">
        <f t="shared" si="37"/>
        <v>0</v>
      </c>
      <c r="AF105" s="120">
        <f t="shared" si="38"/>
        <v>0</v>
      </c>
      <c r="AG105" s="121"/>
      <c r="AH105" s="131">
        <f t="shared" si="39"/>
        <v>0</v>
      </c>
      <c r="AI105" s="198"/>
      <c r="AJ105" s="198"/>
      <c r="AK105" s="191">
        <f t="shared" si="40"/>
        <v>0</v>
      </c>
      <c r="AL105" s="122"/>
      <c r="AM105" s="115" t="s">
        <v>5</v>
      </c>
      <c r="AN105" s="51">
        <f t="shared" si="41"/>
        <v>0</v>
      </c>
      <c r="AO105" s="139">
        <f t="shared" si="42"/>
        <v>0</v>
      </c>
      <c r="AP105" s="78">
        <f t="shared" si="43"/>
        <v>0</v>
      </c>
      <c r="AQ105" s="79">
        <f t="shared" si="44"/>
        <v>0</v>
      </c>
      <c r="AR105" s="138"/>
      <c r="AS105" s="52"/>
      <c r="AT105" s="52"/>
      <c r="AU105" s="109">
        <f t="shared" si="45"/>
        <v>0</v>
      </c>
      <c r="AV105" s="103">
        <f t="shared" si="46"/>
        <v>0</v>
      </c>
      <c r="AW105" s="104">
        <f t="shared" si="25"/>
        <v>0</v>
      </c>
      <c r="AX105" s="104">
        <f t="shared" si="26"/>
        <v>0</v>
      </c>
      <c r="AY105" s="104">
        <f t="shared" si="27"/>
        <v>0</v>
      </c>
      <c r="AZ105" s="104">
        <f t="shared" si="28"/>
        <v>0</v>
      </c>
      <c r="BA105" s="104">
        <f t="shared" si="29"/>
        <v>0</v>
      </c>
      <c r="BB105" s="106">
        <f t="shared" si="47"/>
        <v>0</v>
      </c>
      <c r="BC105" s="106">
        <f t="shared" si="30"/>
        <v>0</v>
      </c>
      <c r="BD105" s="106">
        <f t="shared" si="48"/>
        <v>0</v>
      </c>
      <c r="BE105" s="106">
        <f t="shared" si="31"/>
        <v>0</v>
      </c>
      <c r="BF105" s="106">
        <f t="shared" si="32"/>
        <v>0</v>
      </c>
      <c r="BG105" s="106">
        <f t="shared" si="33"/>
        <v>0</v>
      </c>
    </row>
    <row r="106" spans="1:59" s="53" customFormat="1" ht="50.1" customHeight="1">
      <c r="A106" s="141">
        <v>99</v>
      </c>
      <c r="B106" s="47"/>
      <c r="C106" s="20"/>
      <c r="D106" s="21"/>
      <c r="E106" s="23"/>
      <c r="F106" s="48"/>
      <c r="G106" s="48"/>
      <c r="H106" s="49"/>
      <c r="I106" s="49"/>
      <c r="J106" s="181"/>
      <c r="K106" s="87"/>
      <c r="L106" s="92"/>
      <c r="M106" s="94"/>
      <c r="N106" s="94"/>
      <c r="O106" s="93"/>
      <c r="P106" s="152"/>
      <c r="Q106" s="75"/>
      <c r="R106" s="221"/>
      <c r="S106" s="178"/>
      <c r="T106" s="50"/>
      <c r="U106" s="112">
        <f t="shared" si="34"/>
        <v>0</v>
      </c>
      <c r="V106" s="113" t="s">
        <v>3</v>
      </c>
      <c r="W106" s="114"/>
      <c r="X106" s="115" t="s">
        <v>3</v>
      </c>
      <c r="Y106" s="114"/>
      <c r="Z106" s="115" t="s">
        <v>4</v>
      </c>
      <c r="AA106" s="116">
        <f t="shared" si="35"/>
        <v>0</v>
      </c>
      <c r="AB106" s="117"/>
      <c r="AC106" s="118"/>
      <c r="AD106" s="119">
        <f t="shared" si="36"/>
        <v>0</v>
      </c>
      <c r="AE106" s="119">
        <f t="shared" si="37"/>
        <v>0</v>
      </c>
      <c r="AF106" s="120">
        <f t="shared" si="38"/>
        <v>0</v>
      </c>
      <c r="AG106" s="121"/>
      <c r="AH106" s="131">
        <f t="shared" si="39"/>
        <v>0</v>
      </c>
      <c r="AI106" s="198"/>
      <c r="AJ106" s="198"/>
      <c r="AK106" s="191">
        <f t="shared" si="40"/>
        <v>0</v>
      </c>
      <c r="AL106" s="122"/>
      <c r="AM106" s="115" t="s">
        <v>5</v>
      </c>
      <c r="AN106" s="51">
        <f t="shared" si="41"/>
        <v>0</v>
      </c>
      <c r="AO106" s="139">
        <f t="shared" si="42"/>
        <v>0</v>
      </c>
      <c r="AP106" s="78">
        <f t="shared" si="43"/>
        <v>0</v>
      </c>
      <c r="AQ106" s="79">
        <f t="shared" si="44"/>
        <v>0</v>
      </c>
      <c r="AR106" s="138"/>
      <c r="AS106" s="52"/>
      <c r="AT106" s="52"/>
      <c r="AU106" s="109">
        <f t="shared" si="45"/>
        <v>0</v>
      </c>
      <c r="AV106" s="103">
        <f t="shared" si="46"/>
        <v>0</v>
      </c>
      <c r="AW106" s="104">
        <f t="shared" si="25"/>
        <v>0</v>
      </c>
      <c r="AX106" s="104">
        <f t="shared" si="26"/>
        <v>0</v>
      </c>
      <c r="AY106" s="104">
        <f t="shared" si="27"/>
        <v>0</v>
      </c>
      <c r="AZ106" s="104">
        <f t="shared" si="28"/>
        <v>0</v>
      </c>
      <c r="BA106" s="104">
        <f t="shared" si="29"/>
        <v>0</v>
      </c>
      <c r="BB106" s="106">
        <f t="shared" si="47"/>
        <v>0</v>
      </c>
      <c r="BC106" s="106">
        <f t="shared" si="30"/>
        <v>0</v>
      </c>
      <c r="BD106" s="106">
        <f t="shared" si="48"/>
        <v>0</v>
      </c>
      <c r="BE106" s="106">
        <f t="shared" si="31"/>
        <v>0</v>
      </c>
      <c r="BF106" s="106">
        <f t="shared" si="32"/>
        <v>0</v>
      </c>
      <c r="BG106" s="106">
        <f t="shared" si="33"/>
        <v>0</v>
      </c>
    </row>
    <row r="107" spans="1:59" s="53" customFormat="1" ht="50.1" customHeight="1">
      <c r="A107" s="141">
        <v>100</v>
      </c>
      <c r="B107" s="47"/>
      <c r="C107" s="20"/>
      <c r="D107" s="21"/>
      <c r="E107" s="23"/>
      <c r="F107" s="48"/>
      <c r="G107" s="48"/>
      <c r="H107" s="49"/>
      <c r="I107" s="49"/>
      <c r="J107" s="182"/>
      <c r="K107" s="88"/>
      <c r="L107" s="88"/>
      <c r="M107" s="96"/>
      <c r="N107" s="96"/>
      <c r="O107" s="88"/>
      <c r="P107" s="152"/>
      <c r="Q107" s="75"/>
      <c r="R107" s="221"/>
      <c r="S107" s="178"/>
      <c r="T107" s="50"/>
      <c r="U107" s="112">
        <f t="shared" si="34"/>
        <v>0</v>
      </c>
      <c r="V107" s="113" t="s">
        <v>3</v>
      </c>
      <c r="W107" s="114"/>
      <c r="X107" s="115" t="s">
        <v>3</v>
      </c>
      <c r="Y107" s="114"/>
      <c r="Z107" s="115" t="s">
        <v>4</v>
      </c>
      <c r="AA107" s="116">
        <f t="shared" si="35"/>
        <v>0</v>
      </c>
      <c r="AB107" s="117"/>
      <c r="AC107" s="118"/>
      <c r="AD107" s="119">
        <f t="shared" si="36"/>
        <v>0</v>
      </c>
      <c r="AE107" s="119">
        <f t="shared" si="37"/>
        <v>0</v>
      </c>
      <c r="AF107" s="120">
        <f t="shared" si="38"/>
        <v>0</v>
      </c>
      <c r="AG107" s="121"/>
      <c r="AH107" s="131">
        <f t="shared" si="39"/>
        <v>0</v>
      </c>
      <c r="AI107" s="198"/>
      <c r="AJ107" s="198"/>
      <c r="AK107" s="191">
        <f t="shared" si="40"/>
        <v>0</v>
      </c>
      <c r="AL107" s="122"/>
      <c r="AM107" s="115" t="s">
        <v>5</v>
      </c>
      <c r="AN107" s="51">
        <f t="shared" si="41"/>
        <v>0</v>
      </c>
      <c r="AO107" s="139">
        <f t="shared" si="42"/>
        <v>0</v>
      </c>
      <c r="AP107" s="78">
        <f t="shared" si="43"/>
        <v>0</v>
      </c>
      <c r="AQ107" s="79">
        <f t="shared" si="44"/>
        <v>0</v>
      </c>
      <c r="AR107" s="138"/>
      <c r="AS107" s="52"/>
      <c r="AT107" s="52"/>
      <c r="AU107" s="109">
        <f t="shared" si="45"/>
        <v>0</v>
      </c>
      <c r="AV107" s="103">
        <f t="shared" si="46"/>
        <v>0</v>
      </c>
      <c r="AW107" s="104">
        <f t="shared" si="25"/>
        <v>0</v>
      </c>
      <c r="AX107" s="104">
        <f t="shared" si="26"/>
        <v>0</v>
      </c>
      <c r="AY107" s="104">
        <f t="shared" si="27"/>
        <v>0</v>
      </c>
      <c r="AZ107" s="104">
        <f t="shared" si="28"/>
        <v>0</v>
      </c>
      <c r="BA107" s="104">
        <f t="shared" si="29"/>
        <v>0</v>
      </c>
      <c r="BB107" s="106">
        <f t="shared" si="47"/>
        <v>0</v>
      </c>
      <c r="BC107" s="106">
        <f t="shared" si="30"/>
        <v>0</v>
      </c>
      <c r="BD107" s="106">
        <f t="shared" si="48"/>
        <v>0</v>
      </c>
      <c r="BE107" s="106">
        <f t="shared" si="31"/>
        <v>0</v>
      </c>
      <c r="BF107" s="106">
        <f t="shared" si="32"/>
        <v>0</v>
      </c>
      <c r="BG107" s="106">
        <f t="shared" si="33"/>
        <v>0</v>
      </c>
    </row>
    <row r="108" spans="1:59" s="53" customFormat="1" ht="50.1" customHeight="1">
      <c r="A108" s="141">
        <v>101</v>
      </c>
      <c r="B108" s="47"/>
      <c r="C108" s="20"/>
      <c r="D108" s="21"/>
      <c r="E108" s="23"/>
      <c r="F108" s="48"/>
      <c r="G108" s="48"/>
      <c r="H108" s="49"/>
      <c r="I108" s="49"/>
      <c r="J108" s="181"/>
      <c r="K108" s="87"/>
      <c r="L108" s="92"/>
      <c r="M108" s="94"/>
      <c r="N108" s="94"/>
      <c r="O108" s="93"/>
      <c r="P108" s="152"/>
      <c r="Q108" s="75"/>
      <c r="R108" s="221"/>
      <c r="S108" s="178"/>
      <c r="T108" s="50"/>
      <c r="U108" s="112">
        <f t="shared" si="34"/>
        <v>0</v>
      </c>
      <c r="V108" s="113" t="s">
        <v>3</v>
      </c>
      <c r="W108" s="114"/>
      <c r="X108" s="115" t="s">
        <v>3</v>
      </c>
      <c r="Y108" s="114"/>
      <c r="Z108" s="115" t="s">
        <v>4</v>
      </c>
      <c r="AA108" s="116">
        <f t="shared" si="35"/>
        <v>0</v>
      </c>
      <c r="AB108" s="117"/>
      <c r="AC108" s="118"/>
      <c r="AD108" s="119">
        <f t="shared" si="36"/>
        <v>0</v>
      </c>
      <c r="AE108" s="119">
        <f t="shared" si="37"/>
        <v>0</v>
      </c>
      <c r="AF108" s="120">
        <f t="shared" si="38"/>
        <v>0</v>
      </c>
      <c r="AG108" s="121"/>
      <c r="AH108" s="131">
        <f t="shared" si="39"/>
        <v>0</v>
      </c>
      <c r="AI108" s="198"/>
      <c r="AJ108" s="198"/>
      <c r="AK108" s="191">
        <f t="shared" si="40"/>
        <v>0</v>
      </c>
      <c r="AL108" s="122"/>
      <c r="AM108" s="115" t="s">
        <v>5</v>
      </c>
      <c r="AN108" s="51">
        <f t="shared" si="41"/>
        <v>0</v>
      </c>
      <c r="AO108" s="139">
        <f t="shared" si="42"/>
        <v>0</v>
      </c>
      <c r="AP108" s="78">
        <f t="shared" si="43"/>
        <v>0</v>
      </c>
      <c r="AQ108" s="79">
        <f t="shared" si="44"/>
        <v>0</v>
      </c>
      <c r="AR108" s="138"/>
      <c r="AS108" s="52"/>
      <c r="AT108" s="52"/>
      <c r="AU108" s="109">
        <f t="shared" si="45"/>
        <v>0</v>
      </c>
      <c r="AV108" s="103">
        <f t="shared" si="46"/>
        <v>0</v>
      </c>
      <c r="AW108" s="104">
        <f t="shared" si="25"/>
        <v>0</v>
      </c>
      <c r="AX108" s="104">
        <f t="shared" si="26"/>
        <v>0</v>
      </c>
      <c r="AY108" s="104">
        <f t="shared" si="27"/>
        <v>0</v>
      </c>
      <c r="AZ108" s="104">
        <f t="shared" si="28"/>
        <v>0</v>
      </c>
      <c r="BA108" s="104">
        <f t="shared" si="29"/>
        <v>0</v>
      </c>
      <c r="BB108" s="106">
        <f t="shared" si="47"/>
        <v>0</v>
      </c>
      <c r="BC108" s="106">
        <f t="shared" si="30"/>
        <v>0</v>
      </c>
      <c r="BD108" s="106">
        <f t="shared" si="48"/>
        <v>0</v>
      </c>
      <c r="BE108" s="106">
        <f t="shared" si="31"/>
        <v>0</v>
      </c>
      <c r="BF108" s="106">
        <f t="shared" si="32"/>
        <v>0</v>
      </c>
      <c r="BG108" s="106">
        <f t="shared" si="33"/>
        <v>0</v>
      </c>
    </row>
    <row r="109" spans="1:59" s="53" customFormat="1" ht="50.1" customHeight="1">
      <c r="A109" s="141">
        <v>102</v>
      </c>
      <c r="B109" s="47"/>
      <c r="C109" s="20"/>
      <c r="D109" s="21"/>
      <c r="E109" s="23"/>
      <c r="F109" s="48"/>
      <c r="G109" s="48"/>
      <c r="H109" s="49"/>
      <c r="I109" s="49"/>
      <c r="J109" s="181"/>
      <c r="K109" s="87"/>
      <c r="L109" s="92"/>
      <c r="M109" s="94"/>
      <c r="N109" s="94"/>
      <c r="O109" s="93"/>
      <c r="P109" s="187"/>
      <c r="Q109" s="75"/>
      <c r="R109" s="221"/>
      <c r="S109" s="178"/>
      <c r="T109" s="50"/>
      <c r="U109" s="112">
        <f t="shared" si="34"/>
        <v>0</v>
      </c>
      <c r="V109" s="113" t="s">
        <v>3</v>
      </c>
      <c r="W109" s="114"/>
      <c r="X109" s="115" t="s">
        <v>3</v>
      </c>
      <c r="Y109" s="114"/>
      <c r="Z109" s="115" t="s">
        <v>4</v>
      </c>
      <c r="AA109" s="116">
        <f t="shared" si="35"/>
        <v>0</v>
      </c>
      <c r="AB109" s="117"/>
      <c r="AC109" s="118"/>
      <c r="AD109" s="119">
        <f t="shared" si="36"/>
        <v>0</v>
      </c>
      <c r="AE109" s="119">
        <f t="shared" si="37"/>
        <v>0</v>
      </c>
      <c r="AF109" s="120">
        <f t="shared" si="38"/>
        <v>0</v>
      </c>
      <c r="AG109" s="121"/>
      <c r="AH109" s="131">
        <f t="shared" si="39"/>
        <v>0</v>
      </c>
      <c r="AI109" s="198"/>
      <c r="AJ109" s="198"/>
      <c r="AK109" s="191">
        <f t="shared" si="40"/>
        <v>0</v>
      </c>
      <c r="AL109" s="122"/>
      <c r="AM109" s="115" t="s">
        <v>5</v>
      </c>
      <c r="AN109" s="51">
        <f t="shared" si="41"/>
        <v>0</v>
      </c>
      <c r="AO109" s="139">
        <f t="shared" si="42"/>
        <v>0</v>
      </c>
      <c r="AP109" s="78">
        <f t="shared" si="43"/>
        <v>0</v>
      </c>
      <c r="AQ109" s="79">
        <f t="shared" si="44"/>
        <v>0</v>
      </c>
      <c r="AR109" s="138"/>
      <c r="AS109" s="52"/>
      <c r="AT109" s="52"/>
      <c r="AU109" s="109">
        <f t="shared" si="45"/>
        <v>0</v>
      </c>
      <c r="AV109" s="103">
        <f t="shared" si="46"/>
        <v>0</v>
      </c>
      <c r="AW109" s="104">
        <f t="shared" si="25"/>
        <v>0</v>
      </c>
      <c r="AX109" s="104">
        <f t="shared" si="26"/>
        <v>0</v>
      </c>
      <c r="AY109" s="104">
        <f t="shared" si="27"/>
        <v>0</v>
      </c>
      <c r="AZ109" s="104">
        <f t="shared" si="28"/>
        <v>0</v>
      </c>
      <c r="BA109" s="104">
        <f t="shared" si="29"/>
        <v>0</v>
      </c>
      <c r="BB109" s="106">
        <f t="shared" si="47"/>
        <v>0</v>
      </c>
      <c r="BC109" s="106">
        <f t="shared" si="30"/>
        <v>0</v>
      </c>
      <c r="BD109" s="106">
        <f t="shared" si="48"/>
        <v>0</v>
      </c>
      <c r="BE109" s="106">
        <f t="shared" si="31"/>
        <v>0</v>
      </c>
      <c r="BF109" s="106">
        <f t="shared" si="32"/>
        <v>0</v>
      </c>
      <c r="BG109" s="106">
        <f t="shared" si="33"/>
        <v>0</v>
      </c>
    </row>
    <row r="110" spans="1:59" s="53" customFormat="1" ht="50.1" customHeight="1">
      <c r="A110" s="141">
        <v>103</v>
      </c>
      <c r="B110" s="47"/>
      <c r="C110" s="20"/>
      <c r="D110" s="21"/>
      <c r="E110" s="23"/>
      <c r="F110" s="48"/>
      <c r="G110" s="48"/>
      <c r="H110" s="49"/>
      <c r="I110" s="49"/>
      <c r="J110" s="182"/>
      <c r="K110" s="88"/>
      <c r="L110" s="88"/>
      <c r="M110" s="96"/>
      <c r="N110" s="96"/>
      <c r="O110" s="88"/>
      <c r="P110" s="152"/>
      <c r="Q110" s="75"/>
      <c r="R110" s="221"/>
      <c r="S110" s="178"/>
      <c r="T110" s="50"/>
      <c r="U110" s="112">
        <f t="shared" si="34"/>
        <v>0</v>
      </c>
      <c r="V110" s="113" t="s">
        <v>3</v>
      </c>
      <c r="W110" s="114"/>
      <c r="X110" s="115" t="s">
        <v>3</v>
      </c>
      <c r="Y110" s="114"/>
      <c r="Z110" s="115" t="s">
        <v>4</v>
      </c>
      <c r="AA110" s="116">
        <f t="shared" si="35"/>
        <v>0</v>
      </c>
      <c r="AB110" s="117"/>
      <c r="AC110" s="118"/>
      <c r="AD110" s="119">
        <f t="shared" si="36"/>
        <v>0</v>
      </c>
      <c r="AE110" s="119">
        <f t="shared" si="37"/>
        <v>0</v>
      </c>
      <c r="AF110" s="120">
        <f t="shared" si="38"/>
        <v>0</v>
      </c>
      <c r="AG110" s="121"/>
      <c r="AH110" s="131">
        <f t="shared" si="39"/>
        <v>0</v>
      </c>
      <c r="AI110" s="198"/>
      <c r="AJ110" s="198"/>
      <c r="AK110" s="191">
        <f t="shared" si="40"/>
        <v>0</v>
      </c>
      <c r="AL110" s="122"/>
      <c r="AM110" s="115" t="s">
        <v>5</v>
      </c>
      <c r="AN110" s="51">
        <f t="shared" si="41"/>
        <v>0</v>
      </c>
      <c r="AO110" s="139">
        <f t="shared" si="42"/>
        <v>0</v>
      </c>
      <c r="AP110" s="78">
        <f t="shared" si="43"/>
        <v>0</v>
      </c>
      <c r="AQ110" s="79">
        <f t="shared" si="44"/>
        <v>0</v>
      </c>
      <c r="AR110" s="138"/>
      <c r="AS110" s="52"/>
      <c r="AT110" s="52"/>
      <c r="AU110" s="109">
        <f t="shared" si="45"/>
        <v>0</v>
      </c>
      <c r="AV110" s="103">
        <f t="shared" si="46"/>
        <v>0</v>
      </c>
      <c r="AW110" s="104">
        <f t="shared" si="25"/>
        <v>0</v>
      </c>
      <c r="AX110" s="104">
        <f t="shared" si="26"/>
        <v>0</v>
      </c>
      <c r="AY110" s="104">
        <f t="shared" si="27"/>
        <v>0</v>
      </c>
      <c r="AZ110" s="104">
        <f t="shared" si="28"/>
        <v>0</v>
      </c>
      <c r="BA110" s="104">
        <f t="shared" si="29"/>
        <v>0</v>
      </c>
      <c r="BB110" s="106">
        <f t="shared" si="47"/>
        <v>0</v>
      </c>
      <c r="BC110" s="106">
        <f t="shared" si="30"/>
        <v>0</v>
      </c>
      <c r="BD110" s="106">
        <f t="shared" si="48"/>
        <v>0</v>
      </c>
      <c r="BE110" s="106">
        <f t="shared" si="31"/>
        <v>0</v>
      </c>
      <c r="BF110" s="106">
        <f t="shared" si="32"/>
        <v>0</v>
      </c>
      <c r="BG110" s="106">
        <f t="shared" si="33"/>
        <v>0</v>
      </c>
    </row>
    <row r="111" spans="1:59" s="53" customFormat="1" ht="50.1" customHeight="1">
      <c r="A111" s="141">
        <v>104</v>
      </c>
      <c r="B111" s="47"/>
      <c r="C111" s="20"/>
      <c r="D111" s="21"/>
      <c r="E111" s="23"/>
      <c r="F111" s="48"/>
      <c r="G111" s="48"/>
      <c r="H111" s="49"/>
      <c r="I111" s="49"/>
      <c r="J111" s="181"/>
      <c r="K111" s="87"/>
      <c r="L111" s="92"/>
      <c r="M111" s="94"/>
      <c r="N111" s="94"/>
      <c r="O111" s="93"/>
      <c r="P111" s="152"/>
      <c r="Q111" s="75"/>
      <c r="R111" s="221"/>
      <c r="S111" s="178"/>
      <c r="T111" s="50"/>
      <c r="U111" s="112">
        <f t="shared" si="34"/>
        <v>0</v>
      </c>
      <c r="V111" s="113" t="s">
        <v>3</v>
      </c>
      <c r="W111" s="114"/>
      <c r="X111" s="115" t="s">
        <v>3</v>
      </c>
      <c r="Y111" s="114"/>
      <c r="Z111" s="115" t="s">
        <v>4</v>
      </c>
      <c r="AA111" s="116">
        <f t="shared" si="35"/>
        <v>0</v>
      </c>
      <c r="AB111" s="117"/>
      <c r="AC111" s="118"/>
      <c r="AD111" s="119">
        <f t="shared" si="36"/>
        <v>0</v>
      </c>
      <c r="AE111" s="119">
        <f t="shared" si="37"/>
        <v>0</v>
      </c>
      <c r="AF111" s="120">
        <f t="shared" si="38"/>
        <v>0</v>
      </c>
      <c r="AG111" s="121"/>
      <c r="AH111" s="131">
        <f t="shared" si="39"/>
        <v>0</v>
      </c>
      <c r="AI111" s="198"/>
      <c r="AJ111" s="198"/>
      <c r="AK111" s="191">
        <f t="shared" si="40"/>
        <v>0</v>
      </c>
      <c r="AL111" s="122"/>
      <c r="AM111" s="115" t="s">
        <v>5</v>
      </c>
      <c r="AN111" s="51">
        <f t="shared" si="41"/>
        <v>0</v>
      </c>
      <c r="AO111" s="139">
        <f t="shared" si="42"/>
        <v>0</v>
      </c>
      <c r="AP111" s="78">
        <f t="shared" si="43"/>
        <v>0</v>
      </c>
      <c r="AQ111" s="79">
        <f t="shared" si="44"/>
        <v>0</v>
      </c>
      <c r="AR111" s="138"/>
      <c r="AS111" s="52"/>
      <c r="AT111" s="52"/>
      <c r="AU111" s="109">
        <f t="shared" si="45"/>
        <v>0</v>
      </c>
      <c r="AV111" s="103">
        <f t="shared" si="46"/>
        <v>0</v>
      </c>
      <c r="AW111" s="104">
        <f t="shared" si="25"/>
        <v>0</v>
      </c>
      <c r="AX111" s="104">
        <f t="shared" si="26"/>
        <v>0</v>
      </c>
      <c r="AY111" s="104">
        <f t="shared" si="27"/>
        <v>0</v>
      </c>
      <c r="AZ111" s="104">
        <f t="shared" si="28"/>
        <v>0</v>
      </c>
      <c r="BA111" s="104">
        <f t="shared" si="29"/>
        <v>0</v>
      </c>
      <c r="BB111" s="106">
        <f t="shared" si="47"/>
        <v>0</v>
      </c>
      <c r="BC111" s="106">
        <f t="shared" si="30"/>
        <v>0</v>
      </c>
      <c r="BD111" s="106">
        <f t="shared" si="48"/>
        <v>0</v>
      </c>
      <c r="BE111" s="106">
        <f t="shared" si="31"/>
        <v>0</v>
      </c>
      <c r="BF111" s="106">
        <f t="shared" si="32"/>
        <v>0</v>
      </c>
      <c r="BG111" s="106">
        <f t="shared" si="33"/>
        <v>0</v>
      </c>
    </row>
    <row r="112" spans="1:59" s="53" customFormat="1" ht="50.1" customHeight="1">
      <c r="A112" s="141">
        <v>105</v>
      </c>
      <c r="B112" s="47"/>
      <c r="C112" s="20"/>
      <c r="D112" s="21"/>
      <c r="E112" s="23"/>
      <c r="F112" s="48"/>
      <c r="G112" s="48"/>
      <c r="H112" s="49"/>
      <c r="I112" s="49"/>
      <c r="J112" s="181"/>
      <c r="K112" s="87"/>
      <c r="L112" s="92"/>
      <c r="M112" s="94"/>
      <c r="N112" s="94"/>
      <c r="O112" s="93"/>
      <c r="P112" s="152"/>
      <c r="Q112" s="75"/>
      <c r="R112" s="221"/>
      <c r="S112" s="178"/>
      <c r="T112" s="50"/>
      <c r="U112" s="112">
        <f t="shared" si="34"/>
        <v>0</v>
      </c>
      <c r="V112" s="113" t="s">
        <v>3</v>
      </c>
      <c r="W112" s="114"/>
      <c r="X112" s="115" t="s">
        <v>3</v>
      </c>
      <c r="Y112" s="114"/>
      <c r="Z112" s="115" t="s">
        <v>4</v>
      </c>
      <c r="AA112" s="116">
        <f t="shared" si="35"/>
        <v>0</v>
      </c>
      <c r="AB112" s="117"/>
      <c r="AC112" s="118"/>
      <c r="AD112" s="119">
        <f t="shared" si="36"/>
        <v>0</v>
      </c>
      <c r="AE112" s="119">
        <f t="shared" si="37"/>
        <v>0</v>
      </c>
      <c r="AF112" s="120">
        <f t="shared" si="38"/>
        <v>0</v>
      </c>
      <c r="AG112" s="121"/>
      <c r="AH112" s="131">
        <f t="shared" si="39"/>
        <v>0</v>
      </c>
      <c r="AI112" s="198"/>
      <c r="AJ112" s="198"/>
      <c r="AK112" s="191">
        <f t="shared" si="40"/>
        <v>0</v>
      </c>
      <c r="AL112" s="122"/>
      <c r="AM112" s="115" t="s">
        <v>5</v>
      </c>
      <c r="AN112" s="51">
        <f t="shared" si="41"/>
        <v>0</v>
      </c>
      <c r="AO112" s="139">
        <f t="shared" si="42"/>
        <v>0</v>
      </c>
      <c r="AP112" s="78">
        <f t="shared" si="43"/>
        <v>0</v>
      </c>
      <c r="AQ112" s="79">
        <f t="shared" si="44"/>
        <v>0</v>
      </c>
      <c r="AR112" s="138"/>
      <c r="AS112" s="52"/>
      <c r="AT112" s="52"/>
      <c r="AU112" s="109">
        <f t="shared" si="45"/>
        <v>0</v>
      </c>
      <c r="AV112" s="103">
        <f t="shared" si="46"/>
        <v>0</v>
      </c>
      <c r="AW112" s="104">
        <f t="shared" si="25"/>
        <v>0</v>
      </c>
      <c r="AX112" s="104">
        <f t="shared" si="26"/>
        <v>0</v>
      </c>
      <c r="AY112" s="104">
        <f t="shared" si="27"/>
        <v>0</v>
      </c>
      <c r="AZ112" s="104">
        <f t="shared" si="28"/>
        <v>0</v>
      </c>
      <c r="BA112" s="104">
        <f t="shared" si="29"/>
        <v>0</v>
      </c>
      <c r="BB112" s="106">
        <f t="shared" si="47"/>
        <v>0</v>
      </c>
      <c r="BC112" s="106">
        <f t="shared" si="30"/>
        <v>0</v>
      </c>
      <c r="BD112" s="106">
        <f t="shared" si="48"/>
        <v>0</v>
      </c>
      <c r="BE112" s="106">
        <f t="shared" si="31"/>
        <v>0</v>
      </c>
      <c r="BF112" s="106">
        <f t="shared" si="32"/>
        <v>0</v>
      </c>
      <c r="BG112" s="106">
        <f t="shared" si="33"/>
        <v>0</v>
      </c>
    </row>
    <row r="113" spans="1:59" s="53" customFormat="1" ht="50.1" customHeight="1">
      <c r="A113" s="141">
        <v>106</v>
      </c>
      <c r="B113" s="47"/>
      <c r="C113" s="20"/>
      <c r="D113" s="21"/>
      <c r="E113" s="23"/>
      <c r="F113" s="48"/>
      <c r="G113" s="48"/>
      <c r="H113" s="49"/>
      <c r="I113" s="49"/>
      <c r="J113" s="182"/>
      <c r="K113" s="88"/>
      <c r="L113" s="88"/>
      <c r="M113" s="96"/>
      <c r="N113" s="96"/>
      <c r="O113" s="88"/>
      <c r="P113" s="152"/>
      <c r="Q113" s="75"/>
      <c r="R113" s="221"/>
      <c r="S113" s="178"/>
      <c r="T113" s="50"/>
      <c r="U113" s="112">
        <f t="shared" si="34"/>
        <v>0</v>
      </c>
      <c r="V113" s="113" t="s">
        <v>3</v>
      </c>
      <c r="W113" s="114"/>
      <c r="X113" s="115" t="s">
        <v>3</v>
      </c>
      <c r="Y113" s="114"/>
      <c r="Z113" s="115" t="s">
        <v>4</v>
      </c>
      <c r="AA113" s="116">
        <f t="shared" si="35"/>
        <v>0</v>
      </c>
      <c r="AB113" s="117"/>
      <c r="AC113" s="118"/>
      <c r="AD113" s="119">
        <f t="shared" si="36"/>
        <v>0</v>
      </c>
      <c r="AE113" s="119">
        <f t="shared" si="37"/>
        <v>0</v>
      </c>
      <c r="AF113" s="120">
        <f t="shared" si="38"/>
        <v>0</v>
      </c>
      <c r="AG113" s="121"/>
      <c r="AH113" s="131">
        <f t="shared" si="39"/>
        <v>0</v>
      </c>
      <c r="AI113" s="198"/>
      <c r="AJ113" s="198"/>
      <c r="AK113" s="191">
        <f t="shared" si="40"/>
        <v>0</v>
      </c>
      <c r="AL113" s="122"/>
      <c r="AM113" s="115" t="s">
        <v>5</v>
      </c>
      <c r="AN113" s="51">
        <f t="shared" si="41"/>
        <v>0</v>
      </c>
      <c r="AO113" s="139">
        <f t="shared" si="42"/>
        <v>0</v>
      </c>
      <c r="AP113" s="78">
        <f t="shared" si="43"/>
        <v>0</v>
      </c>
      <c r="AQ113" s="79">
        <f t="shared" si="44"/>
        <v>0</v>
      </c>
      <c r="AR113" s="138"/>
      <c r="AS113" s="52"/>
      <c r="AT113" s="52"/>
      <c r="AU113" s="109">
        <f t="shared" si="45"/>
        <v>0</v>
      </c>
      <c r="AV113" s="103">
        <f t="shared" si="46"/>
        <v>0</v>
      </c>
      <c r="AW113" s="104">
        <f t="shared" si="25"/>
        <v>0</v>
      </c>
      <c r="AX113" s="104">
        <f t="shared" si="26"/>
        <v>0</v>
      </c>
      <c r="AY113" s="104">
        <f t="shared" si="27"/>
        <v>0</v>
      </c>
      <c r="AZ113" s="104">
        <f t="shared" si="28"/>
        <v>0</v>
      </c>
      <c r="BA113" s="104">
        <f t="shared" si="29"/>
        <v>0</v>
      </c>
      <c r="BB113" s="106">
        <f t="shared" si="47"/>
        <v>0</v>
      </c>
      <c r="BC113" s="106">
        <f t="shared" si="30"/>
        <v>0</v>
      </c>
      <c r="BD113" s="106">
        <f t="shared" si="48"/>
        <v>0</v>
      </c>
      <c r="BE113" s="106">
        <f t="shared" si="31"/>
        <v>0</v>
      </c>
      <c r="BF113" s="106">
        <f t="shared" si="32"/>
        <v>0</v>
      </c>
      <c r="BG113" s="106">
        <f t="shared" si="33"/>
        <v>0</v>
      </c>
    </row>
    <row r="114" spans="1:59" s="53" customFormat="1" ht="50.1" customHeight="1">
      <c r="A114" s="141">
        <v>107</v>
      </c>
      <c r="B114" s="47"/>
      <c r="C114" s="20"/>
      <c r="D114" s="21"/>
      <c r="E114" s="23"/>
      <c r="F114" s="48"/>
      <c r="G114" s="48"/>
      <c r="H114" s="49"/>
      <c r="I114" s="49"/>
      <c r="J114" s="181"/>
      <c r="K114" s="87"/>
      <c r="L114" s="92"/>
      <c r="M114" s="94"/>
      <c r="N114" s="94"/>
      <c r="O114" s="93"/>
      <c r="P114" s="152"/>
      <c r="Q114" s="75"/>
      <c r="R114" s="221"/>
      <c r="S114" s="178"/>
      <c r="T114" s="50"/>
      <c r="U114" s="112">
        <f t="shared" si="34"/>
        <v>0</v>
      </c>
      <c r="V114" s="113" t="s">
        <v>3</v>
      </c>
      <c r="W114" s="114"/>
      <c r="X114" s="115" t="s">
        <v>3</v>
      </c>
      <c r="Y114" s="114"/>
      <c r="Z114" s="115" t="s">
        <v>4</v>
      </c>
      <c r="AA114" s="116">
        <f t="shared" si="35"/>
        <v>0</v>
      </c>
      <c r="AB114" s="117"/>
      <c r="AC114" s="118"/>
      <c r="AD114" s="119">
        <f t="shared" si="36"/>
        <v>0</v>
      </c>
      <c r="AE114" s="119">
        <f t="shared" si="37"/>
        <v>0</v>
      </c>
      <c r="AF114" s="120">
        <f t="shared" si="38"/>
        <v>0</v>
      </c>
      <c r="AG114" s="121"/>
      <c r="AH114" s="131">
        <f t="shared" si="39"/>
        <v>0</v>
      </c>
      <c r="AI114" s="198"/>
      <c r="AJ114" s="198"/>
      <c r="AK114" s="191">
        <f t="shared" si="40"/>
        <v>0</v>
      </c>
      <c r="AL114" s="122"/>
      <c r="AM114" s="115" t="s">
        <v>5</v>
      </c>
      <c r="AN114" s="51">
        <f t="shared" si="41"/>
        <v>0</v>
      </c>
      <c r="AO114" s="139">
        <f t="shared" si="42"/>
        <v>0</v>
      </c>
      <c r="AP114" s="78">
        <f t="shared" si="43"/>
        <v>0</v>
      </c>
      <c r="AQ114" s="79">
        <f t="shared" si="44"/>
        <v>0</v>
      </c>
      <c r="AR114" s="138"/>
      <c r="AS114" s="52"/>
      <c r="AT114" s="52"/>
      <c r="AU114" s="109">
        <f t="shared" si="45"/>
        <v>0</v>
      </c>
      <c r="AV114" s="103">
        <f t="shared" si="46"/>
        <v>0</v>
      </c>
      <c r="AW114" s="104">
        <f t="shared" si="25"/>
        <v>0</v>
      </c>
      <c r="AX114" s="104">
        <f t="shared" si="26"/>
        <v>0</v>
      </c>
      <c r="AY114" s="104">
        <f t="shared" si="27"/>
        <v>0</v>
      </c>
      <c r="AZ114" s="104">
        <f t="shared" si="28"/>
        <v>0</v>
      </c>
      <c r="BA114" s="104">
        <f t="shared" si="29"/>
        <v>0</v>
      </c>
      <c r="BB114" s="106">
        <f t="shared" si="47"/>
        <v>0</v>
      </c>
      <c r="BC114" s="106">
        <f t="shared" si="30"/>
        <v>0</v>
      </c>
      <c r="BD114" s="106">
        <f t="shared" si="48"/>
        <v>0</v>
      </c>
      <c r="BE114" s="106">
        <f t="shared" si="31"/>
        <v>0</v>
      </c>
      <c r="BF114" s="106">
        <f t="shared" si="32"/>
        <v>0</v>
      </c>
      <c r="BG114" s="106">
        <f t="shared" si="33"/>
        <v>0</v>
      </c>
    </row>
    <row r="115" spans="1:59" s="53" customFormat="1" ht="50.1" customHeight="1">
      <c r="A115" s="141">
        <v>108</v>
      </c>
      <c r="B115" s="47"/>
      <c r="C115" s="20"/>
      <c r="D115" s="21"/>
      <c r="E115" s="23"/>
      <c r="F115" s="48"/>
      <c r="G115" s="48"/>
      <c r="H115" s="49"/>
      <c r="I115" s="49"/>
      <c r="J115" s="181"/>
      <c r="K115" s="87"/>
      <c r="L115" s="92"/>
      <c r="M115" s="94"/>
      <c r="N115" s="94"/>
      <c r="O115" s="93"/>
      <c r="P115" s="152"/>
      <c r="Q115" s="75"/>
      <c r="R115" s="221"/>
      <c r="S115" s="178"/>
      <c r="T115" s="50"/>
      <c r="U115" s="112">
        <f t="shared" si="34"/>
        <v>0</v>
      </c>
      <c r="V115" s="113" t="s">
        <v>3</v>
      </c>
      <c r="W115" s="114"/>
      <c r="X115" s="115" t="s">
        <v>3</v>
      </c>
      <c r="Y115" s="114"/>
      <c r="Z115" s="115" t="s">
        <v>4</v>
      </c>
      <c r="AA115" s="116">
        <f t="shared" si="35"/>
        <v>0</v>
      </c>
      <c r="AB115" s="117"/>
      <c r="AC115" s="118"/>
      <c r="AD115" s="119">
        <f t="shared" si="36"/>
        <v>0</v>
      </c>
      <c r="AE115" s="119">
        <f t="shared" si="37"/>
        <v>0</v>
      </c>
      <c r="AF115" s="120">
        <f t="shared" si="38"/>
        <v>0</v>
      </c>
      <c r="AG115" s="121"/>
      <c r="AH115" s="131">
        <f t="shared" si="39"/>
        <v>0</v>
      </c>
      <c r="AI115" s="198"/>
      <c r="AJ115" s="198"/>
      <c r="AK115" s="191">
        <f t="shared" si="40"/>
        <v>0</v>
      </c>
      <c r="AL115" s="122"/>
      <c r="AM115" s="115" t="s">
        <v>5</v>
      </c>
      <c r="AN115" s="51">
        <f t="shared" si="41"/>
        <v>0</v>
      </c>
      <c r="AO115" s="139">
        <f t="shared" si="42"/>
        <v>0</v>
      </c>
      <c r="AP115" s="78">
        <f t="shared" si="43"/>
        <v>0</v>
      </c>
      <c r="AQ115" s="79">
        <f t="shared" si="44"/>
        <v>0</v>
      </c>
      <c r="AR115" s="138"/>
      <c r="AS115" s="52"/>
      <c r="AT115" s="52"/>
      <c r="AU115" s="109">
        <f t="shared" si="45"/>
        <v>0</v>
      </c>
      <c r="AV115" s="103">
        <f t="shared" si="46"/>
        <v>0</v>
      </c>
      <c r="AW115" s="104">
        <f t="shared" si="25"/>
        <v>0</v>
      </c>
      <c r="AX115" s="104">
        <f t="shared" si="26"/>
        <v>0</v>
      </c>
      <c r="AY115" s="104">
        <f t="shared" si="27"/>
        <v>0</v>
      </c>
      <c r="AZ115" s="104">
        <f t="shared" si="28"/>
        <v>0</v>
      </c>
      <c r="BA115" s="104">
        <f t="shared" si="29"/>
        <v>0</v>
      </c>
      <c r="BB115" s="106">
        <f t="shared" si="47"/>
        <v>0</v>
      </c>
      <c r="BC115" s="106">
        <f t="shared" si="30"/>
        <v>0</v>
      </c>
      <c r="BD115" s="106">
        <f t="shared" si="48"/>
        <v>0</v>
      </c>
      <c r="BE115" s="106">
        <f t="shared" si="31"/>
        <v>0</v>
      </c>
      <c r="BF115" s="106">
        <f t="shared" si="32"/>
        <v>0</v>
      </c>
      <c r="BG115" s="106">
        <f t="shared" si="33"/>
        <v>0</v>
      </c>
    </row>
    <row r="116" spans="1:59" s="53" customFormat="1" ht="50.1" customHeight="1">
      <c r="A116" s="141">
        <v>109</v>
      </c>
      <c r="B116" s="47"/>
      <c r="C116" s="20"/>
      <c r="D116" s="21"/>
      <c r="E116" s="23"/>
      <c r="F116" s="48"/>
      <c r="G116" s="48"/>
      <c r="H116" s="49"/>
      <c r="I116" s="49"/>
      <c r="J116" s="182"/>
      <c r="K116" s="88"/>
      <c r="L116" s="88"/>
      <c r="M116" s="96"/>
      <c r="N116" s="96"/>
      <c r="O116" s="88"/>
      <c r="P116" s="152"/>
      <c r="Q116" s="75"/>
      <c r="R116" s="221"/>
      <c r="S116" s="178"/>
      <c r="T116" s="50"/>
      <c r="U116" s="112">
        <f t="shared" si="34"/>
        <v>0</v>
      </c>
      <c r="V116" s="113" t="s">
        <v>3</v>
      </c>
      <c r="W116" s="114"/>
      <c r="X116" s="115" t="s">
        <v>3</v>
      </c>
      <c r="Y116" s="114"/>
      <c r="Z116" s="115" t="s">
        <v>4</v>
      </c>
      <c r="AA116" s="116">
        <f t="shared" si="35"/>
        <v>0</v>
      </c>
      <c r="AB116" s="117"/>
      <c r="AC116" s="118"/>
      <c r="AD116" s="119">
        <f t="shared" si="36"/>
        <v>0</v>
      </c>
      <c r="AE116" s="119">
        <f t="shared" si="37"/>
        <v>0</v>
      </c>
      <c r="AF116" s="120">
        <f t="shared" si="38"/>
        <v>0</v>
      </c>
      <c r="AG116" s="121"/>
      <c r="AH116" s="131">
        <f t="shared" si="39"/>
        <v>0</v>
      </c>
      <c r="AI116" s="198"/>
      <c r="AJ116" s="198"/>
      <c r="AK116" s="191">
        <f t="shared" si="40"/>
        <v>0</v>
      </c>
      <c r="AL116" s="122"/>
      <c r="AM116" s="115" t="s">
        <v>5</v>
      </c>
      <c r="AN116" s="51">
        <f t="shared" si="41"/>
        <v>0</v>
      </c>
      <c r="AO116" s="139">
        <f t="shared" si="42"/>
        <v>0</v>
      </c>
      <c r="AP116" s="78">
        <f t="shared" si="43"/>
        <v>0</v>
      </c>
      <c r="AQ116" s="79">
        <f t="shared" si="44"/>
        <v>0</v>
      </c>
      <c r="AR116" s="138"/>
      <c r="AS116" s="52"/>
      <c r="AT116" s="52"/>
      <c r="AU116" s="109">
        <f t="shared" si="45"/>
        <v>0</v>
      </c>
      <c r="AV116" s="103">
        <f t="shared" si="46"/>
        <v>0</v>
      </c>
      <c r="AW116" s="104">
        <f t="shared" si="25"/>
        <v>0</v>
      </c>
      <c r="AX116" s="104">
        <f t="shared" si="26"/>
        <v>0</v>
      </c>
      <c r="AY116" s="104">
        <f t="shared" si="27"/>
        <v>0</v>
      </c>
      <c r="AZ116" s="104">
        <f t="shared" si="28"/>
        <v>0</v>
      </c>
      <c r="BA116" s="104">
        <f t="shared" si="29"/>
        <v>0</v>
      </c>
      <c r="BB116" s="106">
        <f t="shared" si="47"/>
        <v>0</v>
      </c>
      <c r="BC116" s="106">
        <f t="shared" si="30"/>
        <v>0</v>
      </c>
      <c r="BD116" s="106">
        <f t="shared" si="48"/>
        <v>0</v>
      </c>
      <c r="BE116" s="106">
        <f t="shared" si="31"/>
        <v>0</v>
      </c>
      <c r="BF116" s="106">
        <f t="shared" si="32"/>
        <v>0</v>
      </c>
      <c r="BG116" s="106">
        <f t="shared" si="33"/>
        <v>0</v>
      </c>
    </row>
    <row r="117" spans="1:59" s="53" customFormat="1" ht="50.1" customHeight="1">
      <c r="A117" s="141">
        <v>110</v>
      </c>
      <c r="B117" s="47"/>
      <c r="C117" s="20"/>
      <c r="D117" s="21"/>
      <c r="E117" s="23"/>
      <c r="F117" s="48"/>
      <c r="G117" s="48"/>
      <c r="H117" s="49"/>
      <c r="I117" s="49"/>
      <c r="J117" s="181"/>
      <c r="K117" s="87"/>
      <c r="L117" s="92"/>
      <c r="M117" s="94"/>
      <c r="N117" s="94"/>
      <c r="O117" s="93"/>
      <c r="P117" s="152"/>
      <c r="Q117" s="75"/>
      <c r="R117" s="221"/>
      <c r="S117" s="178"/>
      <c r="T117" s="50"/>
      <c r="U117" s="112">
        <f t="shared" si="34"/>
        <v>0</v>
      </c>
      <c r="V117" s="113" t="s">
        <v>3</v>
      </c>
      <c r="W117" s="114"/>
      <c r="X117" s="115" t="s">
        <v>3</v>
      </c>
      <c r="Y117" s="114"/>
      <c r="Z117" s="115" t="s">
        <v>4</v>
      </c>
      <c r="AA117" s="116">
        <f t="shared" si="35"/>
        <v>0</v>
      </c>
      <c r="AB117" s="117"/>
      <c r="AC117" s="118"/>
      <c r="AD117" s="119">
        <f t="shared" si="36"/>
        <v>0</v>
      </c>
      <c r="AE117" s="119">
        <f t="shared" si="37"/>
        <v>0</v>
      </c>
      <c r="AF117" s="120">
        <f t="shared" si="38"/>
        <v>0</v>
      </c>
      <c r="AG117" s="121"/>
      <c r="AH117" s="131">
        <f t="shared" si="39"/>
        <v>0</v>
      </c>
      <c r="AI117" s="198"/>
      <c r="AJ117" s="198"/>
      <c r="AK117" s="191">
        <f t="shared" si="40"/>
        <v>0</v>
      </c>
      <c r="AL117" s="122"/>
      <c r="AM117" s="115" t="s">
        <v>5</v>
      </c>
      <c r="AN117" s="51">
        <f t="shared" si="41"/>
        <v>0</v>
      </c>
      <c r="AO117" s="139">
        <f t="shared" si="42"/>
        <v>0</v>
      </c>
      <c r="AP117" s="78">
        <f t="shared" si="43"/>
        <v>0</v>
      </c>
      <c r="AQ117" s="79">
        <f t="shared" si="44"/>
        <v>0</v>
      </c>
      <c r="AR117" s="138"/>
      <c r="AS117" s="52"/>
      <c r="AT117" s="52"/>
      <c r="AU117" s="109">
        <f t="shared" si="45"/>
        <v>0</v>
      </c>
      <c r="AV117" s="103">
        <f t="shared" si="46"/>
        <v>0</v>
      </c>
      <c r="AW117" s="104">
        <f t="shared" si="25"/>
        <v>0</v>
      </c>
      <c r="AX117" s="104">
        <f t="shared" si="26"/>
        <v>0</v>
      </c>
      <c r="AY117" s="104">
        <f t="shared" si="27"/>
        <v>0</v>
      </c>
      <c r="AZ117" s="104">
        <f t="shared" si="28"/>
        <v>0</v>
      </c>
      <c r="BA117" s="104">
        <f t="shared" si="29"/>
        <v>0</v>
      </c>
      <c r="BB117" s="106">
        <f t="shared" si="47"/>
        <v>0</v>
      </c>
      <c r="BC117" s="106">
        <f t="shared" si="30"/>
        <v>0</v>
      </c>
      <c r="BD117" s="106">
        <f t="shared" si="48"/>
        <v>0</v>
      </c>
      <c r="BE117" s="106">
        <f t="shared" si="31"/>
        <v>0</v>
      </c>
      <c r="BF117" s="106">
        <f t="shared" si="32"/>
        <v>0</v>
      </c>
      <c r="BG117" s="106">
        <f t="shared" si="33"/>
        <v>0</v>
      </c>
    </row>
    <row r="118" spans="1:59" s="53" customFormat="1" ht="50.1" customHeight="1">
      <c r="A118" s="141">
        <v>111</v>
      </c>
      <c r="B118" s="47"/>
      <c r="C118" s="20"/>
      <c r="D118" s="21"/>
      <c r="E118" s="23"/>
      <c r="F118" s="48"/>
      <c r="G118" s="48"/>
      <c r="H118" s="49"/>
      <c r="I118" s="49"/>
      <c r="J118" s="181"/>
      <c r="K118" s="87"/>
      <c r="L118" s="92"/>
      <c r="M118" s="94"/>
      <c r="N118" s="94"/>
      <c r="O118" s="93"/>
      <c r="P118" s="152"/>
      <c r="Q118" s="75"/>
      <c r="R118" s="221"/>
      <c r="S118" s="178"/>
      <c r="T118" s="50"/>
      <c r="U118" s="112">
        <f t="shared" si="34"/>
        <v>0</v>
      </c>
      <c r="V118" s="113" t="s">
        <v>3</v>
      </c>
      <c r="W118" s="114"/>
      <c r="X118" s="115" t="s">
        <v>3</v>
      </c>
      <c r="Y118" s="114"/>
      <c r="Z118" s="115" t="s">
        <v>4</v>
      </c>
      <c r="AA118" s="116">
        <f t="shared" si="35"/>
        <v>0</v>
      </c>
      <c r="AB118" s="117"/>
      <c r="AC118" s="118"/>
      <c r="AD118" s="119">
        <f t="shared" si="36"/>
        <v>0</v>
      </c>
      <c r="AE118" s="119">
        <f t="shared" si="37"/>
        <v>0</v>
      </c>
      <c r="AF118" s="120">
        <f t="shared" si="38"/>
        <v>0</v>
      </c>
      <c r="AG118" s="121"/>
      <c r="AH118" s="131">
        <f t="shared" si="39"/>
        <v>0</v>
      </c>
      <c r="AI118" s="198"/>
      <c r="AJ118" s="198"/>
      <c r="AK118" s="191">
        <f t="shared" si="40"/>
        <v>0</v>
      </c>
      <c r="AL118" s="122"/>
      <c r="AM118" s="115" t="s">
        <v>5</v>
      </c>
      <c r="AN118" s="51">
        <f t="shared" si="41"/>
        <v>0</v>
      </c>
      <c r="AO118" s="139">
        <f t="shared" si="42"/>
        <v>0</v>
      </c>
      <c r="AP118" s="78">
        <f t="shared" si="43"/>
        <v>0</v>
      </c>
      <c r="AQ118" s="79">
        <f t="shared" si="44"/>
        <v>0</v>
      </c>
      <c r="AR118" s="138"/>
      <c r="AS118" s="52"/>
      <c r="AT118" s="52"/>
      <c r="AU118" s="109">
        <f t="shared" si="45"/>
        <v>0</v>
      </c>
      <c r="AV118" s="103">
        <f t="shared" si="46"/>
        <v>0</v>
      </c>
      <c r="AW118" s="104">
        <f t="shared" si="25"/>
        <v>0</v>
      </c>
      <c r="AX118" s="104">
        <f t="shared" si="26"/>
        <v>0</v>
      </c>
      <c r="AY118" s="104">
        <f t="shared" si="27"/>
        <v>0</v>
      </c>
      <c r="AZ118" s="104">
        <f t="shared" si="28"/>
        <v>0</v>
      </c>
      <c r="BA118" s="104">
        <f t="shared" si="29"/>
        <v>0</v>
      </c>
      <c r="BB118" s="106">
        <f t="shared" si="47"/>
        <v>0</v>
      </c>
      <c r="BC118" s="106">
        <f t="shared" si="30"/>
        <v>0</v>
      </c>
      <c r="BD118" s="106">
        <f t="shared" si="48"/>
        <v>0</v>
      </c>
      <c r="BE118" s="106">
        <f t="shared" si="31"/>
        <v>0</v>
      </c>
      <c r="BF118" s="106">
        <f t="shared" si="32"/>
        <v>0</v>
      </c>
      <c r="BG118" s="106">
        <f t="shared" si="33"/>
        <v>0</v>
      </c>
    </row>
    <row r="119" spans="1:59" s="53" customFormat="1" ht="50.1" customHeight="1">
      <c r="A119" s="141">
        <v>112</v>
      </c>
      <c r="B119" s="47"/>
      <c r="C119" s="20"/>
      <c r="D119" s="21"/>
      <c r="E119" s="23"/>
      <c r="F119" s="48"/>
      <c r="G119" s="48"/>
      <c r="H119" s="49"/>
      <c r="I119" s="49"/>
      <c r="J119" s="182"/>
      <c r="K119" s="179"/>
      <c r="L119" s="179"/>
      <c r="M119" s="180"/>
      <c r="N119" s="180"/>
      <c r="O119" s="179"/>
      <c r="P119" s="187"/>
      <c r="Q119" s="177"/>
      <c r="R119" s="221"/>
      <c r="S119" s="178"/>
      <c r="T119" s="50"/>
      <c r="U119" s="112">
        <f t="shared" si="34"/>
        <v>0</v>
      </c>
      <c r="V119" s="113" t="s">
        <v>3</v>
      </c>
      <c r="W119" s="114"/>
      <c r="X119" s="115" t="s">
        <v>3</v>
      </c>
      <c r="Y119" s="114"/>
      <c r="Z119" s="115" t="s">
        <v>4</v>
      </c>
      <c r="AA119" s="116">
        <f t="shared" si="35"/>
        <v>0</v>
      </c>
      <c r="AB119" s="117"/>
      <c r="AC119" s="118"/>
      <c r="AD119" s="119">
        <f t="shared" si="36"/>
        <v>0</v>
      </c>
      <c r="AE119" s="119">
        <f t="shared" si="37"/>
        <v>0</v>
      </c>
      <c r="AF119" s="120">
        <f t="shared" si="38"/>
        <v>0</v>
      </c>
      <c r="AG119" s="121"/>
      <c r="AH119" s="131">
        <f t="shared" si="39"/>
        <v>0</v>
      </c>
      <c r="AI119" s="198"/>
      <c r="AJ119" s="198"/>
      <c r="AK119" s="191">
        <f t="shared" si="40"/>
        <v>0</v>
      </c>
      <c r="AL119" s="122"/>
      <c r="AM119" s="115" t="s">
        <v>5</v>
      </c>
      <c r="AN119" s="51">
        <f t="shared" si="41"/>
        <v>0</v>
      </c>
      <c r="AO119" s="139">
        <f t="shared" si="42"/>
        <v>0</v>
      </c>
      <c r="AP119" s="78">
        <f t="shared" si="43"/>
        <v>0</v>
      </c>
      <c r="AQ119" s="79">
        <f t="shared" si="44"/>
        <v>0</v>
      </c>
      <c r="AR119" s="138"/>
      <c r="AS119" s="52"/>
      <c r="AT119" s="52"/>
      <c r="AU119" s="109">
        <f t="shared" si="45"/>
        <v>0</v>
      </c>
      <c r="AV119" s="103">
        <f t="shared" si="46"/>
        <v>0</v>
      </c>
      <c r="AW119" s="104">
        <f t="shared" si="25"/>
        <v>0</v>
      </c>
      <c r="AX119" s="104">
        <f t="shared" si="26"/>
        <v>0</v>
      </c>
      <c r="AY119" s="104">
        <f t="shared" si="27"/>
        <v>0</v>
      </c>
      <c r="AZ119" s="104">
        <f t="shared" si="28"/>
        <v>0</v>
      </c>
      <c r="BA119" s="104">
        <f t="shared" si="29"/>
        <v>0</v>
      </c>
      <c r="BB119" s="106">
        <f t="shared" si="47"/>
        <v>0</v>
      </c>
      <c r="BC119" s="106">
        <f t="shared" si="30"/>
        <v>0</v>
      </c>
      <c r="BD119" s="106">
        <f t="shared" si="48"/>
        <v>0</v>
      </c>
      <c r="BE119" s="106">
        <f t="shared" si="31"/>
        <v>0</v>
      </c>
      <c r="BF119" s="106">
        <f t="shared" si="32"/>
        <v>0</v>
      </c>
      <c r="BG119" s="106">
        <f t="shared" si="33"/>
        <v>0</v>
      </c>
    </row>
    <row r="120" spans="1:59" s="53" customFormat="1" ht="50.1" customHeight="1">
      <c r="A120" s="141">
        <v>113</v>
      </c>
      <c r="B120" s="47"/>
      <c r="C120" s="20"/>
      <c r="D120" s="21"/>
      <c r="E120" s="23"/>
      <c r="F120" s="48"/>
      <c r="G120" s="48"/>
      <c r="H120" s="49"/>
      <c r="I120" s="49"/>
      <c r="J120" s="181"/>
      <c r="K120" s="87"/>
      <c r="L120" s="92"/>
      <c r="M120" s="94"/>
      <c r="N120" s="94"/>
      <c r="O120" s="93"/>
      <c r="P120" s="152"/>
      <c r="Q120" s="75"/>
      <c r="R120" s="221"/>
      <c r="S120" s="178"/>
      <c r="T120" s="50"/>
      <c r="U120" s="112">
        <f t="shared" si="34"/>
        <v>0</v>
      </c>
      <c r="V120" s="113" t="s">
        <v>3</v>
      </c>
      <c r="W120" s="114"/>
      <c r="X120" s="115" t="s">
        <v>3</v>
      </c>
      <c r="Y120" s="114"/>
      <c r="Z120" s="115" t="s">
        <v>4</v>
      </c>
      <c r="AA120" s="116">
        <f t="shared" si="35"/>
        <v>0</v>
      </c>
      <c r="AB120" s="117"/>
      <c r="AC120" s="118"/>
      <c r="AD120" s="119">
        <f t="shared" si="36"/>
        <v>0</v>
      </c>
      <c r="AE120" s="119">
        <f t="shared" si="37"/>
        <v>0</v>
      </c>
      <c r="AF120" s="120">
        <f t="shared" si="38"/>
        <v>0</v>
      </c>
      <c r="AG120" s="121"/>
      <c r="AH120" s="131">
        <f t="shared" si="39"/>
        <v>0</v>
      </c>
      <c r="AI120" s="198"/>
      <c r="AJ120" s="198"/>
      <c r="AK120" s="191">
        <f t="shared" si="40"/>
        <v>0</v>
      </c>
      <c r="AL120" s="122"/>
      <c r="AM120" s="115" t="s">
        <v>5</v>
      </c>
      <c r="AN120" s="51">
        <f t="shared" si="41"/>
        <v>0</v>
      </c>
      <c r="AO120" s="139">
        <f t="shared" si="42"/>
        <v>0</v>
      </c>
      <c r="AP120" s="78">
        <f t="shared" si="43"/>
        <v>0</v>
      </c>
      <c r="AQ120" s="79">
        <f t="shared" si="44"/>
        <v>0</v>
      </c>
      <c r="AR120" s="138"/>
      <c r="AS120" s="52"/>
      <c r="AT120" s="52"/>
      <c r="AU120" s="109">
        <f t="shared" si="45"/>
        <v>0</v>
      </c>
      <c r="AV120" s="103">
        <f t="shared" si="46"/>
        <v>0</v>
      </c>
      <c r="AW120" s="104">
        <f t="shared" si="25"/>
        <v>0</v>
      </c>
      <c r="AX120" s="104">
        <f t="shared" si="26"/>
        <v>0</v>
      </c>
      <c r="AY120" s="104">
        <f t="shared" si="27"/>
        <v>0</v>
      </c>
      <c r="AZ120" s="104">
        <f t="shared" si="28"/>
        <v>0</v>
      </c>
      <c r="BA120" s="104">
        <f t="shared" si="29"/>
        <v>0</v>
      </c>
      <c r="BB120" s="106">
        <f t="shared" si="47"/>
        <v>0</v>
      </c>
      <c r="BC120" s="106">
        <f t="shared" si="30"/>
        <v>0</v>
      </c>
      <c r="BD120" s="106">
        <f t="shared" si="48"/>
        <v>0</v>
      </c>
      <c r="BE120" s="106">
        <f t="shared" si="31"/>
        <v>0</v>
      </c>
      <c r="BF120" s="106">
        <f t="shared" si="32"/>
        <v>0</v>
      </c>
      <c r="BG120" s="106">
        <f t="shared" si="33"/>
        <v>0</v>
      </c>
    </row>
    <row r="121" spans="1:59" s="53" customFormat="1" ht="50.1" customHeight="1">
      <c r="A121" s="141">
        <v>114</v>
      </c>
      <c r="B121" s="47"/>
      <c r="C121" s="20"/>
      <c r="D121" s="21"/>
      <c r="E121" s="23"/>
      <c r="F121" s="48"/>
      <c r="G121" s="48"/>
      <c r="H121" s="49"/>
      <c r="I121" s="49"/>
      <c r="J121" s="182"/>
      <c r="K121" s="88"/>
      <c r="L121" s="88"/>
      <c r="M121" s="96"/>
      <c r="N121" s="96"/>
      <c r="O121" s="88"/>
      <c r="P121" s="155"/>
      <c r="Q121" s="75"/>
      <c r="R121" s="221"/>
      <c r="S121" s="178"/>
      <c r="T121" s="50"/>
      <c r="U121" s="112">
        <f t="shared" si="34"/>
        <v>0</v>
      </c>
      <c r="V121" s="113" t="s">
        <v>3</v>
      </c>
      <c r="W121" s="114"/>
      <c r="X121" s="115" t="s">
        <v>3</v>
      </c>
      <c r="Y121" s="114"/>
      <c r="Z121" s="115" t="s">
        <v>4</v>
      </c>
      <c r="AA121" s="116">
        <f t="shared" si="35"/>
        <v>0</v>
      </c>
      <c r="AB121" s="117"/>
      <c r="AC121" s="118"/>
      <c r="AD121" s="119">
        <f t="shared" si="36"/>
        <v>0</v>
      </c>
      <c r="AE121" s="119">
        <f t="shared" si="37"/>
        <v>0</v>
      </c>
      <c r="AF121" s="120">
        <f t="shared" si="38"/>
        <v>0</v>
      </c>
      <c r="AG121" s="121"/>
      <c r="AH121" s="131">
        <f t="shared" si="39"/>
        <v>0</v>
      </c>
      <c r="AI121" s="198"/>
      <c r="AJ121" s="198"/>
      <c r="AK121" s="191">
        <f t="shared" si="40"/>
        <v>0</v>
      </c>
      <c r="AL121" s="122"/>
      <c r="AM121" s="115" t="s">
        <v>5</v>
      </c>
      <c r="AN121" s="51">
        <f t="shared" si="41"/>
        <v>0</v>
      </c>
      <c r="AO121" s="139">
        <f t="shared" si="42"/>
        <v>0</v>
      </c>
      <c r="AP121" s="78">
        <f t="shared" si="43"/>
        <v>0</v>
      </c>
      <c r="AQ121" s="79">
        <f t="shared" si="44"/>
        <v>0</v>
      </c>
      <c r="AR121" s="138"/>
      <c r="AS121" s="52"/>
      <c r="AT121" s="52"/>
      <c r="AU121" s="109">
        <f t="shared" si="45"/>
        <v>0</v>
      </c>
      <c r="AV121" s="103">
        <f t="shared" si="46"/>
        <v>0</v>
      </c>
      <c r="AW121" s="104">
        <f t="shared" si="25"/>
        <v>0</v>
      </c>
      <c r="AX121" s="104">
        <f t="shared" si="26"/>
        <v>0</v>
      </c>
      <c r="AY121" s="104">
        <f t="shared" si="27"/>
        <v>0</v>
      </c>
      <c r="AZ121" s="104">
        <f t="shared" si="28"/>
        <v>0</v>
      </c>
      <c r="BA121" s="104">
        <f t="shared" si="29"/>
        <v>0</v>
      </c>
      <c r="BB121" s="106">
        <f t="shared" si="47"/>
        <v>0</v>
      </c>
      <c r="BC121" s="106">
        <f t="shared" si="30"/>
        <v>0</v>
      </c>
      <c r="BD121" s="106">
        <f t="shared" si="48"/>
        <v>0</v>
      </c>
      <c r="BE121" s="106">
        <f t="shared" si="31"/>
        <v>0</v>
      </c>
      <c r="BF121" s="106">
        <f t="shared" si="32"/>
        <v>0</v>
      </c>
      <c r="BG121" s="106">
        <f t="shared" si="33"/>
        <v>0</v>
      </c>
    </row>
    <row r="122" spans="1:59" s="53" customFormat="1" ht="50.1" customHeight="1">
      <c r="A122" s="141">
        <v>115</v>
      </c>
      <c r="B122" s="47"/>
      <c r="C122" s="20"/>
      <c r="D122" s="21"/>
      <c r="E122" s="23"/>
      <c r="F122" s="48"/>
      <c r="G122" s="48"/>
      <c r="H122" s="49"/>
      <c r="I122" s="49"/>
      <c r="J122" s="181"/>
      <c r="K122" s="87"/>
      <c r="L122" s="92"/>
      <c r="M122" s="94"/>
      <c r="N122" s="94"/>
      <c r="O122" s="93"/>
      <c r="P122" s="155"/>
      <c r="Q122" s="75"/>
      <c r="R122" s="221"/>
      <c r="S122" s="178"/>
      <c r="T122" s="50"/>
      <c r="U122" s="112">
        <f t="shared" si="34"/>
        <v>0</v>
      </c>
      <c r="V122" s="113" t="s">
        <v>3</v>
      </c>
      <c r="W122" s="114"/>
      <c r="X122" s="115" t="s">
        <v>3</v>
      </c>
      <c r="Y122" s="114"/>
      <c r="Z122" s="115" t="s">
        <v>4</v>
      </c>
      <c r="AA122" s="116">
        <f t="shared" si="35"/>
        <v>0</v>
      </c>
      <c r="AB122" s="117"/>
      <c r="AC122" s="118"/>
      <c r="AD122" s="119">
        <f t="shared" si="36"/>
        <v>0</v>
      </c>
      <c r="AE122" s="119">
        <f t="shared" si="37"/>
        <v>0</v>
      </c>
      <c r="AF122" s="120">
        <f t="shared" si="38"/>
        <v>0</v>
      </c>
      <c r="AG122" s="121"/>
      <c r="AH122" s="131">
        <f t="shared" si="39"/>
        <v>0</v>
      </c>
      <c r="AI122" s="198"/>
      <c r="AJ122" s="198"/>
      <c r="AK122" s="191">
        <f t="shared" si="40"/>
        <v>0</v>
      </c>
      <c r="AL122" s="122"/>
      <c r="AM122" s="115" t="s">
        <v>5</v>
      </c>
      <c r="AN122" s="51">
        <f t="shared" si="41"/>
        <v>0</v>
      </c>
      <c r="AO122" s="139">
        <f t="shared" si="42"/>
        <v>0</v>
      </c>
      <c r="AP122" s="78">
        <f t="shared" si="43"/>
        <v>0</v>
      </c>
      <c r="AQ122" s="79">
        <f t="shared" si="44"/>
        <v>0</v>
      </c>
      <c r="AR122" s="138"/>
      <c r="AS122" s="52"/>
      <c r="AT122" s="52"/>
      <c r="AU122" s="109">
        <f t="shared" si="45"/>
        <v>0</v>
      </c>
      <c r="AV122" s="103">
        <f t="shared" si="46"/>
        <v>0</v>
      </c>
      <c r="AW122" s="104">
        <f t="shared" si="25"/>
        <v>0</v>
      </c>
      <c r="AX122" s="104">
        <f t="shared" si="26"/>
        <v>0</v>
      </c>
      <c r="AY122" s="104">
        <f t="shared" si="27"/>
        <v>0</v>
      </c>
      <c r="AZ122" s="104">
        <f t="shared" si="28"/>
        <v>0</v>
      </c>
      <c r="BA122" s="104">
        <f t="shared" si="29"/>
        <v>0</v>
      </c>
      <c r="BB122" s="106">
        <f t="shared" si="47"/>
        <v>0</v>
      </c>
      <c r="BC122" s="106">
        <f t="shared" si="30"/>
        <v>0</v>
      </c>
      <c r="BD122" s="106">
        <f t="shared" si="48"/>
        <v>0</v>
      </c>
      <c r="BE122" s="106">
        <f t="shared" si="31"/>
        <v>0</v>
      </c>
      <c r="BF122" s="106">
        <f t="shared" si="32"/>
        <v>0</v>
      </c>
      <c r="BG122" s="106">
        <f t="shared" si="33"/>
        <v>0</v>
      </c>
    </row>
    <row r="123" spans="1:59" s="53" customFormat="1" ht="50.1" customHeight="1">
      <c r="A123" s="141">
        <v>116</v>
      </c>
      <c r="B123" s="47"/>
      <c r="C123" s="20"/>
      <c r="D123" s="21"/>
      <c r="E123" s="23"/>
      <c r="F123" s="48"/>
      <c r="G123" s="48"/>
      <c r="H123" s="49"/>
      <c r="I123" s="49"/>
      <c r="J123" s="181"/>
      <c r="K123" s="87"/>
      <c r="L123" s="92"/>
      <c r="M123" s="94"/>
      <c r="N123" s="94"/>
      <c r="O123" s="93"/>
      <c r="P123" s="152"/>
      <c r="Q123" s="75"/>
      <c r="R123" s="221"/>
      <c r="S123" s="178"/>
      <c r="T123" s="50"/>
      <c r="U123" s="112">
        <f t="shared" si="34"/>
        <v>0</v>
      </c>
      <c r="V123" s="113" t="s">
        <v>3</v>
      </c>
      <c r="W123" s="114"/>
      <c r="X123" s="115" t="s">
        <v>3</v>
      </c>
      <c r="Y123" s="114"/>
      <c r="Z123" s="115" t="s">
        <v>4</v>
      </c>
      <c r="AA123" s="116">
        <f t="shared" si="35"/>
        <v>0</v>
      </c>
      <c r="AB123" s="117"/>
      <c r="AC123" s="118"/>
      <c r="AD123" s="119">
        <f t="shared" si="36"/>
        <v>0</v>
      </c>
      <c r="AE123" s="119">
        <f t="shared" si="37"/>
        <v>0</v>
      </c>
      <c r="AF123" s="120">
        <f t="shared" si="38"/>
        <v>0</v>
      </c>
      <c r="AG123" s="121"/>
      <c r="AH123" s="131">
        <f t="shared" si="39"/>
        <v>0</v>
      </c>
      <c r="AI123" s="198"/>
      <c r="AJ123" s="198"/>
      <c r="AK123" s="191">
        <f t="shared" si="40"/>
        <v>0</v>
      </c>
      <c r="AL123" s="122"/>
      <c r="AM123" s="115" t="s">
        <v>5</v>
      </c>
      <c r="AN123" s="51">
        <f t="shared" si="41"/>
        <v>0</v>
      </c>
      <c r="AO123" s="139">
        <f t="shared" si="42"/>
        <v>0</v>
      </c>
      <c r="AP123" s="78">
        <f t="shared" si="43"/>
        <v>0</v>
      </c>
      <c r="AQ123" s="79">
        <f t="shared" si="44"/>
        <v>0</v>
      </c>
      <c r="AR123" s="138"/>
      <c r="AS123" s="52"/>
      <c r="AT123" s="52"/>
      <c r="AU123" s="109">
        <f t="shared" si="45"/>
        <v>0</v>
      </c>
      <c r="AV123" s="103">
        <f t="shared" si="46"/>
        <v>0</v>
      </c>
      <c r="AW123" s="104">
        <f t="shared" si="25"/>
        <v>0</v>
      </c>
      <c r="AX123" s="104">
        <f t="shared" si="26"/>
        <v>0</v>
      </c>
      <c r="AY123" s="104">
        <f t="shared" si="27"/>
        <v>0</v>
      </c>
      <c r="AZ123" s="104">
        <f t="shared" si="28"/>
        <v>0</v>
      </c>
      <c r="BA123" s="104">
        <f t="shared" si="29"/>
        <v>0</v>
      </c>
      <c r="BB123" s="106">
        <f t="shared" si="47"/>
        <v>0</v>
      </c>
      <c r="BC123" s="106">
        <f t="shared" si="30"/>
        <v>0</v>
      </c>
      <c r="BD123" s="106">
        <f t="shared" si="48"/>
        <v>0</v>
      </c>
      <c r="BE123" s="106">
        <f t="shared" si="31"/>
        <v>0</v>
      </c>
      <c r="BF123" s="106">
        <f t="shared" si="32"/>
        <v>0</v>
      </c>
      <c r="BG123" s="106">
        <f t="shared" si="33"/>
        <v>0</v>
      </c>
    </row>
    <row r="124" spans="1:59" s="53" customFormat="1" ht="50.1" customHeight="1">
      <c r="A124" s="141">
        <v>117</v>
      </c>
      <c r="B124" s="47"/>
      <c r="C124" s="20"/>
      <c r="D124" s="21"/>
      <c r="E124" s="23"/>
      <c r="F124" s="48"/>
      <c r="G124" s="48"/>
      <c r="H124" s="49"/>
      <c r="I124" s="49"/>
      <c r="J124" s="182"/>
      <c r="K124" s="88"/>
      <c r="L124" s="88"/>
      <c r="M124" s="96"/>
      <c r="N124" s="96"/>
      <c r="O124" s="88"/>
      <c r="P124" s="152"/>
      <c r="Q124" s="75"/>
      <c r="R124" s="221"/>
      <c r="S124" s="178"/>
      <c r="T124" s="50"/>
      <c r="U124" s="112">
        <f t="shared" si="34"/>
        <v>0</v>
      </c>
      <c r="V124" s="113" t="s">
        <v>3</v>
      </c>
      <c r="W124" s="114"/>
      <c r="X124" s="115" t="s">
        <v>3</v>
      </c>
      <c r="Y124" s="114"/>
      <c r="Z124" s="115" t="s">
        <v>4</v>
      </c>
      <c r="AA124" s="116">
        <f t="shared" si="35"/>
        <v>0</v>
      </c>
      <c r="AB124" s="117"/>
      <c r="AC124" s="118"/>
      <c r="AD124" s="119">
        <f t="shared" si="36"/>
        <v>0</v>
      </c>
      <c r="AE124" s="119">
        <f t="shared" si="37"/>
        <v>0</v>
      </c>
      <c r="AF124" s="120">
        <f t="shared" si="38"/>
        <v>0</v>
      </c>
      <c r="AG124" s="121"/>
      <c r="AH124" s="131">
        <f t="shared" si="39"/>
        <v>0</v>
      </c>
      <c r="AI124" s="198"/>
      <c r="AJ124" s="198"/>
      <c r="AK124" s="191">
        <f t="shared" si="40"/>
        <v>0</v>
      </c>
      <c r="AL124" s="122"/>
      <c r="AM124" s="115" t="s">
        <v>5</v>
      </c>
      <c r="AN124" s="51">
        <f t="shared" si="41"/>
        <v>0</v>
      </c>
      <c r="AO124" s="139">
        <f t="shared" si="42"/>
        <v>0</v>
      </c>
      <c r="AP124" s="78">
        <f t="shared" si="43"/>
        <v>0</v>
      </c>
      <c r="AQ124" s="79">
        <f t="shared" si="44"/>
        <v>0</v>
      </c>
      <c r="AR124" s="138"/>
      <c r="AS124" s="52"/>
      <c r="AT124" s="52"/>
      <c r="AU124" s="109">
        <f t="shared" si="45"/>
        <v>0</v>
      </c>
      <c r="AV124" s="103">
        <f t="shared" si="46"/>
        <v>0</v>
      </c>
      <c r="AW124" s="104">
        <f t="shared" si="25"/>
        <v>0</v>
      </c>
      <c r="AX124" s="104">
        <f t="shared" si="26"/>
        <v>0</v>
      </c>
      <c r="AY124" s="104">
        <f t="shared" si="27"/>
        <v>0</v>
      </c>
      <c r="AZ124" s="104">
        <f t="shared" si="28"/>
        <v>0</v>
      </c>
      <c r="BA124" s="104">
        <f t="shared" si="29"/>
        <v>0</v>
      </c>
      <c r="BB124" s="106">
        <f t="shared" si="47"/>
        <v>0</v>
      </c>
      <c r="BC124" s="106">
        <f t="shared" si="30"/>
        <v>0</v>
      </c>
      <c r="BD124" s="106">
        <f t="shared" si="48"/>
        <v>0</v>
      </c>
      <c r="BE124" s="106">
        <f t="shared" si="31"/>
        <v>0</v>
      </c>
      <c r="BF124" s="106">
        <f t="shared" si="32"/>
        <v>0</v>
      </c>
      <c r="BG124" s="106">
        <f t="shared" si="33"/>
        <v>0</v>
      </c>
    </row>
    <row r="125" spans="1:59" s="53" customFormat="1" ht="50.1" customHeight="1">
      <c r="A125" s="141">
        <v>118</v>
      </c>
      <c r="B125" s="47"/>
      <c r="C125" s="20"/>
      <c r="D125" s="21"/>
      <c r="E125" s="23"/>
      <c r="F125" s="48"/>
      <c r="G125" s="48"/>
      <c r="H125" s="49"/>
      <c r="I125" s="49"/>
      <c r="J125" s="182"/>
      <c r="K125" s="88"/>
      <c r="L125" s="88"/>
      <c r="M125" s="96"/>
      <c r="N125" s="96"/>
      <c r="O125" s="88"/>
      <c r="P125" s="152"/>
      <c r="Q125" s="75"/>
      <c r="R125" s="221"/>
      <c r="S125" s="178"/>
      <c r="T125" s="50"/>
      <c r="U125" s="112">
        <f t="shared" si="34"/>
        <v>0</v>
      </c>
      <c r="V125" s="113" t="s">
        <v>3</v>
      </c>
      <c r="W125" s="114"/>
      <c r="X125" s="115" t="s">
        <v>3</v>
      </c>
      <c r="Y125" s="114"/>
      <c r="Z125" s="115" t="s">
        <v>4</v>
      </c>
      <c r="AA125" s="116">
        <f t="shared" si="35"/>
        <v>0</v>
      </c>
      <c r="AB125" s="117"/>
      <c r="AC125" s="118"/>
      <c r="AD125" s="119">
        <f t="shared" si="36"/>
        <v>0</v>
      </c>
      <c r="AE125" s="119">
        <f t="shared" si="37"/>
        <v>0</v>
      </c>
      <c r="AF125" s="120">
        <f t="shared" si="38"/>
        <v>0</v>
      </c>
      <c r="AG125" s="121"/>
      <c r="AH125" s="131">
        <f t="shared" si="39"/>
        <v>0</v>
      </c>
      <c r="AI125" s="198"/>
      <c r="AJ125" s="198"/>
      <c r="AK125" s="191">
        <f t="shared" si="40"/>
        <v>0</v>
      </c>
      <c r="AL125" s="122"/>
      <c r="AM125" s="115" t="s">
        <v>5</v>
      </c>
      <c r="AN125" s="51">
        <f t="shared" si="41"/>
        <v>0</v>
      </c>
      <c r="AO125" s="139">
        <f t="shared" si="42"/>
        <v>0</v>
      </c>
      <c r="AP125" s="78">
        <f t="shared" si="43"/>
        <v>0</v>
      </c>
      <c r="AQ125" s="79">
        <f t="shared" si="44"/>
        <v>0</v>
      </c>
      <c r="AR125" s="138"/>
      <c r="AS125" s="52"/>
      <c r="AT125" s="52"/>
      <c r="AU125" s="109">
        <f t="shared" si="45"/>
        <v>0</v>
      </c>
      <c r="AV125" s="103">
        <f t="shared" si="46"/>
        <v>0</v>
      </c>
      <c r="AW125" s="104">
        <f t="shared" si="25"/>
        <v>0</v>
      </c>
      <c r="AX125" s="104">
        <f t="shared" si="26"/>
        <v>0</v>
      </c>
      <c r="AY125" s="104">
        <f t="shared" si="27"/>
        <v>0</v>
      </c>
      <c r="AZ125" s="104">
        <f t="shared" si="28"/>
        <v>0</v>
      </c>
      <c r="BA125" s="104">
        <f t="shared" si="29"/>
        <v>0</v>
      </c>
      <c r="BB125" s="106">
        <f t="shared" si="47"/>
        <v>0</v>
      </c>
      <c r="BC125" s="106">
        <f t="shared" si="30"/>
        <v>0</v>
      </c>
      <c r="BD125" s="106">
        <f t="shared" si="48"/>
        <v>0</v>
      </c>
      <c r="BE125" s="106">
        <f t="shared" si="31"/>
        <v>0</v>
      </c>
      <c r="BF125" s="106">
        <f t="shared" si="32"/>
        <v>0</v>
      </c>
      <c r="BG125" s="106">
        <f t="shared" si="33"/>
        <v>0</v>
      </c>
    </row>
    <row r="126" spans="1:59" s="53" customFormat="1" ht="50.1" customHeight="1">
      <c r="A126" s="141">
        <v>119</v>
      </c>
      <c r="B126" s="47"/>
      <c r="C126" s="20"/>
      <c r="D126" s="21"/>
      <c r="E126" s="23"/>
      <c r="F126" s="48"/>
      <c r="G126" s="48"/>
      <c r="H126" s="49"/>
      <c r="I126" s="49"/>
      <c r="J126" s="181"/>
      <c r="K126" s="87"/>
      <c r="L126" s="92"/>
      <c r="M126" s="94"/>
      <c r="N126" s="94"/>
      <c r="O126" s="93"/>
      <c r="P126" s="152"/>
      <c r="Q126" s="75"/>
      <c r="R126" s="221"/>
      <c r="S126" s="178"/>
      <c r="T126" s="50"/>
      <c r="U126" s="112">
        <f t="shared" si="34"/>
        <v>0</v>
      </c>
      <c r="V126" s="113" t="s">
        <v>3</v>
      </c>
      <c r="W126" s="114"/>
      <c r="X126" s="115" t="s">
        <v>3</v>
      </c>
      <c r="Y126" s="114"/>
      <c r="Z126" s="115" t="s">
        <v>4</v>
      </c>
      <c r="AA126" s="116">
        <f t="shared" si="35"/>
        <v>0</v>
      </c>
      <c r="AB126" s="117"/>
      <c r="AC126" s="118"/>
      <c r="AD126" s="119">
        <f t="shared" si="36"/>
        <v>0</v>
      </c>
      <c r="AE126" s="119">
        <f t="shared" si="37"/>
        <v>0</v>
      </c>
      <c r="AF126" s="120">
        <f t="shared" si="38"/>
        <v>0</v>
      </c>
      <c r="AG126" s="121"/>
      <c r="AH126" s="131">
        <f t="shared" si="39"/>
        <v>0</v>
      </c>
      <c r="AI126" s="198"/>
      <c r="AJ126" s="198"/>
      <c r="AK126" s="191">
        <f t="shared" si="40"/>
        <v>0</v>
      </c>
      <c r="AL126" s="122"/>
      <c r="AM126" s="115" t="s">
        <v>5</v>
      </c>
      <c r="AN126" s="51">
        <f t="shared" si="41"/>
        <v>0</v>
      </c>
      <c r="AO126" s="139">
        <f t="shared" si="42"/>
        <v>0</v>
      </c>
      <c r="AP126" s="78">
        <f t="shared" si="43"/>
        <v>0</v>
      </c>
      <c r="AQ126" s="79">
        <f t="shared" si="44"/>
        <v>0</v>
      </c>
      <c r="AR126" s="138"/>
      <c r="AS126" s="52"/>
      <c r="AT126" s="52"/>
      <c r="AU126" s="109">
        <f t="shared" si="45"/>
        <v>0</v>
      </c>
      <c r="AV126" s="103">
        <f t="shared" si="46"/>
        <v>0</v>
      </c>
      <c r="AW126" s="104">
        <f t="shared" si="25"/>
        <v>0</v>
      </c>
      <c r="AX126" s="104">
        <f t="shared" si="26"/>
        <v>0</v>
      </c>
      <c r="AY126" s="104">
        <f t="shared" si="27"/>
        <v>0</v>
      </c>
      <c r="AZ126" s="104">
        <f t="shared" si="28"/>
        <v>0</v>
      </c>
      <c r="BA126" s="104">
        <f t="shared" si="29"/>
        <v>0</v>
      </c>
      <c r="BB126" s="106">
        <f t="shared" si="47"/>
        <v>0</v>
      </c>
      <c r="BC126" s="106">
        <f t="shared" si="30"/>
        <v>0</v>
      </c>
      <c r="BD126" s="106">
        <f t="shared" si="48"/>
        <v>0</v>
      </c>
      <c r="BE126" s="106">
        <f t="shared" si="31"/>
        <v>0</v>
      </c>
      <c r="BF126" s="106">
        <f t="shared" si="32"/>
        <v>0</v>
      </c>
      <c r="BG126" s="106">
        <f t="shared" si="33"/>
        <v>0</v>
      </c>
    </row>
    <row r="127" spans="1:59" s="53" customFormat="1" ht="50.1" customHeight="1">
      <c r="A127" s="141">
        <v>120</v>
      </c>
      <c r="B127" s="47"/>
      <c r="C127" s="20"/>
      <c r="D127" s="21"/>
      <c r="E127" s="23"/>
      <c r="F127" s="48"/>
      <c r="G127" s="48"/>
      <c r="H127" s="49"/>
      <c r="I127" s="49"/>
      <c r="J127" s="181"/>
      <c r="K127" s="87"/>
      <c r="L127" s="92"/>
      <c r="M127" s="94"/>
      <c r="N127" s="94"/>
      <c r="O127" s="93"/>
      <c r="P127" s="152"/>
      <c r="Q127" s="75"/>
      <c r="R127" s="221"/>
      <c r="S127" s="178"/>
      <c r="T127" s="50"/>
      <c r="U127" s="112">
        <f t="shared" si="34"/>
        <v>0</v>
      </c>
      <c r="V127" s="113" t="s">
        <v>3</v>
      </c>
      <c r="W127" s="114"/>
      <c r="X127" s="115" t="s">
        <v>3</v>
      </c>
      <c r="Y127" s="114"/>
      <c r="Z127" s="115" t="s">
        <v>4</v>
      </c>
      <c r="AA127" s="116">
        <f t="shared" si="35"/>
        <v>0</v>
      </c>
      <c r="AB127" s="117"/>
      <c r="AC127" s="118"/>
      <c r="AD127" s="119">
        <f t="shared" si="36"/>
        <v>0</v>
      </c>
      <c r="AE127" s="119">
        <f t="shared" si="37"/>
        <v>0</v>
      </c>
      <c r="AF127" s="120">
        <f t="shared" si="38"/>
        <v>0</v>
      </c>
      <c r="AG127" s="121"/>
      <c r="AH127" s="131">
        <f t="shared" si="39"/>
        <v>0</v>
      </c>
      <c r="AI127" s="198"/>
      <c r="AJ127" s="198"/>
      <c r="AK127" s="191">
        <f t="shared" si="40"/>
        <v>0</v>
      </c>
      <c r="AL127" s="122"/>
      <c r="AM127" s="115" t="s">
        <v>5</v>
      </c>
      <c r="AN127" s="51">
        <f t="shared" si="41"/>
        <v>0</v>
      </c>
      <c r="AO127" s="139">
        <f t="shared" si="42"/>
        <v>0</v>
      </c>
      <c r="AP127" s="78">
        <f t="shared" si="43"/>
        <v>0</v>
      </c>
      <c r="AQ127" s="79">
        <f t="shared" si="44"/>
        <v>0</v>
      </c>
      <c r="AR127" s="138"/>
      <c r="AS127" s="52"/>
      <c r="AT127" s="52"/>
      <c r="AU127" s="109">
        <f t="shared" si="45"/>
        <v>0</v>
      </c>
      <c r="AV127" s="103">
        <f t="shared" si="46"/>
        <v>0</v>
      </c>
      <c r="AW127" s="104">
        <f t="shared" si="25"/>
        <v>0</v>
      </c>
      <c r="AX127" s="104">
        <f t="shared" si="26"/>
        <v>0</v>
      </c>
      <c r="AY127" s="104">
        <f t="shared" si="27"/>
        <v>0</v>
      </c>
      <c r="AZ127" s="104">
        <f t="shared" si="28"/>
        <v>0</v>
      </c>
      <c r="BA127" s="104">
        <f t="shared" si="29"/>
        <v>0</v>
      </c>
      <c r="BB127" s="106">
        <f t="shared" si="47"/>
        <v>0</v>
      </c>
      <c r="BC127" s="106">
        <f t="shared" si="30"/>
        <v>0</v>
      </c>
      <c r="BD127" s="106">
        <f t="shared" si="48"/>
        <v>0</v>
      </c>
      <c r="BE127" s="106">
        <f t="shared" si="31"/>
        <v>0</v>
      </c>
      <c r="BF127" s="106">
        <f t="shared" si="32"/>
        <v>0</v>
      </c>
      <c r="BG127" s="106">
        <f t="shared" si="33"/>
        <v>0</v>
      </c>
    </row>
    <row r="128" spans="1:59" s="53" customFormat="1" ht="50.1" customHeight="1">
      <c r="A128" s="141">
        <v>121</v>
      </c>
      <c r="B128" s="47"/>
      <c r="C128" s="20"/>
      <c r="D128" s="21"/>
      <c r="E128" s="23"/>
      <c r="F128" s="48"/>
      <c r="G128" s="48"/>
      <c r="H128" s="49"/>
      <c r="I128" s="49"/>
      <c r="J128" s="182"/>
      <c r="K128" s="88"/>
      <c r="L128" s="88"/>
      <c r="M128" s="96"/>
      <c r="N128" s="96"/>
      <c r="O128" s="88"/>
      <c r="P128" s="152"/>
      <c r="Q128" s="75"/>
      <c r="R128" s="221"/>
      <c r="S128" s="178"/>
      <c r="T128" s="50"/>
      <c r="U128" s="112">
        <f t="shared" si="34"/>
        <v>0</v>
      </c>
      <c r="V128" s="113" t="s">
        <v>3</v>
      </c>
      <c r="W128" s="114"/>
      <c r="X128" s="115" t="s">
        <v>3</v>
      </c>
      <c r="Y128" s="114"/>
      <c r="Z128" s="115" t="s">
        <v>4</v>
      </c>
      <c r="AA128" s="116">
        <f t="shared" si="35"/>
        <v>0</v>
      </c>
      <c r="AB128" s="117"/>
      <c r="AC128" s="118"/>
      <c r="AD128" s="119">
        <f t="shared" si="36"/>
        <v>0</v>
      </c>
      <c r="AE128" s="119">
        <f t="shared" si="37"/>
        <v>0</v>
      </c>
      <c r="AF128" s="120">
        <f t="shared" si="38"/>
        <v>0</v>
      </c>
      <c r="AG128" s="121"/>
      <c r="AH128" s="131">
        <f t="shared" si="39"/>
        <v>0</v>
      </c>
      <c r="AI128" s="198"/>
      <c r="AJ128" s="198"/>
      <c r="AK128" s="191">
        <f t="shared" si="40"/>
        <v>0</v>
      </c>
      <c r="AL128" s="122"/>
      <c r="AM128" s="115" t="s">
        <v>5</v>
      </c>
      <c r="AN128" s="51">
        <f t="shared" si="41"/>
        <v>0</v>
      </c>
      <c r="AO128" s="139">
        <f t="shared" si="42"/>
        <v>0</v>
      </c>
      <c r="AP128" s="78">
        <f t="shared" si="43"/>
        <v>0</v>
      </c>
      <c r="AQ128" s="79">
        <f t="shared" si="44"/>
        <v>0</v>
      </c>
      <c r="AR128" s="138"/>
      <c r="AS128" s="52"/>
      <c r="AT128" s="52"/>
      <c r="AU128" s="109">
        <f t="shared" si="45"/>
        <v>0</v>
      </c>
      <c r="AV128" s="103">
        <f t="shared" si="46"/>
        <v>0</v>
      </c>
      <c r="AW128" s="104">
        <f t="shared" si="25"/>
        <v>0</v>
      </c>
      <c r="AX128" s="104">
        <f t="shared" si="26"/>
        <v>0</v>
      </c>
      <c r="AY128" s="104">
        <f t="shared" si="27"/>
        <v>0</v>
      </c>
      <c r="AZ128" s="104">
        <f t="shared" si="28"/>
        <v>0</v>
      </c>
      <c r="BA128" s="104">
        <f t="shared" si="29"/>
        <v>0</v>
      </c>
      <c r="BB128" s="106">
        <f t="shared" si="47"/>
        <v>0</v>
      </c>
      <c r="BC128" s="106">
        <f t="shared" si="30"/>
        <v>0</v>
      </c>
      <c r="BD128" s="106">
        <f t="shared" si="48"/>
        <v>0</v>
      </c>
      <c r="BE128" s="106">
        <f t="shared" si="31"/>
        <v>0</v>
      </c>
      <c r="BF128" s="106">
        <f t="shared" si="32"/>
        <v>0</v>
      </c>
      <c r="BG128" s="106">
        <f t="shared" si="33"/>
        <v>0</v>
      </c>
    </row>
    <row r="129" spans="1:59" s="53" customFormat="1" ht="50.1" customHeight="1">
      <c r="A129" s="141">
        <v>122</v>
      </c>
      <c r="B129" s="47"/>
      <c r="C129" s="20"/>
      <c r="D129" s="21"/>
      <c r="E129" s="23"/>
      <c r="F129" s="48"/>
      <c r="G129" s="48"/>
      <c r="H129" s="49"/>
      <c r="I129" s="49"/>
      <c r="J129" s="181"/>
      <c r="K129" s="87"/>
      <c r="L129" s="92"/>
      <c r="M129" s="94"/>
      <c r="N129" s="94"/>
      <c r="O129" s="93"/>
      <c r="P129" s="152"/>
      <c r="Q129" s="75"/>
      <c r="R129" s="221"/>
      <c r="S129" s="178"/>
      <c r="T129" s="50"/>
      <c r="U129" s="112">
        <f t="shared" si="34"/>
        <v>0</v>
      </c>
      <c r="V129" s="113" t="s">
        <v>3</v>
      </c>
      <c r="W129" s="114"/>
      <c r="X129" s="115" t="s">
        <v>3</v>
      </c>
      <c r="Y129" s="114"/>
      <c r="Z129" s="115" t="s">
        <v>4</v>
      </c>
      <c r="AA129" s="116">
        <f t="shared" si="35"/>
        <v>0</v>
      </c>
      <c r="AB129" s="117"/>
      <c r="AC129" s="118"/>
      <c r="AD129" s="119">
        <f t="shared" si="36"/>
        <v>0</v>
      </c>
      <c r="AE129" s="119">
        <f t="shared" si="37"/>
        <v>0</v>
      </c>
      <c r="AF129" s="120">
        <f t="shared" si="38"/>
        <v>0</v>
      </c>
      <c r="AG129" s="121"/>
      <c r="AH129" s="131">
        <f t="shared" si="39"/>
        <v>0</v>
      </c>
      <c r="AI129" s="198"/>
      <c r="AJ129" s="198"/>
      <c r="AK129" s="191">
        <f t="shared" si="40"/>
        <v>0</v>
      </c>
      <c r="AL129" s="122"/>
      <c r="AM129" s="115" t="s">
        <v>5</v>
      </c>
      <c r="AN129" s="51">
        <f t="shared" si="41"/>
        <v>0</v>
      </c>
      <c r="AO129" s="139">
        <f t="shared" si="42"/>
        <v>0</v>
      </c>
      <c r="AP129" s="78">
        <f t="shared" si="43"/>
        <v>0</v>
      </c>
      <c r="AQ129" s="79">
        <f t="shared" si="44"/>
        <v>0</v>
      </c>
      <c r="AR129" s="138"/>
      <c r="AS129" s="52"/>
      <c r="AT129" s="52"/>
      <c r="AU129" s="109">
        <f t="shared" si="45"/>
        <v>0</v>
      </c>
      <c r="AV129" s="103">
        <f t="shared" si="46"/>
        <v>0</v>
      </c>
      <c r="AW129" s="104">
        <f t="shared" si="25"/>
        <v>0</v>
      </c>
      <c r="AX129" s="104">
        <f t="shared" si="26"/>
        <v>0</v>
      </c>
      <c r="AY129" s="104">
        <f t="shared" si="27"/>
        <v>0</v>
      </c>
      <c r="AZ129" s="104">
        <f t="shared" si="28"/>
        <v>0</v>
      </c>
      <c r="BA129" s="104">
        <f t="shared" si="29"/>
        <v>0</v>
      </c>
      <c r="BB129" s="106">
        <f t="shared" si="47"/>
        <v>0</v>
      </c>
      <c r="BC129" s="106">
        <f t="shared" si="30"/>
        <v>0</v>
      </c>
      <c r="BD129" s="106">
        <f t="shared" si="48"/>
        <v>0</v>
      </c>
      <c r="BE129" s="106">
        <f t="shared" si="31"/>
        <v>0</v>
      </c>
      <c r="BF129" s="106">
        <f t="shared" si="32"/>
        <v>0</v>
      </c>
      <c r="BG129" s="106">
        <f t="shared" si="33"/>
        <v>0</v>
      </c>
    </row>
    <row r="130" spans="1:59" s="53" customFormat="1" ht="50.1" customHeight="1">
      <c r="A130" s="141">
        <v>123</v>
      </c>
      <c r="B130" s="47"/>
      <c r="C130" s="20"/>
      <c r="D130" s="21"/>
      <c r="E130" s="23"/>
      <c r="F130" s="48"/>
      <c r="G130" s="48"/>
      <c r="H130" s="49"/>
      <c r="I130" s="49"/>
      <c r="J130" s="182"/>
      <c r="K130" s="88"/>
      <c r="L130" s="88"/>
      <c r="M130" s="96"/>
      <c r="N130" s="96"/>
      <c r="O130" s="88"/>
      <c r="P130" s="155"/>
      <c r="Q130" s="75"/>
      <c r="R130" s="221"/>
      <c r="S130" s="178"/>
      <c r="T130" s="50"/>
      <c r="U130" s="112">
        <f t="shared" si="34"/>
        <v>0</v>
      </c>
      <c r="V130" s="113" t="s">
        <v>3</v>
      </c>
      <c r="W130" s="114"/>
      <c r="X130" s="115" t="s">
        <v>3</v>
      </c>
      <c r="Y130" s="114"/>
      <c r="Z130" s="115" t="s">
        <v>4</v>
      </c>
      <c r="AA130" s="116">
        <f t="shared" si="35"/>
        <v>0</v>
      </c>
      <c r="AB130" s="117"/>
      <c r="AC130" s="118"/>
      <c r="AD130" s="119">
        <f t="shared" si="36"/>
        <v>0</v>
      </c>
      <c r="AE130" s="119">
        <f t="shared" si="37"/>
        <v>0</v>
      </c>
      <c r="AF130" s="120">
        <f t="shared" si="38"/>
        <v>0</v>
      </c>
      <c r="AG130" s="121"/>
      <c r="AH130" s="131">
        <f t="shared" si="39"/>
        <v>0</v>
      </c>
      <c r="AI130" s="198"/>
      <c r="AJ130" s="198"/>
      <c r="AK130" s="191">
        <f t="shared" si="40"/>
        <v>0</v>
      </c>
      <c r="AL130" s="122"/>
      <c r="AM130" s="115" t="s">
        <v>5</v>
      </c>
      <c r="AN130" s="51">
        <f t="shared" si="41"/>
        <v>0</v>
      </c>
      <c r="AO130" s="139">
        <f t="shared" si="42"/>
        <v>0</v>
      </c>
      <c r="AP130" s="78">
        <f t="shared" si="43"/>
        <v>0</v>
      </c>
      <c r="AQ130" s="79">
        <f t="shared" si="44"/>
        <v>0</v>
      </c>
      <c r="AR130" s="138"/>
      <c r="AS130" s="52"/>
      <c r="AT130" s="52"/>
      <c r="AU130" s="109">
        <f t="shared" si="45"/>
        <v>0</v>
      </c>
      <c r="AV130" s="103">
        <f t="shared" si="46"/>
        <v>0</v>
      </c>
      <c r="AW130" s="104">
        <f t="shared" si="25"/>
        <v>0</v>
      </c>
      <c r="AX130" s="104">
        <f t="shared" si="26"/>
        <v>0</v>
      </c>
      <c r="AY130" s="104">
        <f t="shared" si="27"/>
        <v>0</v>
      </c>
      <c r="AZ130" s="104">
        <f t="shared" si="28"/>
        <v>0</v>
      </c>
      <c r="BA130" s="104">
        <f t="shared" si="29"/>
        <v>0</v>
      </c>
      <c r="BB130" s="106">
        <f t="shared" si="47"/>
        <v>0</v>
      </c>
      <c r="BC130" s="106">
        <f t="shared" si="30"/>
        <v>0</v>
      </c>
      <c r="BD130" s="106">
        <f t="shared" si="48"/>
        <v>0</v>
      </c>
      <c r="BE130" s="106">
        <f t="shared" si="31"/>
        <v>0</v>
      </c>
      <c r="BF130" s="106">
        <f t="shared" si="32"/>
        <v>0</v>
      </c>
      <c r="BG130" s="106">
        <f t="shared" si="33"/>
        <v>0</v>
      </c>
    </row>
    <row r="131" spans="1:59" s="53" customFormat="1" ht="50.1" customHeight="1">
      <c r="A131" s="141">
        <v>124</v>
      </c>
      <c r="B131" s="47"/>
      <c r="C131" s="20"/>
      <c r="D131" s="21"/>
      <c r="E131" s="23"/>
      <c r="F131" s="48"/>
      <c r="G131" s="48"/>
      <c r="H131" s="49"/>
      <c r="I131" s="49"/>
      <c r="J131" s="181"/>
      <c r="K131" s="87"/>
      <c r="L131" s="92"/>
      <c r="M131" s="94"/>
      <c r="N131" s="94"/>
      <c r="O131" s="93"/>
      <c r="P131" s="155"/>
      <c r="Q131" s="75"/>
      <c r="R131" s="221"/>
      <c r="S131" s="178"/>
      <c r="T131" s="50"/>
      <c r="U131" s="112">
        <f t="shared" si="34"/>
        <v>0</v>
      </c>
      <c r="V131" s="113" t="s">
        <v>3</v>
      </c>
      <c r="W131" s="114"/>
      <c r="X131" s="115" t="s">
        <v>3</v>
      </c>
      <c r="Y131" s="114"/>
      <c r="Z131" s="115" t="s">
        <v>4</v>
      </c>
      <c r="AA131" s="116">
        <f t="shared" si="35"/>
        <v>0</v>
      </c>
      <c r="AB131" s="117"/>
      <c r="AC131" s="118"/>
      <c r="AD131" s="119">
        <f t="shared" si="36"/>
        <v>0</v>
      </c>
      <c r="AE131" s="119">
        <f t="shared" si="37"/>
        <v>0</v>
      </c>
      <c r="AF131" s="120">
        <f t="shared" si="38"/>
        <v>0</v>
      </c>
      <c r="AG131" s="121"/>
      <c r="AH131" s="131">
        <f t="shared" si="39"/>
        <v>0</v>
      </c>
      <c r="AI131" s="198"/>
      <c r="AJ131" s="198"/>
      <c r="AK131" s="191">
        <f t="shared" si="40"/>
        <v>0</v>
      </c>
      <c r="AL131" s="122"/>
      <c r="AM131" s="115" t="s">
        <v>5</v>
      </c>
      <c r="AN131" s="51">
        <f t="shared" si="41"/>
        <v>0</v>
      </c>
      <c r="AO131" s="139">
        <f t="shared" si="42"/>
        <v>0</v>
      </c>
      <c r="AP131" s="78">
        <f t="shared" si="43"/>
        <v>0</v>
      </c>
      <c r="AQ131" s="79">
        <f t="shared" si="44"/>
        <v>0</v>
      </c>
      <c r="AR131" s="138"/>
      <c r="AS131" s="52"/>
      <c r="AT131" s="52"/>
      <c r="AU131" s="109">
        <f t="shared" si="45"/>
        <v>0</v>
      </c>
      <c r="AV131" s="103">
        <f t="shared" si="46"/>
        <v>0</v>
      </c>
      <c r="AW131" s="104">
        <f t="shared" si="25"/>
        <v>0</v>
      </c>
      <c r="AX131" s="104">
        <f t="shared" si="26"/>
        <v>0</v>
      </c>
      <c r="AY131" s="104">
        <f t="shared" si="27"/>
        <v>0</v>
      </c>
      <c r="AZ131" s="104">
        <f t="shared" si="28"/>
        <v>0</v>
      </c>
      <c r="BA131" s="104">
        <f t="shared" si="29"/>
        <v>0</v>
      </c>
      <c r="BB131" s="106">
        <f t="shared" si="47"/>
        <v>0</v>
      </c>
      <c r="BC131" s="106">
        <f t="shared" si="30"/>
        <v>0</v>
      </c>
      <c r="BD131" s="106">
        <f t="shared" si="48"/>
        <v>0</v>
      </c>
      <c r="BE131" s="106">
        <f t="shared" si="31"/>
        <v>0</v>
      </c>
      <c r="BF131" s="106">
        <f t="shared" si="32"/>
        <v>0</v>
      </c>
      <c r="BG131" s="106">
        <f t="shared" si="33"/>
        <v>0</v>
      </c>
    </row>
    <row r="132" spans="1:59" s="53" customFormat="1" ht="50.1" customHeight="1">
      <c r="A132" s="141">
        <v>125</v>
      </c>
      <c r="B132" s="47"/>
      <c r="C132" s="20"/>
      <c r="D132" s="21"/>
      <c r="E132" s="23"/>
      <c r="F132" s="48"/>
      <c r="G132" s="48"/>
      <c r="H132" s="49"/>
      <c r="I132" s="49"/>
      <c r="J132" s="181"/>
      <c r="K132" s="87"/>
      <c r="L132" s="92"/>
      <c r="M132" s="94"/>
      <c r="N132" s="94"/>
      <c r="O132" s="93"/>
      <c r="P132" s="152"/>
      <c r="Q132" s="75"/>
      <c r="R132" s="221"/>
      <c r="S132" s="178"/>
      <c r="T132" s="50"/>
      <c r="U132" s="112">
        <f t="shared" si="34"/>
        <v>0</v>
      </c>
      <c r="V132" s="113" t="s">
        <v>3</v>
      </c>
      <c r="W132" s="114"/>
      <c r="X132" s="115" t="s">
        <v>3</v>
      </c>
      <c r="Y132" s="114"/>
      <c r="Z132" s="115" t="s">
        <v>4</v>
      </c>
      <c r="AA132" s="116">
        <f t="shared" si="35"/>
        <v>0</v>
      </c>
      <c r="AB132" s="117"/>
      <c r="AC132" s="118"/>
      <c r="AD132" s="119">
        <f t="shared" si="36"/>
        <v>0</v>
      </c>
      <c r="AE132" s="119">
        <f t="shared" si="37"/>
        <v>0</v>
      </c>
      <c r="AF132" s="120">
        <f t="shared" si="38"/>
        <v>0</v>
      </c>
      <c r="AG132" s="121"/>
      <c r="AH132" s="131">
        <f t="shared" si="39"/>
        <v>0</v>
      </c>
      <c r="AI132" s="198"/>
      <c r="AJ132" s="198"/>
      <c r="AK132" s="191">
        <f t="shared" si="40"/>
        <v>0</v>
      </c>
      <c r="AL132" s="122"/>
      <c r="AM132" s="115" t="s">
        <v>5</v>
      </c>
      <c r="AN132" s="51">
        <f t="shared" si="41"/>
        <v>0</v>
      </c>
      <c r="AO132" s="139">
        <f t="shared" si="42"/>
        <v>0</v>
      </c>
      <c r="AP132" s="78">
        <f t="shared" si="43"/>
        <v>0</v>
      </c>
      <c r="AQ132" s="79">
        <f t="shared" si="44"/>
        <v>0</v>
      </c>
      <c r="AR132" s="138"/>
      <c r="AS132" s="52"/>
      <c r="AT132" s="52"/>
      <c r="AU132" s="109">
        <f t="shared" si="45"/>
        <v>0</v>
      </c>
      <c r="AV132" s="103">
        <f t="shared" si="46"/>
        <v>0</v>
      </c>
      <c r="AW132" s="104">
        <f t="shared" si="25"/>
        <v>0</v>
      </c>
      <c r="AX132" s="104">
        <f t="shared" si="26"/>
        <v>0</v>
      </c>
      <c r="AY132" s="104">
        <f t="shared" si="27"/>
        <v>0</v>
      </c>
      <c r="AZ132" s="104">
        <f t="shared" si="28"/>
        <v>0</v>
      </c>
      <c r="BA132" s="104">
        <f t="shared" si="29"/>
        <v>0</v>
      </c>
      <c r="BB132" s="106">
        <f t="shared" si="47"/>
        <v>0</v>
      </c>
      <c r="BC132" s="106">
        <f t="shared" si="30"/>
        <v>0</v>
      </c>
      <c r="BD132" s="106">
        <f t="shared" si="48"/>
        <v>0</v>
      </c>
      <c r="BE132" s="106">
        <f t="shared" si="31"/>
        <v>0</v>
      </c>
      <c r="BF132" s="106">
        <f t="shared" si="32"/>
        <v>0</v>
      </c>
      <c r="BG132" s="106">
        <f t="shared" si="33"/>
        <v>0</v>
      </c>
    </row>
    <row r="133" spans="1:59" s="53" customFormat="1" ht="50.1" customHeight="1">
      <c r="A133" s="141">
        <v>126</v>
      </c>
      <c r="B133" s="47"/>
      <c r="C133" s="20"/>
      <c r="D133" s="21"/>
      <c r="E133" s="23"/>
      <c r="F133" s="48"/>
      <c r="G133" s="48"/>
      <c r="H133" s="49"/>
      <c r="I133" s="49"/>
      <c r="J133" s="182"/>
      <c r="K133" s="88"/>
      <c r="L133" s="88"/>
      <c r="M133" s="96"/>
      <c r="N133" s="96"/>
      <c r="O133" s="88"/>
      <c r="P133" s="152"/>
      <c r="Q133" s="75"/>
      <c r="R133" s="221"/>
      <c r="S133" s="178"/>
      <c r="T133" s="50"/>
      <c r="U133" s="112">
        <f t="shared" si="34"/>
        <v>0</v>
      </c>
      <c r="V133" s="113" t="s">
        <v>3</v>
      </c>
      <c r="W133" s="114"/>
      <c r="X133" s="115" t="s">
        <v>3</v>
      </c>
      <c r="Y133" s="114"/>
      <c r="Z133" s="115" t="s">
        <v>4</v>
      </c>
      <c r="AA133" s="116">
        <f t="shared" si="35"/>
        <v>0</v>
      </c>
      <c r="AB133" s="117"/>
      <c r="AC133" s="118"/>
      <c r="AD133" s="119">
        <f t="shared" si="36"/>
        <v>0</v>
      </c>
      <c r="AE133" s="119">
        <f t="shared" si="37"/>
        <v>0</v>
      </c>
      <c r="AF133" s="120">
        <f t="shared" si="38"/>
        <v>0</v>
      </c>
      <c r="AG133" s="121"/>
      <c r="AH133" s="131">
        <f t="shared" si="39"/>
        <v>0</v>
      </c>
      <c r="AI133" s="198"/>
      <c r="AJ133" s="198"/>
      <c r="AK133" s="191">
        <f t="shared" si="40"/>
        <v>0</v>
      </c>
      <c r="AL133" s="122"/>
      <c r="AM133" s="115" t="s">
        <v>5</v>
      </c>
      <c r="AN133" s="51">
        <f t="shared" si="41"/>
        <v>0</v>
      </c>
      <c r="AO133" s="139">
        <f t="shared" si="42"/>
        <v>0</v>
      </c>
      <c r="AP133" s="78">
        <f t="shared" si="43"/>
        <v>0</v>
      </c>
      <c r="AQ133" s="79">
        <f t="shared" si="44"/>
        <v>0</v>
      </c>
      <c r="AR133" s="138"/>
      <c r="AS133" s="52"/>
      <c r="AT133" s="52"/>
      <c r="AU133" s="109">
        <f t="shared" si="45"/>
        <v>0</v>
      </c>
      <c r="AV133" s="103">
        <f t="shared" si="46"/>
        <v>0</v>
      </c>
      <c r="AW133" s="104">
        <f t="shared" si="25"/>
        <v>0</v>
      </c>
      <c r="AX133" s="104">
        <f t="shared" si="26"/>
        <v>0</v>
      </c>
      <c r="AY133" s="104">
        <f t="shared" si="27"/>
        <v>0</v>
      </c>
      <c r="AZ133" s="104">
        <f t="shared" si="28"/>
        <v>0</v>
      </c>
      <c r="BA133" s="104">
        <f t="shared" si="29"/>
        <v>0</v>
      </c>
      <c r="BB133" s="106">
        <f t="shared" si="47"/>
        <v>0</v>
      </c>
      <c r="BC133" s="106">
        <f t="shared" si="30"/>
        <v>0</v>
      </c>
      <c r="BD133" s="106">
        <f t="shared" si="48"/>
        <v>0</v>
      </c>
      <c r="BE133" s="106">
        <f t="shared" si="31"/>
        <v>0</v>
      </c>
      <c r="BF133" s="106">
        <f t="shared" si="32"/>
        <v>0</v>
      </c>
      <c r="BG133" s="106">
        <f t="shared" si="33"/>
        <v>0</v>
      </c>
    </row>
    <row r="134" spans="1:59" s="53" customFormat="1" ht="50.1" customHeight="1">
      <c r="A134" s="141">
        <v>127</v>
      </c>
      <c r="B134" s="47"/>
      <c r="C134" s="20"/>
      <c r="D134" s="21"/>
      <c r="E134" s="23"/>
      <c r="F134" s="48"/>
      <c r="G134" s="48"/>
      <c r="H134" s="49"/>
      <c r="I134" s="49"/>
      <c r="J134" s="182"/>
      <c r="K134" s="88"/>
      <c r="L134" s="88"/>
      <c r="M134" s="96"/>
      <c r="N134" s="96"/>
      <c r="O134" s="88"/>
      <c r="P134" s="152"/>
      <c r="Q134" s="75"/>
      <c r="R134" s="221"/>
      <c r="S134" s="178"/>
      <c r="T134" s="50"/>
      <c r="U134" s="112">
        <f t="shared" si="34"/>
        <v>0</v>
      </c>
      <c r="V134" s="113" t="s">
        <v>3</v>
      </c>
      <c r="W134" s="114"/>
      <c r="X134" s="115" t="s">
        <v>3</v>
      </c>
      <c r="Y134" s="114"/>
      <c r="Z134" s="115" t="s">
        <v>4</v>
      </c>
      <c r="AA134" s="116">
        <f t="shared" si="35"/>
        <v>0</v>
      </c>
      <c r="AB134" s="117"/>
      <c r="AC134" s="118"/>
      <c r="AD134" s="119">
        <f t="shared" si="36"/>
        <v>0</v>
      </c>
      <c r="AE134" s="119">
        <f t="shared" si="37"/>
        <v>0</v>
      </c>
      <c r="AF134" s="120">
        <f t="shared" si="38"/>
        <v>0</v>
      </c>
      <c r="AG134" s="121"/>
      <c r="AH134" s="131">
        <f t="shared" si="39"/>
        <v>0</v>
      </c>
      <c r="AI134" s="198"/>
      <c r="AJ134" s="198"/>
      <c r="AK134" s="191">
        <f t="shared" si="40"/>
        <v>0</v>
      </c>
      <c r="AL134" s="122"/>
      <c r="AM134" s="115" t="s">
        <v>5</v>
      </c>
      <c r="AN134" s="51">
        <f t="shared" si="41"/>
        <v>0</v>
      </c>
      <c r="AO134" s="139">
        <f t="shared" si="42"/>
        <v>0</v>
      </c>
      <c r="AP134" s="78">
        <f t="shared" si="43"/>
        <v>0</v>
      </c>
      <c r="AQ134" s="79">
        <f t="shared" si="44"/>
        <v>0</v>
      </c>
      <c r="AR134" s="138"/>
      <c r="AS134" s="52"/>
      <c r="AT134" s="52"/>
      <c r="AU134" s="109">
        <f t="shared" si="45"/>
        <v>0</v>
      </c>
      <c r="AV134" s="103">
        <f t="shared" si="46"/>
        <v>0</v>
      </c>
      <c r="AW134" s="104">
        <f t="shared" si="25"/>
        <v>0</v>
      </c>
      <c r="AX134" s="104">
        <f t="shared" si="26"/>
        <v>0</v>
      </c>
      <c r="AY134" s="104">
        <f t="shared" si="27"/>
        <v>0</v>
      </c>
      <c r="AZ134" s="104">
        <f t="shared" si="28"/>
        <v>0</v>
      </c>
      <c r="BA134" s="104">
        <f t="shared" si="29"/>
        <v>0</v>
      </c>
      <c r="BB134" s="106">
        <f t="shared" si="47"/>
        <v>0</v>
      </c>
      <c r="BC134" s="106">
        <f t="shared" si="30"/>
        <v>0</v>
      </c>
      <c r="BD134" s="106">
        <f t="shared" si="48"/>
        <v>0</v>
      </c>
      <c r="BE134" s="106">
        <f t="shared" si="31"/>
        <v>0</v>
      </c>
      <c r="BF134" s="106">
        <f t="shared" si="32"/>
        <v>0</v>
      </c>
      <c r="BG134" s="106">
        <f t="shared" si="33"/>
        <v>0</v>
      </c>
    </row>
    <row r="135" spans="1:59" s="53" customFormat="1" ht="50.1" customHeight="1">
      <c r="A135" s="141">
        <v>128</v>
      </c>
      <c r="B135" s="47"/>
      <c r="C135" s="20"/>
      <c r="D135" s="21"/>
      <c r="E135" s="23"/>
      <c r="F135" s="48"/>
      <c r="G135" s="48"/>
      <c r="H135" s="49"/>
      <c r="I135" s="49"/>
      <c r="J135" s="181"/>
      <c r="K135" s="87"/>
      <c r="L135" s="92"/>
      <c r="M135" s="94"/>
      <c r="N135" s="94"/>
      <c r="O135" s="93"/>
      <c r="P135" s="152"/>
      <c r="Q135" s="75"/>
      <c r="R135" s="221"/>
      <c r="S135" s="178"/>
      <c r="T135" s="50"/>
      <c r="U135" s="112">
        <f t="shared" si="34"/>
        <v>0</v>
      </c>
      <c r="V135" s="113" t="s">
        <v>3</v>
      </c>
      <c r="W135" s="114"/>
      <c r="X135" s="115" t="s">
        <v>3</v>
      </c>
      <c r="Y135" s="114"/>
      <c r="Z135" s="115" t="s">
        <v>4</v>
      </c>
      <c r="AA135" s="116">
        <f t="shared" si="35"/>
        <v>0</v>
      </c>
      <c r="AB135" s="117"/>
      <c r="AC135" s="118"/>
      <c r="AD135" s="119">
        <f t="shared" si="36"/>
        <v>0</v>
      </c>
      <c r="AE135" s="119">
        <f t="shared" si="37"/>
        <v>0</v>
      </c>
      <c r="AF135" s="120">
        <f t="shared" si="38"/>
        <v>0</v>
      </c>
      <c r="AG135" s="121"/>
      <c r="AH135" s="131">
        <f t="shared" si="39"/>
        <v>0</v>
      </c>
      <c r="AI135" s="198"/>
      <c r="AJ135" s="198"/>
      <c r="AK135" s="191">
        <f t="shared" si="40"/>
        <v>0</v>
      </c>
      <c r="AL135" s="122"/>
      <c r="AM135" s="115" t="s">
        <v>5</v>
      </c>
      <c r="AN135" s="51">
        <f t="shared" si="41"/>
        <v>0</v>
      </c>
      <c r="AO135" s="139">
        <f t="shared" si="42"/>
        <v>0</v>
      </c>
      <c r="AP135" s="78">
        <f t="shared" si="43"/>
        <v>0</v>
      </c>
      <c r="AQ135" s="79">
        <f t="shared" si="44"/>
        <v>0</v>
      </c>
      <c r="AR135" s="138"/>
      <c r="AS135" s="52"/>
      <c r="AT135" s="52"/>
      <c r="AU135" s="109">
        <f t="shared" si="45"/>
        <v>0</v>
      </c>
      <c r="AV135" s="103">
        <f t="shared" si="46"/>
        <v>0</v>
      </c>
      <c r="AW135" s="104">
        <f t="shared" si="25"/>
        <v>0</v>
      </c>
      <c r="AX135" s="104">
        <f t="shared" si="26"/>
        <v>0</v>
      </c>
      <c r="AY135" s="104">
        <f t="shared" si="27"/>
        <v>0</v>
      </c>
      <c r="AZ135" s="104">
        <f t="shared" si="28"/>
        <v>0</v>
      </c>
      <c r="BA135" s="104">
        <f t="shared" si="29"/>
        <v>0</v>
      </c>
      <c r="BB135" s="106">
        <f t="shared" si="47"/>
        <v>0</v>
      </c>
      <c r="BC135" s="106">
        <f t="shared" si="30"/>
        <v>0</v>
      </c>
      <c r="BD135" s="106">
        <f t="shared" si="48"/>
        <v>0</v>
      </c>
      <c r="BE135" s="106">
        <f t="shared" si="31"/>
        <v>0</v>
      </c>
      <c r="BF135" s="106">
        <f t="shared" si="32"/>
        <v>0</v>
      </c>
      <c r="BG135" s="106">
        <f t="shared" si="33"/>
        <v>0</v>
      </c>
    </row>
    <row r="136" spans="1:59" s="53" customFormat="1" ht="50.1" customHeight="1">
      <c r="A136" s="141">
        <v>129</v>
      </c>
      <c r="B136" s="47"/>
      <c r="C136" s="20"/>
      <c r="D136" s="21"/>
      <c r="E136" s="23"/>
      <c r="F136" s="48"/>
      <c r="G136" s="48"/>
      <c r="H136" s="49"/>
      <c r="I136" s="49"/>
      <c r="J136" s="181"/>
      <c r="K136" s="87"/>
      <c r="L136" s="92"/>
      <c r="M136" s="94"/>
      <c r="N136" s="94"/>
      <c r="O136" s="93"/>
      <c r="P136" s="152"/>
      <c r="Q136" s="75"/>
      <c r="R136" s="221"/>
      <c r="S136" s="178"/>
      <c r="T136" s="50"/>
      <c r="U136" s="112">
        <f t="shared" si="34"/>
        <v>0</v>
      </c>
      <c r="V136" s="113" t="s">
        <v>3</v>
      </c>
      <c r="W136" s="114"/>
      <c r="X136" s="115" t="s">
        <v>3</v>
      </c>
      <c r="Y136" s="114"/>
      <c r="Z136" s="115" t="s">
        <v>4</v>
      </c>
      <c r="AA136" s="116">
        <f t="shared" si="35"/>
        <v>0</v>
      </c>
      <c r="AB136" s="117"/>
      <c r="AC136" s="118"/>
      <c r="AD136" s="119">
        <f t="shared" si="36"/>
        <v>0</v>
      </c>
      <c r="AE136" s="119">
        <f t="shared" si="37"/>
        <v>0</v>
      </c>
      <c r="AF136" s="120">
        <f t="shared" si="38"/>
        <v>0</v>
      </c>
      <c r="AG136" s="121"/>
      <c r="AH136" s="131">
        <f t="shared" si="39"/>
        <v>0</v>
      </c>
      <c r="AI136" s="198"/>
      <c r="AJ136" s="198"/>
      <c r="AK136" s="191">
        <f t="shared" si="40"/>
        <v>0</v>
      </c>
      <c r="AL136" s="122"/>
      <c r="AM136" s="115" t="s">
        <v>5</v>
      </c>
      <c r="AN136" s="51">
        <f t="shared" si="41"/>
        <v>0</v>
      </c>
      <c r="AO136" s="139">
        <f t="shared" si="42"/>
        <v>0</v>
      </c>
      <c r="AP136" s="78">
        <f t="shared" si="43"/>
        <v>0</v>
      </c>
      <c r="AQ136" s="79">
        <f t="shared" si="44"/>
        <v>0</v>
      </c>
      <c r="AR136" s="138"/>
      <c r="AS136" s="52"/>
      <c r="AT136" s="52"/>
      <c r="AU136" s="109">
        <f t="shared" si="45"/>
        <v>0</v>
      </c>
      <c r="AV136" s="103">
        <f t="shared" si="46"/>
        <v>0</v>
      </c>
      <c r="AW136" s="104">
        <f t="shared" ref="AW136:AW177" si="49">INT((AO136-(AV136*100))/50)</f>
        <v>0</v>
      </c>
      <c r="AX136" s="104">
        <f t="shared" ref="AX136:AX177" si="50">INT((AO136-(AV136*100+AW136*50))/20)</f>
        <v>0</v>
      </c>
      <c r="AY136" s="104">
        <f t="shared" ref="AY136:AY177" si="51">INT((AO136-(AV136*100+AW136*50+AX136*20))/10)</f>
        <v>0</v>
      </c>
      <c r="AZ136" s="104">
        <f t="shared" ref="AZ136:AZ177" si="52">INT((AO136-(AV136*100+AW136*50+AX136*20+AY136*10))/5)</f>
        <v>0</v>
      </c>
      <c r="BA136" s="104">
        <f t="shared" ref="BA136:BA177" si="53">INT((AO136-(AV136*100+AW136*50+AX136*20+AY136*10+AZ136*5))/1)</f>
        <v>0</v>
      </c>
      <c r="BB136" s="106">
        <f t="shared" si="47"/>
        <v>0</v>
      </c>
      <c r="BC136" s="106">
        <f t="shared" ref="BC136:BC177" si="54">INT((AQ136-(BB136*10000))/5000)</f>
        <v>0</v>
      </c>
      <c r="BD136" s="106">
        <f t="shared" si="48"/>
        <v>0</v>
      </c>
      <c r="BE136" s="106">
        <f t="shared" ref="BE136:BE177" si="55">INT((AQ136-(BB136*10000+BC136*5000+BD136*2000))/1000)</f>
        <v>0</v>
      </c>
      <c r="BF136" s="106">
        <f t="shared" ref="BF136:BF177" si="56">INT((AQ136-(BB136*10000+BC136*5000+BD136*2000+BE136*1000))/500)</f>
        <v>0</v>
      </c>
      <c r="BG136" s="106">
        <f t="shared" ref="BG136:BG177" si="57">INT((AQ136-(BB136*10000+BC136*5000+BD136*2000+BE136*1000+BF136*500))/100)</f>
        <v>0</v>
      </c>
    </row>
    <row r="137" spans="1:59" s="53" customFormat="1" ht="50.1" customHeight="1">
      <c r="A137" s="141">
        <v>130</v>
      </c>
      <c r="B137" s="47"/>
      <c r="C137" s="20"/>
      <c r="D137" s="21"/>
      <c r="E137" s="23"/>
      <c r="F137" s="48"/>
      <c r="G137" s="48"/>
      <c r="H137" s="49"/>
      <c r="I137" s="49"/>
      <c r="J137" s="182"/>
      <c r="K137" s="88"/>
      <c r="L137" s="88"/>
      <c r="M137" s="96"/>
      <c r="N137" s="96"/>
      <c r="O137" s="88"/>
      <c r="P137" s="152"/>
      <c r="Q137" s="75"/>
      <c r="R137" s="221"/>
      <c r="S137" s="178"/>
      <c r="T137" s="50"/>
      <c r="U137" s="112">
        <f t="shared" ref="U137:U177" si="58">SUM(T137*8)</f>
        <v>0</v>
      </c>
      <c r="V137" s="113" t="s">
        <v>3</v>
      </c>
      <c r="W137" s="114"/>
      <c r="X137" s="115" t="s">
        <v>3</v>
      </c>
      <c r="Y137" s="114"/>
      <c r="Z137" s="115" t="s">
        <v>4</v>
      </c>
      <c r="AA137" s="116">
        <f t="shared" ref="AA137:AA177" si="59">U137+W137+Y137</f>
        <v>0</v>
      </c>
      <c r="AB137" s="117"/>
      <c r="AC137" s="118"/>
      <c r="AD137" s="119">
        <f t="shared" ref="AD137:AD177" si="60">R137/208*U137</f>
        <v>0</v>
      </c>
      <c r="AE137" s="119">
        <f t="shared" ref="AE137:AE177" si="61">R137/208*W137*1.5</f>
        <v>0</v>
      </c>
      <c r="AF137" s="120">
        <f t="shared" ref="AF137:AF177" si="62">R137/208*Y137*2</f>
        <v>0</v>
      </c>
      <c r="AG137" s="121"/>
      <c r="AH137" s="131">
        <f t="shared" ref="AH137:AH177" si="63">AG137*R137/26</f>
        <v>0</v>
      </c>
      <c r="AI137" s="198"/>
      <c r="AJ137" s="198"/>
      <c r="AK137" s="191">
        <f t="shared" ref="AK137:AK177" si="64">10/26*(T137+AL137)</f>
        <v>0</v>
      </c>
      <c r="AL137" s="122"/>
      <c r="AM137" s="115" t="s">
        <v>5</v>
      </c>
      <c r="AN137" s="51">
        <f t="shared" ref="AN137:AN177" si="65">R137/26*AL137</f>
        <v>0</v>
      </c>
      <c r="AO137" s="139">
        <f t="shared" ref="AO137:AO177" si="66">AD137+AE137+AF137+AH137+AK137+AN137+AI137+AJ137</f>
        <v>0</v>
      </c>
      <c r="AP137" s="78">
        <f t="shared" ref="AP137:AP177" si="67">AO137-(AU137/4000)</f>
        <v>0</v>
      </c>
      <c r="AQ137" s="79">
        <f t="shared" ref="AQ137:AQ177" si="68">AU137</f>
        <v>0</v>
      </c>
      <c r="AR137" s="138"/>
      <c r="AS137" s="52"/>
      <c r="AT137" s="52"/>
      <c r="AU137" s="109">
        <f t="shared" ref="AU137:AU177" si="69">ROUNDUP(((AO137-(AV137*100+AW137*50+AX137*20+AY137*10+AZ137*5+BA137*1))*4000)/100,0)*100</f>
        <v>0</v>
      </c>
      <c r="AV137" s="103">
        <f t="shared" ref="AV137:AV177" si="70">INT(AO137/100)</f>
        <v>0</v>
      </c>
      <c r="AW137" s="104">
        <f t="shared" si="49"/>
        <v>0</v>
      </c>
      <c r="AX137" s="104">
        <f t="shared" si="50"/>
        <v>0</v>
      </c>
      <c r="AY137" s="104">
        <f t="shared" si="51"/>
        <v>0</v>
      </c>
      <c r="AZ137" s="104">
        <f t="shared" si="52"/>
        <v>0</v>
      </c>
      <c r="BA137" s="104">
        <f t="shared" si="53"/>
        <v>0</v>
      </c>
      <c r="BB137" s="106">
        <f t="shared" ref="BB137:BB177" si="71">INT(AQ137/10000)</f>
        <v>0</v>
      </c>
      <c r="BC137" s="106">
        <f t="shared" si="54"/>
        <v>0</v>
      </c>
      <c r="BD137" s="106">
        <f t="shared" ref="BD137:BD177" si="72">INT((AQ137-(BB137*10000+BC137*5000))/2000)</f>
        <v>0</v>
      </c>
      <c r="BE137" s="106">
        <f t="shared" si="55"/>
        <v>0</v>
      </c>
      <c r="BF137" s="106">
        <f t="shared" si="56"/>
        <v>0</v>
      </c>
      <c r="BG137" s="106">
        <f t="shared" si="57"/>
        <v>0</v>
      </c>
    </row>
    <row r="138" spans="1:59" s="53" customFormat="1" ht="50.1" customHeight="1">
      <c r="A138" s="141">
        <v>131</v>
      </c>
      <c r="B138" s="47"/>
      <c r="C138" s="20"/>
      <c r="D138" s="21"/>
      <c r="E138" s="23"/>
      <c r="F138" s="48"/>
      <c r="G138" s="48"/>
      <c r="H138" s="49"/>
      <c r="I138" s="49"/>
      <c r="J138" s="181"/>
      <c r="K138" s="87"/>
      <c r="L138" s="92"/>
      <c r="M138" s="94"/>
      <c r="N138" s="94"/>
      <c r="O138" s="93"/>
      <c r="P138" s="152"/>
      <c r="Q138" s="75"/>
      <c r="R138" s="221"/>
      <c r="S138" s="178"/>
      <c r="T138" s="50"/>
      <c r="U138" s="112">
        <f t="shared" si="58"/>
        <v>0</v>
      </c>
      <c r="V138" s="113" t="s">
        <v>3</v>
      </c>
      <c r="W138" s="114"/>
      <c r="X138" s="115" t="s">
        <v>3</v>
      </c>
      <c r="Y138" s="114"/>
      <c r="Z138" s="115" t="s">
        <v>4</v>
      </c>
      <c r="AA138" s="116">
        <f t="shared" si="59"/>
        <v>0</v>
      </c>
      <c r="AB138" s="117"/>
      <c r="AC138" s="118"/>
      <c r="AD138" s="119">
        <f t="shared" si="60"/>
        <v>0</v>
      </c>
      <c r="AE138" s="119">
        <f t="shared" si="61"/>
        <v>0</v>
      </c>
      <c r="AF138" s="120">
        <f t="shared" si="62"/>
        <v>0</v>
      </c>
      <c r="AG138" s="121"/>
      <c r="AH138" s="131">
        <f t="shared" si="63"/>
        <v>0</v>
      </c>
      <c r="AI138" s="198"/>
      <c r="AJ138" s="198"/>
      <c r="AK138" s="191">
        <f t="shared" si="64"/>
        <v>0</v>
      </c>
      <c r="AL138" s="122"/>
      <c r="AM138" s="115" t="s">
        <v>5</v>
      </c>
      <c r="AN138" s="51">
        <f t="shared" si="65"/>
        <v>0</v>
      </c>
      <c r="AO138" s="139">
        <f t="shared" si="66"/>
        <v>0</v>
      </c>
      <c r="AP138" s="78">
        <f t="shared" si="67"/>
        <v>0</v>
      </c>
      <c r="AQ138" s="79">
        <f t="shared" si="68"/>
        <v>0</v>
      </c>
      <c r="AR138" s="138"/>
      <c r="AS138" s="52"/>
      <c r="AT138" s="52"/>
      <c r="AU138" s="109">
        <f t="shared" si="69"/>
        <v>0</v>
      </c>
      <c r="AV138" s="103">
        <f t="shared" si="70"/>
        <v>0</v>
      </c>
      <c r="AW138" s="104">
        <f t="shared" si="49"/>
        <v>0</v>
      </c>
      <c r="AX138" s="104">
        <f t="shared" si="50"/>
        <v>0</v>
      </c>
      <c r="AY138" s="104">
        <f t="shared" si="51"/>
        <v>0</v>
      </c>
      <c r="AZ138" s="104">
        <f t="shared" si="52"/>
        <v>0</v>
      </c>
      <c r="BA138" s="104">
        <f t="shared" si="53"/>
        <v>0</v>
      </c>
      <c r="BB138" s="106">
        <f t="shared" si="71"/>
        <v>0</v>
      </c>
      <c r="BC138" s="106">
        <f t="shared" si="54"/>
        <v>0</v>
      </c>
      <c r="BD138" s="106">
        <f t="shared" si="72"/>
        <v>0</v>
      </c>
      <c r="BE138" s="106">
        <f t="shared" si="55"/>
        <v>0</v>
      </c>
      <c r="BF138" s="106">
        <f t="shared" si="56"/>
        <v>0</v>
      </c>
      <c r="BG138" s="106">
        <f t="shared" si="57"/>
        <v>0</v>
      </c>
    </row>
    <row r="139" spans="1:59" s="53" customFormat="1" ht="50.1" customHeight="1">
      <c r="A139" s="141">
        <v>132</v>
      </c>
      <c r="B139" s="47"/>
      <c r="C139" s="20"/>
      <c r="D139" s="21"/>
      <c r="E139" s="23"/>
      <c r="F139" s="48"/>
      <c r="G139" s="48"/>
      <c r="H139" s="49"/>
      <c r="I139" s="49"/>
      <c r="J139" s="182"/>
      <c r="K139" s="88"/>
      <c r="L139" s="88"/>
      <c r="M139" s="96"/>
      <c r="N139" s="96"/>
      <c r="O139" s="88"/>
      <c r="P139" s="155"/>
      <c r="Q139" s="75"/>
      <c r="R139" s="221"/>
      <c r="S139" s="178"/>
      <c r="T139" s="50"/>
      <c r="U139" s="112">
        <f t="shared" si="58"/>
        <v>0</v>
      </c>
      <c r="V139" s="113" t="s">
        <v>3</v>
      </c>
      <c r="W139" s="114"/>
      <c r="X139" s="115" t="s">
        <v>3</v>
      </c>
      <c r="Y139" s="114"/>
      <c r="Z139" s="115" t="s">
        <v>4</v>
      </c>
      <c r="AA139" s="116">
        <f t="shared" si="59"/>
        <v>0</v>
      </c>
      <c r="AB139" s="117"/>
      <c r="AC139" s="118"/>
      <c r="AD139" s="119">
        <f t="shared" si="60"/>
        <v>0</v>
      </c>
      <c r="AE139" s="119">
        <f t="shared" si="61"/>
        <v>0</v>
      </c>
      <c r="AF139" s="120">
        <f t="shared" si="62"/>
        <v>0</v>
      </c>
      <c r="AG139" s="121"/>
      <c r="AH139" s="131">
        <f t="shared" si="63"/>
        <v>0</v>
      </c>
      <c r="AI139" s="198"/>
      <c r="AJ139" s="198"/>
      <c r="AK139" s="191">
        <f t="shared" si="64"/>
        <v>0</v>
      </c>
      <c r="AL139" s="122"/>
      <c r="AM139" s="115" t="s">
        <v>5</v>
      </c>
      <c r="AN139" s="51">
        <f t="shared" si="65"/>
        <v>0</v>
      </c>
      <c r="AO139" s="139">
        <f t="shared" si="66"/>
        <v>0</v>
      </c>
      <c r="AP139" s="78">
        <f t="shared" si="67"/>
        <v>0</v>
      </c>
      <c r="AQ139" s="79">
        <f t="shared" si="68"/>
        <v>0</v>
      </c>
      <c r="AR139" s="138"/>
      <c r="AS139" s="52"/>
      <c r="AT139" s="52"/>
      <c r="AU139" s="109">
        <f t="shared" si="69"/>
        <v>0</v>
      </c>
      <c r="AV139" s="103">
        <f t="shared" si="70"/>
        <v>0</v>
      </c>
      <c r="AW139" s="104">
        <f t="shared" si="49"/>
        <v>0</v>
      </c>
      <c r="AX139" s="104">
        <f t="shared" si="50"/>
        <v>0</v>
      </c>
      <c r="AY139" s="104">
        <f t="shared" si="51"/>
        <v>0</v>
      </c>
      <c r="AZ139" s="104">
        <f t="shared" si="52"/>
        <v>0</v>
      </c>
      <c r="BA139" s="104">
        <f t="shared" si="53"/>
        <v>0</v>
      </c>
      <c r="BB139" s="106">
        <f t="shared" si="71"/>
        <v>0</v>
      </c>
      <c r="BC139" s="106">
        <f t="shared" si="54"/>
        <v>0</v>
      </c>
      <c r="BD139" s="106">
        <f t="shared" si="72"/>
        <v>0</v>
      </c>
      <c r="BE139" s="106">
        <f t="shared" si="55"/>
        <v>0</v>
      </c>
      <c r="BF139" s="106">
        <f t="shared" si="56"/>
        <v>0</v>
      </c>
      <c r="BG139" s="106">
        <f t="shared" si="57"/>
        <v>0</v>
      </c>
    </row>
    <row r="140" spans="1:59" s="53" customFormat="1" ht="50.1" customHeight="1">
      <c r="A140" s="141">
        <v>133</v>
      </c>
      <c r="B140" s="47"/>
      <c r="C140" s="20"/>
      <c r="D140" s="21"/>
      <c r="E140" s="23"/>
      <c r="F140" s="48"/>
      <c r="G140" s="48"/>
      <c r="H140" s="49"/>
      <c r="I140" s="49"/>
      <c r="J140" s="181"/>
      <c r="K140" s="87"/>
      <c r="L140" s="92"/>
      <c r="M140" s="94"/>
      <c r="N140" s="94"/>
      <c r="O140" s="93"/>
      <c r="P140" s="155"/>
      <c r="Q140" s="75"/>
      <c r="R140" s="221"/>
      <c r="S140" s="178"/>
      <c r="T140" s="50"/>
      <c r="U140" s="112">
        <f t="shared" si="58"/>
        <v>0</v>
      </c>
      <c r="V140" s="113" t="s">
        <v>3</v>
      </c>
      <c r="W140" s="114"/>
      <c r="X140" s="115" t="s">
        <v>3</v>
      </c>
      <c r="Y140" s="114"/>
      <c r="Z140" s="115" t="s">
        <v>4</v>
      </c>
      <c r="AA140" s="116">
        <f t="shared" si="59"/>
        <v>0</v>
      </c>
      <c r="AB140" s="117"/>
      <c r="AC140" s="118"/>
      <c r="AD140" s="119">
        <f t="shared" si="60"/>
        <v>0</v>
      </c>
      <c r="AE140" s="119">
        <f t="shared" si="61"/>
        <v>0</v>
      </c>
      <c r="AF140" s="120">
        <f t="shared" si="62"/>
        <v>0</v>
      </c>
      <c r="AG140" s="121"/>
      <c r="AH140" s="131">
        <f t="shared" si="63"/>
        <v>0</v>
      </c>
      <c r="AI140" s="198"/>
      <c r="AJ140" s="198"/>
      <c r="AK140" s="191">
        <f t="shared" si="64"/>
        <v>0</v>
      </c>
      <c r="AL140" s="122"/>
      <c r="AM140" s="115" t="s">
        <v>5</v>
      </c>
      <c r="AN140" s="51">
        <f t="shared" si="65"/>
        <v>0</v>
      </c>
      <c r="AO140" s="139">
        <f t="shared" si="66"/>
        <v>0</v>
      </c>
      <c r="AP140" s="78">
        <f t="shared" si="67"/>
        <v>0</v>
      </c>
      <c r="AQ140" s="79">
        <f t="shared" si="68"/>
        <v>0</v>
      </c>
      <c r="AR140" s="138"/>
      <c r="AS140" s="52"/>
      <c r="AT140" s="52"/>
      <c r="AU140" s="109">
        <f t="shared" si="69"/>
        <v>0</v>
      </c>
      <c r="AV140" s="103">
        <f t="shared" si="70"/>
        <v>0</v>
      </c>
      <c r="AW140" s="104">
        <f t="shared" si="49"/>
        <v>0</v>
      </c>
      <c r="AX140" s="104">
        <f t="shared" si="50"/>
        <v>0</v>
      </c>
      <c r="AY140" s="104">
        <f t="shared" si="51"/>
        <v>0</v>
      </c>
      <c r="AZ140" s="104">
        <f t="shared" si="52"/>
        <v>0</v>
      </c>
      <c r="BA140" s="104">
        <f t="shared" si="53"/>
        <v>0</v>
      </c>
      <c r="BB140" s="106">
        <f t="shared" si="71"/>
        <v>0</v>
      </c>
      <c r="BC140" s="106">
        <f t="shared" si="54"/>
        <v>0</v>
      </c>
      <c r="BD140" s="106">
        <f t="shared" si="72"/>
        <v>0</v>
      </c>
      <c r="BE140" s="106">
        <f t="shared" si="55"/>
        <v>0</v>
      </c>
      <c r="BF140" s="106">
        <f t="shared" si="56"/>
        <v>0</v>
      </c>
      <c r="BG140" s="106">
        <f t="shared" si="57"/>
        <v>0</v>
      </c>
    </row>
    <row r="141" spans="1:59" s="53" customFormat="1" ht="50.1" customHeight="1">
      <c r="A141" s="141">
        <v>134</v>
      </c>
      <c r="B141" s="47"/>
      <c r="C141" s="20"/>
      <c r="D141" s="21"/>
      <c r="E141" s="23"/>
      <c r="F141" s="48"/>
      <c r="G141" s="48"/>
      <c r="H141" s="49"/>
      <c r="I141" s="49"/>
      <c r="J141" s="181"/>
      <c r="K141" s="87"/>
      <c r="L141" s="92"/>
      <c r="M141" s="94"/>
      <c r="N141" s="94"/>
      <c r="O141" s="93"/>
      <c r="P141" s="152"/>
      <c r="Q141" s="75"/>
      <c r="R141" s="221"/>
      <c r="S141" s="178"/>
      <c r="T141" s="50"/>
      <c r="U141" s="112">
        <f t="shared" si="58"/>
        <v>0</v>
      </c>
      <c r="V141" s="113" t="s">
        <v>3</v>
      </c>
      <c r="W141" s="114"/>
      <c r="X141" s="115" t="s">
        <v>3</v>
      </c>
      <c r="Y141" s="114"/>
      <c r="Z141" s="115" t="s">
        <v>4</v>
      </c>
      <c r="AA141" s="116">
        <f t="shared" si="59"/>
        <v>0</v>
      </c>
      <c r="AB141" s="117"/>
      <c r="AC141" s="118"/>
      <c r="AD141" s="119">
        <f t="shared" si="60"/>
        <v>0</v>
      </c>
      <c r="AE141" s="119">
        <f t="shared" si="61"/>
        <v>0</v>
      </c>
      <c r="AF141" s="120">
        <f t="shared" si="62"/>
        <v>0</v>
      </c>
      <c r="AG141" s="121"/>
      <c r="AH141" s="131">
        <f t="shared" si="63"/>
        <v>0</v>
      </c>
      <c r="AI141" s="198"/>
      <c r="AJ141" s="198"/>
      <c r="AK141" s="191">
        <f t="shared" si="64"/>
        <v>0</v>
      </c>
      <c r="AL141" s="122"/>
      <c r="AM141" s="115" t="s">
        <v>5</v>
      </c>
      <c r="AN141" s="51">
        <f t="shared" si="65"/>
        <v>0</v>
      </c>
      <c r="AO141" s="139">
        <f t="shared" si="66"/>
        <v>0</v>
      </c>
      <c r="AP141" s="78">
        <f t="shared" si="67"/>
        <v>0</v>
      </c>
      <c r="AQ141" s="79">
        <f t="shared" si="68"/>
        <v>0</v>
      </c>
      <c r="AR141" s="138"/>
      <c r="AS141" s="52"/>
      <c r="AT141" s="52"/>
      <c r="AU141" s="109">
        <f t="shared" si="69"/>
        <v>0</v>
      </c>
      <c r="AV141" s="103">
        <f t="shared" si="70"/>
        <v>0</v>
      </c>
      <c r="AW141" s="104">
        <f t="shared" si="49"/>
        <v>0</v>
      </c>
      <c r="AX141" s="104">
        <f t="shared" si="50"/>
        <v>0</v>
      </c>
      <c r="AY141" s="104">
        <f t="shared" si="51"/>
        <v>0</v>
      </c>
      <c r="AZ141" s="104">
        <f t="shared" si="52"/>
        <v>0</v>
      </c>
      <c r="BA141" s="104">
        <f t="shared" si="53"/>
        <v>0</v>
      </c>
      <c r="BB141" s="106">
        <f t="shared" si="71"/>
        <v>0</v>
      </c>
      <c r="BC141" s="106">
        <f t="shared" si="54"/>
        <v>0</v>
      </c>
      <c r="BD141" s="106">
        <f t="shared" si="72"/>
        <v>0</v>
      </c>
      <c r="BE141" s="106">
        <f t="shared" si="55"/>
        <v>0</v>
      </c>
      <c r="BF141" s="106">
        <f t="shared" si="56"/>
        <v>0</v>
      </c>
      <c r="BG141" s="106">
        <f t="shared" si="57"/>
        <v>0</v>
      </c>
    </row>
    <row r="142" spans="1:59" s="53" customFormat="1" ht="50.1" customHeight="1">
      <c r="A142" s="141">
        <v>135</v>
      </c>
      <c r="B142" s="47"/>
      <c r="C142" s="20"/>
      <c r="D142" s="21"/>
      <c r="E142" s="23"/>
      <c r="F142" s="48"/>
      <c r="G142" s="48"/>
      <c r="H142" s="49"/>
      <c r="I142" s="49"/>
      <c r="J142" s="182"/>
      <c r="K142" s="88"/>
      <c r="L142" s="88"/>
      <c r="M142" s="96"/>
      <c r="N142" s="96"/>
      <c r="O142" s="88"/>
      <c r="P142" s="152"/>
      <c r="Q142" s="75"/>
      <c r="R142" s="221"/>
      <c r="S142" s="178"/>
      <c r="T142" s="50"/>
      <c r="U142" s="112">
        <f t="shared" si="58"/>
        <v>0</v>
      </c>
      <c r="V142" s="113" t="s">
        <v>3</v>
      </c>
      <c r="W142" s="114"/>
      <c r="X142" s="115" t="s">
        <v>3</v>
      </c>
      <c r="Y142" s="114"/>
      <c r="Z142" s="115" t="s">
        <v>4</v>
      </c>
      <c r="AA142" s="116">
        <f t="shared" si="59"/>
        <v>0</v>
      </c>
      <c r="AB142" s="117"/>
      <c r="AC142" s="118"/>
      <c r="AD142" s="119">
        <f t="shared" si="60"/>
        <v>0</v>
      </c>
      <c r="AE142" s="119">
        <f t="shared" si="61"/>
        <v>0</v>
      </c>
      <c r="AF142" s="120">
        <f t="shared" si="62"/>
        <v>0</v>
      </c>
      <c r="AG142" s="121"/>
      <c r="AH142" s="131">
        <f t="shared" si="63"/>
        <v>0</v>
      </c>
      <c r="AI142" s="198"/>
      <c r="AJ142" s="198"/>
      <c r="AK142" s="191">
        <f t="shared" si="64"/>
        <v>0</v>
      </c>
      <c r="AL142" s="122"/>
      <c r="AM142" s="115" t="s">
        <v>5</v>
      </c>
      <c r="AN142" s="51">
        <f t="shared" si="65"/>
        <v>0</v>
      </c>
      <c r="AO142" s="139">
        <f t="shared" si="66"/>
        <v>0</v>
      </c>
      <c r="AP142" s="78">
        <f t="shared" si="67"/>
        <v>0</v>
      </c>
      <c r="AQ142" s="79">
        <f t="shared" si="68"/>
        <v>0</v>
      </c>
      <c r="AR142" s="138"/>
      <c r="AS142" s="52"/>
      <c r="AT142" s="52"/>
      <c r="AU142" s="109">
        <f t="shared" si="69"/>
        <v>0</v>
      </c>
      <c r="AV142" s="103">
        <f t="shared" si="70"/>
        <v>0</v>
      </c>
      <c r="AW142" s="104">
        <f t="shared" si="49"/>
        <v>0</v>
      </c>
      <c r="AX142" s="104">
        <f t="shared" si="50"/>
        <v>0</v>
      </c>
      <c r="AY142" s="104">
        <f t="shared" si="51"/>
        <v>0</v>
      </c>
      <c r="AZ142" s="104">
        <f t="shared" si="52"/>
        <v>0</v>
      </c>
      <c r="BA142" s="104">
        <f t="shared" si="53"/>
        <v>0</v>
      </c>
      <c r="BB142" s="106">
        <f t="shared" si="71"/>
        <v>0</v>
      </c>
      <c r="BC142" s="106">
        <f t="shared" si="54"/>
        <v>0</v>
      </c>
      <c r="BD142" s="106">
        <f t="shared" si="72"/>
        <v>0</v>
      </c>
      <c r="BE142" s="106">
        <f t="shared" si="55"/>
        <v>0</v>
      </c>
      <c r="BF142" s="106">
        <f t="shared" si="56"/>
        <v>0</v>
      </c>
      <c r="BG142" s="106">
        <f t="shared" si="57"/>
        <v>0</v>
      </c>
    </row>
    <row r="143" spans="1:59" s="53" customFormat="1" ht="50.1" customHeight="1">
      <c r="A143" s="141">
        <v>136</v>
      </c>
      <c r="B143" s="47"/>
      <c r="C143" s="20"/>
      <c r="D143" s="21"/>
      <c r="E143" s="23"/>
      <c r="F143" s="48"/>
      <c r="G143" s="48"/>
      <c r="H143" s="49"/>
      <c r="I143" s="49"/>
      <c r="J143" s="182"/>
      <c r="K143" s="88"/>
      <c r="L143" s="88"/>
      <c r="M143" s="96"/>
      <c r="N143" s="96"/>
      <c r="O143" s="88"/>
      <c r="P143" s="152"/>
      <c r="Q143" s="75"/>
      <c r="R143" s="221"/>
      <c r="S143" s="178"/>
      <c r="T143" s="50"/>
      <c r="U143" s="112">
        <f t="shared" si="58"/>
        <v>0</v>
      </c>
      <c r="V143" s="113" t="s">
        <v>3</v>
      </c>
      <c r="W143" s="114"/>
      <c r="X143" s="115" t="s">
        <v>3</v>
      </c>
      <c r="Y143" s="114"/>
      <c r="Z143" s="115" t="s">
        <v>4</v>
      </c>
      <c r="AA143" s="116">
        <f t="shared" si="59"/>
        <v>0</v>
      </c>
      <c r="AB143" s="117"/>
      <c r="AC143" s="118"/>
      <c r="AD143" s="119">
        <f t="shared" si="60"/>
        <v>0</v>
      </c>
      <c r="AE143" s="119">
        <f t="shared" si="61"/>
        <v>0</v>
      </c>
      <c r="AF143" s="120">
        <f t="shared" si="62"/>
        <v>0</v>
      </c>
      <c r="AG143" s="121"/>
      <c r="AH143" s="131">
        <f t="shared" si="63"/>
        <v>0</v>
      </c>
      <c r="AI143" s="198"/>
      <c r="AJ143" s="198"/>
      <c r="AK143" s="191">
        <f t="shared" si="64"/>
        <v>0</v>
      </c>
      <c r="AL143" s="122"/>
      <c r="AM143" s="115" t="s">
        <v>5</v>
      </c>
      <c r="AN143" s="51">
        <f t="shared" si="65"/>
        <v>0</v>
      </c>
      <c r="AO143" s="139">
        <f t="shared" si="66"/>
        <v>0</v>
      </c>
      <c r="AP143" s="78">
        <f t="shared" si="67"/>
        <v>0</v>
      </c>
      <c r="AQ143" s="79">
        <f t="shared" si="68"/>
        <v>0</v>
      </c>
      <c r="AR143" s="138"/>
      <c r="AS143" s="52"/>
      <c r="AT143" s="52"/>
      <c r="AU143" s="109">
        <f t="shared" si="69"/>
        <v>0</v>
      </c>
      <c r="AV143" s="103">
        <f t="shared" si="70"/>
        <v>0</v>
      </c>
      <c r="AW143" s="104">
        <f t="shared" si="49"/>
        <v>0</v>
      </c>
      <c r="AX143" s="104">
        <f t="shared" si="50"/>
        <v>0</v>
      </c>
      <c r="AY143" s="104">
        <f t="shared" si="51"/>
        <v>0</v>
      </c>
      <c r="AZ143" s="104">
        <f t="shared" si="52"/>
        <v>0</v>
      </c>
      <c r="BA143" s="104">
        <f t="shared" si="53"/>
        <v>0</v>
      </c>
      <c r="BB143" s="106">
        <f t="shared" si="71"/>
        <v>0</v>
      </c>
      <c r="BC143" s="106">
        <f t="shared" si="54"/>
        <v>0</v>
      </c>
      <c r="BD143" s="106">
        <f t="shared" si="72"/>
        <v>0</v>
      </c>
      <c r="BE143" s="106">
        <f t="shared" si="55"/>
        <v>0</v>
      </c>
      <c r="BF143" s="106">
        <f t="shared" si="56"/>
        <v>0</v>
      </c>
      <c r="BG143" s="106">
        <f t="shared" si="57"/>
        <v>0</v>
      </c>
    </row>
    <row r="144" spans="1:59" s="53" customFormat="1" ht="50.1" customHeight="1">
      <c r="A144" s="141">
        <v>137</v>
      </c>
      <c r="B144" s="47"/>
      <c r="C144" s="20"/>
      <c r="D144" s="21"/>
      <c r="E144" s="23"/>
      <c r="F144" s="48"/>
      <c r="G144" s="48"/>
      <c r="H144" s="49"/>
      <c r="I144" s="49"/>
      <c r="J144" s="181"/>
      <c r="K144" s="87"/>
      <c r="L144" s="92"/>
      <c r="M144" s="94"/>
      <c r="N144" s="94"/>
      <c r="O144" s="93"/>
      <c r="P144" s="152"/>
      <c r="Q144" s="75"/>
      <c r="R144" s="221"/>
      <c r="S144" s="178"/>
      <c r="T144" s="50"/>
      <c r="U144" s="112">
        <f t="shared" si="58"/>
        <v>0</v>
      </c>
      <c r="V144" s="113" t="s">
        <v>3</v>
      </c>
      <c r="W144" s="114"/>
      <c r="X144" s="115" t="s">
        <v>3</v>
      </c>
      <c r="Y144" s="114"/>
      <c r="Z144" s="115" t="s">
        <v>4</v>
      </c>
      <c r="AA144" s="116">
        <f t="shared" si="59"/>
        <v>0</v>
      </c>
      <c r="AB144" s="117"/>
      <c r="AC144" s="118"/>
      <c r="AD144" s="119">
        <f t="shared" si="60"/>
        <v>0</v>
      </c>
      <c r="AE144" s="119">
        <f t="shared" si="61"/>
        <v>0</v>
      </c>
      <c r="AF144" s="120">
        <f t="shared" si="62"/>
        <v>0</v>
      </c>
      <c r="AG144" s="121"/>
      <c r="AH144" s="131">
        <f t="shared" si="63"/>
        <v>0</v>
      </c>
      <c r="AI144" s="198"/>
      <c r="AJ144" s="198"/>
      <c r="AK144" s="191">
        <f t="shared" si="64"/>
        <v>0</v>
      </c>
      <c r="AL144" s="122"/>
      <c r="AM144" s="115" t="s">
        <v>5</v>
      </c>
      <c r="AN144" s="51">
        <f t="shared" si="65"/>
        <v>0</v>
      </c>
      <c r="AO144" s="139">
        <f t="shared" si="66"/>
        <v>0</v>
      </c>
      <c r="AP144" s="78">
        <f t="shared" si="67"/>
        <v>0</v>
      </c>
      <c r="AQ144" s="79">
        <f t="shared" si="68"/>
        <v>0</v>
      </c>
      <c r="AR144" s="138"/>
      <c r="AS144" s="52"/>
      <c r="AT144" s="52"/>
      <c r="AU144" s="109">
        <f t="shared" si="69"/>
        <v>0</v>
      </c>
      <c r="AV144" s="103">
        <f t="shared" si="70"/>
        <v>0</v>
      </c>
      <c r="AW144" s="104">
        <f t="shared" si="49"/>
        <v>0</v>
      </c>
      <c r="AX144" s="104">
        <f t="shared" si="50"/>
        <v>0</v>
      </c>
      <c r="AY144" s="104">
        <f t="shared" si="51"/>
        <v>0</v>
      </c>
      <c r="AZ144" s="104">
        <f t="shared" si="52"/>
        <v>0</v>
      </c>
      <c r="BA144" s="104">
        <f t="shared" si="53"/>
        <v>0</v>
      </c>
      <c r="BB144" s="106">
        <f t="shared" si="71"/>
        <v>0</v>
      </c>
      <c r="BC144" s="106">
        <f t="shared" si="54"/>
        <v>0</v>
      </c>
      <c r="BD144" s="106">
        <f t="shared" si="72"/>
        <v>0</v>
      </c>
      <c r="BE144" s="106">
        <f t="shared" si="55"/>
        <v>0</v>
      </c>
      <c r="BF144" s="106">
        <f t="shared" si="56"/>
        <v>0</v>
      </c>
      <c r="BG144" s="106">
        <f t="shared" si="57"/>
        <v>0</v>
      </c>
    </row>
    <row r="145" spans="1:59" s="53" customFormat="1" ht="50.1" customHeight="1">
      <c r="A145" s="141">
        <v>138</v>
      </c>
      <c r="B145" s="47"/>
      <c r="C145" s="20"/>
      <c r="D145" s="21"/>
      <c r="E145" s="23"/>
      <c r="F145" s="48"/>
      <c r="G145" s="48"/>
      <c r="H145" s="49"/>
      <c r="I145" s="49"/>
      <c r="J145" s="181"/>
      <c r="K145" s="87"/>
      <c r="L145" s="92"/>
      <c r="M145" s="94"/>
      <c r="N145" s="94"/>
      <c r="O145" s="93"/>
      <c r="P145" s="152"/>
      <c r="Q145" s="75"/>
      <c r="R145" s="221"/>
      <c r="S145" s="178"/>
      <c r="T145" s="50"/>
      <c r="U145" s="112">
        <f t="shared" si="58"/>
        <v>0</v>
      </c>
      <c r="V145" s="113" t="s">
        <v>3</v>
      </c>
      <c r="W145" s="114"/>
      <c r="X145" s="115" t="s">
        <v>3</v>
      </c>
      <c r="Y145" s="114"/>
      <c r="Z145" s="115" t="s">
        <v>4</v>
      </c>
      <c r="AA145" s="116">
        <f t="shared" si="59"/>
        <v>0</v>
      </c>
      <c r="AB145" s="117"/>
      <c r="AC145" s="118"/>
      <c r="AD145" s="119">
        <f t="shared" si="60"/>
        <v>0</v>
      </c>
      <c r="AE145" s="119">
        <f t="shared" si="61"/>
        <v>0</v>
      </c>
      <c r="AF145" s="120">
        <f t="shared" si="62"/>
        <v>0</v>
      </c>
      <c r="AG145" s="121"/>
      <c r="AH145" s="131">
        <f t="shared" si="63"/>
        <v>0</v>
      </c>
      <c r="AI145" s="198"/>
      <c r="AJ145" s="198"/>
      <c r="AK145" s="191">
        <f t="shared" si="64"/>
        <v>0</v>
      </c>
      <c r="AL145" s="122"/>
      <c r="AM145" s="115" t="s">
        <v>5</v>
      </c>
      <c r="AN145" s="51">
        <f t="shared" si="65"/>
        <v>0</v>
      </c>
      <c r="AO145" s="139">
        <f t="shared" si="66"/>
        <v>0</v>
      </c>
      <c r="AP145" s="78">
        <f t="shared" si="67"/>
        <v>0</v>
      </c>
      <c r="AQ145" s="79">
        <f t="shared" si="68"/>
        <v>0</v>
      </c>
      <c r="AR145" s="138"/>
      <c r="AS145" s="52"/>
      <c r="AT145" s="52"/>
      <c r="AU145" s="109">
        <f t="shared" si="69"/>
        <v>0</v>
      </c>
      <c r="AV145" s="103">
        <f t="shared" si="70"/>
        <v>0</v>
      </c>
      <c r="AW145" s="104">
        <f t="shared" si="49"/>
        <v>0</v>
      </c>
      <c r="AX145" s="104">
        <f t="shared" si="50"/>
        <v>0</v>
      </c>
      <c r="AY145" s="104">
        <f t="shared" si="51"/>
        <v>0</v>
      </c>
      <c r="AZ145" s="104">
        <f t="shared" si="52"/>
        <v>0</v>
      </c>
      <c r="BA145" s="104">
        <f t="shared" si="53"/>
        <v>0</v>
      </c>
      <c r="BB145" s="106">
        <f t="shared" si="71"/>
        <v>0</v>
      </c>
      <c r="BC145" s="106">
        <f t="shared" si="54"/>
        <v>0</v>
      </c>
      <c r="BD145" s="106">
        <f t="shared" si="72"/>
        <v>0</v>
      </c>
      <c r="BE145" s="106">
        <f t="shared" si="55"/>
        <v>0</v>
      </c>
      <c r="BF145" s="106">
        <f t="shared" si="56"/>
        <v>0</v>
      </c>
      <c r="BG145" s="106">
        <f t="shared" si="57"/>
        <v>0</v>
      </c>
    </row>
    <row r="146" spans="1:59" s="53" customFormat="1" ht="50.1" customHeight="1">
      <c r="A146" s="141">
        <v>139</v>
      </c>
      <c r="B146" s="47"/>
      <c r="C146" s="20"/>
      <c r="D146" s="21"/>
      <c r="E146" s="23"/>
      <c r="F146" s="48"/>
      <c r="G146" s="48"/>
      <c r="H146" s="49"/>
      <c r="I146" s="49"/>
      <c r="J146" s="182"/>
      <c r="K146" s="88"/>
      <c r="L146" s="88"/>
      <c r="M146" s="96"/>
      <c r="N146" s="96"/>
      <c r="O146" s="88"/>
      <c r="P146" s="152"/>
      <c r="Q146" s="75"/>
      <c r="R146" s="221"/>
      <c r="S146" s="178"/>
      <c r="T146" s="50"/>
      <c r="U146" s="112">
        <f t="shared" si="58"/>
        <v>0</v>
      </c>
      <c r="V146" s="113" t="s">
        <v>3</v>
      </c>
      <c r="W146" s="114"/>
      <c r="X146" s="115" t="s">
        <v>3</v>
      </c>
      <c r="Y146" s="114"/>
      <c r="Z146" s="115" t="s">
        <v>4</v>
      </c>
      <c r="AA146" s="116">
        <f t="shared" si="59"/>
        <v>0</v>
      </c>
      <c r="AB146" s="117"/>
      <c r="AC146" s="118"/>
      <c r="AD146" s="119">
        <f t="shared" si="60"/>
        <v>0</v>
      </c>
      <c r="AE146" s="119">
        <f t="shared" si="61"/>
        <v>0</v>
      </c>
      <c r="AF146" s="120">
        <f t="shared" si="62"/>
        <v>0</v>
      </c>
      <c r="AG146" s="121"/>
      <c r="AH146" s="131">
        <f t="shared" si="63"/>
        <v>0</v>
      </c>
      <c r="AI146" s="198"/>
      <c r="AJ146" s="198"/>
      <c r="AK146" s="191">
        <f t="shared" si="64"/>
        <v>0</v>
      </c>
      <c r="AL146" s="122"/>
      <c r="AM146" s="115" t="s">
        <v>5</v>
      </c>
      <c r="AN146" s="51">
        <f t="shared" si="65"/>
        <v>0</v>
      </c>
      <c r="AO146" s="139">
        <f t="shared" si="66"/>
        <v>0</v>
      </c>
      <c r="AP146" s="78">
        <f t="shared" si="67"/>
        <v>0</v>
      </c>
      <c r="AQ146" s="79">
        <f t="shared" si="68"/>
        <v>0</v>
      </c>
      <c r="AR146" s="138"/>
      <c r="AS146" s="52"/>
      <c r="AT146" s="52"/>
      <c r="AU146" s="109">
        <f t="shared" si="69"/>
        <v>0</v>
      </c>
      <c r="AV146" s="103">
        <f t="shared" si="70"/>
        <v>0</v>
      </c>
      <c r="AW146" s="104">
        <f t="shared" si="49"/>
        <v>0</v>
      </c>
      <c r="AX146" s="104">
        <f t="shared" si="50"/>
        <v>0</v>
      </c>
      <c r="AY146" s="104">
        <f t="shared" si="51"/>
        <v>0</v>
      </c>
      <c r="AZ146" s="104">
        <f t="shared" si="52"/>
        <v>0</v>
      </c>
      <c r="BA146" s="104">
        <f t="shared" si="53"/>
        <v>0</v>
      </c>
      <c r="BB146" s="106">
        <f t="shared" si="71"/>
        <v>0</v>
      </c>
      <c r="BC146" s="106">
        <f t="shared" si="54"/>
        <v>0</v>
      </c>
      <c r="BD146" s="106">
        <f t="shared" si="72"/>
        <v>0</v>
      </c>
      <c r="BE146" s="106">
        <f t="shared" si="55"/>
        <v>0</v>
      </c>
      <c r="BF146" s="106">
        <f t="shared" si="56"/>
        <v>0</v>
      </c>
      <c r="BG146" s="106">
        <f t="shared" si="57"/>
        <v>0</v>
      </c>
    </row>
    <row r="147" spans="1:59" s="53" customFormat="1" ht="50.1" customHeight="1">
      <c r="A147" s="141">
        <v>140</v>
      </c>
      <c r="B147" s="47"/>
      <c r="C147" s="20"/>
      <c r="D147" s="21"/>
      <c r="E147" s="23"/>
      <c r="F147" s="48"/>
      <c r="G147" s="48"/>
      <c r="H147" s="49"/>
      <c r="I147" s="49"/>
      <c r="J147" s="181"/>
      <c r="K147" s="87"/>
      <c r="L147" s="92"/>
      <c r="M147" s="94"/>
      <c r="N147" s="94"/>
      <c r="O147" s="93"/>
      <c r="P147" s="152"/>
      <c r="Q147" s="75"/>
      <c r="R147" s="221"/>
      <c r="S147" s="178"/>
      <c r="T147" s="50"/>
      <c r="U147" s="112">
        <f t="shared" si="58"/>
        <v>0</v>
      </c>
      <c r="V147" s="113" t="s">
        <v>3</v>
      </c>
      <c r="W147" s="114"/>
      <c r="X147" s="115" t="s">
        <v>3</v>
      </c>
      <c r="Y147" s="114"/>
      <c r="Z147" s="115" t="s">
        <v>4</v>
      </c>
      <c r="AA147" s="116">
        <f t="shared" si="59"/>
        <v>0</v>
      </c>
      <c r="AB147" s="117"/>
      <c r="AC147" s="118"/>
      <c r="AD147" s="119">
        <f t="shared" si="60"/>
        <v>0</v>
      </c>
      <c r="AE147" s="119">
        <f t="shared" si="61"/>
        <v>0</v>
      </c>
      <c r="AF147" s="120">
        <f t="shared" si="62"/>
        <v>0</v>
      </c>
      <c r="AG147" s="121"/>
      <c r="AH147" s="131">
        <f t="shared" si="63"/>
        <v>0</v>
      </c>
      <c r="AI147" s="198"/>
      <c r="AJ147" s="198"/>
      <c r="AK147" s="191">
        <f t="shared" si="64"/>
        <v>0</v>
      </c>
      <c r="AL147" s="122"/>
      <c r="AM147" s="115" t="s">
        <v>5</v>
      </c>
      <c r="AN147" s="51">
        <f t="shared" si="65"/>
        <v>0</v>
      </c>
      <c r="AO147" s="139">
        <f t="shared" si="66"/>
        <v>0</v>
      </c>
      <c r="AP147" s="78">
        <f t="shared" si="67"/>
        <v>0</v>
      </c>
      <c r="AQ147" s="79">
        <f t="shared" si="68"/>
        <v>0</v>
      </c>
      <c r="AR147" s="138"/>
      <c r="AS147" s="52"/>
      <c r="AT147" s="52"/>
      <c r="AU147" s="109">
        <f t="shared" si="69"/>
        <v>0</v>
      </c>
      <c r="AV147" s="103">
        <f t="shared" si="70"/>
        <v>0</v>
      </c>
      <c r="AW147" s="104">
        <f t="shared" si="49"/>
        <v>0</v>
      </c>
      <c r="AX147" s="104">
        <f t="shared" si="50"/>
        <v>0</v>
      </c>
      <c r="AY147" s="104">
        <f t="shared" si="51"/>
        <v>0</v>
      </c>
      <c r="AZ147" s="104">
        <f t="shared" si="52"/>
        <v>0</v>
      </c>
      <c r="BA147" s="104">
        <f t="shared" si="53"/>
        <v>0</v>
      </c>
      <c r="BB147" s="106">
        <f t="shared" si="71"/>
        <v>0</v>
      </c>
      <c r="BC147" s="106">
        <f t="shared" si="54"/>
        <v>0</v>
      </c>
      <c r="BD147" s="106">
        <f t="shared" si="72"/>
        <v>0</v>
      </c>
      <c r="BE147" s="106">
        <f t="shared" si="55"/>
        <v>0</v>
      </c>
      <c r="BF147" s="106">
        <f t="shared" si="56"/>
        <v>0</v>
      </c>
      <c r="BG147" s="106">
        <f t="shared" si="57"/>
        <v>0</v>
      </c>
    </row>
    <row r="148" spans="1:59" s="53" customFormat="1" ht="50.1" customHeight="1">
      <c r="A148" s="141">
        <v>141</v>
      </c>
      <c r="B148" s="47"/>
      <c r="C148" s="20"/>
      <c r="D148" s="21"/>
      <c r="E148" s="23"/>
      <c r="F148" s="48"/>
      <c r="G148" s="48"/>
      <c r="H148" s="49"/>
      <c r="I148" s="49"/>
      <c r="J148" s="182"/>
      <c r="K148" s="179"/>
      <c r="L148" s="179"/>
      <c r="M148" s="180"/>
      <c r="N148" s="180"/>
      <c r="O148" s="179"/>
      <c r="P148" s="188"/>
      <c r="Q148" s="177"/>
      <c r="R148" s="221"/>
      <c r="S148" s="178"/>
      <c r="T148" s="50"/>
      <c r="U148" s="112">
        <f t="shared" si="58"/>
        <v>0</v>
      </c>
      <c r="V148" s="113" t="s">
        <v>3</v>
      </c>
      <c r="W148" s="114"/>
      <c r="X148" s="115" t="s">
        <v>3</v>
      </c>
      <c r="Y148" s="114"/>
      <c r="Z148" s="115" t="s">
        <v>4</v>
      </c>
      <c r="AA148" s="116">
        <f t="shared" si="59"/>
        <v>0</v>
      </c>
      <c r="AB148" s="117"/>
      <c r="AC148" s="118"/>
      <c r="AD148" s="119">
        <f t="shared" si="60"/>
        <v>0</v>
      </c>
      <c r="AE148" s="119">
        <f t="shared" si="61"/>
        <v>0</v>
      </c>
      <c r="AF148" s="120">
        <f t="shared" si="62"/>
        <v>0</v>
      </c>
      <c r="AG148" s="121"/>
      <c r="AH148" s="131">
        <f t="shared" si="63"/>
        <v>0</v>
      </c>
      <c r="AI148" s="198"/>
      <c r="AJ148" s="198"/>
      <c r="AK148" s="191">
        <f t="shared" si="64"/>
        <v>0</v>
      </c>
      <c r="AL148" s="122"/>
      <c r="AM148" s="115" t="s">
        <v>5</v>
      </c>
      <c r="AN148" s="51">
        <f t="shared" si="65"/>
        <v>0</v>
      </c>
      <c r="AO148" s="139">
        <f t="shared" si="66"/>
        <v>0</v>
      </c>
      <c r="AP148" s="78">
        <f t="shared" si="67"/>
        <v>0</v>
      </c>
      <c r="AQ148" s="79">
        <f t="shared" si="68"/>
        <v>0</v>
      </c>
      <c r="AR148" s="138"/>
      <c r="AS148" s="52"/>
      <c r="AT148" s="52"/>
      <c r="AU148" s="109">
        <f t="shared" si="69"/>
        <v>0</v>
      </c>
      <c r="AV148" s="103">
        <f t="shared" si="70"/>
        <v>0</v>
      </c>
      <c r="AW148" s="104">
        <f t="shared" si="49"/>
        <v>0</v>
      </c>
      <c r="AX148" s="104">
        <f t="shared" si="50"/>
        <v>0</v>
      </c>
      <c r="AY148" s="104">
        <f t="shared" si="51"/>
        <v>0</v>
      </c>
      <c r="AZ148" s="104">
        <f t="shared" si="52"/>
        <v>0</v>
      </c>
      <c r="BA148" s="104">
        <f t="shared" si="53"/>
        <v>0</v>
      </c>
      <c r="BB148" s="106">
        <f t="shared" si="71"/>
        <v>0</v>
      </c>
      <c r="BC148" s="106">
        <f t="shared" si="54"/>
        <v>0</v>
      </c>
      <c r="BD148" s="106">
        <f t="shared" si="72"/>
        <v>0</v>
      </c>
      <c r="BE148" s="106">
        <f t="shared" si="55"/>
        <v>0</v>
      </c>
      <c r="BF148" s="106">
        <f t="shared" si="56"/>
        <v>0</v>
      </c>
      <c r="BG148" s="106">
        <f t="shared" si="57"/>
        <v>0</v>
      </c>
    </row>
    <row r="149" spans="1:59" s="53" customFormat="1" ht="50.1" customHeight="1">
      <c r="A149" s="141">
        <v>142</v>
      </c>
      <c r="B149" s="47"/>
      <c r="C149" s="20"/>
      <c r="D149" s="21"/>
      <c r="E149" s="23"/>
      <c r="F149" s="48"/>
      <c r="G149" s="48"/>
      <c r="H149" s="49"/>
      <c r="I149" s="49"/>
      <c r="J149" s="182"/>
      <c r="K149" s="88"/>
      <c r="L149" s="88"/>
      <c r="M149" s="96"/>
      <c r="N149" s="96"/>
      <c r="O149" s="88"/>
      <c r="P149" s="152"/>
      <c r="Q149" s="183"/>
      <c r="R149" s="221"/>
      <c r="S149" s="213"/>
      <c r="T149" s="50"/>
      <c r="U149" s="112">
        <f t="shared" si="58"/>
        <v>0</v>
      </c>
      <c r="V149" s="113" t="s">
        <v>3</v>
      </c>
      <c r="W149" s="114"/>
      <c r="X149" s="115" t="s">
        <v>3</v>
      </c>
      <c r="Y149" s="114"/>
      <c r="Z149" s="115" t="s">
        <v>4</v>
      </c>
      <c r="AA149" s="116">
        <f t="shared" si="59"/>
        <v>0</v>
      </c>
      <c r="AB149" s="117"/>
      <c r="AC149" s="118"/>
      <c r="AD149" s="119">
        <f t="shared" si="60"/>
        <v>0</v>
      </c>
      <c r="AE149" s="119">
        <f t="shared" si="61"/>
        <v>0</v>
      </c>
      <c r="AF149" s="120">
        <f t="shared" si="62"/>
        <v>0</v>
      </c>
      <c r="AG149" s="121"/>
      <c r="AH149" s="131">
        <f t="shared" si="63"/>
        <v>0</v>
      </c>
      <c r="AI149" s="198"/>
      <c r="AJ149" s="198"/>
      <c r="AK149" s="191">
        <f t="shared" si="64"/>
        <v>0</v>
      </c>
      <c r="AL149" s="122"/>
      <c r="AM149" s="115" t="s">
        <v>5</v>
      </c>
      <c r="AN149" s="51">
        <f t="shared" si="65"/>
        <v>0</v>
      </c>
      <c r="AO149" s="139">
        <f t="shared" si="66"/>
        <v>0</v>
      </c>
      <c r="AP149" s="78">
        <f t="shared" si="67"/>
        <v>0</v>
      </c>
      <c r="AQ149" s="79">
        <f t="shared" si="68"/>
        <v>0</v>
      </c>
      <c r="AR149" s="138"/>
      <c r="AS149" s="52"/>
      <c r="AT149" s="52"/>
      <c r="AU149" s="109">
        <f t="shared" si="69"/>
        <v>0</v>
      </c>
      <c r="AV149" s="103">
        <f t="shared" si="70"/>
        <v>0</v>
      </c>
      <c r="AW149" s="104">
        <f t="shared" si="49"/>
        <v>0</v>
      </c>
      <c r="AX149" s="104">
        <f t="shared" si="50"/>
        <v>0</v>
      </c>
      <c r="AY149" s="104">
        <f t="shared" si="51"/>
        <v>0</v>
      </c>
      <c r="AZ149" s="104">
        <f t="shared" si="52"/>
        <v>0</v>
      </c>
      <c r="BA149" s="104">
        <f t="shared" si="53"/>
        <v>0</v>
      </c>
      <c r="BB149" s="106">
        <f t="shared" si="71"/>
        <v>0</v>
      </c>
      <c r="BC149" s="106">
        <f t="shared" si="54"/>
        <v>0</v>
      </c>
      <c r="BD149" s="106">
        <f t="shared" si="72"/>
        <v>0</v>
      </c>
      <c r="BE149" s="106">
        <f t="shared" si="55"/>
        <v>0</v>
      </c>
      <c r="BF149" s="106">
        <f t="shared" si="56"/>
        <v>0</v>
      </c>
      <c r="BG149" s="106">
        <f t="shared" si="57"/>
        <v>0</v>
      </c>
    </row>
    <row r="150" spans="1:59" s="53" customFormat="1" ht="50.1" customHeight="1">
      <c r="A150" s="141">
        <v>143</v>
      </c>
      <c r="B150" s="47"/>
      <c r="C150" s="20"/>
      <c r="D150" s="21"/>
      <c r="E150" s="23"/>
      <c r="F150" s="48"/>
      <c r="G150" s="48"/>
      <c r="H150" s="49"/>
      <c r="I150" s="49"/>
      <c r="J150" s="181"/>
      <c r="K150" s="87"/>
      <c r="L150" s="92"/>
      <c r="M150" s="94"/>
      <c r="N150" s="94"/>
      <c r="O150" s="93"/>
      <c r="P150" s="152"/>
      <c r="Q150" s="183"/>
      <c r="R150" s="221"/>
      <c r="S150" s="213"/>
      <c r="T150" s="50"/>
      <c r="U150" s="112">
        <f t="shared" si="58"/>
        <v>0</v>
      </c>
      <c r="V150" s="113" t="s">
        <v>3</v>
      </c>
      <c r="W150" s="114"/>
      <c r="X150" s="115" t="s">
        <v>3</v>
      </c>
      <c r="Y150" s="114"/>
      <c r="Z150" s="115" t="s">
        <v>4</v>
      </c>
      <c r="AA150" s="116">
        <f t="shared" si="59"/>
        <v>0</v>
      </c>
      <c r="AB150" s="117"/>
      <c r="AC150" s="118"/>
      <c r="AD150" s="119">
        <f t="shared" si="60"/>
        <v>0</v>
      </c>
      <c r="AE150" s="119">
        <f t="shared" si="61"/>
        <v>0</v>
      </c>
      <c r="AF150" s="120">
        <f t="shared" si="62"/>
        <v>0</v>
      </c>
      <c r="AG150" s="121"/>
      <c r="AH150" s="131">
        <f t="shared" si="63"/>
        <v>0</v>
      </c>
      <c r="AI150" s="198"/>
      <c r="AJ150" s="198"/>
      <c r="AK150" s="191">
        <f t="shared" si="64"/>
        <v>0</v>
      </c>
      <c r="AL150" s="122"/>
      <c r="AM150" s="115" t="s">
        <v>5</v>
      </c>
      <c r="AN150" s="51">
        <f t="shared" si="65"/>
        <v>0</v>
      </c>
      <c r="AO150" s="139">
        <f t="shared" si="66"/>
        <v>0</v>
      </c>
      <c r="AP150" s="78">
        <f t="shared" si="67"/>
        <v>0</v>
      </c>
      <c r="AQ150" s="79">
        <f t="shared" si="68"/>
        <v>0</v>
      </c>
      <c r="AR150" s="138"/>
      <c r="AS150" s="52"/>
      <c r="AT150" s="52"/>
      <c r="AU150" s="109">
        <f t="shared" si="69"/>
        <v>0</v>
      </c>
      <c r="AV150" s="103">
        <f t="shared" si="70"/>
        <v>0</v>
      </c>
      <c r="AW150" s="104">
        <f t="shared" si="49"/>
        <v>0</v>
      </c>
      <c r="AX150" s="104">
        <f t="shared" si="50"/>
        <v>0</v>
      </c>
      <c r="AY150" s="104">
        <f t="shared" si="51"/>
        <v>0</v>
      </c>
      <c r="AZ150" s="104">
        <f t="shared" si="52"/>
        <v>0</v>
      </c>
      <c r="BA150" s="104">
        <f t="shared" si="53"/>
        <v>0</v>
      </c>
      <c r="BB150" s="106">
        <f t="shared" si="71"/>
        <v>0</v>
      </c>
      <c r="BC150" s="106">
        <f t="shared" si="54"/>
        <v>0</v>
      </c>
      <c r="BD150" s="106">
        <f t="shared" si="72"/>
        <v>0</v>
      </c>
      <c r="BE150" s="106">
        <f t="shared" si="55"/>
        <v>0</v>
      </c>
      <c r="BF150" s="106">
        <f t="shared" si="56"/>
        <v>0</v>
      </c>
      <c r="BG150" s="106">
        <f t="shared" si="57"/>
        <v>0</v>
      </c>
    </row>
    <row r="151" spans="1:59" s="53" customFormat="1" ht="50.1" customHeight="1">
      <c r="A151" s="141">
        <v>144</v>
      </c>
      <c r="B151" s="47"/>
      <c r="C151" s="20"/>
      <c r="D151" s="21"/>
      <c r="E151" s="23"/>
      <c r="F151" s="48"/>
      <c r="G151" s="48"/>
      <c r="H151" s="49"/>
      <c r="I151" s="49"/>
      <c r="J151" s="181"/>
      <c r="K151" s="87"/>
      <c r="L151" s="92"/>
      <c r="M151" s="94"/>
      <c r="N151" s="94"/>
      <c r="O151" s="93"/>
      <c r="P151" s="152"/>
      <c r="Q151" s="75"/>
      <c r="R151" s="221"/>
      <c r="S151" s="184"/>
      <c r="T151" s="50"/>
      <c r="U151" s="112">
        <f t="shared" si="58"/>
        <v>0</v>
      </c>
      <c r="V151" s="113" t="s">
        <v>3</v>
      </c>
      <c r="W151" s="114"/>
      <c r="X151" s="115" t="s">
        <v>3</v>
      </c>
      <c r="Y151" s="114"/>
      <c r="Z151" s="115" t="s">
        <v>4</v>
      </c>
      <c r="AA151" s="116">
        <f t="shared" si="59"/>
        <v>0</v>
      </c>
      <c r="AB151" s="117"/>
      <c r="AC151" s="118"/>
      <c r="AD151" s="119">
        <f t="shared" si="60"/>
        <v>0</v>
      </c>
      <c r="AE151" s="119">
        <f t="shared" si="61"/>
        <v>0</v>
      </c>
      <c r="AF151" s="120">
        <f t="shared" si="62"/>
        <v>0</v>
      </c>
      <c r="AG151" s="121"/>
      <c r="AH151" s="131">
        <f t="shared" si="63"/>
        <v>0</v>
      </c>
      <c r="AI151" s="198"/>
      <c r="AJ151" s="198"/>
      <c r="AK151" s="191">
        <f t="shared" si="64"/>
        <v>0</v>
      </c>
      <c r="AL151" s="122"/>
      <c r="AM151" s="115" t="s">
        <v>5</v>
      </c>
      <c r="AN151" s="51">
        <f t="shared" si="65"/>
        <v>0</v>
      </c>
      <c r="AO151" s="139">
        <f t="shared" si="66"/>
        <v>0</v>
      </c>
      <c r="AP151" s="78">
        <f t="shared" si="67"/>
        <v>0</v>
      </c>
      <c r="AQ151" s="79">
        <f t="shared" si="68"/>
        <v>0</v>
      </c>
      <c r="AR151" s="138"/>
      <c r="AS151" s="52"/>
      <c r="AT151" s="52"/>
      <c r="AU151" s="109">
        <f t="shared" si="69"/>
        <v>0</v>
      </c>
      <c r="AV151" s="103">
        <f t="shared" si="70"/>
        <v>0</v>
      </c>
      <c r="AW151" s="104">
        <f t="shared" si="49"/>
        <v>0</v>
      </c>
      <c r="AX151" s="104">
        <f t="shared" si="50"/>
        <v>0</v>
      </c>
      <c r="AY151" s="104">
        <f t="shared" si="51"/>
        <v>0</v>
      </c>
      <c r="AZ151" s="104">
        <f t="shared" si="52"/>
        <v>0</v>
      </c>
      <c r="BA151" s="104">
        <f t="shared" si="53"/>
        <v>0</v>
      </c>
      <c r="BB151" s="106">
        <f t="shared" si="71"/>
        <v>0</v>
      </c>
      <c r="BC151" s="106">
        <f t="shared" si="54"/>
        <v>0</v>
      </c>
      <c r="BD151" s="106">
        <f t="shared" si="72"/>
        <v>0</v>
      </c>
      <c r="BE151" s="106">
        <f t="shared" si="55"/>
        <v>0</v>
      </c>
      <c r="BF151" s="106">
        <f t="shared" si="56"/>
        <v>0</v>
      </c>
      <c r="BG151" s="106">
        <f t="shared" si="57"/>
        <v>0</v>
      </c>
    </row>
    <row r="152" spans="1:59" s="53" customFormat="1" ht="50.1" customHeight="1">
      <c r="A152" s="141">
        <v>145</v>
      </c>
      <c r="B152" s="47"/>
      <c r="C152" s="20"/>
      <c r="D152" s="21"/>
      <c r="E152" s="23"/>
      <c r="F152" s="48"/>
      <c r="G152" s="48"/>
      <c r="H152" s="49"/>
      <c r="I152" s="49"/>
      <c r="J152" s="182"/>
      <c r="K152" s="88"/>
      <c r="L152" s="88"/>
      <c r="M152" s="96"/>
      <c r="N152" s="96"/>
      <c r="O152" s="88"/>
      <c r="P152" s="152"/>
      <c r="Q152" s="75"/>
      <c r="R152" s="221"/>
      <c r="S152" s="184"/>
      <c r="T152" s="50"/>
      <c r="U152" s="112">
        <f t="shared" si="58"/>
        <v>0</v>
      </c>
      <c r="V152" s="113" t="s">
        <v>3</v>
      </c>
      <c r="W152" s="114"/>
      <c r="X152" s="115" t="s">
        <v>3</v>
      </c>
      <c r="Y152" s="114"/>
      <c r="Z152" s="115" t="s">
        <v>4</v>
      </c>
      <c r="AA152" s="116">
        <f t="shared" si="59"/>
        <v>0</v>
      </c>
      <c r="AB152" s="117"/>
      <c r="AC152" s="118"/>
      <c r="AD152" s="119">
        <f t="shared" si="60"/>
        <v>0</v>
      </c>
      <c r="AE152" s="119">
        <f t="shared" si="61"/>
        <v>0</v>
      </c>
      <c r="AF152" s="120">
        <f t="shared" si="62"/>
        <v>0</v>
      </c>
      <c r="AG152" s="121"/>
      <c r="AH152" s="131">
        <f t="shared" si="63"/>
        <v>0</v>
      </c>
      <c r="AI152" s="198"/>
      <c r="AJ152" s="198"/>
      <c r="AK152" s="191">
        <f t="shared" si="64"/>
        <v>0</v>
      </c>
      <c r="AL152" s="122"/>
      <c r="AM152" s="115" t="s">
        <v>5</v>
      </c>
      <c r="AN152" s="51">
        <f t="shared" si="65"/>
        <v>0</v>
      </c>
      <c r="AO152" s="139">
        <f t="shared" si="66"/>
        <v>0</v>
      </c>
      <c r="AP152" s="78">
        <f t="shared" si="67"/>
        <v>0</v>
      </c>
      <c r="AQ152" s="79">
        <f t="shared" si="68"/>
        <v>0</v>
      </c>
      <c r="AR152" s="138"/>
      <c r="AS152" s="52"/>
      <c r="AT152" s="52"/>
      <c r="AU152" s="109">
        <f t="shared" si="69"/>
        <v>0</v>
      </c>
      <c r="AV152" s="103">
        <f t="shared" si="70"/>
        <v>0</v>
      </c>
      <c r="AW152" s="104">
        <f t="shared" si="49"/>
        <v>0</v>
      </c>
      <c r="AX152" s="104">
        <f t="shared" si="50"/>
        <v>0</v>
      </c>
      <c r="AY152" s="104">
        <f t="shared" si="51"/>
        <v>0</v>
      </c>
      <c r="AZ152" s="104">
        <f t="shared" si="52"/>
        <v>0</v>
      </c>
      <c r="BA152" s="104">
        <f t="shared" si="53"/>
        <v>0</v>
      </c>
      <c r="BB152" s="106">
        <f t="shared" si="71"/>
        <v>0</v>
      </c>
      <c r="BC152" s="106">
        <f t="shared" si="54"/>
        <v>0</v>
      </c>
      <c r="BD152" s="106">
        <f t="shared" si="72"/>
        <v>0</v>
      </c>
      <c r="BE152" s="106">
        <f t="shared" si="55"/>
        <v>0</v>
      </c>
      <c r="BF152" s="106">
        <f t="shared" si="56"/>
        <v>0</v>
      </c>
      <c r="BG152" s="106">
        <f t="shared" si="57"/>
        <v>0</v>
      </c>
    </row>
    <row r="153" spans="1:59" s="53" customFormat="1" ht="50.1" customHeight="1">
      <c r="A153" s="141">
        <v>146</v>
      </c>
      <c r="B153" s="47"/>
      <c r="C153" s="20"/>
      <c r="D153" s="21"/>
      <c r="E153" s="23"/>
      <c r="F153" s="48"/>
      <c r="G153" s="48"/>
      <c r="H153" s="49"/>
      <c r="I153" s="49"/>
      <c r="J153" s="181"/>
      <c r="K153" s="87"/>
      <c r="L153" s="92"/>
      <c r="M153" s="94"/>
      <c r="N153" s="94"/>
      <c r="O153" s="93"/>
      <c r="P153" s="152"/>
      <c r="Q153" s="75"/>
      <c r="R153" s="221"/>
      <c r="S153" s="184"/>
      <c r="T153" s="50"/>
      <c r="U153" s="112">
        <f t="shared" si="58"/>
        <v>0</v>
      </c>
      <c r="V153" s="113" t="s">
        <v>3</v>
      </c>
      <c r="W153" s="114"/>
      <c r="X153" s="115" t="s">
        <v>3</v>
      </c>
      <c r="Y153" s="114"/>
      <c r="Z153" s="115" t="s">
        <v>4</v>
      </c>
      <c r="AA153" s="116">
        <f t="shared" si="59"/>
        <v>0</v>
      </c>
      <c r="AB153" s="117"/>
      <c r="AC153" s="118"/>
      <c r="AD153" s="119">
        <f t="shared" si="60"/>
        <v>0</v>
      </c>
      <c r="AE153" s="119">
        <f t="shared" si="61"/>
        <v>0</v>
      </c>
      <c r="AF153" s="120">
        <f t="shared" si="62"/>
        <v>0</v>
      </c>
      <c r="AG153" s="121"/>
      <c r="AH153" s="131">
        <f t="shared" si="63"/>
        <v>0</v>
      </c>
      <c r="AI153" s="198"/>
      <c r="AJ153" s="198"/>
      <c r="AK153" s="191">
        <f t="shared" si="64"/>
        <v>0</v>
      </c>
      <c r="AL153" s="122"/>
      <c r="AM153" s="115" t="s">
        <v>5</v>
      </c>
      <c r="AN153" s="51">
        <f t="shared" si="65"/>
        <v>0</v>
      </c>
      <c r="AO153" s="139">
        <f t="shared" si="66"/>
        <v>0</v>
      </c>
      <c r="AP153" s="78">
        <f t="shared" si="67"/>
        <v>0</v>
      </c>
      <c r="AQ153" s="79">
        <f t="shared" si="68"/>
        <v>0</v>
      </c>
      <c r="AR153" s="138"/>
      <c r="AS153" s="52"/>
      <c r="AT153" s="52"/>
      <c r="AU153" s="109">
        <f t="shared" si="69"/>
        <v>0</v>
      </c>
      <c r="AV153" s="103">
        <f t="shared" si="70"/>
        <v>0</v>
      </c>
      <c r="AW153" s="104">
        <f t="shared" si="49"/>
        <v>0</v>
      </c>
      <c r="AX153" s="104">
        <f t="shared" si="50"/>
        <v>0</v>
      </c>
      <c r="AY153" s="104">
        <f t="shared" si="51"/>
        <v>0</v>
      </c>
      <c r="AZ153" s="104">
        <f t="shared" si="52"/>
        <v>0</v>
      </c>
      <c r="BA153" s="104">
        <f t="shared" si="53"/>
        <v>0</v>
      </c>
      <c r="BB153" s="106">
        <f t="shared" si="71"/>
        <v>0</v>
      </c>
      <c r="BC153" s="106">
        <f t="shared" si="54"/>
        <v>0</v>
      </c>
      <c r="BD153" s="106">
        <f t="shared" si="72"/>
        <v>0</v>
      </c>
      <c r="BE153" s="106">
        <f t="shared" si="55"/>
        <v>0</v>
      </c>
      <c r="BF153" s="106">
        <f t="shared" si="56"/>
        <v>0</v>
      </c>
      <c r="BG153" s="106">
        <f t="shared" si="57"/>
        <v>0</v>
      </c>
    </row>
    <row r="154" spans="1:59" s="53" customFormat="1" ht="50.1" customHeight="1">
      <c r="A154" s="141">
        <v>147</v>
      </c>
      <c r="B154" s="47"/>
      <c r="C154" s="20"/>
      <c r="D154" s="21"/>
      <c r="E154" s="23"/>
      <c r="F154" s="48"/>
      <c r="G154" s="48"/>
      <c r="H154" s="49"/>
      <c r="I154" s="49"/>
      <c r="J154" s="181"/>
      <c r="K154" s="87"/>
      <c r="L154" s="92"/>
      <c r="M154" s="94"/>
      <c r="N154" s="94"/>
      <c r="O154" s="93"/>
      <c r="P154" s="152"/>
      <c r="Q154" s="75"/>
      <c r="R154" s="221"/>
      <c r="S154" s="178"/>
      <c r="T154" s="50"/>
      <c r="U154" s="112">
        <f t="shared" si="58"/>
        <v>0</v>
      </c>
      <c r="V154" s="113" t="s">
        <v>3</v>
      </c>
      <c r="W154" s="114"/>
      <c r="X154" s="115" t="s">
        <v>3</v>
      </c>
      <c r="Y154" s="114"/>
      <c r="Z154" s="115" t="s">
        <v>4</v>
      </c>
      <c r="AA154" s="116">
        <f t="shared" si="59"/>
        <v>0</v>
      </c>
      <c r="AB154" s="117"/>
      <c r="AC154" s="118"/>
      <c r="AD154" s="119">
        <f t="shared" si="60"/>
        <v>0</v>
      </c>
      <c r="AE154" s="119">
        <f t="shared" si="61"/>
        <v>0</v>
      </c>
      <c r="AF154" s="120">
        <f t="shared" si="62"/>
        <v>0</v>
      </c>
      <c r="AG154" s="121"/>
      <c r="AH154" s="131">
        <f t="shared" si="63"/>
        <v>0</v>
      </c>
      <c r="AI154" s="198"/>
      <c r="AJ154" s="198"/>
      <c r="AK154" s="191">
        <f t="shared" si="64"/>
        <v>0</v>
      </c>
      <c r="AL154" s="122"/>
      <c r="AM154" s="115" t="s">
        <v>5</v>
      </c>
      <c r="AN154" s="51">
        <f t="shared" si="65"/>
        <v>0</v>
      </c>
      <c r="AO154" s="139">
        <f t="shared" si="66"/>
        <v>0</v>
      </c>
      <c r="AP154" s="78">
        <f t="shared" si="67"/>
        <v>0</v>
      </c>
      <c r="AQ154" s="79">
        <f t="shared" si="68"/>
        <v>0</v>
      </c>
      <c r="AR154" s="138"/>
      <c r="AS154" s="52"/>
      <c r="AT154" s="52"/>
      <c r="AU154" s="109">
        <f t="shared" si="69"/>
        <v>0</v>
      </c>
      <c r="AV154" s="103">
        <f t="shared" si="70"/>
        <v>0</v>
      </c>
      <c r="AW154" s="104">
        <f t="shared" si="49"/>
        <v>0</v>
      </c>
      <c r="AX154" s="104">
        <f t="shared" si="50"/>
        <v>0</v>
      </c>
      <c r="AY154" s="104">
        <f t="shared" si="51"/>
        <v>0</v>
      </c>
      <c r="AZ154" s="104">
        <f t="shared" si="52"/>
        <v>0</v>
      </c>
      <c r="BA154" s="104">
        <f t="shared" si="53"/>
        <v>0</v>
      </c>
      <c r="BB154" s="106">
        <f t="shared" si="71"/>
        <v>0</v>
      </c>
      <c r="BC154" s="106">
        <f t="shared" si="54"/>
        <v>0</v>
      </c>
      <c r="BD154" s="106">
        <f t="shared" si="72"/>
        <v>0</v>
      </c>
      <c r="BE154" s="106">
        <f t="shared" si="55"/>
        <v>0</v>
      </c>
      <c r="BF154" s="106">
        <f t="shared" si="56"/>
        <v>0</v>
      </c>
      <c r="BG154" s="106">
        <f t="shared" si="57"/>
        <v>0</v>
      </c>
    </row>
    <row r="155" spans="1:59" s="53" customFormat="1" ht="50.1" customHeight="1">
      <c r="A155" s="141">
        <v>148</v>
      </c>
      <c r="B155" s="47"/>
      <c r="C155" s="20"/>
      <c r="D155" s="21"/>
      <c r="E155" s="23"/>
      <c r="F155" s="48"/>
      <c r="G155" s="48"/>
      <c r="H155" s="49"/>
      <c r="I155" s="49"/>
      <c r="J155" s="182"/>
      <c r="K155" s="88"/>
      <c r="L155" s="88"/>
      <c r="M155" s="96"/>
      <c r="N155" s="96"/>
      <c r="O155" s="88"/>
      <c r="P155" s="152"/>
      <c r="Q155" s="75"/>
      <c r="R155" s="221"/>
      <c r="S155" s="178"/>
      <c r="T155" s="50"/>
      <c r="U155" s="112">
        <f t="shared" si="58"/>
        <v>0</v>
      </c>
      <c r="V155" s="113" t="s">
        <v>3</v>
      </c>
      <c r="W155" s="114"/>
      <c r="X155" s="115" t="s">
        <v>3</v>
      </c>
      <c r="Y155" s="114"/>
      <c r="Z155" s="115" t="s">
        <v>4</v>
      </c>
      <c r="AA155" s="116">
        <f t="shared" si="59"/>
        <v>0</v>
      </c>
      <c r="AB155" s="117"/>
      <c r="AC155" s="118"/>
      <c r="AD155" s="119">
        <f t="shared" si="60"/>
        <v>0</v>
      </c>
      <c r="AE155" s="119">
        <f t="shared" si="61"/>
        <v>0</v>
      </c>
      <c r="AF155" s="120">
        <f t="shared" si="62"/>
        <v>0</v>
      </c>
      <c r="AG155" s="121"/>
      <c r="AH155" s="131">
        <f t="shared" si="63"/>
        <v>0</v>
      </c>
      <c r="AI155" s="198"/>
      <c r="AJ155" s="198"/>
      <c r="AK155" s="191">
        <f t="shared" si="64"/>
        <v>0</v>
      </c>
      <c r="AL155" s="122"/>
      <c r="AM155" s="115" t="s">
        <v>5</v>
      </c>
      <c r="AN155" s="51">
        <f t="shared" si="65"/>
        <v>0</v>
      </c>
      <c r="AO155" s="139">
        <f t="shared" si="66"/>
        <v>0</v>
      </c>
      <c r="AP155" s="78">
        <f t="shared" si="67"/>
        <v>0</v>
      </c>
      <c r="AQ155" s="79">
        <f t="shared" si="68"/>
        <v>0</v>
      </c>
      <c r="AR155" s="138"/>
      <c r="AS155" s="52"/>
      <c r="AT155" s="52"/>
      <c r="AU155" s="109">
        <f t="shared" si="69"/>
        <v>0</v>
      </c>
      <c r="AV155" s="103">
        <f t="shared" si="70"/>
        <v>0</v>
      </c>
      <c r="AW155" s="104">
        <f t="shared" si="49"/>
        <v>0</v>
      </c>
      <c r="AX155" s="104">
        <f t="shared" si="50"/>
        <v>0</v>
      </c>
      <c r="AY155" s="104">
        <f t="shared" si="51"/>
        <v>0</v>
      </c>
      <c r="AZ155" s="104">
        <f t="shared" si="52"/>
        <v>0</v>
      </c>
      <c r="BA155" s="104">
        <f t="shared" si="53"/>
        <v>0</v>
      </c>
      <c r="BB155" s="106">
        <f t="shared" si="71"/>
        <v>0</v>
      </c>
      <c r="BC155" s="106">
        <f t="shared" si="54"/>
        <v>0</v>
      </c>
      <c r="BD155" s="106">
        <f t="shared" si="72"/>
        <v>0</v>
      </c>
      <c r="BE155" s="106">
        <f t="shared" si="55"/>
        <v>0</v>
      </c>
      <c r="BF155" s="106">
        <f t="shared" si="56"/>
        <v>0</v>
      </c>
      <c r="BG155" s="106">
        <f t="shared" si="57"/>
        <v>0</v>
      </c>
    </row>
    <row r="156" spans="1:59" s="53" customFormat="1" ht="50.1" customHeight="1">
      <c r="A156" s="141">
        <v>149</v>
      </c>
      <c r="B156" s="47"/>
      <c r="C156" s="20"/>
      <c r="D156" s="21"/>
      <c r="E156" s="23"/>
      <c r="F156" s="48"/>
      <c r="G156" s="48"/>
      <c r="H156" s="49"/>
      <c r="I156" s="49"/>
      <c r="J156" s="181"/>
      <c r="K156" s="87"/>
      <c r="L156" s="92"/>
      <c r="M156" s="94"/>
      <c r="N156" s="94"/>
      <c r="O156" s="93"/>
      <c r="P156" s="152"/>
      <c r="Q156" s="75"/>
      <c r="R156" s="221"/>
      <c r="S156" s="178"/>
      <c r="T156" s="50"/>
      <c r="U156" s="112">
        <f t="shared" si="58"/>
        <v>0</v>
      </c>
      <c r="V156" s="113" t="s">
        <v>3</v>
      </c>
      <c r="W156" s="114"/>
      <c r="X156" s="115" t="s">
        <v>3</v>
      </c>
      <c r="Y156" s="114"/>
      <c r="Z156" s="115" t="s">
        <v>4</v>
      </c>
      <c r="AA156" s="116">
        <f t="shared" si="59"/>
        <v>0</v>
      </c>
      <c r="AB156" s="117"/>
      <c r="AC156" s="118"/>
      <c r="AD156" s="119">
        <f t="shared" si="60"/>
        <v>0</v>
      </c>
      <c r="AE156" s="119">
        <f t="shared" si="61"/>
        <v>0</v>
      </c>
      <c r="AF156" s="120">
        <f t="shared" si="62"/>
        <v>0</v>
      </c>
      <c r="AG156" s="121"/>
      <c r="AH156" s="131">
        <f t="shared" si="63"/>
        <v>0</v>
      </c>
      <c r="AI156" s="198"/>
      <c r="AJ156" s="198"/>
      <c r="AK156" s="191">
        <f t="shared" si="64"/>
        <v>0</v>
      </c>
      <c r="AL156" s="122"/>
      <c r="AM156" s="115" t="s">
        <v>5</v>
      </c>
      <c r="AN156" s="51">
        <f t="shared" si="65"/>
        <v>0</v>
      </c>
      <c r="AO156" s="139">
        <f t="shared" si="66"/>
        <v>0</v>
      </c>
      <c r="AP156" s="78">
        <f t="shared" si="67"/>
        <v>0</v>
      </c>
      <c r="AQ156" s="79">
        <f t="shared" si="68"/>
        <v>0</v>
      </c>
      <c r="AR156" s="138"/>
      <c r="AS156" s="52"/>
      <c r="AT156" s="52"/>
      <c r="AU156" s="109">
        <f t="shared" si="69"/>
        <v>0</v>
      </c>
      <c r="AV156" s="103">
        <f t="shared" si="70"/>
        <v>0</v>
      </c>
      <c r="AW156" s="104">
        <f t="shared" si="49"/>
        <v>0</v>
      </c>
      <c r="AX156" s="104">
        <f t="shared" si="50"/>
        <v>0</v>
      </c>
      <c r="AY156" s="104">
        <f t="shared" si="51"/>
        <v>0</v>
      </c>
      <c r="AZ156" s="104">
        <f t="shared" si="52"/>
        <v>0</v>
      </c>
      <c r="BA156" s="104">
        <f t="shared" si="53"/>
        <v>0</v>
      </c>
      <c r="BB156" s="106">
        <f t="shared" si="71"/>
        <v>0</v>
      </c>
      <c r="BC156" s="106">
        <f t="shared" si="54"/>
        <v>0</v>
      </c>
      <c r="BD156" s="106">
        <f t="shared" si="72"/>
        <v>0</v>
      </c>
      <c r="BE156" s="106">
        <f t="shared" si="55"/>
        <v>0</v>
      </c>
      <c r="BF156" s="106">
        <f t="shared" si="56"/>
        <v>0</v>
      </c>
      <c r="BG156" s="106">
        <f t="shared" si="57"/>
        <v>0</v>
      </c>
    </row>
    <row r="157" spans="1:59" s="53" customFormat="1" ht="50.1" customHeight="1">
      <c r="A157" s="141">
        <v>150</v>
      </c>
      <c r="B157" s="47"/>
      <c r="C157" s="20"/>
      <c r="D157" s="21"/>
      <c r="E157" s="23"/>
      <c r="F157" s="48"/>
      <c r="G157" s="48"/>
      <c r="H157" s="49"/>
      <c r="I157" s="49"/>
      <c r="J157" s="181"/>
      <c r="K157" s="87"/>
      <c r="L157" s="92"/>
      <c r="M157" s="94"/>
      <c r="N157" s="94"/>
      <c r="O157" s="93"/>
      <c r="P157" s="152"/>
      <c r="Q157" s="183"/>
      <c r="R157" s="221"/>
      <c r="S157" s="211"/>
      <c r="T157" s="50"/>
      <c r="U157" s="112">
        <f t="shared" si="58"/>
        <v>0</v>
      </c>
      <c r="V157" s="113" t="s">
        <v>3</v>
      </c>
      <c r="W157" s="114"/>
      <c r="X157" s="115" t="s">
        <v>3</v>
      </c>
      <c r="Y157" s="114"/>
      <c r="Z157" s="115" t="s">
        <v>4</v>
      </c>
      <c r="AA157" s="116">
        <f t="shared" si="59"/>
        <v>0</v>
      </c>
      <c r="AB157" s="117"/>
      <c r="AC157" s="118"/>
      <c r="AD157" s="119">
        <f t="shared" si="60"/>
        <v>0</v>
      </c>
      <c r="AE157" s="119">
        <f t="shared" si="61"/>
        <v>0</v>
      </c>
      <c r="AF157" s="120">
        <f t="shared" si="62"/>
        <v>0</v>
      </c>
      <c r="AG157" s="121"/>
      <c r="AH157" s="131">
        <f t="shared" si="63"/>
        <v>0</v>
      </c>
      <c r="AI157" s="198"/>
      <c r="AJ157" s="198"/>
      <c r="AK157" s="191">
        <f t="shared" si="64"/>
        <v>0</v>
      </c>
      <c r="AL157" s="122"/>
      <c r="AM157" s="115" t="s">
        <v>5</v>
      </c>
      <c r="AN157" s="51">
        <f t="shared" si="65"/>
        <v>0</v>
      </c>
      <c r="AO157" s="139">
        <f t="shared" si="66"/>
        <v>0</v>
      </c>
      <c r="AP157" s="78">
        <f t="shared" si="67"/>
        <v>0</v>
      </c>
      <c r="AQ157" s="79">
        <f t="shared" si="68"/>
        <v>0</v>
      </c>
      <c r="AR157" s="138"/>
      <c r="AS157" s="52"/>
      <c r="AT157" s="52"/>
      <c r="AU157" s="109">
        <f t="shared" si="69"/>
        <v>0</v>
      </c>
      <c r="AV157" s="103">
        <f t="shared" si="70"/>
        <v>0</v>
      </c>
      <c r="AW157" s="104">
        <f t="shared" si="49"/>
        <v>0</v>
      </c>
      <c r="AX157" s="104">
        <f t="shared" si="50"/>
        <v>0</v>
      </c>
      <c r="AY157" s="104">
        <f t="shared" si="51"/>
        <v>0</v>
      </c>
      <c r="AZ157" s="104">
        <f t="shared" si="52"/>
        <v>0</v>
      </c>
      <c r="BA157" s="104">
        <f t="shared" si="53"/>
        <v>0</v>
      </c>
      <c r="BB157" s="106">
        <f t="shared" si="71"/>
        <v>0</v>
      </c>
      <c r="BC157" s="106">
        <f t="shared" si="54"/>
        <v>0</v>
      </c>
      <c r="BD157" s="106">
        <f t="shared" si="72"/>
        <v>0</v>
      </c>
      <c r="BE157" s="106">
        <f t="shared" si="55"/>
        <v>0</v>
      </c>
      <c r="BF157" s="106">
        <f t="shared" si="56"/>
        <v>0</v>
      </c>
      <c r="BG157" s="106">
        <f t="shared" si="57"/>
        <v>0</v>
      </c>
    </row>
    <row r="158" spans="1:59" s="53" customFormat="1" ht="50.1" customHeight="1">
      <c r="A158" s="141">
        <v>151</v>
      </c>
      <c r="B158" s="47"/>
      <c r="C158" s="20"/>
      <c r="D158" s="21"/>
      <c r="E158" s="23"/>
      <c r="F158" s="48"/>
      <c r="G158" s="48"/>
      <c r="H158" s="49"/>
      <c r="I158" s="49"/>
      <c r="J158" s="182"/>
      <c r="K158" s="88"/>
      <c r="L158" s="88"/>
      <c r="M158" s="96"/>
      <c r="N158" s="96"/>
      <c r="O158" s="88"/>
      <c r="P158" s="152"/>
      <c r="Q158" s="183"/>
      <c r="R158" s="221"/>
      <c r="S158" s="211"/>
      <c r="T158" s="50"/>
      <c r="U158" s="112">
        <f t="shared" si="58"/>
        <v>0</v>
      </c>
      <c r="V158" s="113" t="s">
        <v>3</v>
      </c>
      <c r="W158" s="114"/>
      <c r="X158" s="115" t="s">
        <v>3</v>
      </c>
      <c r="Y158" s="114"/>
      <c r="Z158" s="115" t="s">
        <v>4</v>
      </c>
      <c r="AA158" s="116">
        <f t="shared" si="59"/>
        <v>0</v>
      </c>
      <c r="AB158" s="117"/>
      <c r="AC158" s="118"/>
      <c r="AD158" s="119">
        <f t="shared" si="60"/>
        <v>0</v>
      </c>
      <c r="AE158" s="119">
        <f t="shared" si="61"/>
        <v>0</v>
      </c>
      <c r="AF158" s="120">
        <f t="shared" si="62"/>
        <v>0</v>
      </c>
      <c r="AG158" s="121"/>
      <c r="AH158" s="131">
        <f t="shared" si="63"/>
        <v>0</v>
      </c>
      <c r="AI158" s="198"/>
      <c r="AJ158" s="198"/>
      <c r="AK158" s="191">
        <f t="shared" si="64"/>
        <v>0</v>
      </c>
      <c r="AL158" s="122"/>
      <c r="AM158" s="115" t="s">
        <v>5</v>
      </c>
      <c r="AN158" s="51">
        <f t="shared" si="65"/>
        <v>0</v>
      </c>
      <c r="AO158" s="139">
        <f t="shared" si="66"/>
        <v>0</v>
      </c>
      <c r="AP158" s="78">
        <f t="shared" si="67"/>
        <v>0</v>
      </c>
      <c r="AQ158" s="79">
        <f t="shared" si="68"/>
        <v>0</v>
      </c>
      <c r="AR158" s="138"/>
      <c r="AS158" s="52"/>
      <c r="AT158" s="52"/>
      <c r="AU158" s="109">
        <f t="shared" si="69"/>
        <v>0</v>
      </c>
      <c r="AV158" s="103">
        <f t="shared" si="70"/>
        <v>0</v>
      </c>
      <c r="AW158" s="104">
        <f t="shared" si="49"/>
        <v>0</v>
      </c>
      <c r="AX158" s="104">
        <f t="shared" si="50"/>
        <v>0</v>
      </c>
      <c r="AY158" s="104">
        <f t="shared" si="51"/>
        <v>0</v>
      </c>
      <c r="AZ158" s="104">
        <f t="shared" si="52"/>
        <v>0</v>
      </c>
      <c r="BA158" s="104">
        <f t="shared" si="53"/>
        <v>0</v>
      </c>
      <c r="BB158" s="106">
        <f t="shared" si="71"/>
        <v>0</v>
      </c>
      <c r="BC158" s="106">
        <f t="shared" si="54"/>
        <v>0</v>
      </c>
      <c r="BD158" s="106">
        <f t="shared" si="72"/>
        <v>0</v>
      </c>
      <c r="BE158" s="106">
        <f t="shared" si="55"/>
        <v>0</v>
      </c>
      <c r="BF158" s="106">
        <f t="shared" si="56"/>
        <v>0</v>
      </c>
      <c r="BG158" s="106">
        <f t="shared" si="57"/>
        <v>0</v>
      </c>
    </row>
    <row r="159" spans="1:59" s="53" customFormat="1" ht="50.1" customHeight="1">
      <c r="A159" s="141">
        <v>152</v>
      </c>
      <c r="B159" s="47"/>
      <c r="C159" s="20"/>
      <c r="D159" s="21"/>
      <c r="E159" s="23"/>
      <c r="F159" s="48"/>
      <c r="G159" s="48"/>
      <c r="H159" s="49"/>
      <c r="I159" s="49"/>
      <c r="J159" s="181"/>
      <c r="K159" s="87"/>
      <c r="L159" s="92"/>
      <c r="M159" s="94"/>
      <c r="N159" s="94"/>
      <c r="O159" s="93"/>
      <c r="P159" s="152"/>
      <c r="Q159" s="183"/>
      <c r="R159" s="221"/>
      <c r="S159" s="211"/>
      <c r="T159" s="50"/>
      <c r="U159" s="112">
        <f t="shared" si="58"/>
        <v>0</v>
      </c>
      <c r="V159" s="113" t="s">
        <v>3</v>
      </c>
      <c r="W159" s="114"/>
      <c r="X159" s="115" t="s">
        <v>3</v>
      </c>
      <c r="Y159" s="114"/>
      <c r="Z159" s="115" t="s">
        <v>4</v>
      </c>
      <c r="AA159" s="116">
        <f t="shared" si="59"/>
        <v>0</v>
      </c>
      <c r="AB159" s="117"/>
      <c r="AC159" s="118"/>
      <c r="AD159" s="119">
        <f t="shared" si="60"/>
        <v>0</v>
      </c>
      <c r="AE159" s="119">
        <f t="shared" si="61"/>
        <v>0</v>
      </c>
      <c r="AF159" s="120">
        <f t="shared" si="62"/>
        <v>0</v>
      </c>
      <c r="AG159" s="121"/>
      <c r="AH159" s="131">
        <f t="shared" si="63"/>
        <v>0</v>
      </c>
      <c r="AI159" s="198"/>
      <c r="AJ159" s="198"/>
      <c r="AK159" s="191">
        <f t="shared" si="64"/>
        <v>0</v>
      </c>
      <c r="AL159" s="122"/>
      <c r="AM159" s="115" t="s">
        <v>5</v>
      </c>
      <c r="AN159" s="51">
        <f t="shared" si="65"/>
        <v>0</v>
      </c>
      <c r="AO159" s="139">
        <f t="shared" si="66"/>
        <v>0</v>
      </c>
      <c r="AP159" s="78">
        <f t="shared" si="67"/>
        <v>0</v>
      </c>
      <c r="AQ159" s="79">
        <f t="shared" si="68"/>
        <v>0</v>
      </c>
      <c r="AR159" s="138"/>
      <c r="AS159" s="52"/>
      <c r="AT159" s="52"/>
      <c r="AU159" s="109">
        <f t="shared" si="69"/>
        <v>0</v>
      </c>
      <c r="AV159" s="103">
        <f t="shared" si="70"/>
        <v>0</v>
      </c>
      <c r="AW159" s="104">
        <f t="shared" si="49"/>
        <v>0</v>
      </c>
      <c r="AX159" s="104">
        <f t="shared" si="50"/>
        <v>0</v>
      </c>
      <c r="AY159" s="104">
        <f t="shared" si="51"/>
        <v>0</v>
      </c>
      <c r="AZ159" s="104">
        <f t="shared" si="52"/>
        <v>0</v>
      </c>
      <c r="BA159" s="104">
        <f t="shared" si="53"/>
        <v>0</v>
      </c>
      <c r="BB159" s="106">
        <f t="shared" si="71"/>
        <v>0</v>
      </c>
      <c r="BC159" s="106">
        <f t="shared" si="54"/>
        <v>0</v>
      </c>
      <c r="BD159" s="106">
        <f t="shared" si="72"/>
        <v>0</v>
      </c>
      <c r="BE159" s="106">
        <f t="shared" si="55"/>
        <v>0</v>
      </c>
      <c r="BF159" s="106">
        <f t="shared" si="56"/>
        <v>0</v>
      </c>
      <c r="BG159" s="106">
        <f t="shared" si="57"/>
        <v>0</v>
      </c>
    </row>
    <row r="160" spans="1:59" s="53" customFormat="1" ht="50.1" customHeight="1">
      <c r="A160" s="141">
        <v>153</v>
      </c>
      <c r="B160" s="47"/>
      <c r="C160" s="20"/>
      <c r="D160" s="21"/>
      <c r="E160" s="23"/>
      <c r="F160" s="48"/>
      <c r="G160" s="48"/>
      <c r="H160" s="49"/>
      <c r="I160" s="49"/>
      <c r="J160" s="181"/>
      <c r="K160" s="87"/>
      <c r="L160" s="92"/>
      <c r="M160" s="94"/>
      <c r="N160" s="94"/>
      <c r="O160" s="93"/>
      <c r="P160" s="152"/>
      <c r="Q160" s="75"/>
      <c r="R160" s="221"/>
      <c r="S160" s="184"/>
      <c r="T160" s="50"/>
      <c r="U160" s="112">
        <f t="shared" si="58"/>
        <v>0</v>
      </c>
      <c r="V160" s="113" t="s">
        <v>3</v>
      </c>
      <c r="W160" s="114"/>
      <c r="X160" s="115" t="s">
        <v>3</v>
      </c>
      <c r="Y160" s="114"/>
      <c r="Z160" s="115" t="s">
        <v>4</v>
      </c>
      <c r="AA160" s="116">
        <f t="shared" si="59"/>
        <v>0</v>
      </c>
      <c r="AB160" s="117"/>
      <c r="AC160" s="118"/>
      <c r="AD160" s="119">
        <f t="shared" si="60"/>
        <v>0</v>
      </c>
      <c r="AE160" s="119">
        <f t="shared" si="61"/>
        <v>0</v>
      </c>
      <c r="AF160" s="120">
        <f t="shared" si="62"/>
        <v>0</v>
      </c>
      <c r="AG160" s="121"/>
      <c r="AH160" s="131">
        <f t="shared" si="63"/>
        <v>0</v>
      </c>
      <c r="AI160" s="198"/>
      <c r="AJ160" s="198"/>
      <c r="AK160" s="191">
        <f t="shared" si="64"/>
        <v>0</v>
      </c>
      <c r="AL160" s="122"/>
      <c r="AM160" s="115" t="s">
        <v>5</v>
      </c>
      <c r="AN160" s="51">
        <f t="shared" si="65"/>
        <v>0</v>
      </c>
      <c r="AO160" s="139">
        <f t="shared" si="66"/>
        <v>0</v>
      </c>
      <c r="AP160" s="78">
        <f t="shared" si="67"/>
        <v>0</v>
      </c>
      <c r="AQ160" s="79">
        <f t="shared" si="68"/>
        <v>0</v>
      </c>
      <c r="AR160" s="138"/>
      <c r="AS160" s="52"/>
      <c r="AT160" s="52"/>
      <c r="AU160" s="109">
        <f t="shared" si="69"/>
        <v>0</v>
      </c>
      <c r="AV160" s="103">
        <f t="shared" si="70"/>
        <v>0</v>
      </c>
      <c r="AW160" s="104">
        <f t="shared" si="49"/>
        <v>0</v>
      </c>
      <c r="AX160" s="104">
        <f t="shared" si="50"/>
        <v>0</v>
      </c>
      <c r="AY160" s="104">
        <f t="shared" si="51"/>
        <v>0</v>
      </c>
      <c r="AZ160" s="104">
        <f t="shared" si="52"/>
        <v>0</v>
      </c>
      <c r="BA160" s="104">
        <f t="shared" si="53"/>
        <v>0</v>
      </c>
      <c r="BB160" s="106">
        <f t="shared" si="71"/>
        <v>0</v>
      </c>
      <c r="BC160" s="106">
        <f t="shared" si="54"/>
        <v>0</v>
      </c>
      <c r="BD160" s="106">
        <f t="shared" si="72"/>
        <v>0</v>
      </c>
      <c r="BE160" s="106">
        <f t="shared" si="55"/>
        <v>0</v>
      </c>
      <c r="BF160" s="106">
        <f t="shared" si="56"/>
        <v>0</v>
      </c>
      <c r="BG160" s="106">
        <f t="shared" si="57"/>
        <v>0</v>
      </c>
    </row>
    <row r="161" spans="1:59" s="53" customFormat="1" ht="50.1" customHeight="1">
      <c r="A161" s="141">
        <v>154</v>
      </c>
      <c r="B161" s="47"/>
      <c r="C161" s="20"/>
      <c r="D161" s="21"/>
      <c r="E161" s="23"/>
      <c r="F161" s="48"/>
      <c r="G161" s="48"/>
      <c r="H161" s="49"/>
      <c r="I161" s="49"/>
      <c r="J161" s="182"/>
      <c r="K161" s="88"/>
      <c r="L161" s="88"/>
      <c r="M161" s="96"/>
      <c r="N161" s="96"/>
      <c r="O161" s="88"/>
      <c r="P161" s="152"/>
      <c r="Q161" s="75"/>
      <c r="R161" s="221"/>
      <c r="S161" s="184"/>
      <c r="T161" s="50"/>
      <c r="U161" s="112">
        <f t="shared" si="58"/>
        <v>0</v>
      </c>
      <c r="V161" s="113" t="s">
        <v>3</v>
      </c>
      <c r="W161" s="114"/>
      <c r="X161" s="115" t="s">
        <v>3</v>
      </c>
      <c r="Y161" s="114"/>
      <c r="Z161" s="115" t="s">
        <v>4</v>
      </c>
      <c r="AA161" s="116">
        <f t="shared" si="59"/>
        <v>0</v>
      </c>
      <c r="AB161" s="117"/>
      <c r="AC161" s="118"/>
      <c r="AD161" s="119">
        <f t="shared" si="60"/>
        <v>0</v>
      </c>
      <c r="AE161" s="119">
        <f t="shared" si="61"/>
        <v>0</v>
      </c>
      <c r="AF161" s="120">
        <f t="shared" si="62"/>
        <v>0</v>
      </c>
      <c r="AG161" s="121"/>
      <c r="AH161" s="131">
        <f t="shared" si="63"/>
        <v>0</v>
      </c>
      <c r="AI161" s="198"/>
      <c r="AJ161" s="198"/>
      <c r="AK161" s="191">
        <f t="shared" si="64"/>
        <v>0</v>
      </c>
      <c r="AL161" s="122"/>
      <c r="AM161" s="115" t="s">
        <v>5</v>
      </c>
      <c r="AN161" s="51">
        <f t="shared" si="65"/>
        <v>0</v>
      </c>
      <c r="AO161" s="139">
        <f t="shared" si="66"/>
        <v>0</v>
      </c>
      <c r="AP161" s="78">
        <f t="shared" si="67"/>
        <v>0</v>
      </c>
      <c r="AQ161" s="79">
        <f t="shared" si="68"/>
        <v>0</v>
      </c>
      <c r="AR161" s="138"/>
      <c r="AS161" s="52"/>
      <c r="AT161" s="52"/>
      <c r="AU161" s="109">
        <f t="shared" si="69"/>
        <v>0</v>
      </c>
      <c r="AV161" s="103">
        <f t="shared" si="70"/>
        <v>0</v>
      </c>
      <c r="AW161" s="104">
        <f t="shared" si="49"/>
        <v>0</v>
      </c>
      <c r="AX161" s="104">
        <f t="shared" si="50"/>
        <v>0</v>
      </c>
      <c r="AY161" s="104">
        <f t="shared" si="51"/>
        <v>0</v>
      </c>
      <c r="AZ161" s="104">
        <f t="shared" si="52"/>
        <v>0</v>
      </c>
      <c r="BA161" s="104">
        <f t="shared" si="53"/>
        <v>0</v>
      </c>
      <c r="BB161" s="106">
        <f t="shared" si="71"/>
        <v>0</v>
      </c>
      <c r="BC161" s="106">
        <f t="shared" si="54"/>
        <v>0</v>
      </c>
      <c r="BD161" s="106">
        <f t="shared" si="72"/>
        <v>0</v>
      </c>
      <c r="BE161" s="106">
        <f t="shared" si="55"/>
        <v>0</v>
      </c>
      <c r="BF161" s="106">
        <f t="shared" si="56"/>
        <v>0</v>
      </c>
      <c r="BG161" s="106">
        <f t="shared" si="57"/>
        <v>0</v>
      </c>
    </row>
    <row r="162" spans="1:59" s="53" customFormat="1" ht="50.1" customHeight="1">
      <c r="A162" s="141">
        <v>155</v>
      </c>
      <c r="B162" s="47"/>
      <c r="C162" s="20"/>
      <c r="D162" s="21"/>
      <c r="E162" s="23"/>
      <c r="F162" s="48"/>
      <c r="G162" s="48"/>
      <c r="H162" s="49"/>
      <c r="I162" s="49"/>
      <c r="J162" s="181"/>
      <c r="K162" s="173"/>
      <c r="L162" s="174"/>
      <c r="M162" s="175"/>
      <c r="N162" s="175"/>
      <c r="O162" s="176"/>
      <c r="P162" s="187"/>
      <c r="Q162" s="177"/>
      <c r="R162" s="221"/>
      <c r="S162" s="184"/>
      <c r="T162" s="50"/>
      <c r="U162" s="112">
        <f t="shared" si="58"/>
        <v>0</v>
      </c>
      <c r="V162" s="113" t="s">
        <v>3</v>
      </c>
      <c r="W162" s="114"/>
      <c r="X162" s="115" t="s">
        <v>3</v>
      </c>
      <c r="Y162" s="114"/>
      <c r="Z162" s="115" t="s">
        <v>4</v>
      </c>
      <c r="AA162" s="116">
        <f t="shared" si="59"/>
        <v>0</v>
      </c>
      <c r="AB162" s="117"/>
      <c r="AC162" s="118"/>
      <c r="AD162" s="119">
        <f t="shared" si="60"/>
        <v>0</v>
      </c>
      <c r="AE162" s="119">
        <f t="shared" si="61"/>
        <v>0</v>
      </c>
      <c r="AF162" s="120">
        <f t="shared" si="62"/>
        <v>0</v>
      </c>
      <c r="AG162" s="121"/>
      <c r="AH162" s="131">
        <f t="shared" si="63"/>
        <v>0</v>
      </c>
      <c r="AI162" s="198"/>
      <c r="AJ162" s="198"/>
      <c r="AK162" s="191">
        <f t="shared" si="64"/>
        <v>0</v>
      </c>
      <c r="AL162" s="122"/>
      <c r="AM162" s="115" t="s">
        <v>5</v>
      </c>
      <c r="AN162" s="51">
        <f t="shared" si="65"/>
        <v>0</v>
      </c>
      <c r="AO162" s="139">
        <f t="shared" si="66"/>
        <v>0</v>
      </c>
      <c r="AP162" s="78">
        <f t="shared" si="67"/>
        <v>0</v>
      </c>
      <c r="AQ162" s="79">
        <f t="shared" si="68"/>
        <v>0</v>
      </c>
      <c r="AR162" s="138"/>
      <c r="AS162" s="52"/>
      <c r="AT162" s="52"/>
      <c r="AU162" s="109">
        <f t="shared" si="69"/>
        <v>0</v>
      </c>
      <c r="AV162" s="103">
        <f t="shared" si="70"/>
        <v>0</v>
      </c>
      <c r="AW162" s="104">
        <f t="shared" si="49"/>
        <v>0</v>
      </c>
      <c r="AX162" s="104">
        <f t="shared" si="50"/>
        <v>0</v>
      </c>
      <c r="AY162" s="104">
        <f t="shared" si="51"/>
        <v>0</v>
      </c>
      <c r="AZ162" s="104">
        <f t="shared" si="52"/>
        <v>0</v>
      </c>
      <c r="BA162" s="104">
        <f t="shared" si="53"/>
        <v>0</v>
      </c>
      <c r="BB162" s="106">
        <f t="shared" si="71"/>
        <v>0</v>
      </c>
      <c r="BC162" s="106">
        <f t="shared" si="54"/>
        <v>0</v>
      </c>
      <c r="BD162" s="106">
        <f t="shared" si="72"/>
        <v>0</v>
      </c>
      <c r="BE162" s="106">
        <f t="shared" si="55"/>
        <v>0</v>
      </c>
      <c r="BF162" s="106">
        <f t="shared" si="56"/>
        <v>0</v>
      </c>
      <c r="BG162" s="106">
        <f t="shared" si="57"/>
        <v>0</v>
      </c>
    </row>
    <row r="163" spans="1:59" s="53" customFormat="1" ht="50.1" customHeight="1">
      <c r="A163" s="141">
        <v>156</v>
      </c>
      <c r="B163" s="47"/>
      <c r="C163" s="20"/>
      <c r="D163" s="21"/>
      <c r="E163" s="23"/>
      <c r="F163" s="48"/>
      <c r="G163" s="48"/>
      <c r="H163" s="49"/>
      <c r="I163" s="49"/>
      <c r="J163" s="181"/>
      <c r="K163" s="87"/>
      <c r="L163" s="92"/>
      <c r="M163" s="94"/>
      <c r="N163" s="94"/>
      <c r="O163" s="93"/>
      <c r="P163" s="152"/>
      <c r="Q163" s="183"/>
      <c r="R163" s="221"/>
      <c r="S163" s="211"/>
      <c r="T163" s="50"/>
      <c r="U163" s="112">
        <f t="shared" si="58"/>
        <v>0</v>
      </c>
      <c r="V163" s="113" t="s">
        <v>3</v>
      </c>
      <c r="W163" s="114"/>
      <c r="X163" s="115" t="s">
        <v>3</v>
      </c>
      <c r="Y163" s="114"/>
      <c r="Z163" s="115" t="s">
        <v>4</v>
      </c>
      <c r="AA163" s="116">
        <f t="shared" si="59"/>
        <v>0</v>
      </c>
      <c r="AB163" s="117"/>
      <c r="AC163" s="118"/>
      <c r="AD163" s="119">
        <f t="shared" si="60"/>
        <v>0</v>
      </c>
      <c r="AE163" s="119">
        <f t="shared" si="61"/>
        <v>0</v>
      </c>
      <c r="AF163" s="120">
        <f t="shared" si="62"/>
        <v>0</v>
      </c>
      <c r="AG163" s="121"/>
      <c r="AH163" s="131">
        <f t="shared" si="63"/>
        <v>0</v>
      </c>
      <c r="AI163" s="198"/>
      <c r="AJ163" s="198"/>
      <c r="AK163" s="191">
        <f t="shared" si="64"/>
        <v>0</v>
      </c>
      <c r="AL163" s="122"/>
      <c r="AM163" s="115" t="s">
        <v>5</v>
      </c>
      <c r="AN163" s="51">
        <f t="shared" si="65"/>
        <v>0</v>
      </c>
      <c r="AO163" s="139">
        <f t="shared" si="66"/>
        <v>0</v>
      </c>
      <c r="AP163" s="78">
        <f t="shared" si="67"/>
        <v>0</v>
      </c>
      <c r="AQ163" s="79">
        <f t="shared" si="68"/>
        <v>0</v>
      </c>
      <c r="AR163" s="138"/>
      <c r="AS163" s="52"/>
      <c r="AT163" s="52"/>
      <c r="AU163" s="109">
        <f t="shared" si="69"/>
        <v>0</v>
      </c>
      <c r="AV163" s="103">
        <f t="shared" si="70"/>
        <v>0</v>
      </c>
      <c r="AW163" s="104">
        <f t="shared" si="49"/>
        <v>0</v>
      </c>
      <c r="AX163" s="104">
        <f t="shared" si="50"/>
        <v>0</v>
      </c>
      <c r="AY163" s="104">
        <f t="shared" si="51"/>
        <v>0</v>
      </c>
      <c r="AZ163" s="104">
        <f t="shared" si="52"/>
        <v>0</v>
      </c>
      <c r="BA163" s="104">
        <f t="shared" si="53"/>
        <v>0</v>
      </c>
      <c r="BB163" s="106">
        <f t="shared" si="71"/>
        <v>0</v>
      </c>
      <c r="BC163" s="106">
        <f t="shared" si="54"/>
        <v>0</v>
      </c>
      <c r="BD163" s="106">
        <f t="shared" si="72"/>
        <v>0</v>
      </c>
      <c r="BE163" s="106">
        <f t="shared" si="55"/>
        <v>0</v>
      </c>
      <c r="BF163" s="106">
        <f t="shared" si="56"/>
        <v>0</v>
      </c>
      <c r="BG163" s="106">
        <f t="shared" si="57"/>
        <v>0</v>
      </c>
    </row>
    <row r="164" spans="1:59" s="53" customFormat="1" ht="50.1" customHeight="1">
      <c r="A164" s="141">
        <v>157</v>
      </c>
      <c r="B164" s="47"/>
      <c r="C164" s="20"/>
      <c r="D164" s="21"/>
      <c r="E164" s="23"/>
      <c r="F164" s="48"/>
      <c r="G164" s="48"/>
      <c r="H164" s="49"/>
      <c r="I164" s="49"/>
      <c r="J164" s="182"/>
      <c r="K164" s="88"/>
      <c r="L164" s="88"/>
      <c r="M164" s="96"/>
      <c r="N164" s="96"/>
      <c r="O164" s="88"/>
      <c r="P164" s="152"/>
      <c r="Q164" s="183"/>
      <c r="R164" s="221"/>
      <c r="S164" s="211"/>
      <c r="T164" s="50"/>
      <c r="U164" s="112">
        <f t="shared" si="58"/>
        <v>0</v>
      </c>
      <c r="V164" s="113" t="s">
        <v>3</v>
      </c>
      <c r="W164" s="114"/>
      <c r="X164" s="115" t="s">
        <v>3</v>
      </c>
      <c r="Y164" s="114"/>
      <c r="Z164" s="115" t="s">
        <v>4</v>
      </c>
      <c r="AA164" s="116">
        <f t="shared" si="59"/>
        <v>0</v>
      </c>
      <c r="AB164" s="117"/>
      <c r="AC164" s="118"/>
      <c r="AD164" s="119">
        <f t="shared" si="60"/>
        <v>0</v>
      </c>
      <c r="AE164" s="119">
        <f t="shared" si="61"/>
        <v>0</v>
      </c>
      <c r="AF164" s="120">
        <f t="shared" si="62"/>
        <v>0</v>
      </c>
      <c r="AG164" s="121"/>
      <c r="AH164" s="131">
        <f t="shared" si="63"/>
        <v>0</v>
      </c>
      <c r="AI164" s="198"/>
      <c r="AJ164" s="198"/>
      <c r="AK164" s="191">
        <f t="shared" si="64"/>
        <v>0</v>
      </c>
      <c r="AL164" s="122"/>
      <c r="AM164" s="115" t="s">
        <v>5</v>
      </c>
      <c r="AN164" s="51">
        <f t="shared" si="65"/>
        <v>0</v>
      </c>
      <c r="AO164" s="139">
        <f t="shared" si="66"/>
        <v>0</v>
      </c>
      <c r="AP164" s="78">
        <f t="shared" si="67"/>
        <v>0</v>
      </c>
      <c r="AQ164" s="79">
        <f t="shared" si="68"/>
        <v>0</v>
      </c>
      <c r="AR164" s="138"/>
      <c r="AS164" s="52"/>
      <c r="AT164" s="52"/>
      <c r="AU164" s="109">
        <f t="shared" si="69"/>
        <v>0</v>
      </c>
      <c r="AV164" s="103">
        <f t="shared" si="70"/>
        <v>0</v>
      </c>
      <c r="AW164" s="104">
        <f t="shared" si="49"/>
        <v>0</v>
      </c>
      <c r="AX164" s="104">
        <f t="shared" si="50"/>
        <v>0</v>
      </c>
      <c r="AY164" s="104">
        <f t="shared" si="51"/>
        <v>0</v>
      </c>
      <c r="AZ164" s="104">
        <f t="shared" si="52"/>
        <v>0</v>
      </c>
      <c r="BA164" s="104">
        <f t="shared" si="53"/>
        <v>0</v>
      </c>
      <c r="BB164" s="106">
        <f t="shared" si="71"/>
        <v>0</v>
      </c>
      <c r="BC164" s="106">
        <f t="shared" si="54"/>
        <v>0</v>
      </c>
      <c r="BD164" s="106">
        <f t="shared" si="72"/>
        <v>0</v>
      </c>
      <c r="BE164" s="106">
        <f t="shared" si="55"/>
        <v>0</v>
      </c>
      <c r="BF164" s="106">
        <f t="shared" si="56"/>
        <v>0</v>
      </c>
      <c r="BG164" s="106">
        <f t="shared" si="57"/>
        <v>0</v>
      </c>
    </row>
    <row r="165" spans="1:59" s="53" customFormat="1" ht="50.1" customHeight="1">
      <c r="A165" s="141">
        <v>158</v>
      </c>
      <c r="B165" s="47"/>
      <c r="C165" s="20"/>
      <c r="D165" s="21"/>
      <c r="E165" s="23"/>
      <c r="F165" s="48"/>
      <c r="G165" s="48"/>
      <c r="H165" s="49"/>
      <c r="I165" s="49"/>
      <c r="J165" s="181"/>
      <c r="K165" s="87"/>
      <c r="L165" s="92"/>
      <c r="M165" s="94"/>
      <c r="N165" s="94"/>
      <c r="O165" s="93"/>
      <c r="P165" s="152"/>
      <c r="Q165" s="183"/>
      <c r="R165" s="221"/>
      <c r="S165" s="211"/>
      <c r="T165" s="50"/>
      <c r="U165" s="112">
        <f t="shared" si="58"/>
        <v>0</v>
      </c>
      <c r="V165" s="113" t="s">
        <v>3</v>
      </c>
      <c r="W165" s="114"/>
      <c r="X165" s="115" t="s">
        <v>3</v>
      </c>
      <c r="Y165" s="114"/>
      <c r="Z165" s="115" t="s">
        <v>4</v>
      </c>
      <c r="AA165" s="116">
        <f t="shared" si="59"/>
        <v>0</v>
      </c>
      <c r="AB165" s="117"/>
      <c r="AC165" s="118"/>
      <c r="AD165" s="119">
        <f t="shared" si="60"/>
        <v>0</v>
      </c>
      <c r="AE165" s="119">
        <f t="shared" si="61"/>
        <v>0</v>
      </c>
      <c r="AF165" s="120">
        <f t="shared" si="62"/>
        <v>0</v>
      </c>
      <c r="AG165" s="121"/>
      <c r="AH165" s="131">
        <f t="shared" si="63"/>
        <v>0</v>
      </c>
      <c r="AI165" s="198"/>
      <c r="AJ165" s="198"/>
      <c r="AK165" s="191">
        <f t="shared" si="64"/>
        <v>0</v>
      </c>
      <c r="AL165" s="122"/>
      <c r="AM165" s="115" t="s">
        <v>5</v>
      </c>
      <c r="AN165" s="51">
        <f t="shared" si="65"/>
        <v>0</v>
      </c>
      <c r="AO165" s="139">
        <f t="shared" si="66"/>
        <v>0</v>
      </c>
      <c r="AP165" s="78">
        <f t="shared" si="67"/>
        <v>0</v>
      </c>
      <c r="AQ165" s="79">
        <f t="shared" si="68"/>
        <v>0</v>
      </c>
      <c r="AR165" s="138"/>
      <c r="AS165" s="52"/>
      <c r="AT165" s="52"/>
      <c r="AU165" s="109">
        <f t="shared" si="69"/>
        <v>0</v>
      </c>
      <c r="AV165" s="103">
        <f t="shared" si="70"/>
        <v>0</v>
      </c>
      <c r="AW165" s="104">
        <f t="shared" si="49"/>
        <v>0</v>
      </c>
      <c r="AX165" s="104">
        <f t="shared" si="50"/>
        <v>0</v>
      </c>
      <c r="AY165" s="104">
        <f t="shared" si="51"/>
        <v>0</v>
      </c>
      <c r="AZ165" s="104">
        <f t="shared" si="52"/>
        <v>0</v>
      </c>
      <c r="BA165" s="104">
        <f t="shared" si="53"/>
        <v>0</v>
      </c>
      <c r="BB165" s="106">
        <f t="shared" si="71"/>
        <v>0</v>
      </c>
      <c r="BC165" s="106">
        <f t="shared" si="54"/>
        <v>0</v>
      </c>
      <c r="BD165" s="106">
        <f t="shared" si="72"/>
        <v>0</v>
      </c>
      <c r="BE165" s="106">
        <f t="shared" si="55"/>
        <v>0</v>
      </c>
      <c r="BF165" s="106">
        <f t="shared" si="56"/>
        <v>0</v>
      </c>
      <c r="BG165" s="106">
        <f t="shared" si="57"/>
        <v>0</v>
      </c>
    </row>
    <row r="166" spans="1:59" s="53" customFormat="1" ht="50.1" customHeight="1">
      <c r="A166" s="141">
        <v>159</v>
      </c>
      <c r="B166" s="47"/>
      <c r="C166" s="20"/>
      <c r="D166" s="21"/>
      <c r="E166" s="23"/>
      <c r="F166" s="48"/>
      <c r="G166" s="48"/>
      <c r="H166" s="49"/>
      <c r="I166" s="49"/>
      <c r="J166" s="181"/>
      <c r="K166" s="87"/>
      <c r="L166" s="92"/>
      <c r="M166" s="94"/>
      <c r="N166" s="94"/>
      <c r="O166" s="93"/>
      <c r="P166" s="152"/>
      <c r="Q166" s="183"/>
      <c r="R166" s="221"/>
      <c r="S166" s="211"/>
      <c r="T166" s="50"/>
      <c r="U166" s="112">
        <f t="shared" si="58"/>
        <v>0</v>
      </c>
      <c r="V166" s="113" t="s">
        <v>3</v>
      </c>
      <c r="W166" s="114"/>
      <c r="X166" s="115" t="s">
        <v>3</v>
      </c>
      <c r="Y166" s="114"/>
      <c r="Z166" s="115" t="s">
        <v>4</v>
      </c>
      <c r="AA166" s="116">
        <f t="shared" si="59"/>
        <v>0</v>
      </c>
      <c r="AB166" s="117"/>
      <c r="AC166" s="118"/>
      <c r="AD166" s="119">
        <f t="shared" si="60"/>
        <v>0</v>
      </c>
      <c r="AE166" s="119">
        <f t="shared" si="61"/>
        <v>0</v>
      </c>
      <c r="AF166" s="120">
        <f t="shared" si="62"/>
        <v>0</v>
      </c>
      <c r="AG166" s="121"/>
      <c r="AH166" s="131">
        <f t="shared" si="63"/>
        <v>0</v>
      </c>
      <c r="AI166" s="198"/>
      <c r="AJ166" s="198"/>
      <c r="AK166" s="191">
        <f t="shared" si="64"/>
        <v>0</v>
      </c>
      <c r="AL166" s="122"/>
      <c r="AM166" s="115" t="s">
        <v>5</v>
      </c>
      <c r="AN166" s="51">
        <f t="shared" si="65"/>
        <v>0</v>
      </c>
      <c r="AO166" s="139">
        <f t="shared" si="66"/>
        <v>0</v>
      </c>
      <c r="AP166" s="78">
        <f t="shared" si="67"/>
        <v>0</v>
      </c>
      <c r="AQ166" s="79">
        <f t="shared" si="68"/>
        <v>0</v>
      </c>
      <c r="AR166" s="138"/>
      <c r="AS166" s="52"/>
      <c r="AT166" s="52"/>
      <c r="AU166" s="109">
        <f t="shared" si="69"/>
        <v>0</v>
      </c>
      <c r="AV166" s="103">
        <f t="shared" si="70"/>
        <v>0</v>
      </c>
      <c r="AW166" s="104">
        <f t="shared" si="49"/>
        <v>0</v>
      </c>
      <c r="AX166" s="104">
        <f t="shared" si="50"/>
        <v>0</v>
      </c>
      <c r="AY166" s="104">
        <f t="shared" si="51"/>
        <v>0</v>
      </c>
      <c r="AZ166" s="104">
        <f t="shared" si="52"/>
        <v>0</v>
      </c>
      <c r="BA166" s="104">
        <f t="shared" si="53"/>
        <v>0</v>
      </c>
      <c r="BB166" s="106">
        <f t="shared" si="71"/>
        <v>0</v>
      </c>
      <c r="BC166" s="106">
        <f t="shared" si="54"/>
        <v>0</v>
      </c>
      <c r="BD166" s="106">
        <f t="shared" si="72"/>
        <v>0</v>
      </c>
      <c r="BE166" s="106">
        <f t="shared" si="55"/>
        <v>0</v>
      </c>
      <c r="BF166" s="106">
        <f t="shared" si="56"/>
        <v>0</v>
      </c>
      <c r="BG166" s="106">
        <f t="shared" si="57"/>
        <v>0</v>
      </c>
    </row>
    <row r="167" spans="1:59" s="53" customFormat="1" ht="50.1" customHeight="1">
      <c r="A167" s="141">
        <v>160</v>
      </c>
      <c r="B167" s="47"/>
      <c r="C167" s="20"/>
      <c r="D167" s="21"/>
      <c r="E167" s="23"/>
      <c r="F167" s="48"/>
      <c r="G167" s="48"/>
      <c r="H167" s="49"/>
      <c r="I167" s="49"/>
      <c r="J167" s="182"/>
      <c r="K167" s="88"/>
      <c r="L167" s="88"/>
      <c r="M167" s="96"/>
      <c r="N167" s="96"/>
      <c r="O167" s="88"/>
      <c r="P167" s="152"/>
      <c r="Q167" s="183"/>
      <c r="R167" s="221"/>
      <c r="S167" s="211"/>
      <c r="T167" s="50"/>
      <c r="U167" s="112">
        <f t="shared" si="58"/>
        <v>0</v>
      </c>
      <c r="V167" s="113" t="s">
        <v>3</v>
      </c>
      <c r="W167" s="114"/>
      <c r="X167" s="115" t="s">
        <v>3</v>
      </c>
      <c r="Y167" s="114"/>
      <c r="Z167" s="115" t="s">
        <v>4</v>
      </c>
      <c r="AA167" s="116">
        <f t="shared" si="59"/>
        <v>0</v>
      </c>
      <c r="AB167" s="117"/>
      <c r="AC167" s="118"/>
      <c r="AD167" s="119">
        <f t="shared" si="60"/>
        <v>0</v>
      </c>
      <c r="AE167" s="119">
        <f t="shared" si="61"/>
        <v>0</v>
      </c>
      <c r="AF167" s="120">
        <f t="shared" si="62"/>
        <v>0</v>
      </c>
      <c r="AG167" s="121"/>
      <c r="AH167" s="131">
        <f t="shared" si="63"/>
        <v>0</v>
      </c>
      <c r="AI167" s="198"/>
      <c r="AJ167" s="198"/>
      <c r="AK167" s="191">
        <f t="shared" si="64"/>
        <v>0</v>
      </c>
      <c r="AL167" s="122"/>
      <c r="AM167" s="115" t="s">
        <v>5</v>
      </c>
      <c r="AN167" s="51">
        <f t="shared" si="65"/>
        <v>0</v>
      </c>
      <c r="AO167" s="139">
        <f t="shared" si="66"/>
        <v>0</v>
      </c>
      <c r="AP167" s="78">
        <f t="shared" si="67"/>
        <v>0</v>
      </c>
      <c r="AQ167" s="79">
        <f t="shared" si="68"/>
        <v>0</v>
      </c>
      <c r="AR167" s="138"/>
      <c r="AS167" s="52"/>
      <c r="AT167" s="52"/>
      <c r="AU167" s="109">
        <f t="shared" si="69"/>
        <v>0</v>
      </c>
      <c r="AV167" s="103">
        <f t="shared" si="70"/>
        <v>0</v>
      </c>
      <c r="AW167" s="104">
        <f t="shared" si="49"/>
        <v>0</v>
      </c>
      <c r="AX167" s="104">
        <f t="shared" si="50"/>
        <v>0</v>
      </c>
      <c r="AY167" s="104">
        <f t="shared" si="51"/>
        <v>0</v>
      </c>
      <c r="AZ167" s="104">
        <f t="shared" si="52"/>
        <v>0</v>
      </c>
      <c r="BA167" s="104">
        <f t="shared" si="53"/>
        <v>0</v>
      </c>
      <c r="BB167" s="106">
        <f t="shared" si="71"/>
        <v>0</v>
      </c>
      <c r="BC167" s="106">
        <f t="shared" si="54"/>
        <v>0</v>
      </c>
      <c r="BD167" s="106">
        <f t="shared" si="72"/>
        <v>0</v>
      </c>
      <c r="BE167" s="106">
        <f t="shared" si="55"/>
        <v>0</v>
      </c>
      <c r="BF167" s="106">
        <f t="shared" si="56"/>
        <v>0</v>
      </c>
      <c r="BG167" s="106">
        <f t="shared" si="57"/>
        <v>0</v>
      </c>
    </row>
    <row r="168" spans="1:59" s="53" customFormat="1" ht="50.1" customHeight="1">
      <c r="A168" s="141">
        <v>161</v>
      </c>
      <c r="B168" s="47"/>
      <c r="C168" s="20"/>
      <c r="D168" s="21"/>
      <c r="E168" s="23"/>
      <c r="F168" s="48"/>
      <c r="G168" s="48"/>
      <c r="H168" s="49"/>
      <c r="I168" s="49"/>
      <c r="J168" s="181"/>
      <c r="K168" s="87"/>
      <c r="L168" s="92"/>
      <c r="M168" s="94"/>
      <c r="N168" s="94"/>
      <c r="O168" s="93"/>
      <c r="P168" s="152"/>
      <c r="Q168" s="75"/>
      <c r="R168" s="221"/>
      <c r="S168" s="184"/>
      <c r="T168" s="50"/>
      <c r="U168" s="112">
        <f t="shared" si="58"/>
        <v>0</v>
      </c>
      <c r="V168" s="113" t="s">
        <v>3</v>
      </c>
      <c r="W168" s="114"/>
      <c r="X168" s="115" t="s">
        <v>3</v>
      </c>
      <c r="Y168" s="114"/>
      <c r="Z168" s="115" t="s">
        <v>4</v>
      </c>
      <c r="AA168" s="116">
        <f t="shared" si="59"/>
        <v>0</v>
      </c>
      <c r="AB168" s="117"/>
      <c r="AC168" s="118"/>
      <c r="AD168" s="119">
        <f t="shared" si="60"/>
        <v>0</v>
      </c>
      <c r="AE168" s="119">
        <f t="shared" si="61"/>
        <v>0</v>
      </c>
      <c r="AF168" s="120">
        <f t="shared" si="62"/>
        <v>0</v>
      </c>
      <c r="AG168" s="121"/>
      <c r="AH168" s="131">
        <f t="shared" si="63"/>
        <v>0</v>
      </c>
      <c r="AI168" s="198"/>
      <c r="AJ168" s="198"/>
      <c r="AK168" s="191">
        <f t="shared" si="64"/>
        <v>0</v>
      </c>
      <c r="AL168" s="122"/>
      <c r="AM168" s="115" t="s">
        <v>5</v>
      </c>
      <c r="AN168" s="51">
        <f t="shared" si="65"/>
        <v>0</v>
      </c>
      <c r="AO168" s="139">
        <f t="shared" si="66"/>
        <v>0</v>
      </c>
      <c r="AP168" s="78">
        <f t="shared" si="67"/>
        <v>0</v>
      </c>
      <c r="AQ168" s="79">
        <f t="shared" si="68"/>
        <v>0</v>
      </c>
      <c r="AR168" s="138"/>
      <c r="AS168" s="52"/>
      <c r="AT168" s="52"/>
      <c r="AU168" s="109">
        <f t="shared" si="69"/>
        <v>0</v>
      </c>
      <c r="AV168" s="103">
        <f t="shared" si="70"/>
        <v>0</v>
      </c>
      <c r="AW168" s="104">
        <f t="shared" si="49"/>
        <v>0</v>
      </c>
      <c r="AX168" s="104">
        <f t="shared" si="50"/>
        <v>0</v>
      </c>
      <c r="AY168" s="104">
        <f t="shared" si="51"/>
        <v>0</v>
      </c>
      <c r="AZ168" s="104">
        <f t="shared" si="52"/>
        <v>0</v>
      </c>
      <c r="BA168" s="104">
        <f t="shared" si="53"/>
        <v>0</v>
      </c>
      <c r="BB168" s="106">
        <f t="shared" si="71"/>
        <v>0</v>
      </c>
      <c r="BC168" s="106">
        <f t="shared" si="54"/>
        <v>0</v>
      </c>
      <c r="BD168" s="106">
        <f t="shared" si="72"/>
        <v>0</v>
      </c>
      <c r="BE168" s="106">
        <f t="shared" si="55"/>
        <v>0</v>
      </c>
      <c r="BF168" s="106">
        <f t="shared" si="56"/>
        <v>0</v>
      </c>
      <c r="BG168" s="106">
        <f t="shared" si="57"/>
        <v>0</v>
      </c>
    </row>
    <row r="169" spans="1:59" s="53" customFormat="1" ht="50.1" customHeight="1">
      <c r="A169" s="141">
        <v>162</v>
      </c>
      <c r="B169" s="47"/>
      <c r="C169" s="20"/>
      <c r="D169" s="21"/>
      <c r="E169" s="23"/>
      <c r="F169" s="48"/>
      <c r="G169" s="48"/>
      <c r="H169" s="49"/>
      <c r="I169" s="49"/>
      <c r="J169" s="181"/>
      <c r="K169" s="87"/>
      <c r="L169" s="92"/>
      <c r="M169" s="94"/>
      <c r="N169" s="94"/>
      <c r="O169" s="93"/>
      <c r="P169" s="152"/>
      <c r="Q169" s="75"/>
      <c r="R169" s="221"/>
      <c r="S169" s="184"/>
      <c r="T169" s="50"/>
      <c r="U169" s="112">
        <f t="shared" si="58"/>
        <v>0</v>
      </c>
      <c r="V169" s="113" t="s">
        <v>3</v>
      </c>
      <c r="W169" s="114"/>
      <c r="X169" s="115" t="s">
        <v>3</v>
      </c>
      <c r="Y169" s="114"/>
      <c r="Z169" s="115" t="s">
        <v>4</v>
      </c>
      <c r="AA169" s="116">
        <f t="shared" si="59"/>
        <v>0</v>
      </c>
      <c r="AB169" s="117"/>
      <c r="AC169" s="118"/>
      <c r="AD169" s="119">
        <f t="shared" si="60"/>
        <v>0</v>
      </c>
      <c r="AE169" s="119">
        <f t="shared" si="61"/>
        <v>0</v>
      </c>
      <c r="AF169" s="120">
        <f t="shared" si="62"/>
        <v>0</v>
      </c>
      <c r="AG169" s="121"/>
      <c r="AH169" s="131">
        <f t="shared" si="63"/>
        <v>0</v>
      </c>
      <c r="AI169" s="198"/>
      <c r="AJ169" s="198"/>
      <c r="AK169" s="191">
        <f t="shared" si="64"/>
        <v>0</v>
      </c>
      <c r="AL169" s="122"/>
      <c r="AM169" s="115" t="s">
        <v>5</v>
      </c>
      <c r="AN169" s="51">
        <f t="shared" si="65"/>
        <v>0</v>
      </c>
      <c r="AO169" s="139">
        <f t="shared" si="66"/>
        <v>0</v>
      </c>
      <c r="AP169" s="78">
        <f t="shared" si="67"/>
        <v>0</v>
      </c>
      <c r="AQ169" s="79">
        <f t="shared" si="68"/>
        <v>0</v>
      </c>
      <c r="AR169" s="138"/>
      <c r="AS169" s="52"/>
      <c r="AT169" s="52"/>
      <c r="AU169" s="109">
        <f t="shared" si="69"/>
        <v>0</v>
      </c>
      <c r="AV169" s="103">
        <f t="shared" si="70"/>
        <v>0</v>
      </c>
      <c r="AW169" s="104">
        <f t="shared" si="49"/>
        <v>0</v>
      </c>
      <c r="AX169" s="104">
        <f t="shared" si="50"/>
        <v>0</v>
      </c>
      <c r="AY169" s="104">
        <f t="shared" si="51"/>
        <v>0</v>
      </c>
      <c r="AZ169" s="104">
        <f t="shared" si="52"/>
        <v>0</v>
      </c>
      <c r="BA169" s="104">
        <f t="shared" si="53"/>
        <v>0</v>
      </c>
      <c r="BB169" s="106">
        <f t="shared" si="71"/>
        <v>0</v>
      </c>
      <c r="BC169" s="106">
        <f t="shared" si="54"/>
        <v>0</v>
      </c>
      <c r="BD169" s="106">
        <f t="shared" si="72"/>
        <v>0</v>
      </c>
      <c r="BE169" s="106">
        <f t="shared" si="55"/>
        <v>0</v>
      </c>
      <c r="BF169" s="106">
        <f t="shared" si="56"/>
        <v>0</v>
      </c>
      <c r="BG169" s="106">
        <f t="shared" si="57"/>
        <v>0</v>
      </c>
    </row>
    <row r="170" spans="1:59" s="53" customFormat="1" ht="50.1" customHeight="1">
      <c r="A170" s="141">
        <v>163</v>
      </c>
      <c r="B170" s="47"/>
      <c r="C170" s="20"/>
      <c r="D170" s="21"/>
      <c r="E170" s="23"/>
      <c r="F170" s="48"/>
      <c r="G170" s="48"/>
      <c r="H170" s="49"/>
      <c r="I170" s="49"/>
      <c r="J170" s="182"/>
      <c r="K170" s="88"/>
      <c r="L170" s="88"/>
      <c r="M170" s="96"/>
      <c r="N170" s="96"/>
      <c r="O170" s="88"/>
      <c r="P170" s="152"/>
      <c r="Q170" s="75"/>
      <c r="R170" s="221"/>
      <c r="S170" s="184"/>
      <c r="T170" s="50"/>
      <c r="U170" s="112">
        <f t="shared" si="58"/>
        <v>0</v>
      </c>
      <c r="V170" s="113" t="s">
        <v>3</v>
      </c>
      <c r="W170" s="114"/>
      <c r="X170" s="115" t="s">
        <v>3</v>
      </c>
      <c r="Y170" s="114"/>
      <c r="Z170" s="115" t="s">
        <v>4</v>
      </c>
      <c r="AA170" s="116">
        <f t="shared" si="59"/>
        <v>0</v>
      </c>
      <c r="AB170" s="117"/>
      <c r="AC170" s="118"/>
      <c r="AD170" s="119">
        <f t="shared" si="60"/>
        <v>0</v>
      </c>
      <c r="AE170" s="119">
        <f t="shared" si="61"/>
        <v>0</v>
      </c>
      <c r="AF170" s="120">
        <f t="shared" si="62"/>
        <v>0</v>
      </c>
      <c r="AG170" s="121"/>
      <c r="AH170" s="131">
        <f t="shared" si="63"/>
        <v>0</v>
      </c>
      <c r="AI170" s="198"/>
      <c r="AJ170" s="198"/>
      <c r="AK170" s="191">
        <f t="shared" si="64"/>
        <v>0</v>
      </c>
      <c r="AL170" s="122"/>
      <c r="AM170" s="115" t="s">
        <v>5</v>
      </c>
      <c r="AN170" s="51">
        <f t="shared" si="65"/>
        <v>0</v>
      </c>
      <c r="AO170" s="139">
        <f t="shared" si="66"/>
        <v>0</v>
      </c>
      <c r="AP170" s="78">
        <f t="shared" si="67"/>
        <v>0</v>
      </c>
      <c r="AQ170" s="79">
        <f t="shared" si="68"/>
        <v>0</v>
      </c>
      <c r="AR170" s="138"/>
      <c r="AS170" s="52"/>
      <c r="AT170" s="52"/>
      <c r="AU170" s="109">
        <f t="shared" si="69"/>
        <v>0</v>
      </c>
      <c r="AV170" s="103">
        <f t="shared" si="70"/>
        <v>0</v>
      </c>
      <c r="AW170" s="104">
        <f t="shared" si="49"/>
        <v>0</v>
      </c>
      <c r="AX170" s="104">
        <f t="shared" si="50"/>
        <v>0</v>
      </c>
      <c r="AY170" s="104">
        <f t="shared" si="51"/>
        <v>0</v>
      </c>
      <c r="AZ170" s="104">
        <f t="shared" si="52"/>
        <v>0</v>
      </c>
      <c r="BA170" s="104">
        <f t="shared" si="53"/>
        <v>0</v>
      </c>
      <c r="BB170" s="106">
        <f t="shared" si="71"/>
        <v>0</v>
      </c>
      <c r="BC170" s="106">
        <f t="shared" si="54"/>
        <v>0</v>
      </c>
      <c r="BD170" s="106">
        <f t="shared" si="72"/>
        <v>0</v>
      </c>
      <c r="BE170" s="106">
        <f t="shared" si="55"/>
        <v>0</v>
      </c>
      <c r="BF170" s="106">
        <f t="shared" si="56"/>
        <v>0</v>
      </c>
      <c r="BG170" s="106">
        <f t="shared" si="57"/>
        <v>0</v>
      </c>
    </row>
    <row r="171" spans="1:59" s="53" customFormat="1" ht="50.1" customHeight="1">
      <c r="A171" s="141">
        <v>164</v>
      </c>
      <c r="B171" s="47"/>
      <c r="C171" s="20"/>
      <c r="D171" s="21"/>
      <c r="E171" s="23"/>
      <c r="F171" s="48"/>
      <c r="G171" s="48"/>
      <c r="H171" s="49"/>
      <c r="I171" s="49"/>
      <c r="J171" s="181"/>
      <c r="K171" s="87"/>
      <c r="L171" s="92"/>
      <c r="M171" s="94"/>
      <c r="N171" s="94"/>
      <c r="O171" s="93"/>
      <c r="P171" s="152"/>
      <c r="Q171" s="75"/>
      <c r="R171" s="221"/>
      <c r="S171" s="184"/>
      <c r="T171" s="50"/>
      <c r="U171" s="112">
        <f t="shared" si="58"/>
        <v>0</v>
      </c>
      <c r="V171" s="113" t="s">
        <v>3</v>
      </c>
      <c r="W171" s="114"/>
      <c r="X171" s="115" t="s">
        <v>3</v>
      </c>
      <c r="Y171" s="114"/>
      <c r="Z171" s="115" t="s">
        <v>4</v>
      </c>
      <c r="AA171" s="116">
        <f t="shared" si="59"/>
        <v>0</v>
      </c>
      <c r="AB171" s="117"/>
      <c r="AC171" s="118"/>
      <c r="AD171" s="119">
        <f t="shared" si="60"/>
        <v>0</v>
      </c>
      <c r="AE171" s="119">
        <f t="shared" si="61"/>
        <v>0</v>
      </c>
      <c r="AF171" s="120">
        <f t="shared" si="62"/>
        <v>0</v>
      </c>
      <c r="AG171" s="121"/>
      <c r="AH171" s="131">
        <f t="shared" si="63"/>
        <v>0</v>
      </c>
      <c r="AI171" s="198"/>
      <c r="AJ171" s="198"/>
      <c r="AK171" s="191">
        <f t="shared" si="64"/>
        <v>0</v>
      </c>
      <c r="AL171" s="122"/>
      <c r="AM171" s="115" t="s">
        <v>5</v>
      </c>
      <c r="AN171" s="51">
        <f t="shared" si="65"/>
        <v>0</v>
      </c>
      <c r="AO171" s="139">
        <f t="shared" si="66"/>
        <v>0</v>
      </c>
      <c r="AP171" s="78">
        <f t="shared" si="67"/>
        <v>0</v>
      </c>
      <c r="AQ171" s="79">
        <f t="shared" si="68"/>
        <v>0</v>
      </c>
      <c r="AR171" s="138"/>
      <c r="AS171" s="52"/>
      <c r="AT171" s="52"/>
      <c r="AU171" s="109">
        <f t="shared" si="69"/>
        <v>0</v>
      </c>
      <c r="AV171" s="103">
        <f t="shared" si="70"/>
        <v>0</v>
      </c>
      <c r="AW171" s="104">
        <f t="shared" si="49"/>
        <v>0</v>
      </c>
      <c r="AX171" s="104">
        <f t="shared" si="50"/>
        <v>0</v>
      </c>
      <c r="AY171" s="104">
        <f t="shared" si="51"/>
        <v>0</v>
      </c>
      <c r="AZ171" s="104">
        <f t="shared" si="52"/>
        <v>0</v>
      </c>
      <c r="BA171" s="104">
        <f t="shared" si="53"/>
        <v>0</v>
      </c>
      <c r="BB171" s="106">
        <f t="shared" si="71"/>
        <v>0</v>
      </c>
      <c r="BC171" s="106">
        <f t="shared" si="54"/>
        <v>0</v>
      </c>
      <c r="BD171" s="106">
        <f t="shared" si="72"/>
        <v>0</v>
      </c>
      <c r="BE171" s="106">
        <f t="shared" si="55"/>
        <v>0</v>
      </c>
      <c r="BF171" s="106">
        <f t="shared" si="56"/>
        <v>0</v>
      </c>
      <c r="BG171" s="106">
        <f t="shared" si="57"/>
        <v>0</v>
      </c>
    </row>
    <row r="172" spans="1:59" s="53" customFormat="1" ht="50.1" customHeight="1">
      <c r="A172" s="141">
        <v>165</v>
      </c>
      <c r="B172" s="47"/>
      <c r="C172" s="20"/>
      <c r="D172" s="21"/>
      <c r="E172" s="23"/>
      <c r="F172" s="48"/>
      <c r="G172" s="48"/>
      <c r="H172" s="49"/>
      <c r="I172" s="49"/>
      <c r="J172" s="181"/>
      <c r="K172" s="87"/>
      <c r="L172" s="92"/>
      <c r="M172" s="94"/>
      <c r="N172" s="94"/>
      <c r="O172" s="93"/>
      <c r="P172" s="152"/>
      <c r="Q172" s="75"/>
      <c r="R172" s="221"/>
      <c r="S172" s="184"/>
      <c r="T172" s="50"/>
      <c r="U172" s="112">
        <f t="shared" si="58"/>
        <v>0</v>
      </c>
      <c r="V172" s="113" t="s">
        <v>3</v>
      </c>
      <c r="W172" s="114"/>
      <c r="X172" s="115" t="s">
        <v>3</v>
      </c>
      <c r="Y172" s="114"/>
      <c r="Z172" s="115" t="s">
        <v>4</v>
      </c>
      <c r="AA172" s="116">
        <f t="shared" si="59"/>
        <v>0</v>
      </c>
      <c r="AB172" s="117"/>
      <c r="AC172" s="118"/>
      <c r="AD172" s="119">
        <f t="shared" si="60"/>
        <v>0</v>
      </c>
      <c r="AE172" s="119">
        <f t="shared" si="61"/>
        <v>0</v>
      </c>
      <c r="AF172" s="120">
        <f t="shared" si="62"/>
        <v>0</v>
      </c>
      <c r="AG172" s="121"/>
      <c r="AH172" s="131">
        <f t="shared" si="63"/>
        <v>0</v>
      </c>
      <c r="AI172" s="198"/>
      <c r="AJ172" s="198"/>
      <c r="AK172" s="191">
        <f t="shared" si="64"/>
        <v>0</v>
      </c>
      <c r="AL172" s="122"/>
      <c r="AM172" s="115" t="s">
        <v>5</v>
      </c>
      <c r="AN172" s="51">
        <f t="shared" si="65"/>
        <v>0</v>
      </c>
      <c r="AO172" s="139">
        <f t="shared" si="66"/>
        <v>0</v>
      </c>
      <c r="AP172" s="78">
        <f t="shared" si="67"/>
        <v>0</v>
      </c>
      <c r="AQ172" s="79">
        <f t="shared" si="68"/>
        <v>0</v>
      </c>
      <c r="AR172" s="138"/>
      <c r="AS172" s="52"/>
      <c r="AT172" s="52"/>
      <c r="AU172" s="109">
        <f t="shared" si="69"/>
        <v>0</v>
      </c>
      <c r="AV172" s="103">
        <f t="shared" si="70"/>
        <v>0</v>
      </c>
      <c r="AW172" s="104">
        <f t="shared" si="49"/>
        <v>0</v>
      </c>
      <c r="AX172" s="104">
        <f t="shared" si="50"/>
        <v>0</v>
      </c>
      <c r="AY172" s="104">
        <f t="shared" si="51"/>
        <v>0</v>
      </c>
      <c r="AZ172" s="104">
        <f t="shared" si="52"/>
        <v>0</v>
      </c>
      <c r="BA172" s="104">
        <f t="shared" si="53"/>
        <v>0</v>
      </c>
      <c r="BB172" s="106">
        <f t="shared" si="71"/>
        <v>0</v>
      </c>
      <c r="BC172" s="106">
        <f t="shared" si="54"/>
        <v>0</v>
      </c>
      <c r="BD172" s="106">
        <f t="shared" si="72"/>
        <v>0</v>
      </c>
      <c r="BE172" s="106">
        <f t="shared" si="55"/>
        <v>0</v>
      </c>
      <c r="BF172" s="106">
        <f t="shared" si="56"/>
        <v>0</v>
      </c>
      <c r="BG172" s="106">
        <f t="shared" si="57"/>
        <v>0</v>
      </c>
    </row>
    <row r="173" spans="1:59" s="53" customFormat="1" ht="50.1" customHeight="1">
      <c r="A173" s="141">
        <v>166</v>
      </c>
      <c r="B173" s="47"/>
      <c r="C173" s="20"/>
      <c r="D173" s="21"/>
      <c r="E173" s="23"/>
      <c r="F173" s="48"/>
      <c r="G173" s="48"/>
      <c r="H173" s="49"/>
      <c r="I173" s="49"/>
      <c r="J173" s="182"/>
      <c r="K173" s="88"/>
      <c r="L173" s="88"/>
      <c r="M173" s="96"/>
      <c r="N173" s="96"/>
      <c r="O173" s="88"/>
      <c r="P173" s="152"/>
      <c r="Q173" s="183"/>
      <c r="R173" s="221"/>
      <c r="S173" s="211"/>
      <c r="T173" s="50"/>
      <c r="U173" s="112">
        <f t="shared" si="58"/>
        <v>0</v>
      </c>
      <c r="V173" s="113" t="s">
        <v>3</v>
      </c>
      <c r="W173" s="114"/>
      <c r="X173" s="115" t="s">
        <v>3</v>
      </c>
      <c r="Y173" s="114"/>
      <c r="Z173" s="115" t="s">
        <v>4</v>
      </c>
      <c r="AA173" s="116">
        <f t="shared" si="59"/>
        <v>0</v>
      </c>
      <c r="AB173" s="117"/>
      <c r="AC173" s="118"/>
      <c r="AD173" s="119">
        <f t="shared" si="60"/>
        <v>0</v>
      </c>
      <c r="AE173" s="119">
        <f t="shared" si="61"/>
        <v>0</v>
      </c>
      <c r="AF173" s="120">
        <f t="shared" si="62"/>
        <v>0</v>
      </c>
      <c r="AG173" s="121"/>
      <c r="AH173" s="131">
        <f t="shared" si="63"/>
        <v>0</v>
      </c>
      <c r="AI173" s="198"/>
      <c r="AJ173" s="198"/>
      <c r="AK173" s="191">
        <f t="shared" si="64"/>
        <v>0</v>
      </c>
      <c r="AL173" s="122"/>
      <c r="AM173" s="115" t="s">
        <v>5</v>
      </c>
      <c r="AN173" s="51">
        <f t="shared" si="65"/>
        <v>0</v>
      </c>
      <c r="AO173" s="139">
        <f t="shared" si="66"/>
        <v>0</v>
      </c>
      <c r="AP173" s="78">
        <f t="shared" si="67"/>
        <v>0</v>
      </c>
      <c r="AQ173" s="79">
        <f t="shared" si="68"/>
        <v>0</v>
      </c>
      <c r="AR173" s="138"/>
      <c r="AS173" s="52"/>
      <c r="AT173" s="52"/>
      <c r="AU173" s="109">
        <f t="shared" si="69"/>
        <v>0</v>
      </c>
      <c r="AV173" s="103">
        <f t="shared" si="70"/>
        <v>0</v>
      </c>
      <c r="AW173" s="104">
        <f t="shared" si="49"/>
        <v>0</v>
      </c>
      <c r="AX173" s="104">
        <f t="shared" si="50"/>
        <v>0</v>
      </c>
      <c r="AY173" s="104">
        <f t="shared" si="51"/>
        <v>0</v>
      </c>
      <c r="AZ173" s="104">
        <f t="shared" si="52"/>
        <v>0</v>
      </c>
      <c r="BA173" s="104">
        <f t="shared" si="53"/>
        <v>0</v>
      </c>
      <c r="BB173" s="106">
        <f t="shared" si="71"/>
        <v>0</v>
      </c>
      <c r="BC173" s="106">
        <f t="shared" si="54"/>
        <v>0</v>
      </c>
      <c r="BD173" s="106">
        <f t="shared" si="72"/>
        <v>0</v>
      </c>
      <c r="BE173" s="106">
        <f t="shared" si="55"/>
        <v>0</v>
      </c>
      <c r="BF173" s="106">
        <f t="shared" si="56"/>
        <v>0</v>
      </c>
      <c r="BG173" s="106">
        <f t="shared" si="57"/>
        <v>0</v>
      </c>
    </row>
    <row r="174" spans="1:59" s="53" customFormat="1" ht="50.1" customHeight="1">
      <c r="A174" s="141">
        <v>167</v>
      </c>
      <c r="B174" s="47"/>
      <c r="C174" s="20"/>
      <c r="D174" s="21"/>
      <c r="E174" s="23"/>
      <c r="F174" s="48"/>
      <c r="G174" s="48"/>
      <c r="H174" s="49"/>
      <c r="I174" s="49"/>
      <c r="J174" s="181"/>
      <c r="K174" s="87"/>
      <c r="L174" s="92"/>
      <c r="M174" s="94"/>
      <c r="N174" s="94"/>
      <c r="O174" s="93"/>
      <c r="P174" s="152"/>
      <c r="Q174" s="183"/>
      <c r="R174" s="221"/>
      <c r="S174" s="211"/>
      <c r="T174" s="50"/>
      <c r="U174" s="112">
        <f t="shared" si="58"/>
        <v>0</v>
      </c>
      <c r="V174" s="113" t="s">
        <v>3</v>
      </c>
      <c r="W174" s="114"/>
      <c r="X174" s="115" t="s">
        <v>3</v>
      </c>
      <c r="Y174" s="114"/>
      <c r="Z174" s="115" t="s">
        <v>4</v>
      </c>
      <c r="AA174" s="116">
        <f t="shared" si="59"/>
        <v>0</v>
      </c>
      <c r="AB174" s="117"/>
      <c r="AC174" s="118"/>
      <c r="AD174" s="119">
        <f t="shared" si="60"/>
        <v>0</v>
      </c>
      <c r="AE174" s="119">
        <f t="shared" si="61"/>
        <v>0</v>
      </c>
      <c r="AF174" s="120">
        <f t="shared" si="62"/>
        <v>0</v>
      </c>
      <c r="AG174" s="121"/>
      <c r="AH174" s="131">
        <f t="shared" si="63"/>
        <v>0</v>
      </c>
      <c r="AI174" s="198"/>
      <c r="AJ174" s="198"/>
      <c r="AK174" s="191">
        <f t="shared" si="64"/>
        <v>0</v>
      </c>
      <c r="AL174" s="122"/>
      <c r="AM174" s="115" t="s">
        <v>5</v>
      </c>
      <c r="AN174" s="51">
        <f t="shared" si="65"/>
        <v>0</v>
      </c>
      <c r="AO174" s="139">
        <f t="shared" si="66"/>
        <v>0</v>
      </c>
      <c r="AP174" s="78">
        <f t="shared" si="67"/>
        <v>0</v>
      </c>
      <c r="AQ174" s="79">
        <f t="shared" si="68"/>
        <v>0</v>
      </c>
      <c r="AR174" s="138"/>
      <c r="AS174" s="52"/>
      <c r="AT174" s="52"/>
      <c r="AU174" s="109">
        <f t="shared" si="69"/>
        <v>0</v>
      </c>
      <c r="AV174" s="103">
        <f t="shared" si="70"/>
        <v>0</v>
      </c>
      <c r="AW174" s="104">
        <f t="shared" si="49"/>
        <v>0</v>
      </c>
      <c r="AX174" s="104">
        <f t="shared" si="50"/>
        <v>0</v>
      </c>
      <c r="AY174" s="104">
        <f t="shared" si="51"/>
        <v>0</v>
      </c>
      <c r="AZ174" s="104">
        <f t="shared" si="52"/>
        <v>0</v>
      </c>
      <c r="BA174" s="104">
        <f t="shared" si="53"/>
        <v>0</v>
      </c>
      <c r="BB174" s="106">
        <f t="shared" si="71"/>
        <v>0</v>
      </c>
      <c r="BC174" s="106">
        <f t="shared" si="54"/>
        <v>0</v>
      </c>
      <c r="BD174" s="106">
        <f t="shared" si="72"/>
        <v>0</v>
      </c>
      <c r="BE174" s="106">
        <f t="shared" si="55"/>
        <v>0</v>
      </c>
      <c r="BF174" s="106">
        <f t="shared" si="56"/>
        <v>0</v>
      </c>
      <c r="BG174" s="106">
        <f t="shared" si="57"/>
        <v>0</v>
      </c>
    </row>
    <row r="175" spans="1:59" s="53" customFormat="1" ht="50.1" customHeight="1">
      <c r="A175" s="141">
        <v>168</v>
      </c>
      <c r="B175" s="47"/>
      <c r="C175" s="20"/>
      <c r="D175" s="21"/>
      <c r="E175" s="23"/>
      <c r="F175" s="48"/>
      <c r="G175" s="48"/>
      <c r="H175" s="49"/>
      <c r="I175" s="49"/>
      <c r="J175" s="181"/>
      <c r="K175" s="87"/>
      <c r="L175" s="92"/>
      <c r="M175" s="94"/>
      <c r="N175" s="94"/>
      <c r="O175" s="93"/>
      <c r="P175" s="152"/>
      <c r="Q175" s="183"/>
      <c r="R175" s="221"/>
      <c r="S175" s="211"/>
      <c r="T175" s="50"/>
      <c r="U175" s="112">
        <f t="shared" si="58"/>
        <v>0</v>
      </c>
      <c r="V175" s="113" t="s">
        <v>3</v>
      </c>
      <c r="W175" s="114"/>
      <c r="X175" s="115" t="s">
        <v>3</v>
      </c>
      <c r="Y175" s="114"/>
      <c r="Z175" s="115" t="s">
        <v>4</v>
      </c>
      <c r="AA175" s="116">
        <f t="shared" si="59"/>
        <v>0</v>
      </c>
      <c r="AB175" s="117"/>
      <c r="AC175" s="118"/>
      <c r="AD175" s="119">
        <f t="shared" si="60"/>
        <v>0</v>
      </c>
      <c r="AE175" s="119">
        <f t="shared" si="61"/>
        <v>0</v>
      </c>
      <c r="AF175" s="120">
        <f t="shared" si="62"/>
        <v>0</v>
      </c>
      <c r="AG175" s="121"/>
      <c r="AH175" s="131">
        <f t="shared" si="63"/>
        <v>0</v>
      </c>
      <c r="AI175" s="198"/>
      <c r="AJ175" s="198"/>
      <c r="AK175" s="191">
        <f t="shared" si="64"/>
        <v>0</v>
      </c>
      <c r="AL175" s="122"/>
      <c r="AM175" s="115" t="s">
        <v>5</v>
      </c>
      <c r="AN175" s="51">
        <f t="shared" si="65"/>
        <v>0</v>
      </c>
      <c r="AO175" s="139">
        <f t="shared" si="66"/>
        <v>0</v>
      </c>
      <c r="AP175" s="78">
        <f t="shared" si="67"/>
        <v>0</v>
      </c>
      <c r="AQ175" s="79">
        <f t="shared" si="68"/>
        <v>0</v>
      </c>
      <c r="AR175" s="138"/>
      <c r="AS175" s="52"/>
      <c r="AT175" s="52"/>
      <c r="AU175" s="109">
        <f t="shared" si="69"/>
        <v>0</v>
      </c>
      <c r="AV175" s="103">
        <f t="shared" si="70"/>
        <v>0</v>
      </c>
      <c r="AW175" s="104">
        <f t="shared" si="49"/>
        <v>0</v>
      </c>
      <c r="AX175" s="104">
        <f t="shared" si="50"/>
        <v>0</v>
      </c>
      <c r="AY175" s="104">
        <f t="shared" si="51"/>
        <v>0</v>
      </c>
      <c r="AZ175" s="104">
        <f t="shared" si="52"/>
        <v>0</v>
      </c>
      <c r="BA175" s="104">
        <f t="shared" si="53"/>
        <v>0</v>
      </c>
      <c r="BB175" s="106">
        <f t="shared" si="71"/>
        <v>0</v>
      </c>
      <c r="BC175" s="106">
        <f t="shared" si="54"/>
        <v>0</v>
      </c>
      <c r="BD175" s="106">
        <f t="shared" si="72"/>
        <v>0</v>
      </c>
      <c r="BE175" s="106">
        <f t="shared" si="55"/>
        <v>0</v>
      </c>
      <c r="BF175" s="106">
        <f t="shared" si="56"/>
        <v>0</v>
      </c>
      <c r="BG175" s="106">
        <f t="shared" si="57"/>
        <v>0</v>
      </c>
    </row>
    <row r="176" spans="1:59" s="53" customFormat="1" ht="50.1" customHeight="1">
      <c r="A176" s="141">
        <v>169</v>
      </c>
      <c r="B176" s="47"/>
      <c r="C176" s="20"/>
      <c r="D176" s="21"/>
      <c r="E176" s="23"/>
      <c r="F176" s="48"/>
      <c r="G176" s="48"/>
      <c r="H176" s="49"/>
      <c r="I176" s="49"/>
      <c r="J176" s="182"/>
      <c r="K176" s="88"/>
      <c r="L176" s="88"/>
      <c r="M176" s="96"/>
      <c r="N176" s="96"/>
      <c r="O176" s="88"/>
      <c r="P176" s="152"/>
      <c r="Q176" s="183"/>
      <c r="R176" s="221"/>
      <c r="S176" s="211"/>
      <c r="T176" s="50"/>
      <c r="U176" s="112">
        <f t="shared" si="58"/>
        <v>0</v>
      </c>
      <c r="V176" s="113" t="s">
        <v>3</v>
      </c>
      <c r="W176" s="114"/>
      <c r="X176" s="115" t="s">
        <v>3</v>
      </c>
      <c r="Y176" s="114"/>
      <c r="Z176" s="115" t="s">
        <v>4</v>
      </c>
      <c r="AA176" s="116">
        <f t="shared" si="59"/>
        <v>0</v>
      </c>
      <c r="AB176" s="117"/>
      <c r="AC176" s="118"/>
      <c r="AD176" s="119">
        <f t="shared" si="60"/>
        <v>0</v>
      </c>
      <c r="AE176" s="119">
        <f t="shared" si="61"/>
        <v>0</v>
      </c>
      <c r="AF176" s="120">
        <f t="shared" si="62"/>
        <v>0</v>
      </c>
      <c r="AG176" s="121"/>
      <c r="AH176" s="131">
        <f t="shared" si="63"/>
        <v>0</v>
      </c>
      <c r="AI176" s="198"/>
      <c r="AJ176" s="198"/>
      <c r="AK176" s="191">
        <f t="shared" si="64"/>
        <v>0</v>
      </c>
      <c r="AL176" s="122"/>
      <c r="AM176" s="115" t="s">
        <v>5</v>
      </c>
      <c r="AN176" s="51">
        <f t="shared" si="65"/>
        <v>0</v>
      </c>
      <c r="AO176" s="139">
        <f t="shared" si="66"/>
        <v>0</v>
      </c>
      <c r="AP176" s="78">
        <f t="shared" si="67"/>
        <v>0</v>
      </c>
      <c r="AQ176" s="79">
        <f t="shared" si="68"/>
        <v>0</v>
      </c>
      <c r="AR176" s="138"/>
      <c r="AS176" s="52"/>
      <c r="AT176" s="52"/>
      <c r="AU176" s="109">
        <f t="shared" si="69"/>
        <v>0</v>
      </c>
      <c r="AV176" s="103">
        <f t="shared" si="70"/>
        <v>0</v>
      </c>
      <c r="AW176" s="104">
        <f t="shared" si="49"/>
        <v>0</v>
      </c>
      <c r="AX176" s="104">
        <f t="shared" si="50"/>
        <v>0</v>
      </c>
      <c r="AY176" s="104">
        <f t="shared" si="51"/>
        <v>0</v>
      </c>
      <c r="AZ176" s="104">
        <f t="shared" si="52"/>
        <v>0</v>
      </c>
      <c r="BA176" s="104">
        <f t="shared" si="53"/>
        <v>0</v>
      </c>
      <c r="BB176" s="106">
        <f t="shared" si="71"/>
        <v>0</v>
      </c>
      <c r="BC176" s="106">
        <f t="shared" si="54"/>
        <v>0</v>
      </c>
      <c r="BD176" s="106">
        <f t="shared" si="72"/>
        <v>0</v>
      </c>
      <c r="BE176" s="106">
        <f t="shared" si="55"/>
        <v>0</v>
      </c>
      <c r="BF176" s="106">
        <f t="shared" si="56"/>
        <v>0</v>
      </c>
      <c r="BG176" s="106">
        <f t="shared" si="57"/>
        <v>0</v>
      </c>
    </row>
    <row r="177" spans="1:59" s="53" customFormat="1" ht="50.1" customHeight="1">
      <c r="A177" s="141">
        <v>170</v>
      </c>
      <c r="B177" s="47"/>
      <c r="C177" s="20"/>
      <c r="D177" s="21"/>
      <c r="E177" s="23"/>
      <c r="F177" s="48"/>
      <c r="G177" s="48"/>
      <c r="H177" s="49"/>
      <c r="I177" s="49"/>
      <c r="J177" s="181"/>
      <c r="K177" s="173"/>
      <c r="L177" s="174"/>
      <c r="M177" s="175"/>
      <c r="N177" s="175"/>
      <c r="O177" s="176"/>
      <c r="P177" s="187"/>
      <c r="Q177" s="177"/>
      <c r="R177" s="221"/>
      <c r="S177" s="184"/>
      <c r="T177" s="50"/>
      <c r="U177" s="112">
        <f t="shared" si="58"/>
        <v>0</v>
      </c>
      <c r="V177" s="113" t="s">
        <v>3</v>
      </c>
      <c r="W177" s="114"/>
      <c r="X177" s="115" t="s">
        <v>3</v>
      </c>
      <c r="Y177" s="114"/>
      <c r="Z177" s="115" t="s">
        <v>4</v>
      </c>
      <c r="AA177" s="116">
        <f t="shared" si="59"/>
        <v>0</v>
      </c>
      <c r="AB177" s="117"/>
      <c r="AC177" s="118"/>
      <c r="AD177" s="119">
        <f t="shared" si="60"/>
        <v>0</v>
      </c>
      <c r="AE177" s="119">
        <f t="shared" si="61"/>
        <v>0</v>
      </c>
      <c r="AF177" s="120">
        <f t="shared" si="62"/>
        <v>0</v>
      </c>
      <c r="AG177" s="121"/>
      <c r="AH177" s="131">
        <f t="shared" si="63"/>
        <v>0</v>
      </c>
      <c r="AI177" s="198"/>
      <c r="AJ177" s="198"/>
      <c r="AK177" s="191">
        <f t="shared" si="64"/>
        <v>0</v>
      </c>
      <c r="AL177" s="122"/>
      <c r="AM177" s="115" t="s">
        <v>5</v>
      </c>
      <c r="AN177" s="51">
        <f t="shared" si="65"/>
        <v>0</v>
      </c>
      <c r="AO177" s="139">
        <f t="shared" si="66"/>
        <v>0</v>
      </c>
      <c r="AP177" s="78">
        <f t="shared" si="67"/>
        <v>0</v>
      </c>
      <c r="AQ177" s="79">
        <f t="shared" si="68"/>
        <v>0</v>
      </c>
      <c r="AR177" s="138"/>
      <c r="AS177" s="52"/>
      <c r="AT177" s="52"/>
      <c r="AU177" s="109">
        <f t="shared" si="69"/>
        <v>0</v>
      </c>
      <c r="AV177" s="103">
        <f t="shared" si="70"/>
        <v>0</v>
      </c>
      <c r="AW177" s="104">
        <f t="shared" si="49"/>
        <v>0</v>
      </c>
      <c r="AX177" s="104">
        <f t="shared" si="50"/>
        <v>0</v>
      </c>
      <c r="AY177" s="104">
        <f t="shared" si="51"/>
        <v>0</v>
      </c>
      <c r="AZ177" s="104">
        <f t="shared" si="52"/>
        <v>0</v>
      </c>
      <c r="BA177" s="104">
        <f t="shared" si="53"/>
        <v>0</v>
      </c>
      <c r="BB177" s="106">
        <f t="shared" si="71"/>
        <v>0</v>
      </c>
      <c r="BC177" s="106">
        <f t="shared" si="54"/>
        <v>0</v>
      </c>
      <c r="BD177" s="106">
        <f t="shared" si="72"/>
        <v>0</v>
      </c>
      <c r="BE177" s="106">
        <f t="shared" si="55"/>
        <v>0</v>
      </c>
      <c r="BF177" s="106">
        <f t="shared" si="56"/>
        <v>0</v>
      </c>
      <c r="BG177" s="106">
        <f t="shared" si="57"/>
        <v>0</v>
      </c>
    </row>
    <row r="178" spans="1:59" s="4" customFormat="1">
      <c r="A178" s="140"/>
      <c r="B178" s="31"/>
      <c r="C178" s="32"/>
      <c r="D178" s="33"/>
      <c r="E178" s="34"/>
      <c r="F178" s="35"/>
      <c r="G178" s="36"/>
      <c r="H178" s="37"/>
      <c r="I178" s="38"/>
      <c r="J178" s="1978" t="s">
        <v>52</v>
      </c>
      <c r="K178" s="1978"/>
      <c r="L178" s="1978"/>
      <c r="M178" s="1978"/>
      <c r="N178" s="1978"/>
      <c r="O178" s="1978"/>
      <c r="P178" s="1978"/>
      <c r="Q178" s="76"/>
      <c r="R178" s="223"/>
      <c r="S178" s="215"/>
      <c r="T178" s="1979" t="s">
        <v>54</v>
      </c>
      <c r="U178" s="1979"/>
      <c r="V178" s="1979"/>
      <c r="W178" s="1979"/>
      <c r="X178" s="1979"/>
      <c r="Y178" s="40"/>
      <c r="Z178" s="40"/>
      <c r="AA178" s="39"/>
      <c r="AB178" s="41"/>
      <c r="AC178" s="39"/>
      <c r="AD178" s="1980" t="s">
        <v>79</v>
      </c>
      <c r="AE178" s="1980"/>
      <c r="AF178" s="1980"/>
      <c r="AG178" s="42"/>
      <c r="AH178" s="43"/>
      <c r="AI178" s="200"/>
      <c r="AJ178" s="146"/>
      <c r="AK178" s="196"/>
      <c r="AL178" s="1981"/>
      <c r="AM178" s="1981"/>
      <c r="AN178" s="44"/>
      <c r="AO178" s="128">
        <f>SUM(AO8:AO177)</f>
        <v>0</v>
      </c>
      <c r="AP178" s="107"/>
      <c r="AQ178" s="129"/>
      <c r="AR178" s="129"/>
      <c r="AS178" s="61"/>
      <c r="AT178" s="110"/>
      <c r="AU178" s="82"/>
      <c r="AV178" s="70">
        <v>100</v>
      </c>
      <c r="AW178" s="70">
        <v>50</v>
      </c>
      <c r="AX178" s="70">
        <v>20</v>
      </c>
      <c r="AY178" s="70">
        <v>10</v>
      </c>
      <c r="AZ178" s="70">
        <v>5</v>
      </c>
      <c r="BA178" s="70">
        <v>1</v>
      </c>
      <c r="BB178" s="105">
        <v>10000</v>
      </c>
      <c r="BC178" s="105">
        <v>5000</v>
      </c>
      <c r="BD178" s="105">
        <v>2000</v>
      </c>
      <c r="BE178" s="105">
        <v>1000</v>
      </c>
      <c r="BF178" s="105">
        <v>500</v>
      </c>
      <c r="BG178" s="105">
        <v>100</v>
      </c>
    </row>
    <row r="179" spans="1:59" ht="17.25" customHeight="1">
      <c r="J179" s="59"/>
      <c r="K179" s="83"/>
      <c r="L179" s="83"/>
      <c r="M179" s="83"/>
      <c r="N179" s="83"/>
      <c r="O179" s="83"/>
      <c r="P179" s="59" t="s">
        <v>53</v>
      </c>
      <c r="Q179" s="1982" t="s">
        <v>51</v>
      </c>
      <c r="R179" s="1982"/>
      <c r="S179" s="1982"/>
      <c r="T179" s="1983" t="s">
        <v>56</v>
      </c>
      <c r="U179" s="1984"/>
      <c r="V179" s="1984"/>
      <c r="W179" s="1984"/>
      <c r="X179" s="1984"/>
      <c r="AD179" s="1985" t="s">
        <v>55</v>
      </c>
      <c r="AE179" s="1985"/>
      <c r="AF179" s="1985"/>
      <c r="AG179" s="1985"/>
      <c r="AL179" s="1985"/>
      <c r="AM179" s="1985"/>
      <c r="AN179" s="1985"/>
      <c r="AV179" s="125">
        <f t="shared" ref="AV179:BG179" si="73">SUM(AV8:AV177)</f>
        <v>0</v>
      </c>
      <c r="AW179" s="125">
        <f t="shared" si="73"/>
        <v>0</v>
      </c>
      <c r="AX179" s="125">
        <f t="shared" si="73"/>
        <v>0</v>
      </c>
      <c r="AY179" s="125">
        <f t="shared" si="73"/>
        <v>0</v>
      </c>
      <c r="AZ179" s="125">
        <f t="shared" si="73"/>
        <v>0</v>
      </c>
      <c r="BA179" s="125">
        <f t="shared" si="73"/>
        <v>0</v>
      </c>
      <c r="BB179" s="125">
        <f t="shared" si="73"/>
        <v>0</v>
      </c>
      <c r="BC179" s="125">
        <f t="shared" si="73"/>
        <v>0</v>
      </c>
      <c r="BD179" s="125">
        <f t="shared" si="73"/>
        <v>0</v>
      </c>
      <c r="BE179" s="125">
        <f t="shared" si="73"/>
        <v>0</v>
      </c>
      <c r="BF179" s="125">
        <f t="shared" si="73"/>
        <v>0</v>
      </c>
      <c r="BG179" s="125">
        <f t="shared" si="73"/>
        <v>0</v>
      </c>
    </row>
    <row r="180" spans="1:59">
      <c r="AV180" s="127">
        <f>AV179*100</f>
        <v>0</v>
      </c>
      <c r="AW180" s="127">
        <f>AW179*50</f>
        <v>0</v>
      </c>
      <c r="AX180" s="127">
        <f>AX179*20</f>
        <v>0</v>
      </c>
      <c r="AY180" s="127">
        <f>AY179*10</f>
        <v>0</v>
      </c>
      <c r="AZ180" s="127">
        <f>AZ179*5</f>
        <v>0</v>
      </c>
      <c r="BA180" s="127">
        <f>BA179*1</f>
        <v>0</v>
      </c>
      <c r="BB180" s="126">
        <f>BB179*10000</f>
        <v>0</v>
      </c>
      <c r="BC180" s="126">
        <f>BC179*5000</f>
        <v>0</v>
      </c>
      <c r="BD180" s="126">
        <f>BD179*2000</f>
        <v>0</v>
      </c>
      <c r="BE180" s="126">
        <f>BE179*1000</f>
        <v>0</v>
      </c>
      <c r="BF180" s="126">
        <f>BF179*500</f>
        <v>0</v>
      </c>
      <c r="BG180" s="126">
        <f>BG179*100</f>
        <v>0</v>
      </c>
    </row>
    <row r="182" spans="1:59">
      <c r="AW182" s="1964">
        <f>SUM(AV180:BA180)</f>
        <v>0</v>
      </c>
      <c r="AX182" s="1964"/>
      <c r="AY182" s="1964"/>
      <c r="AZ182" s="1964"/>
      <c r="BD182" s="1964">
        <f>SUM(BB180:BG180)</f>
        <v>0</v>
      </c>
      <c r="BE182" s="1964"/>
      <c r="BF182" s="1964"/>
      <c r="BG182">
        <f>BD182/4000</f>
        <v>0</v>
      </c>
    </row>
    <row r="184" spans="1:59">
      <c r="AY184" s="1964" t="s">
        <v>74</v>
      </c>
      <c r="AZ184" s="1964"/>
      <c r="BA184" s="1964">
        <f>AW182+(BD182/4000)</f>
        <v>0</v>
      </c>
      <c r="BB184" s="1964"/>
      <c r="BC184" s="1964"/>
    </row>
  </sheetData>
  <autoFilter ref="J1:J184"/>
  <mergeCells count="47">
    <mergeCell ref="AY184:AZ184"/>
    <mergeCell ref="BA184:BC184"/>
    <mergeCell ref="J178:P178"/>
    <mergeCell ref="T178:X178"/>
    <mergeCell ref="AD178:AF178"/>
    <mergeCell ref="AL178:AM178"/>
    <mergeCell ref="Q179:S179"/>
    <mergeCell ref="T179:X179"/>
    <mergeCell ref="AD179:AG179"/>
    <mergeCell ref="AL179:AN179"/>
    <mergeCell ref="W7:X7"/>
    <mergeCell ref="AG7:AH7"/>
    <mergeCell ref="AL7:AN7"/>
    <mergeCell ref="AW182:AZ182"/>
    <mergeCell ref="BD182:BF182"/>
    <mergeCell ref="AU5:AU7"/>
    <mergeCell ref="W6:X6"/>
    <mergeCell ref="Y6:Z6"/>
    <mergeCell ref="AB6:AB7"/>
    <mergeCell ref="AC6:AC7"/>
    <mergeCell ref="AE6:AE7"/>
    <mergeCell ref="AF6:AF7"/>
    <mergeCell ref="AG6:AH6"/>
    <mergeCell ref="AI6:AI7"/>
    <mergeCell ref="AJ6:AJ7"/>
    <mergeCell ref="AI4:AI5"/>
    <mergeCell ref="AJ4:AJ5"/>
    <mergeCell ref="AK4:AN4"/>
    <mergeCell ref="AP4:AQ4"/>
    <mergeCell ref="AL6:AN6"/>
    <mergeCell ref="AP6:AQ6"/>
    <mergeCell ref="A1:AS1"/>
    <mergeCell ref="J2:AS2"/>
    <mergeCell ref="A3:AS3"/>
    <mergeCell ref="K4:K7"/>
    <mergeCell ref="M4:M7"/>
    <mergeCell ref="N4:N7"/>
    <mergeCell ref="O4:O7"/>
    <mergeCell ref="U4:AA4"/>
    <mergeCell ref="AE4:AF4"/>
    <mergeCell ref="AG4:AH4"/>
    <mergeCell ref="U5:V5"/>
    <mergeCell ref="W5:X5"/>
    <mergeCell ref="Y5:Z5"/>
    <mergeCell ref="AG5:AH5"/>
    <mergeCell ref="AL5:AN5"/>
    <mergeCell ref="U7:V7"/>
  </mergeCells>
  <phoneticPr fontId="171" type="noConversion"/>
  <conditionalFormatting sqref="J179:P179">
    <cfRule type="cellIs" dxfId="94" priority="1" stopIfTrue="1" operator="equal">
      <formula>"0%"</formula>
    </cfRule>
  </conditionalFormatting>
  <pageMargins left="0.15" right="0.15" top="0.15" bottom="0.15" header="0.15" footer="0.15"/>
  <pageSetup paperSize="9" orientation="landscape" r:id="rId1"/>
  <headerFooter alignWithMargins="0"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BL42"/>
  <sheetViews>
    <sheetView view="pageBreakPreview" zoomScale="80" zoomScaleNormal="100" zoomScaleSheetLayoutView="80" workbookViewId="0">
      <pane xSplit="7" ySplit="5" topLeftCell="H20" activePane="bottomRight" state="frozen"/>
      <selection pane="topRight" activeCell="H1" sqref="H1"/>
      <selection pane="bottomLeft" activeCell="A6" sqref="A6"/>
      <selection pane="bottomRight" activeCell="AM44" sqref="AM44"/>
    </sheetView>
  </sheetViews>
  <sheetFormatPr defaultRowHeight="15.75"/>
  <cols>
    <col min="1" max="1" width="5.125" style="544" customWidth="1"/>
    <col min="2" max="2" width="11.5" style="544" customWidth="1"/>
    <col min="3" max="3" width="10.5" style="755" customWidth="1"/>
    <col min="4" max="4" width="11.5" style="755" customWidth="1"/>
    <col min="5" max="5" width="7.125" style="544" customWidth="1"/>
    <col min="6" max="6" width="7.875" style="556" customWidth="1"/>
    <col min="7" max="7" width="6.125" style="544" customWidth="1"/>
    <col min="8" max="8" width="5" style="544" customWidth="1"/>
    <col min="9" max="9" width="8.625" style="544" customWidth="1"/>
    <col min="10" max="10" width="8.5" style="544" customWidth="1"/>
    <col min="11" max="11" width="5.125" style="544" customWidth="1"/>
    <col min="12" max="12" width="6.125" style="544" customWidth="1"/>
    <col min="13" max="13" width="7.625" style="544" customWidth="1"/>
    <col min="14" max="14" width="5.625" style="544" customWidth="1"/>
    <col min="15" max="15" width="6.125" style="544" customWidth="1"/>
    <col min="16" max="16" width="7.625" style="544" customWidth="1"/>
    <col min="17" max="17" width="5.25" style="544" customWidth="1"/>
    <col min="18" max="18" width="5.5" style="544" customWidth="1"/>
    <col min="19" max="19" width="8.125" style="544" customWidth="1"/>
    <col min="20" max="20" width="5.125" style="544" customWidth="1"/>
    <col min="21" max="21" width="5.75" style="544" customWidth="1"/>
    <col min="22" max="22" width="9" style="544" customWidth="1"/>
    <col min="23" max="23" width="6.375" style="544" customWidth="1"/>
    <col min="24" max="24" width="9.125" style="544" customWidth="1"/>
    <col min="25" max="25" width="6" style="544" customWidth="1"/>
    <col min="26" max="26" width="6.625" style="544" customWidth="1"/>
    <col min="27" max="27" width="7.375" style="544" customWidth="1"/>
    <col min="28" max="28" width="5.375" style="544" customWidth="1"/>
    <col min="29" max="29" width="6.125" style="544" customWidth="1"/>
    <col min="30" max="30" width="8.75" style="544" customWidth="1"/>
    <col min="31" max="31" width="7.625" style="544" customWidth="1"/>
    <col min="32" max="33" width="5.875" style="544" customWidth="1"/>
    <col min="34" max="35" width="7.75" style="544" customWidth="1"/>
    <col min="36" max="36" width="9.75" style="544" customWidth="1"/>
    <col min="37" max="37" width="10.875" style="544" customWidth="1"/>
    <col min="38" max="38" width="12.25" style="544" customWidth="1"/>
    <col min="39" max="39" width="7.875" style="544" customWidth="1"/>
    <col min="40" max="40" width="9.625" style="544" customWidth="1"/>
    <col min="41" max="41" width="9.375" style="544" customWidth="1"/>
    <col min="42" max="42" width="9.75" style="544" customWidth="1"/>
    <col min="43" max="43" width="11.125" style="544" customWidth="1"/>
    <col min="44" max="44" width="14.75" style="544" customWidth="1"/>
    <col min="45" max="45" width="10.625" style="544" customWidth="1"/>
    <col min="46" max="46" width="19.625" style="544" customWidth="1"/>
    <col min="47" max="47" width="15.25" style="544" customWidth="1"/>
    <col min="48" max="48" width="10.5" style="544" hidden="1" customWidth="1"/>
    <col min="49" max="50" width="9" style="544"/>
    <col min="51" max="53" width="8.875" style="544" customWidth="1"/>
    <col min="54" max="54" width="8.75" style="544" customWidth="1"/>
    <col min="55" max="57" width="9" style="544"/>
    <col min="58" max="58" width="10.875" style="544" bestFit="1" customWidth="1"/>
    <col min="59" max="59" width="9" style="544"/>
    <col min="60" max="60" width="15.5" style="544" customWidth="1"/>
    <col min="61" max="61" width="9" style="544"/>
    <col min="62" max="64" width="14.25" style="544" customWidth="1"/>
    <col min="65" max="16384" width="9" style="544"/>
  </cols>
  <sheetData>
    <row r="1" spans="1:64" s="541" customFormat="1" ht="29.25" customHeight="1">
      <c r="A1" s="2110" t="s">
        <v>222</v>
      </c>
      <c r="B1" s="2110"/>
      <c r="C1" s="2110"/>
      <c r="D1" s="2110"/>
      <c r="E1" s="2110"/>
      <c r="F1" s="2110"/>
      <c r="G1" s="2110"/>
      <c r="H1" s="2110"/>
      <c r="I1" s="2110"/>
      <c r="J1" s="2110"/>
      <c r="K1" s="2110"/>
      <c r="L1" s="2110"/>
      <c r="M1" s="2110"/>
      <c r="N1" s="2110"/>
      <c r="O1" s="2110"/>
      <c r="P1" s="2110"/>
      <c r="Q1" s="2110"/>
      <c r="R1" s="2110"/>
      <c r="S1" s="2110"/>
      <c r="T1" s="2110"/>
      <c r="U1" s="2110"/>
      <c r="V1" s="2110"/>
      <c r="W1" s="2110"/>
      <c r="X1" s="2110"/>
      <c r="Y1" s="2110"/>
      <c r="Z1" s="2110"/>
      <c r="AA1" s="2110"/>
      <c r="AB1" s="2110"/>
      <c r="AC1" s="2110"/>
      <c r="AD1" s="2110"/>
      <c r="AE1" s="2110"/>
      <c r="AF1" s="2110"/>
      <c r="AG1" s="2110"/>
      <c r="AH1" s="2110"/>
      <c r="AI1" s="2110"/>
      <c r="AJ1" s="2110"/>
      <c r="AK1" s="2110"/>
      <c r="AL1" s="2110"/>
      <c r="AM1" s="2110"/>
      <c r="AN1" s="2110"/>
      <c r="AO1" s="2110"/>
      <c r="AP1" s="2110"/>
      <c r="AQ1" s="2110"/>
      <c r="AR1" s="2110"/>
      <c r="AS1" s="2110"/>
      <c r="AT1" s="2110"/>
      <c r="AU1" s="751"/>
    </row>
    <row r="2" spans="1:64" s="541" customFormat="1" ht="20.25" customHeight="1">
      <c r="A2" s="2110" t="s">
        <v>221</v>
      </c>
      <c r="B2" s="2110"/>
      <c r="C2" s="2110"/>
      <c r="D2" s="2110"/>
      <c r="E2" s="2110"/>
      <c r="F2" s="2110"/>
      <c r="G2" s="2110"/>
      <c r="H2" s="2110"/>
      <c r="I2" s="2110"/>
      <c r="J2" s="2110"/>
      <c r="K2" s="2110"/>
      <c r="L2" s="2110"/>
      <c r="M2" s="2110"/>
      <c r="N2" s="2110"/>
      <c r="O2" s="2110"/>
      <c r="P2" s="2110"/>
      <c r="Q2" s="2110"/>
      <c r="R2" s="2110"/>
      <c r="S2" s="2110"/>
      <c r="T2" s="2110"/>
      <c r="U2" s="2110"/>
      <c r="V2" s="2110"/>
      <c r="W2" s="2110"/>
      <c r="X2" s="2110"/>
      <c r="Y2" s="2110"/>
      <c r="Z2" s="2110"/>
      <c r="AA2" s="2110"/>
      <c r="AB2" s="2110"/>
      <c r="AC2" s="2110"/>
      <c r="AD2" s="2110"/>
      <c r="AE2" s="2110"/>
      <c r="AF2" s="2110"/>
      <c r="AG2" s="2110"/>
      <c r="AH2" s="2110"/>
      <c r="AI2" s="2110"/>
      <c r="AJ2" s="2110"/>
      <c r="AK2" s="2110"/>
      <c r="AL2" s="2110"/>
      <c r="AM2" s="2110"/>
      <c r="AN2" s="2110"/>
      <c r="AO2" s="2110"/>
      <c r="AP2" s="2110"/>
      <c r="AQ2" s="2110"/>
      <c r="AR2" s="2110"/>
      <c r="AS2" s="2110"/>
      <c r="AT2" s="2110"/>
      <c r="AU2" s="751"/>
    </row>
    <row r="3" spans="1:64" s="541" customFormat="1" ht="19.5" customHeight="1">
      <c r="A3" s="2111" t="s">
        <v>2342</v>
      </c>
      <c r="B3" s="2111"/>
      <c r="C3" s="2111"/>
      <c r="D3" s="2111"/>
      <c r="E3" s="2111"/>
      <c r="F3" s="2111"/>
      <c r="G3" s="2111"/>
      <c r="H3" s="2111"/>
      <c r="I3" s="2111"/>
      <c r="J3" s="2111"/>
      <c r="K3" s="2111"/>
      <c r="L3" s="2111"/>
      <c r="M3" s="2111"/>
      <c r="N3" s="2111"/>
      <c r="O3" s="2111"/>
      <c r="P3" s="2111"/>
      <c r="Q3" s="2111"/>
      <c r="R3" s="2111"/>
      <c r="S3" s="2111"/>
      <c r="T3" s="2111"/>
      <c r="U3" s="2111"/>
      <c r="V3" s="2111"/>
      <c r="W3" s="2111"/>
      <c r="X3" s="2111"/>
      <c r="Y3" s="2111"/>
      <c r="Z3" s="2111"/>
      <c r="AA3" s="2111"/>
      <c r="AB3" s="2111"/>
      <c r="AC3" s="2111"/>
      <c r="AD3" s="2111"/>
      <c r="AE3" s="2111"/>
      <c r="AF3" s="2111"/>
      <c r="AG3" s="2111"/>
      <c r="AH3" s="2111"/>
      <c r="AI3" s="2111"/>
      <c r="AJ3" s="2111"/>
      <c r="AK3" s="2111"/>
      <c r="AL3" s="2111"/>
      <c r="AM3" s="2111"/>
      <c r="AN3" s="2111"/>
      <c r="AO3" s="2111"/>
      <c r="AP3" s="2111"/>
      <c r="AQ3" s="2111"/>
      <c r="AR3" s="2111"/>
      <c r="AS3" s="2111"/>
      <c r="AT3" s="2111"/>
      <c r="AU3" s="752"/>
    </row>
    <row r="4" spans="1:64" s="1040" customFormat="1" ht="20.25" customHeight="1">
      <c r="A4" s="1373" t="s">
        <v>280</v>
      </c>
      <c r="B4" s="1373"/>
      <c r="C4" s="2091" t="s">
        <v>2341</v>
      </c>
      <c r="D4" s="2092"/>
      <c r="E4" s="2092"/>
      <c r="F4" s="2092"/>
      <c r="G4" s="1373"/>
      <c r="H4" s="1373"/>
      <c r="I4" s="1373"/>
      <c r="J4" s="1373"/>
      <c r="K4" s="1373"/>
      <c r="L4" s="1373"/>
      <c r="M4" s="1373"/>
      <c r="N4" s="1373"/>
      <c r="O4" s="1373"/>
      <c r="P4" s="1373"/>
      <c r="Q4" s="1373"/>
      <c r="R4" s="1373"/>
      <c r="S4" s="1373"/>
      <c r="T4" s="1373"/>
      <c r="U4" s="1373"/>
      <c r="V4" s="1373"/>
      <c r="W4" s="1373"/>
      <c r="X4" s="1373"/>
      <c r="Y4" s="1373"/>
      <c r="Z4" s="1373"/>
      <c r="AA4" s="1373"/>
      <c r="AB4" s="1373"/>
      <c r="AC4" s="1373"/>
      <c r="AD4" s="1373"/>
      <c r="AE4" s="1373"/>
      <c r="AF4" s="1373"/>
      <c r="AG4" s="1373"/>
      <c r="AH4" s="1373"/>
      <c r="AI4" s="1373"/>
      <c r="AJ4" s="1373"/>
      <c r="AK4" s="1373"/>
      <c r="AL4" s="1373"/>
      <c r="AM4" s="1373"/>
      <c r="AN4" s="1373"/>
      <c r="AO4" s="1373"/>
      <c r="AP4" s="1373"/>
      <c r="AQ4" s="1373"/>
      <c r="AR4" s="1373"/>
      <c r="AS4" s="1373"/>
      <c r="AT4" s="1373"/>
      <c r="AU4" s="1372"/>
      <c r="AW4" s="2075" t="s">
        <v>472</v>
      </c>
      <c r="AX4" s="2075"/>
      <c r="AY4" s="2075"/>
      <c r="AZ4" s="2075"/>
      <c r="BA4" s="2075"/>
      <c r="BB4" s="2075"/>
      <c r="BC4" s="2075"/>
      <c r="BD4" s="2075"/>
      <c r="BE4" s="2075"/>
      <c r="BF4" s="2075"/>
    </row>
    <row r="5" spans="1:64" ht="69.95" customHeight="1">
      <c r="A5" s="722" t="s">
        <v>252</v>
      </c>
      <c r="B5" s="722" t="s">
        <v>253</v>
      </c>
      <c r="C5" s="722" t="s">
        <v>911</v>
      </c>
      <c r="D5" s="722" t="s">
        <v>254</v>
      </c>
      <c r="E5" s="643" t="s">
        <v>227</v>
      </c>
      <c r="F5" s="1145" t="s">
        <v>255</v>
      </c>
      <c r="G5" s="643" t="s">
        <v>256</v>
      </c>
      <c r="H5" s="2120" t="s">
        <v>1748</v>
      </c>
      <c r="I5" s="2094"/>
      <c r="J5" s="2095"/>
      <c r="K5" s="2120" t="s">
        <v>1744</v>
      </c>
      <c r="L5" s="2094"/>
      <c r="M5" s="2095"/>
      <c r="N5" s="2120" t="s">
        <v>1689</v>
      </c>
      <c r="O5" s="2094"/>
      <c r="P5" s="2095"/>
      <c r="Q5" s="2120" t="s">
        <v>1776</v>
      </c>
      <c r="R5" s="2094"/>
      <c r="S5" s="2095"/>
      <c r="T5" s="2117" t="s">
        <v>1777</v>
      </c>
      <c r="U5" s="2118"/>
      <c r="V5" s="2119"/>
      <c r="W5" s="2102" t="s">
        <v>1674</v>
      </c>
      <c r="X5" s="2103"/>
      <c r="Y5" s="2093" t="s">
        <v>1675</v>
      </c>
      <c r="Z5" s="2094"/>
      <c r="AA5" s="2095"/>
      <c r="AB5" s="2096" t="s">
        <v>1696</v>
      </c>
      <c r="AC5" s="1126" t="s">
        <v>258</v>
      </c>
      <c r="AD5" s="2098" t="s">
        <v>220</v>
      </c>
      <c r="AE5" s="1117" t="s">
        <v>1835</v>
      </c>
      <c r="AF5" s="2100" t="s">
        <v>1839</v>
      </c>
      <c r="AG5" s="1268" t="s">
        <v>1832</v>
      </c>
      <c r="AH5" s="2080" t="s">
        <v>1666</v>
      </c>
      <c r="AI5" s="2080" t="s">
        <v>1665</v>
      </c>
      <c r="AJ5" s="2076" t="s">
        <v>1653</v>
      </c>
      <c r="AK5" s="2078" t="s">
        <v>1654</v>
      </c>
      <c r="AL5" s="2114" t="s">
        <v>1667</v>
      </c>
      <c r="AM5" s="2084" t="s">
        <v>1668</v>
      </c>
      <c r="AN5" s="2121" t="s">
        <v>1719</v>
      </c>
      <c r="AO5" s="2116" t="s">
        <v>1713</v>
      </c>
      <c r="AP5" s="2089" t="s">
        <v>1805</v>
      </c>
      <c r="AQ5" s="2154" t="s">
        <v>1673</v>
      </c>
      <c r="AR5" s="2154"/>
      <c r="AS5" s="2155"/>
      <c r="AT5" s="2153" t="s">
        <v>1697</v>
      </c>
      <c r="AU5" s="543"/>
      <c r="AV5" s="501"/>
      <c r="AW5" s="2081" t="s">
        <v>219</v>
      </c>
      <c r="AX5" s="2082"/>
      <c r="AY5" s="2083"/>
      <c r="AZ5" s="1125"/>
      <c r="BA5" s="1125"/>
      <c r="BB5" s="2086"/>
      <c r="BC5" s="2086"/>
      <c r="BD5" s="2086"/>
      <c r="BE5" s="2086"/>
      <c r="BF5" s="2087"/>
      <c r="BH5" s="690" t="s">
        <v>789</v>
      </c>
      <c r="BI5" s="2156" t="s">
        <v>568</v>
      </c>
      <c r="BJ5" s="2156" t="s">
        <v>569</v>
      </c>
      <c r="BK5" s="2156" t="s">
        <v>570</v>
      </c>
      <c r="BL5" s="2158" t="s">
        <v>713</v>
      </c>
    </row>
    <row r="6" spans="1:64" ht="99.95" customHeight="1">
      <c r="A6" s="725" t="s">
        <v>111</v>
      </c>
      <c r="B6" s="725" t="s">
        <v>1640</v>
      </c>
      <c r="C6" s="1122" t="s">
        <v>1693</v>
      </c>
      <c r="D6" s="1122" t="s">
        <v>1694</v>
      </c>
      <c r="E6" s="607" t="s">
        <v>1695</v>
      </c>
      <c r="F6" s="1124" t="s">
        <v>1641</v>
      </c>
      <c r="G6" s="607" t="s">
        <v>1656</v>
      </c>
      <c r="H6" s="545" t="s">
        <v>1657</v>
      </c>
      <c r="I6" s="546" t="s">
        <v>1658</v>
      </c>
      <c r="J6" s="546" t="s">
        <v>1644</v>
      </c>
      <c r="K6" s="547" t="s">
        <v>1645</v>
      </c>
      <c r="L6" s="546" t="s">
        <v>1659</v>
      </c>
      <c r="M6" s="546" t="s">
        <v>1662</v>
      </c>
      <c r="N6" s="547" t="s">
        <v>1660</v>
      </c>
      <c r="O6" s="546" t="s">
        <v>1680</v>
      </c>
      <c r="P6" s="546" t="s">
        <v>1662</v>
      </c>
      <c r="Q6" s="547" t="s">
        <v>1660</v>
      </c>
      <c r="R6" s="546" t="s">
        <v>1659</v>
      </c>
      <c r="S6" s="546" t="s">
        <v>1646</v>
      </c>
      <c r="T6" s="1132" t="s">
        <v>1682</v>
      </c>
      <c r="U6" s="546" t="s">
        <v>1661</v>
      </c>
      <c r="V6" s="546" t="s">
        <v>1662</v>
      </c>
      <c r="W6" s="546" t="s">
        <v>1683</v>
      </c>
      <c r="X6" s="546" t="s">
        <v>1663</v>
      </c>
      <c r="Y6" s="546" t="s">
        <v>1649</v>
      </c>
      <c r="Z6" s="546" t="s">
        <v>1661</v>
      </c>
      <c r="AA6" s="546" t="s">
        <v>1711</v>
      </c>
      <c r="AB6" s="2097"/>
      <c r="AC6" s="1127" t="s">
        <v>1651</v>
      </c>
      <c r="AD6" s="2099"/>
      <c r="AE6" s="1118" t="s">
        <v>1678</v>
      </c>
      <c r="AF6" s="2101"/>
      <c r="AG6" s="1269" t="s">
        <v>1833</v>
      </c>
      <c r="AH6" s="2077"/>
      <c r="AI6" s="2077"/>
      <c r="AJ6" s="2077"/>
      <c r="AK6" s="2079"/>
      <c r="AL6" s="2115"/>
      <c r="AM6" s="2085"/>
      <c r="AN6" s="2122"/>
      <c r="AO6" s="2116"/>
      <c r="AP6" s="2090"/>
      <c r="AQ6" s="1135" t="s">
        <v>1714</v>
      </c>
      <c r="AR6" s="1134" t="s">
        <v>1715</v>
      </c>
      <c r="AS6" s="1136" t="s">
        <v>1716</v>
      </c>
      <c r="AT6" s="2153"/>
      <c r="AU6" s="543"/>
      <c r="AV6" s="501"/>
      <c r="AW6" s="539" t="s">
        <v>215</v>
      </c>
      <c r="AX6" s="539" t="s">
        <v>217</v>
      </c>
      <c r="AY6" s="1113" t="s">
        <v>125</v>
      </c>
      <c r="AZ6" s="502" t="s">
        <v>721</v>
      </c>
      <c r="BA6" s="502" t="s">
        <v>722</v>
      </c>
      <c r="BB6" s="548" t="s">
        <v>726</v>
      </c>
      <c r="BC6" s="548" t="s">
        <v>724</v>
      </c>
      <c r="BD6" s="548" t="s">
        <v>725</v>
      </c>
      <c r="BE6" s="548" t="s">
        <v>215</v>
      </c>
      <c r="BF6" s="549" t="s">
        <v>125</v>
      </c>
      <c r="BH6" s="730" t="s">
        <v>761</v>
      </c>
      <c r="BI6" s="2157"/>
      <c r="BJ6" s="2157"/>
      <c r="BK6" s="2157"/>
      <c r="BL6" s="2159"/>
    </row>
    <row r="7" spans="1:64" s="768" customFormat="1" ht="45.75" customHeight="1">
      <c r="A7" s="1389">
        <v>1</v>
      </c>
      <c r="B7" s="1595" t="s">
        <v>1159</v>
      </c>
      <c r="C7" s="1855" t="s">
        <v>492</v>
      </c>
      <c r="D7" s="1851">
        <v>41316</v>
      </c>
      <c r="E7" s="1151" t="s">
        <v>260</v>
      </c>
      <c r="F7" s="1856">
        <f>13+149+17+12+8+2+3</f>
        <v>204</v>
      </c>
      <c r="G7" s="758">
        <f>2</f>
        <v>2</v>
      </c>
      <c r="H7" s="1388">
        <v>22</v>
      </c>
      <c r="I7" s="1409">
        <f>F7/26*H7</f>
        <v>172.61538461538461</v>
      </c>
      <c r="J7" s="788">
        <f t="shared" ref="J7:J38" si="0">F7/26*H7</f>
        <v>172.61538461538461</v>
      </c>
      <c r="K7" s="1388">
        <v>30</v>
      </c>
      <c r="L7" s="761">
        <f t="shared" ref="L7:L38" si="1">F7/26/8*1.5</f>
        <v>1.471153846153846</v>
      </c>
      <c r="M7" s="788">
        <f t="shared" ref="M7:M38" si="2">K7*L7</f>
        <v>44.13461538461538</v>
      </c>
      <c r="N7" s="1388">
        <v>0</v>
      </c>
      <c r="O7" s="761">
        <f t="shared" ref="O7:O38" si="3">F7/26/8*2</f>
        <v>1.9615384615384615</v>
      </c>
      <c r="P7" s="760">
        <f>N7*O7</f>
        <v>0</v>
      </c>
      <c r="Q7" s="1388">
        <v>16</v>
      </c>
      <c r="R7" s="761">
        <f t="shared" ref="R7:R38" si="4">F7/26/8*2</f>
        <v>1.9615384615384615</v>
      </c>
      <c r="S7" s="788">
        <f t="shared" ref="S7:S38" si="5">R7*Q7</f>
        <v>31.384615384615383</v>
      </c>
      <c r="T7" s="1388">
        <v>5</v>
      </c>
      <c r="U7" s="761">
        <f t="shared" ref="U7:U38" si="6">F7/26</f>
        <v>7.8461538461538458</v>
      </c>
      <c r="V7" s="788">
        <f t="shared" ref="V7:V38" si="7">U7*T7</f>
        <v>39.230769230769226</v>
      </c>
      <c r="W7" s="1388">
        <v>0</v>
      </c>
      <c r="X7" s="788">
        <f>'S3 Salary'!T8*'S3'!W7</f>
        <v>0</v>
      </c>
      <c r="Y7" s="1388">
        <v>0</v>
      </c>
      <c r="Z7" s="761">
        <f t="shared" ref="Z7:Z38" si="8">F7/26/2</f>
        <v>3.9230769230769229</v>
      </c>
      <c r="AA7" s="788">
        <f t="shared" ref="AA7:AA38" si="9">Y7*Z7</f>
        <v>0</v>
      </c>
      <c r="AB7" s="1388">
        <v>0</v>
      </c>
      <c r="AC7" s="1468">
        <f t="shared" ref="AC7:AC38" si="10">H7+T7+Y7+AB7+W7</f>
        <v>27</v>
      </c>
      <c r="AD7" s="1726">
        <v>0</v>
      </c>
      <c r="AE7" s="1121">
        <v>0</v>
      </c>
      <c r="AF7" s="1413">
        <f>4+1</f>
        <v>5</v>
      </c>
      <c r="AG7" s="762">
        <v>0</v>
      </c>
      <c r="AH7" s="788">
        <v>10</v>
      </c>
      <c r="AI7" s="788">
        <v>11</v>
      </c>
      <c r="AJ7" s="788">
        <v>10</v>
      </c>
      <c r="AK7" s="788">
        <v>10</v>
      </c>
      <c r="AL7" s="1325">
        <f t="shared" ref="AL7:AL38" si="11">G7+J7+M7+P7+S7+V7+AA7+AD7+AF7+AH7+AI7+AJ7+AK7+X7+AE7+AG7</f>
        <v>335.36538461538464</v>
      </c>
      <c r="AM7" s="1280">
        <v>0</v>
      </c>
      <c r="AN7" s="1056">
        <v>102</v>
      </c>
      <c r="AO7" s="1097">
        <f>'Tax Calulation  '!P7</f>
        <v>0</v>
      </c>
      <c r="AP7" s="1097">
        <f>'Tax Calulation  '!W7</f>
        <v>5.9084194977843429</v>
      </c>
      <c r="AQ7" s="1687">
        <f t="shared" ref="AQ7:AQ38" si="12">AL7-AO7-AN7-AP7-AM7</f>
        <v>227.4569651176003</v>
      </c>
      <c r="AR7" s="1685">
        <f>ROUND((AQ7-AS7)*4040,-2)</f>
        <v>110900</v>
      </c>
      <c r="AS7" s="1684">
        <f t="shared" ref="AS7:AS37" si="13">CEILING(AQ7,(100))-100</f>
        <v>200</v>
      </c>
      <c r="AT7" s="612"/>
      <c r="AU7" s="763"/>
      <c r="AV7" s="764">
        <f>(J7+M7+P7+S7+V7+AA7+AH7+AI7+AJ7+AK7)*4000</f>
        <v>1313461.5384615385</v>
      </c>
      <c r="AW7" s="612">
        <f t="shared" ref="AW7:AW38" si="14">INT(AS7/100)</f>
        <v>2</v>
      </c>
      <c r="AX7" s="612">
        <f t="shared" ref="AX7:AX38" si="15">INT((AS7-AW7*100)/50)</f>
        <v>0</v>
      </c>
      <c r="AY7" s="765">
        <f t="shared" ref="AY7:AY38" si="16">AW7*100+AX7*50</f>
        <v>200</v>
      </c>
      <c r="AZ7" s="765">
        <f t="shared" ref="AZ7:AZ38" si="17">INT((AR7/50000))</f>
        <v>2</v>
      </c>
      <c r="BA7" s="766">
        <f t="shared" ref="BA7:BA38" si="18">INT((AR7-AZ7*50000)/10000)</f>
        <v>1</v>
      </c>
      <c r="BB7" s="766">
        <f t="shared" ref="BB7:BB38" si="19">INT((AR7-AZ7*50000-BA7*10000)/5000)</f>
        <v>0</v>
      </c>
      <c r="BC7" s="766">
        <f t="shared" ref="BC7:BC38" si="20">INT((AR7-AZ7*50000-BA7*10000-BB7*5000)/1000)</f>
        <v>0</v>
      </c>
      <c r="BD7" s="766">
        <f t="shared" ref="BD7:BD38" si="21">INT((AR7-AZ7*50000-BA7*10000-BB7*5000-BC7*1000)/500)</f>
        <v>1</v>
      </c>
      <c r="BE7" s="766">
        <f t="shared" ref="BE7:BE38" si="22">INT((AR7-AZ7*50000-BA7*10000-BB7*5000-BC7*1000-BD7*500)/100)</f>
        <v>4</v>
      </c>
      <c r="BF7" s="767">
        <f t="shared" ref="BF7:BF38" si="23">AZ7*50000+BA7*10000+BB7*5000+BC7*1000+BD7*500+BE7*100</f>
        <v>110900</v>
      </c>
      <c r="BH7" s="625" t="s">
        <v>781</v>
      </c>
      <c r="BI7" s="625" t="s">
        <v>573</v>
      </c>
      <c r="BJ7" s="1155">
        <v>29024</v>
      </c>
      <c r="BK7" s="625" t="s">
        <v>599</v>
      </c>
      <c r="BL7" s="787">
        <v>30827065</v>
      </c>
    </row>
    <row r="8" spans="1:64" s="755" customFormat="1" ht="45.75" customHeight="1">
      <c r="A8" s="1389">
        <v>2</v>
      </c>
      <c r="B8" s="1415" t="s">
        <v>1967</v>
      </c>
      <c r="C8" s="1153" t="s">
        <v>1968</v>
      </c>
      <c r="D8" s="1841">
        <v>45119</v>
      </c>
      <c r="E8" s="1637" t="s">
        <v>260</v>
      </c>
      <c r="F8" s="1857">
        <f>200+4</f>
        <v>204</v>
      </c>
      <c r="G8" s="617"/>
      <c r="H8" s="1388">
        <v>22</v>
      </c>
      <c r="I8" s="1409">
        <f t="shared" ref="I8:I38" si="24">F8/26*H8</f>
        <v>172.61538461538461</v>
      </c>
      <c r="J8" s="788">
        <f t="shared" si="0"/>
        <v>172.61538461538461</v>
      </c>
      <c r="K8" s="1388">
        <v>68</v>
      </c>
      <c r="L8" s="761">
        <f t="shared" si="1"/>
        <v>1.471153846153846</v>
      </c>
      <c r="M8" s="788">
        <f t="shared" si="2"/>
        <v>100.03846153846153</v>
      </c>
      <c r="N8" s="1388">
        <v>0</v>
      </c>
      <c r="O8" s="761">
        <f t="shared" si="3"/>
        <v>1.9615384615384615</v>
      </c>
      <c r="P8" s="503">
        <f t="shared" ref="P8:P9" si="25">N8*O8</f>
        <v>0</v>
      </c>
      <c r="Q8" s="1388">
        <v>20</v>
      </c>
      <c r="R8" s="761">
        <f t="shared" si="4"/>
        <v>1.9615384615384615</v>
      </c>
      <c r="S8" s="618">
        <f t="shared" si="5"/>
        <v>39.230769230769226</v>
      </c>
      <c r="T8" s="1388">
        <v>5</v>
      </c>
      <c r="U8" s="761">
        <f t="shared" si="6"/>
        <v>7.8461538461538458</v>
      </c>
      <c r="V8" s="788">
        <f t="shared" si="7"/>
        <v>39.230769230769226</v>
      </c>
      <c r="W8" s="1388">
        <v>0</v>
      </c>
      <c r="X8" s="788">
        <f>'S3 Salary'!T9*'S3'!W8</f>
        <v>0</v>
      </c>
      <c r="Y8" s="1388">
        <v>0</v>
      </c>
      <c r="Z8" s="510">
        <f t="shared" si="8"/>
        <v>3.9230769230769229</v>
      </c>
      <c r="AA8" s="788">
        <f t="shared" si="9"/>
        <v>0</v>
      </c>
      <c r="AB8" s="1388">
        <v>0</v>
      </c>
      <c r="AC8" s="1468">
        <f t="shared" si="10"/>
        <v>27</v>
      </c>
      <c r="AD8" s="1726">
        <v>0</v>
      </c>
      <c r="AE8" s="1121">
        <v>0</v>
      </c>
      <c r="AF8" s="1412">
        <v>10</v>
      </c>
      <c r="AG8" s="511">
        <v>5</v>
      </c>
      <c r="AH8" s="788">
        <v>10</v>
      </c>
      <c r="AI8" s="618">
        <v>2</v>
      </c>
      <c r="AJ8" s="788">
        <v>10</v>
      </c>
      <c r="AK8" s="788">
        <v>10</v>
      </c>
      <c r="AL8" s="1325">
        <f t="shared" si="11"/>
        <v>398.11538461538458</v>
      </c>
      <c r="AM8" s="1278">
        <v>0</v>
      </c>
      <c r="AN8" s="1056">
        <v>102</v>
      </c>
      <c r="AO8" s="1097">
        <f>'Tax Calulation  '!P8</f>
        <v>0</v>
      </c>
      <c r="AP8" s="1097">
        <f>'Tax Calulation  '!W8</f>
        <v>5.9084194977843429</v>
      </c>
      <c r="AQ8" s="1687">
        <f t="shared" si="12"/>
        <v>290.20696511760025</v>
      </c>
      <c r="AR8" s="1685">
        <f t="shared" ref="AR8:AR38" si="26">ROUND((AQ8-AS8)*4040,-2)</f>
        <v>364400</v>
      </c>
      <c r="AS8" s="1683">
        <f t="shared" ref="AS8:AS9" si="27">CEILING(AQ8,(100))-100</f>
        <v>200</v>
      </c>
      <c r="AT8" s="502"/>
      <c r="AU8" s="504"/>
      <c r="AV8" s="505"/>
      <c r="AW8" s="502">
        <f t="shared" ref="AW8:AW9" si="28">INT(AS8/100)</f>
        <v>2</v>
      </c>
      <c r="AX8" s="502">
        <f t="shared" ref="AX8:AX9" si="29">INT((AS8-AW8*100)/50)</f>
        <v>0</v>
      </c>
      <c r="AY8" s="1113">
        <f t="shared" ref="AY8:AY9" si="30">AW8*100+AX8*50</f>
        <v>200</v>
      </c>
      <c r="AZ8" s="1113">
        <f t="shared" ref="AZ8:AZ9" si="31">INT((AR8/50000))</f>
        <v>7</v>
      </c>
      <c r="BA8" s="548">
        <f t="shared" ref="BA8:BA9" si="32">INT((AR8-AZ8*50000)/10000)</f>
        <v>1</v>
      </c>
      <c r="BB8" s="548">
        <f t="shared" ref="BB8:BB9" si="33">INT((AR8-AZ8*50000-BA8*10000)/5000)</f>
        <v>0</v>
      </c>
      <c r="BC8" s="548">
        <f t="shared" ref="BC8:BC9" si="34">INT((AR8-AZ8*50000-BA8*10000-BB8*5000)/1000)</f>
        <v>4</v>
      </c>
      <c r="BD8" s="548">
        <f t="shared" ref="BD8:BD9" si="35">INT((AR8-AZ8*50000-BA8*10000-BB8*5000-BC8*1000)/500)</f>
        <v>0</v>
      </c>
      <c r="BE8" s="548">
        <f t="shared" ref="BE8:BE9" si="36">INT((AR8-AZ8*50000-BA8*10000-BB8*5000-BC8*1000-BD8*500)/100)</f>
        <v>4</v>
      </c>
      <c r="BF8" s="549">
        <f t="shared" ref="BF8:BF9" si="37">AZ8*50000+BA8*10000+BB8*5000+BC8*1000+BD8*500+BE8*100</f>
        <v>364400</v>
      </c>
      <c r="BH8" s="958" t="s">
        <v>1973</v>
      </c>
      <c r="BI8" s="691" t="s">
        <v>573</v>
      </c>
      <c r="BJ8" s="728">
        <v>35563</v>
      </c>
      <c r="BK8" s="1449" t="s">
        <v>1971</v>
      </c>
      <c r="BL8" s="1778" t="s">
        <v>1990</v>
      </c>
    </row>
    <row r="9" spans="1:64" s="755" customFormat="1" ht="45.75" customHeight="1">
      <c r="A9" s="1389">
        <v>3</v>
      </c>
      <c r="B9" s="1415" t="s">
        <v>1969</v>
      </c>
      <c r="C9" s="1153" t="s">
        <v>1970</v>
      </c>
      <c r="D9" s="1841">
        <v>45119</v>
      </c>
      <c r="E9" s="1637" t="s">
        <v>260</v>
      </c>
      <c r="F9" s="1857">
        <f>200+4</f>
        <v>204</v>
      </c>
      <c r="G9" s="617"/>
      <c r="H9" s="1388">
        <v>22</v>
      </c>
      <c r="I9" s="1409">
        <f t="shared" si="24"/>
        <v>172.61538461538461</v>
      </c>
      <c r="J9" s="788">
        <f t="shared" si="0"/>
        <v>172.61538461538461</v>
      </c>
      <c r="K9" s="1388">
        <v>58</v>
      </c>
      <c r="L9" s="761">
        <f t="shared" si="1"/>
        <v>1.471153846153846</v>
      </c>
      <c r="M9" s="788">
        <f t="shared" si="2"/>
        <v>85.326923076923066</v>
      </c>
      <c r="N9" s="1388">
        <v>0</v>
      </c>
      <c r="O9" s="761">
        <f t="shared" si="3"/>
        <v>1.9615384615384615</v>
      </c>
      <c r="P9" s="503">
        <f t="shared" si="25"/>
        <v>0</v>
      </c>
      <c r="Q9" s="1388">
        <v>20</v>
      </c>
      <c r="R9" s="761">
        <f t="shared" si="4"/>
        <v>1.9615384615384615</v>
      </c>
      <c r="S9" s="618">
        <f t="shared" si="5"/>
        <v>39.230769230769226</v>
      </c>
      <c r="T9" s="1388">
        <v>5</v>
      </c>
      <c r="U9" s="761">
        <f t="shared" si="6"/>
        <v>7.8461538461538458</v>
      </c>
      <c r="V9" s="788">
        <f t="shared" si="7"/>
        <v>39.230769230769226</v>
      </c>
      <c r="W9" s="1388">
        <v>0</v>
      </c>
      <c r="X9" s="788">
        <f>'S3 Salary'!T10*'S3'!W9</f>
        <v>0</v>
      </c>
      <c r="Y9" s="1388">
        <v>0</v>
      </c>
      <c r="Z9" s="510">
        <f t="shared" si="8"/>
        <v>3.9230769230769229</v>
      </c>
      <c r="AA9" s="788">
        <f t="shared" si="9"/>
        <v>0</v>
      </c>
      <c r="AB9" s="1388">
        <v>0</v>
      </c>
      <c r="AC9" s="1468">
        <f t="shared" si="10"/>
        <v>27</v>
      </c>
      <c r="AD9" s="1726">
        <v>0</v>
      </c>
      <c r="AE9" s="1121">
        <v>0</v>
      </c>
      <c r="AF9" s="1412">
        <v>10</v>
      </c>
      <c r="AG9" s="511">
        <v>5</v>
      </c>
      <c r="AH9" s="788">
        <v>10</v>
      </c>
      <c r="AI9" s="618">
        <v>2</v>
      </c>
      <c r="AJ9" s="788">
        <v>10</v>
      </c>
      <c r="AK9" s="788">
        <v>10</v>
      </c>
      <c r="AL9" s="1325">
        <f t="shared" si="11"/>
        <v>383.40384615384613</v>
      </c>
      <c r="AM9" s="1278">
        <v>0</v>
      </c>
      <c r="AN9" s="1056">
        <v>102</v>
      </c>
      <c r="AO9" s="1097">
        <f>'Tax Calulation  '!P9</f>
        <v>0</v>
      </c>
      <c r="AP9" s="1097">
        <f>'Tax Calulation  '!W9</f>
        <v>5.9084194977843429</v>
      </c>
      <c r="AQ9" s="1687">
        <f t="shared" si="12"/>
        <v>275.4954266560618</v>
      </c>
      <c r="AR9" s="1685">
        <f t="shared" si="26"/>
        <v>305000</v>
      </c>
      <c r="AS9" s="1683">
        <f t="shared" si="27"/>
        <v>200</v>
      </c>
      <c r="AT9" s="502"/>
      <c r="AU9" s="504"/>
      <c r="AV9" s="505"/>
      <c r="AW9" s="502">
        <f t="shared" si="28"/>
        <v>2</v>
      </c>
      <c r="AX9" s="502">
        <f t="shared" si="29"/>
        <v>0</v>
      </c>
      <c r="AY9" s="1113">
        <f t="shared" si="30"/>
        <v>200</v>
      </c>
      <c r="AZ9" s="1113">
        <f t="shared" si="31"/>
        <v>6</v>
      </c>
      <c r="BA9" s="548">
        <f t="shared" si="32"/>
        <v>0</v>
      </c>
      <c r="BB9" s="548">
        <f t="shared" si="33"/>
        <v>1</v>
      </c>
      <c r="BC9" s="548">
        <f t="shared" si="34"/>
        <v>0</v>
      </c>
      <c r="BD9" s="548">
        <f t="shared" si="35"/>
        <v>0</v>
      </c>
      <c r="BE9" s="548">
        <f t="shared" si="36"/>
        <v>0</v>
      </c>
      <c r="BF9" s="549">
        <f t="shared" si="37"/>
        <v>305000</v>
      </c>
      <c r="BH9" s="958" t="s">
        <v>1974</v>
      </c>
      <c r="BI9" s="731" t="s">
        <v>573</v>
      </c>
      <c r="BJ9" s="728">
        <v>32948</v>
      </c>
      <c r="BK9" s="1449" t="s">
        <v>1972</v>
      </c>
      <c r="BL9" s="1778" t="s">
        <v>1991</v>
      </c>
    </row>
    <row r="10" spans="1:64" s="755" customFormat="1" ht="45.75" customHeight="1">
      <c r="A10" s="1389">
        <v>4</v>
      </c>
      <c r="B10" s="1415" t="s">
        <v>1995</v>
      </c>
      <c r="C10" s="1153" t="s">
        <v>1996</v>
      </c>
      <c r="D10" s="1841">
        <v>45125</v>
      </c>
      <c r="E10" s="1637" t="s">
        <v>260</v>
      </c>
      <c r="F10" s="1857">
        <f>200+4</f>
        <v>204</v>
      </c>
      <c r="G10" s="617"/>
      <c r="H10" s="1388">
        <v>21</v>
      </c>
      <c r="I10" s="1409">
        <f t="shared" si="24"/>
        <v>164.76923076923077</v>
      </c>
      <c r="J10" s="788">
        <f t="shared" si="0"/>
        <v>164.76923076923077</v>
      </c>
      <c r="K10" s="1388">
        <v>60</v>
      </c>
      <c r="L10" s="761">
        <f t="shared" si="1"/>
        <v>1.471153846153846</v>
      </c>
      <c r="M10" s="788">
        <f t="shared" si="2"/>
        <v>88.269230769230759</v>
      </c>
      <c r="N10" s="1388">
        <v>0</v>
      </c>
      <c r="O10" s="761">
        <f t="shared" si="3"/>
        <v>1.9615384615384615</v>
      </c>
      <c r="P10" s="503">
        <f t="shared" ref="P10" si="38">N10*O10</f>
        <v>0</v>
      </c>
      <c r="Q10" s="1388">
        <v>24</v>
      </c>
      <c r="R10" s="761">
        <f t="shared" si="4"/>
        <v>1.9615384615384615</v>
      </c>
      <c r="S10" s="618">
        <f t="shared" si="5"/>
        <v>47.076923076923073</v>
      </c>
      <c r="T10" s="1388">
        <v>5</v>
      </c>
      <c r="U10" s="761">
        <f t="shared" si="6"/>
        <v>7.8461538461538458</v>
      </c>
      <c r="V10" s="788">
        <f t="shared" si="7"/>
        <v>39.230769230769226</v>
      </c>
      <c r="W10" s="1388">
        <v>1</v>
      </c>
      <c r="X10" s="788">
        <f>'S3 Salary'!T11*'S3'!W10</f>
        <v>11.466020670167939</v>
      </c>
      <c r="Y10" s="1388">
        <v>0</v>
      </c>
      <c r="Z10" s="510">
        <f t="shared" si="8"/>
        <v>3.9230769230769229</v>
      </c>
      <c r="AA10" s="788">
        <f t="shared" si="9"/>
        <v>0</v>
      </c>
      <c r="AB10" s="1388">
        <v>0</v>
      </c>
      <c r="AC10" s="1468">
        <f t="shared" si="10"/>
        <v>27</v>
      </c>
      <c r="AD10" s="1726">
        <v>0</v>
      </c>
      <c r="AE10" s="1121">
        <v>0</v>
      </c>
      <c r="AF10" s="1412">
        <v>10</v>
      </c>
      <c r="AG10" s="511">
        <v>0</v>
      </c>
      <c r="AH10" s="788">
        <v>10</v>
      </c>
      <c r="AI10" s="618">
        <v>2</v>
      </c>
      <c r="AJ10" s="788">
        <v>10</v>
      </c>
      <c r="AK10" s="788">
        <v>10</v>
      </c>
      <c r="AL10" s="1325">
        <f t="shared" si="11"/>
        <v>392.81217451632182</v>
      </c>
      <c r="AM10" s="1278">
        <v>0</v>
      </c>
      <c r="AN10" s="1056">
        <v>102</v>
      </c>
      <c r="AO10" s="1097">
        <f>'Tax Calulation  '!P10</f>
        <v>0</v>
      </c>
      <c r="AP10" s="1097">
        <f>'Tax Calulation  '!W10</f>
        <v>5.9084194977843429</v>
      </c>
      <c r="AQ10" s="1687">
        <f t="shared" si="12"/>
        <v>284.90375501853748</v>
      </c>
      <c r="AR10" s="1685">
        <f t="shared" si="26"/>
        <v>343000</v>
      </c>
      <c r="AS10" s="1683">
        <f t="shared" ref="AS10" si="39">CEILING(AQ10,(100))-100</f>
        <v>200</v>
      </c>
      <c r="AT10" s="502"/>
      <c r="AU10" s="504"/>
      <c r="AV10" s="505"/>
      <c r="AW10" s="502">
        <f t="shared" ref="AW10" si="40">INT(AS10/100)</f>
        <v>2</v>
      </c>
      <c r="AX10" s="502">
        <f t="shared" ref="AX10" si="41">INT((AS10-AW10*100)/50)</f>
        <v>0</v>
      </c>
      <c r="AY10" s="1113">
        <f t="shared" ref="AY10" si="42">AW10*100+AX10*50</f>
        <v>200</v>
      </c>
      <c r="AZ10" s="1113">
        <f t="shared" ref="AZ10" si="43">INT((AR10/50000))</f>
        <v>6</v>
      </c>
      <c r="BA10" s="548">
        <f t="shared" ref="BA10" si="44">INT((AR10-AZ10*50000)/10000)</f>
        <v>4</v>
      </c>
      <c r="BB10" s="548">
        <f t="shared" ref="BB10" si="45">INT((AR10-AZ10*50000-BA10*10000)/5000)</f>
        <v>0</v>
      </c>
      <c r="BC10" s="548">
        <f t="shared" ref="BC10" si="46">INT((AR10-AZ10*50000-BA10*10000-BB10*5000)/1000)</f>
        <v>3</v>
      </c>
      <c r="BD10" s="548">
        <f t="shared" ref="BD10" si="47">INT((AR10-AZ10*50000-BA10*10000-BB10*5000-BC10*1000)/500)</f>
        <v>0</v>
      </c>
      <c r="BE10" s="548">
        <f t="shared" ref="BE10" si="48">INT((AR10-AZ10*50000-BA10*10000-BB10*5000-BC10*1000-BD10*500)/100)</f>
        <v>0</v>
      </c>
      <c r="BF10" s="549">
        <f t="shared" ref="BF10" si="49">AZ10*50000+BA10*10000+BB10*5000+BC10*1000+BD10*500+BE10*100</f>
        <v>343000</v>
      </c>
      <c r="BH10" s="973" t="s">
        <v>1994</v>
      </c>
      <c r="BI10" s="731" t="s">
        <v>573</v>
      </c>
      <c r="BJ10" s="530">
        <v>30985</v>
      </c>
      <c r="BK10" s="1459" t="s">
        <v>1992</v>
      </c>
      <c r="BL10" s="1778" t="s">
        <v>1993</v>
      </c>
    </row>
    <row r="11" spans="1:64" s="755" customFormat="1" ht="45.75" customHeight="1">
      <c r="A11" s="1389">
        <v>5</v>
      </c>
      <c r="B11" s="1415" t="s">
        <v>2216</v>
      </c>
      <c r="C11" s="1153" t="s">
        <v>2214</v>
      </c>
      <c r="D11" s="1763">
        <v>45460</v>
      </c>
      <c r="E11" s="1637" t="s">
        <v>260</v>
      </c>
      <c r="F11" s="1857">
        <v>204</v>
      </c>
      <c r="G11" s="617"/>
      <c r="H11" s="1388">
        <v>22</v>
      </c>
      <c r="I11" s="1409">
        <f t="shared" si="24"/>
        <v>172.61538461538461</v>
      </c>
      <c r="J11" s="788">
        <f t="shared" si="0"/>
        <v>172.61538461538461</v>
      </c>
      <c r="K11" s="1388">
        <v>62</v>
      </c>
      <c r="L11" s="761">
        <f t="shared" si="1"/>
        <v>1.471153846153846</v>
      </c>
      <c r="M11" s="788">
        <f t="shared" si="2"/>
        <v>91.211538461538453</v>
      </c>
      <c r="N11" s="1388">
        <v>0</v>
      </c>
      <c r="O11" s="761">
        <f t="shared" si="3"/>
        <v>1.9615384615384615</v>
      </c>
      <c r="P11" s="503">
        <f t="shared" ref="P11" si="50">N11*O11</f>
        <v>0</v>
      </c>
      <c r="Q11" s="1388">
        <v>24</v>
      </c>
      <c r="R11" s="761">
        <f t="shared" si="4"/>
        <v>1.9615384615384615</v>
      </c>
      <c r="S11" s="618">
        <f t="shared" ref="S11" si="51">R11*Q11</f>
        <v>47.076923076923073</v>
      </c>
      <c r="T11" s="1388">
        <v>5</v>
      </c>
      <c r="U11" s="761">
        <f t="shared" si="6"/>
        <v>7.8461538461538458</v>
      </c>
      <c r="V11" s="788">
        <f t="shared" si="7"/>
        <v>39.230769230769226</v>
      </c>
      <c r="W11" s="1388">
        <v>0</v>
      </c>
      <c r="X11" s="788">
        <f>'S3 Salary'!T12*'S3'!W11</f>
        <v>0</v>
      </c>
      <c r="Y11" s="1388">
        <v>0</v>
      </c>
      <c r="Z11" s="510">
        <f t="shared" ref="Z11" si="52">F11/26/2</f>
        <v>3.9230769230769229</v>
      </c>
      <c r="AA11" s="788">
        <f t="shared" ref="AA11" si="53">Y11*Z11</f>
        <v>0</v>
      </c>
      <c r="AB11" s="1388">
        <v>0</v>
      </c>
      <c r="AC11" s="1468">
        <f t="shared" si="10"/>
        <v>27</v>
      </c>
      <c r="AD11" s="1726">
        <f>(236.42+266.21+22.52+390.13)*0.05</f>
        <v>45.764000000000003</v>
      </c>
      <c r="AE11" s="1121">
        <v>0</v>
      </c>
      <c r="AF11" s="1412">
        <v>10</v>
      </c>
      <c r="AG11" s="511">
        <v>0</v>
      </c>
      <c r="AH11" s="788">
        <v>10</v>
      </c>
      <c r="AI11" s="618">
        <v>0</v>
      </c>
      <c r="AJ11" s="788">
        <v>10</v>
      </c>
      <c r="AK11" s="788">
        <v>10</v>
      </c>
      <c r="AL11" s="1325">
        <f t="shared" si="11"/>
        <v>435.89861538461543</v>
      </c>
      <c r="AM11" s="1278">
        <v>0</v>
      </c>
      <c r="AN11" s="1056">
        <v>102</v>
      </c>
      <c r="AO11" s="1097">
        <f>'Tax Calulation  '!P11</f>
        <v>0</v>
      </c>
      <c r="AP11" s="1097">
        <f>'Tax Calulation  '!W11</f>
        <v>5.9084194977843429</v>
      </c>
      <c r="AQ11" s="1687">
        <f t="shared" si="12"/>
        <v>327.99019588683109</v>
      </c>
      <c r="AR11" s="1685">
        <f t="shared" si="26"/>
        <v>113100</v>
      </c>
      <c r="AS11" s="1683">
        <f t="shared" ref="AS11" si="54">CEILING(AQ11,(100))-100</f>
        <v>300</v>
      </c>
      <c r="AT11" s="502"/>
      <c r="AU11" s="504"/>
      <c r="AV11" s="505"/>
      <c r="AW11" s="502">
        <f t="shared" ref="AW11" si="55">INT(AS11/100)</f>
        <v>3</v>
      </c>
      <c r="AX11" s="502">
        <f t="shared" ref="AX11" si="56">INT((AS11-AW11*100)/50)</f>
        <v>0</v>
      </c>
      <c r="AY11" s="1113">
        <f t="shared" ref="AY11" si="57">AW11*100+AX11*50</f>
        <v>300</v>
      </c>
      <c r="AZ11" s="1113">
        <f t="shared" ref="AZ11" si="58">INT((AR11/50000))</f>
        <v>2</v>
      </c>
      <c r="BA11" s="548">
        <f t="shared" ref="BA11" si="59">INT((AR11-AZ11*50000)/10000)</f>
        <v>1</v>
      </c>
      <c r="BB11" s="548">
        <f t="shared" ref="BB11" si="60">INT((AR11-AZ11*50000-BA11*10000)/5000)</f>
        <v>0</v>
      </c>
      <c r="BC11" s="548">
        <f t="shared" ref="BC11" si="61">INT((AR11-AZ11*50000-BA11*10000-BB11*5000)/1000)</f>
        <v>3</v>
      </c>
      <c r="BD11" s="548">
        <f t="shared" ref="BD11" si="62">INT((AR11-AZ11*50000-BA11*10000-BB11*5000-BC11*1000)/500)</f>
        <v>0</v>
      </c>
      <c r="BE11" s="548">
        <f t="shared" ref="BE11" si="63">INT((AR11-AZ11*50000-BA11*10000-BB11*5000-BC11*1000-BD11*500)/100)</f>
        <v>1</v>
      </c>
      <c r="BF11" s="549">
        <f t="shared" ref="BF11" si="64">AZ11*50000+BA11*10000+BB11*5000+BC11*1000+BD11*500+BE11*100</f>
        <v>113100</v>
      </c>
      <c r="BH11" s="973" t="s">
        <v>2215</v>
      </c>
      <c r="BI11" s="731" t="s">
        <v>573</v>
      </c>
      <c r="BJ11" s="1763">
        <v>29008</v>
      </c>
      <c r="BK11" s="1459" t="s">
        <v>2209</v>
      </c>
      <c r="BL11" s="1777" t="s">
        <v>2210</v>
      </c>
    </row>
    <row r="12" spans="1:64" s="755" customFormat="1" ht="45.75" customHeight="1">
      <c r="A12" s="1389">
        <v>6</v>
      </c>
      <c r="B12" s="1415" t="s">
        <v>2267</v>
      </c>
      <c r="C12" s="1153" t="s">
        <v>2269</v>
      </c>
      <c r="D12" s="1763">
        <v>45496</v>
      </c>
      <c r="E12" s="1637" t="s">
        <v>260</v>
      </c>
      <c r="F12" s="1857">
        <f>202+2</f>
        <v>204</v>
      </c>
      <c r="G12" s="617"/>
      <c r="H12" s="1388">
        <v>22</v>
      </c>
      <c r="I12" s="1409">
        <f t="shared" si="24"/>
        <v>172.61538461538461</v>
      </c>
      <c r="J12" s="788">
        <f t="shared" si="0"/>
        <v>172.61538461538461</v>
      </c>
      <c r="K12" s="1388">
        <v>68</v>
      </c>
      <c r="L12" s="761">
        <f t="shared" si="1"/>
        <v>1.471153846153846</v>
      </c>
      <c r="M12" s="788">
        <f t="shared" si="2"/>
        <v>100.03846153846153</v>
      </c>
      <c r="N12" s="1388">
        <v>0</v>
      </c>
      <c r="O12" s="761">
        <f t="shared" si="3"/>
        <v>1.9615384615384615</v>
      </c>
      <c r="P12" s="503">
        <f t="shared" ref="P12:P13" si="65">N12*O12</f>
        <v>0</v>
      </c>
      <c r="Q12" s="1388">
        <v>24</v>
      </c>
      <c r="R12" s="761">
        <f t="shared" si="4"/>
        <v>1.9615384615384615</v>
      </c>
      <c r="S12" s="618">
        <f t="shared" ref="S12:S13" si="66">R12*Q12</f>
        <v>47.076923076923073</v>
      </c>
      <c r="T12" s="1388">
        <v>5</v>
      </c>
      <c r="U12" s="761">
        <f t="shared" si="6"/>
        <v>7.8461538461538458</v>
      </c>
      <c r="V12" s="788">
        <f t="shared" si="7"/>
        <v>39.230769230769226</v>
      </c>
      <c r="W12" s="1388">
        <v>0</v>
      </c>
      <c r="X12" s="788">
        <f>'S3 Salary'!T13*'S3'!W12</f>
        <v>0</v>
      </c>
      <c r="Y12" s="1388">
        <v>0</v>
      </c>
      <c r="Z12" s="510">
        <f t="shared" ref="Z12:Z13" si="67">F12/26/2</f>
        <v>3.9230769230769229</v>
      </c>
      <c r="AA12" s="788">
        <f t="shared" ref="AA12:AA13" si="68">Y12*Z12</f>
        <v>0</v>
      </c>
      <c r="AB12" s="1388">
        <v>0</v>
      </c>
      <c r="AC12" s="1468">
        <f t="shared" ref="AC12:AC13" si="69">H12+T12+Y12+AB12+W12</f>
        <v>27</v>
      </c>
      <c r="AD12" s="1726">
        <v>0</v>
      </c>
      <c r="AE12" s="1121">
        <v>0</v>
      </c>
      <c r="AF12" s="1412">
        <v>10</v>
      </c>
      <c r="AG12" s="511">
        <v>5</v>
      </c>
      <c r="AH12" s="788">
        <v>10</v>
      </c>
      <c r="AI12" s="618">
        <v>0</v>
      </c>
      <c r="AJ12" s="788">
        <v>10</v>
      </c>
      <c r="AK12" s="788">
        <v>10</v>
      </c>
      <c r="AL12" s="1325">
        <f t="shared" si="11"/>
        <v>403.96153846153845</v>
      </c>
      <c r="AM12" s="1278">
        <v>0</v>
      </c>
      <c r="AN12" s="1056">
        <v>102</v>
      </c>
      <c r="AO12" s="1097">
        <f>'Tax Calulation  '!P12</f>
        <v>0</v>
      </c>
      <c r="AP12" s="1097">
        <f>'Tax Calulation  '!W12</f>
        <v>5.9084194977843429</v>
      </c>
      <c r="AQ12" s="1687">
        <f t="shared" si="12"/>
        <v>296.05311896375412</v>
      </c>
      <c r="AR12" s="1685">
        <f t="shared" si="26"/>
        <v>388100</v>
      </c>
      <c r="AS12" s="1683">
        <f t="shared" ref="AS12:AS13" si="70">CEILING(AQ12,(100))-100</f>
        <v>200</v>
      </c>
      <c r="AT12" s="502"/>
      <c r="AU12" s="504"/>
      <c r="AV12" s="505"/>
      <c r="AW12" s="502">
        <f t="shared" ref="AW12:AW13" si="71">INT(AS12/100)</f>
        <v>2</v>
      </c>
      <c r="AX12" s="502">
        <f t="shared" ref="AX12:AX13" si="72">INT((AS12-AW12*100)/50)</f>
        <v>0</v>
      </c>
      <c r="AY12" s="1113">
        <f t="shared" ref="AY12:AY13" si="73">AW12*100+AX12*50</f>
        <v>200</v>
      </c>
      <c r="AZ12" s="1113">
        <f t="shared" ref="AZ12:AZ13" si="74">INT((AR12/50000))</f>
        <v>7</v>
      </c>
      <c r="BA12" s="548">
        <f t="shared" ref="BA12:BA13" si="75">INT((AR12-AZ12*50000)/10000)</f>
        <v>3</v>
      </c>
      <c r="BB12" s="548">
        <f t="shared" ref="BB12:BB13" si="76">INT((AR12-AZ12*50000-BA12*10000)/5000)</f>
        <v>1</v>
      </c>
      <c r="BC12" s="548">
        <f t="shared" ref="BC12:BC13" si="77">INT((AR12-AZ12*50000-BA12*10000-BB12*5000)/1000)</f>
        <v>3</v>
      </c>
      <c r="BD12" s="548">
        <f t="shared" ref="BD12:BD13" si="78">INT((AR12-AZ12*50000-BA12*10000-BB12*5000-BC12*1000)/500)</f>
        <v>0</v>
      </c>
      <c r="BE12" s="548">
        <f t="shared" ref="BE12:BE13" si="79">INT((AR12-AZ12*50000-BA12*10000-BB12*5000-BC12*1000-BD12*500)/100)</f>
        <v>1</v>
      </c>
      <c r="BF12" s="549">
        <f t="shared" ref="BF12:BF13" si="80">AZ12*50000+BA12*10000+BB12*5000+BC12*1000+BD12*500+BE12*100</f>
        <v>388100</v>
      </c>
      <c r="BH12" s="1602" t="s">
        <v>2271</v>
      </c>
      <c r="BI12" s="731" t="s">
        <v>573</v>
      </c>
      <c r="BJ12" s="1804">
        <v>35829</v>
      </c>
      <c r="BK12" s="1100" t="s">
        <v>2273</v>
      </c>
      <c r="BL12" s="1452" t="s">
        <v>2274</v>
      </c>
    </row>
    <row r="13" spans="1:64" s="755" customFormat="1" ht="45.75" customHeight="1">
      <c r="A13" s="1389">
        <v>7</v>
      </c>
      <c r="B13" s="1415" t="s">
        <v>2268</v>
      </c>
      <c r="C13" s="1153" t="s">
        <v>2270</v>
      </c>
      <c r="D13" s="1763">
        <v>45496</v>
      </c>
      <c r="E13" s="1637" t="s">
        <v>260</v>
      </c>
      <c r="F13" s="1857">
        <f>202+2</f>
        <v>204</v>
      </c>
      <c r="G13" s="617"/>
      <c r="H13" s="1388">
        <v>22</v>
      </c>
      <c r="I13" s="1409">
        <f t="shared" si="24"/>
        <v>172.61538461538461</v>
      </c>
      <c r="J13" s="788">
        <f t="shared" si="0"/>
        <v>172.61538461538461</v>
      </c>
      <c r="K13" s="1388">
        <v>28</v>
      </c>
      <c r="L13" s="761">
        <f t="shared" si="1"/>
        <v>1.471153846153846</v>
      </c>
      <c r="M13" s="788">
        <f t="shared" si="2"/>
        <v>41.192307692307686</v>
      </c>
      <c r="N13" s="1388">
        <v>0</v>
      </c>
      <c r="O13" s="761">
        <f t="shared" si="3"/>
        <v>1.9615384615384615</v>
      </c>
      <c r="P13" s="503">
        <f t="shared" si="65"/>
        <v>0</v>
      </c>
      <c r="Q13" s="1388">
        <v>24</v>
      </c>
      <c r="R13" s="761">
        <f t="shared" si="4"/>
        <v>1.9615384615384615</v>
      </c>
      <c r="S13" s="618">
        <f t="shared" si="66"/>
        <v>47.076923076923073</v>
      </c>
      <c r="T13" s="1388">
        <v>5</v>
      </c>
      <c r="U13" s="761">
        <f t="shared" si="6"/>
        <v>7.8461538461538458</v>
      </c>
      <c r="V13" s="788">
        <f t="shared" si="7"/>
        <v>39.230769230769226</v>
      </c>
      <c r="W13" s="1388">
        <v>0</v>
      </c>
      <c r="X13" s="788">
        <f>'S3 Salary'!T14*'S3'!W13</f>
        <v>0</v>
      </c>
      <c r="Y13" s="1388">
        <v>0</v>
      </c>
      <c r="Z13" s="510">
        <f t="shared" si="67"/>
        <v>3.9230769230769229</v>
      </c>
      <c r="AA13" s="788">
        <f t="shared" si="68"/>
        <v>0</v>
      </c>
      <c r="AB13" s="1388">
        <v>0</v>
      </c>
      <c r="AC13" s="1468">
        <f t="shared" si="69"/>
        <v>27</v>
      </c>
      <c r="AD13" s="1726">
        <v>0</v>
      </c>
      <c r="AE13" s="1121">
        <v>0</v>
      </c>
      <c r="AF13" s="1412">
        <v>5</v>
      </c>
      <c r="AG13" s="511">
        <v>0</v>
      </c>
      <c r="AH13" s="788">
        <v>10</v>
      </c>
      <c r="AI13" s="618">
        <v>0</v>
      </c>
      <c r="AJ13" s="788">
        <v>10</v>
      </c>
      <c r="AK13" s="788">
        <v>10</v>
      </c>
      <c r="AL13" s="1325">
        <f t="shared" si="11"/>
        <v>335.11538461538458</v>
      </c>
      <c r="AM13" s="1278">
        <v>0</v>
      </c>
      <c r="AN13" s="1056">
        <v>102</v>
      </c>
      <c r="AO13" s="1097">
        <f>'Tax Calulation  '!P13</f>
        <v>0</v>
      </c>
      <c r="AP13" s="1097">
        <f>'Tax Calulation  '!W13</f>
        <v>5.9084194977843429</v>
      </c>
      <c r="AQ13" s="1687">
        <f t="shared" si="12"/>
        <v>227.20696511760025</v>
      </c>
      <c r="AR13" s="1685">
        <f t="shared" si="26"/>
        <v>109900</v>
      </c>
      <c r="AS13" s="1683">
        <f t="shared" si="70"/>
        <v>200</v>
      </c>
      <c r="AT13" s="502"/>
      <c r="AU13" s="504"/>
      <c r="AV13" s="505"/>
      <c r="AW13" s="502">
        <f t="shared" si="71"/>
        <v>2</v>
      </c>
      <c r="AX13" s="502">
        <f t="shared" si="72"/>
        <v>0</v>
      </c>
      <c r="AY13" s="1113">
        <f t="shared" si="73"/>
        <v>200</v>
      </c>
      <c r="AZ13" s="1113">
        <f t="shared" si="74"/>
        <v>2</v>
      </c>
      <c r="BA13" s="548">
        <f t="shared" si="75"/>
        <v>0</v>
      </c>
      <c r="BB13" s="548">
        <f t="shared" si="76"/>
        <v>1</v>
      </c>
      <c r="BC13" s="548">
        <f t="shared" si="77"/>
        <v>4</v>
      </c>
      <c r="BD13" s="548">
        <f t="shared" si="78"/>
        <v>1</v>
      </c>
      <c r="BE13" s="548">
        <f t="shared" si="79"/>
        <v>4</v>
      </c>
      <c r="BF13" s="549">
        <f t="shared" si="80"/>
        <v>109900</v>
      </c>
      <c r="BH13" s="1602" t="s">
        <v>2272</v>
      </c>
      <c r="BI13" s="731" t="s">
        <v>573</v>
      </c>
      <c r="BJ13" s="1804">
        <v>35583</v>
      </c>
      <c r="BK13" s="1100" t="s">
        <v>2275</v>
      </c>
      <c r="BL13" s="1452" t="s">
        <v>2276</v>
      </c>
    </row>
    <row r="14" spans="1:64" s="755" customFormat="1" ht="45.75" customHeight="1">
      <c r="A14" s="1389">
        <v>8</v>
      </c>
      <c r="B14" s="1415" t="s">
        <v>2308</v>
      </c>
      <c r="C14" s="1153" t="s">
        <v>2310</v>
      </c>
      <c r="D14" s="1763">
        <v>45505</v>
      </c>
      <c r="E14" s="1637" t="s">
        <v>260</v>
      </c>
      <c r="F14" s="1857">
        <f>204</f>
        <v>204</v>
      </c>
      <c r="G14" s="617"/>
      <c r="H14" s="1388">
        <v>22</v>
      </c>
      <c r="I14" s="1409">
        <f t="shared" si="24"/>
        <v>172.61538461538461</v>
      </c>
      <c r="J14" s="788">
        <f t="shared" si="0"/>
        <v>172.61538461538461</v>
      </c>
      <c r="K14" s="1388">
        <v>68</v>
      </c>
      <c r="L14" s="761">
        <f t="shared" ref="L14:L15" si="81">F14/26/8*1.5</f>
        <v>1.471153846153846</v>
      </c>
      <c r="M14" s="788">
        <f t="shared" si="2"/>
        <v>100.03846153846153</v>
      </c>
      <c r="N14" s="1388">
        <v>0</v>
      </c>
      <c r="O14" s="761">
        <f t="shared" ref="O14:O15" si="82">F14/26/8*2</f>
        <v>1.9615384615384615</v>
      </c>
      <c r="P14" s="503">
        <f t="shared" ref="P14:P15" si="83">N14*O14</f>
        <v>0</v>
      </c>
      <c r="Q14" s="1388">
        <v>24</v>
      </c>
      <c r="R14" s="761">
        <f t="shared" ref="R14:R15" si="84">F14/26/8*2</f>
        <v>1.9615384615384615</v>
      </c>
      <c r="S14" s="618">
        <f t="shared" ref="S14:S15" si="85">R14*Q14</f>
        <v>47.076923076923073</v>
      </c>
      <c r="T14" s="1388">
        <v>5</v>
      </c>
      <c r="U14" s="761">
        <f t="shared" ref="U14:U15" si="86">F14/26</f>
        <v>7.8461538461538458</v>
      </c>
      <c r="V14" s="788">
        <f t="shared" si="7"/>
        <v>39.230769230769226</v>
      </c>
      <c r="W14" s="1388">
        <v>0</v>
      </c>
      <c r="X14" s="788">
        <f>'S3 Salary'!T15*'S3'!W14</f>
        <v>0</v>
      </c>
      <c r="Y14" s="1388">
        <v>0</v>
      </c>
      <c r="Z14" s="510">
        <f t="shared" ref="Z14:Z15" si="87">F14/26/2</f>
        <v>3.9230769230769229</v>
      </c>
      <c r="AA14" s="788">
        <f t="shared" ref="AA14:AA15" si="88">Y14*Z14</f>
        <v>0</v>
      </c>
      <c r="AB14" s="1388">
        <v>0</v>
      </c>
      <c r="AC14" s="1468">
        <f t="shared" ref="AC14:AC15" si="89">H14+T14+Y14+AB14+W14</f>
        <v>27</v>
      </c>
      <c r="AD14" s="1726">
        <v>0</v>
      </c>
      <c r="AE14" s="1121">
        <v>0</v>
      </c>
      <c r="AF14" s="1412">
        <v>10</v>
      </c>
      <c r="AG14" s="511">
        <v>0</v>
      </c>
      <c r="AH14" s="788">
        <v>10</v>
      </c>
      <c r="AI14" s="618">
        <v>0</v>
      </c>
      <c r="AJ14" s="788">
        <v>10</v>
      </c>
      <c r="AK14" s="788">
        <v>10</v>
      </c>
      <c r="AL14" s="1325">
        <f t="shared" si="11"/>
        <v>398.96153846153845</v>
      </c>
      <c r="AM14" s="1278">
        <v>0</v>
      </c>
      <c r="AN14" s="1056">
        <v>102</v>
      </c>
      <c r="AO14" s="1097">
        <f>'Tax Calulation  '!P14</f>
        <v>0</v>
      </c>
      <c r="AP14" s="1097">
        <f>'Tax Calulation  '!W14</f>
        <v>5.9084194977843429</v>
      </c>
      <c r="AQ14" s="1687">
        <f t="shared" si="12"/>
        <v>291.05311896375412</v>
      </c>
      <c r="AR14" s="1685">
        <f t="shared" si="26"/>
        <v>367900</v>
      </c>
      <c r="AS14" s="1683">
        <f t="shared" ref="AS14:AS15" si="90">CEILING(AQ14,(100))-100</f>
        <v>200</v>
      </c>
      <c r="AT14" s="502"/>
      <c r="AU14" s="504"/>
      <c r="AV14" s="505"/>
      <c r="AW14" s="502">
        <f t="shared" ref="AW14:AW15" si="91">INT(AS14/100)</f>
        <v>2</v>
      </c>
      <c r="AX14" s="502">
        <f t="shared" ref="AX14:AX15" si="92">INT((AS14-AW14*100)/50)</f>
        <v>0</v>
      </c>
      <c r="AY14" s="1113">
        <f t="shared" ref="AY14:AY15" si="93">AW14*100+AX14*50</f>
        <v>200</v>
      </c>
      <c r="AZ14" s="1113">
        <f t="shared" ref="AZ14:AZ15" si="94">INT((AR14/50000))</f>
        <v>7</v>
      </c>
      <c r="BA14" s="548">
        <f t="shared" ref="BA14:BA15" si="95">INT((AR14-AZ14*50000)/10000)</f>
        <v>1</v>
      </c>
      <c r="BB14" s="548">
        <f t="shared" ref="BB14:BB15" si="96">INT((AR14-AZ14*50000-BA14*10000)/5000)</f>
        <v>1</v>
      </c>
      <c r="BC14" s="548">
        <f t="shared" ref="BC14:BC15" si="97">INT((AR14-AZ14*50000-BA14*10000-BB14*5000)/1000)</f>
        <v>2</v>
      </c>
      <c r="BD14" s="548">
        <f t="shared" ref="BD14:BD15" si="98">INT((AR14-AZ14*50000-BA14*10000-BB14*5000-BC14*1000)/500)</f>
        <v>1</v>
      </c>
      <c r="BE14" s="548">
        <f t="shared" ref="BE14:BE15" si="99">INT((AR14-AZ14*50000-BA14*10000-BB14*5000-BC14*1000-BD14*500)/100)</f>
        <v>4</v>
      </c>
      <c r="BF14" s="549">
        <f t="shared" ref="BF14:BF15" si="100">AZ14*50000+BA14*10000+BB14*5000+BC14*1000+BD14*500+BE14*100</f>
        <v>367900</v>
      </c>
      <c r="BH14" s="1803" t="s">
        <v>2312</v>
      </c>
      <c r="BI14" s="731" t="s">
        <v>573</v>
      </c>
      <c r="BJ14" s="1802">
        <v>36224</v>
      </c>
      <c r="BK14" s="1805" t="s">
        <v>2314</v>
      </c>
      <c r="BL14" s="1806" t="s">
        <v>2315</v>
      </c>
    </row>
    <row r="15" spans="1:64" s="755" customFormat="1" ht="45.75" customHeight="1">
      <c r="A15" s="1389">
        <v>9</v>
      </c>
      <c r="B15" s="1415" t="s">
        <v>2309</v>
      </c>
      <c r="C15" s="1153" t="s">
        <v>2311</v>
      </c>
      <c r="D15" s="1763">
        <v>45505</v>
      </c>
      <c r="E15" s="1637" t="s">
        <v>260</v>
      </c>
      <c r="F15" s="1857">
        <f>204</f>
        <v>204</v>
      </c>
      <c r="G15" s="617"/>
      <c r="H15" s="1388">
        <v>21</v>
      </c>
      <c r="I15" s="1409">
        <f t="shared" si="24"/>
        <v>164.76923076923077</v>
      </c>
      <c r="J15" s="788">
        <f t="shared" si="0"/>
        <v>164.76923076923077</v>
      </c>
      <c r="K15" s="1388">
        <v>28</v>
      </c>
      <c r="L15" s="761">
        <f t="shared" si="81"/>
        <v>1.471153846153846</v>
      </c>
      <c r="M15" s="788">
        <f t="shared" si="2"/>
        <v>41.192307692307686</v>
      </c>
      <c r="N15" s="1388">
        <v>0</v>
      </c>
      <c r="O15" s="761">
        <f t="shared" si="82"/>
        <v>1.9615384615384615</v>
      </c>
      <c r="P15" s="503">
        <f t="shared" si="83"/>
        <v>0</v>
      </c>
      <c r="Q15" s="1388">
        <v>12</v>
      </c>
      <c r="R15" s="761">
        <f t="shared" si="84"/>
        <v>1.9615384615384615</v>
      </c>
      <c r="S15" s="618">
        <f t="shared" si="85"/>
        <v>23.538461538461537</v>
      </c>
      <c r="T15" s="1388">
        <v>5.5</v>
      </c>
      <c r="U15" s="761">
        <f t="shared" si="86"/>
        <v>7.8461538461538458</v>
      </c>
      <c r="V15" s="788">
        <f t="shared" si="7"/>
        <v>43.153846153846153</v>
      </c>
      <c r="W15" s="1388">
        <v>0</v>
      </c>
      <c r="X15" s="788">
        <f>'S3 Salary'!T16*'S3'!W15</f>
        <v>0</v>
      </c>
      <c r="Y15" s="1388">
        <v>0</v>
      </c>
      <c r="Z15" s="510">
        <f t="shared" si="87"/>
        <v>3.9230769230769229</v>
      </c>
      <c r="AA15" s="788">
        <f t="shared" si="88"/>
        <v>0</v>
      </c>
      <c r="AB15" s="1388">
        <v>0.5</v>
      </c>
      <c r="AC15" s="1468">
        <f t="shared" si="89"/>
        <v>27</v>
      </c>
      <c r="AD15" s="1726">
        <v>0</v>
      </c>
      <c r="AE15" s="1121">
        <v>0</v>
      </c>
      <c r="AF15" s="1412">
        <v>5</v>
      </c>
      <c r="AG15" s="511">
        <v>0</v>
      </c>
      <c r="AH15" s="788">
        <v>8.5</v>
      </c>
      <c r="AI15" s="618">
        <v>0</v>
      </c>
      <c r="AJ15" s="788">
        <v>10</v>
      </c>
      <c r="AK15" s="788">
        <v>10</v>
      </c>
      <c r="AL15" s="1325">
        <f t="shared" si="11"/>
        <v>306.15384615384613</v>
      </c>
      <c r="AM15" s="1278">
        <v>0</v>
      </c>
      <c r="AN15" s="1056">
        <v>102</v>
      </c>
      <c r="AO15" s="1097">
        <f>'Tax Calulation  '!P15</f>
        <v>0</v>
      </c>
      <c r="AP15" s="1097">
        <f>'Tax Calulation  '!W15</f>
        <v>5.9084194977843429</v>
      </c>
      <c r="AQ15" s="1687">
        <f t="shared" si="12"/>
        <v>198.2454266560618</v>
      </c>
      <c r="AR15" s="1685">
        <f t="shared" si="26"/>
        <v>396900</v>
      </c>
      <c r="AS15" s="1683">
        <f t="shared" si="90"/>
        <v>100</v>
      </c>
      <c r="AT15" s="502"/>
      <c r="AU15" s="504"/>
      <c r="AV15" s="505"/>
      <c r="AW15" s="502">
        <f t="shared" si="91"/>
        <v>1</v>
      </c>
      <c r="AX15" s="502">
        <f t="shared" si="92"/>
        <v>0</v>
      </c>
      <c r="AY15" s="1113">
        <f t="shared" si="93"/>
        <v>100</v>
      </c>
      <c r="AZ15" s="1113">
        <f t="shared" si="94"/>
        <v>7</v>
      </c>
      <c r="BA15" s="548">
        <f t="shared" si="95"/>
        <v>4</v>
      </c>
      <c r="BB15" s="548">
        <f t="shared" si="96"/>
        <v>1</v>
      </c>
      <c r="BC15" s="548">
        <f t="shared" si="97"/>
        <v>1</v>
      </c>
      <c r="BD15" s="548">
        <f t="shared" si="98"/>
        <v>1</v>
      </c>
      <c r="BE15" s="548">
        <f t="shared" si="99"/>
        <v>4</v>
      </c>
      <c r="BF15" s="549">
        <f t="shared" si="100"/>
        <v>396900</v>
      </c>
      <c r="BH15" s="1803" t="s">
        <v>2313</v>
      </c>
      <c r="BI15" s="731" t="s">
        <v>573</v>
      </c>
      <c r="BJ15" s="1802">
        <v>37639</v>
      </c>
      <c r="BK15" s="1805" t="s">
        <v>2316</v>
      </c>
      <c r="BL15" s="1806" t="s">
        <v>2317</v>
      </c>
    </row>
    <row r="16" spans="1:64" s="755" customFormat="1" ht="45.75" customHeight="1">
      <c r="A16" s="1389">
        <v>10</v>
      </c>
      <c r="B16" s="1415" t="s">
        <v>520</v>
      </c>
      <c r="C16" s="1329" t="s">
        <v>521</v>
      </c>
      <c r="D16" s="1841">
        <v>43710</v>
      </c>
      <c r="E16" s="1637" t="s">
        <v>260</v>
      </c>
      <c r="F16" s="617">
        <f>196+8+2</f>
        <v>206</v>
      </c>
      <c r="G16" s="617">
        <f>2</f>
        <v>2</v>
      </c>
      <c r="H16" s="1388">
        <v>20</v>
      </c>
      <c r="I16" s="1409">
        <f t="shared" si="24"/>
        <v>158.46153846153845</v>
      </c>
      <c r="J16" s="788">
        <f t="shared" si="0"/>
        <v>158.46153846153845</v>
      </c>
      <c r="K16" s="1388">
        <v>47</v>
      </c>
      <c r="L16" s="761">
        <f t="shared" si="1"/>
        <v>1.4855769230769231</v>
      </c>
      <c r="M16" s="788">
        <f t="shared" si="2"/>
        <v>69.822115384615387</v>
      </c>
      <c r="N16" s="1388">
        <v>0</v>
      </c>
      <c r="O16" s="761">
        <f t="shared" si="3"/>
        <v>1.9807692307692308</v>
      </c>
      <c r="P16" s="503">
        <f t="shared" ref="P16:P38" si="101">N16*O16</f>
        <v>0</v>
      </c>
      <c r="Q16" s="1388">
        <v>24</v>
      </c>
      <c r="R16" s="761">
        <f t="shared" si="4"/>
        <v>1.9807692307692308</v>
      </c>
      <c r="S16" s="618">
        <f t="shared" si="5"/>
        <v>47.53846153846154</v>
      </c>
      <c r="T16" s="1388">
        <v>6</v>
      </c>
      <c r="U16" s="761">
        <f t="shared" si="6"/>
        <v>7.9230769230769234</v>
      </c>
      <c r="V16" s="788">
        <f t="shared" si="7"/>
        <v>47.53846153846154</v>
      </c>
      <c r="W16" s="1388">
        <v>1</v>
      </c>
      <c r="X16" s="788">
        <f>'S3 Salary'!T17*'S3'!W16</f>
        <v>11.885520377824074</v>
      </c>
      <c r="Y16" s="1388">
        <v>0</v>
      </c>
      <c r="Z16" s="510">
        <f t="shared" si="8"/>
        <v>3.9615384615384617</v>
      </c>
      <c r="AA16" s="788">
        <f t="shared" si="9"/>
        <v>0</v>
      </c>
      <c r="AB16" s="1388">
        <v>0</v>
      </c>
      <c r="AC16" s="1468">
        <f t="shared" si="10"/>
        <v>27</v>
      </c>
      <c r="AD16" s="1726">
        <v>0</v>
      </c>
      <c r="AE16" s="1121">
        <v>0</v>
      </c>
      <c r="AF16" s="1412">
        <f>4+4</f>
        <v>8</v>
      </c>
      <c r="AG16" s="511">
        <v>0</v>
      </c>
      <c r="AH16" s="788">
        <v>10</v>
      </c>
      <c r="AI16" s="618">
        <v>6</v>
      </c>
      <c r="AJ16" s="788">
        <v>10</v>
      </c>
      <c r="AK16" s="788">
        <v>10</v>
      </c>
      <c r="AL16" s="1325">
        <f t="shared" si="11"/>
        <v>381.246097300901</v>
      </c>
      <c r="AM16" s="1278">
        <v>0</v>
      </c>
      <c r="AN16" s="1056">
        <v>102</v>
      </c>
      <c r="AO16" s="1097">
        <f>'Tax Calulation  '!P16</f>
        <v>0</v>
      </c>
      <c r="AP16" s="1097">
        <f>'Tax Calulation  '!W16</f>
        <v>5.9084194977843429</v>
      </c>
      <c r="AQ16" s="1687">
        <f t="shared" si="12"/>
        <v>273.33767780311666</v>
      </c>
      <c r="AR16" s="1685">
        <f t="shared" si="26"/>
        <v>296300</v>
      </c>
      <c r="AS16" s="1683">
        <f t="shared" si="13"/>
        <v>200</v>
      </c>
      <c r="AT16" s="502"/>
      <c r="AU16" s="504"/>
      <c r="AV16" s="505">
        <f>(J16+M16+P16+S16+V16+AA16+AH16+AI16+AJ16+AK16)*4000</f>
        <v>1437442.3076923075</v>
      </c>
      <c r="AW16" s="502">
        <f t="shared" si="14"/>
        <v>2</v>
      </c>
      <c r="AX16" s="502">
        <f t="shared" si="15"/>
        <v>0</v>
      </c>
      <c r="AY16" s="573">
        <f t="shared" si="16"/>
        <v>200</v>
      </c>
      <c r="AZ16" s="573">
        <f t="shared" si="17"/>
        <v>5</v>
      </c>
      <c r="BA16" s="548">
        <f t="shared" si="18"/>
        <v>4</v>
      </c>
      <c r="BB16" s="548">
        <f t="shared" si="19"/>
        <v>1</v>
      </c>
      <c r="BC16" s="548">
        <f t="shared" si="20"/>
        <v>1</v>
      </c>
      <c r="BD16" s="548">
        <f t="shared" si="21"/>
        <v>0</v>
      </c>
      <c r="BE16" s="548">
        <f t="shared" si="22"/>
        <v>3</v>
      </c>
      <c r="BF16" s="549">
        <f t="shared" si="23"/>
        <v>296300</v>
      </c>
      <c r="BH16" s="578" t="s">
        <v>782</v>
      </c>
      <c r="BI16" s="578" t="s">
        <v>573</v>
      </c>
      <c r="BJ16" s="1154">
        <v>33790</v>
      </c>
      <c r="BK16" s="578" t="s">
        <v>600</v>
      </c>
      <c r="BL16" s="531">
        <v>150703472</v>
      </c>
    </row>
    <row r="17" spans="1:64" s="768" customFormat="1" ht="45.75" customHeight="1">
      <c r="A17" s="1389">
        <v>11</v>
      </c>
      <c r="B17" s="1419" t="s">
        <v>527</v>
      </c>
      <c r="C17" s="1330" t="s">
        <v>528</v>
      </c>
      <c r="D17" s="1851">
        <v>43747</v>
      </c>
      <c r="E17" s="1151" t="s">
        <v>260</v>
      </c>
      <c r="F17" s="758">
        <f>196+8+2</f>
        <v>206</v>
      </c>
      <c r="G17" s="758">
        <f>2</f>
        <v>2</v>
      </c>
      <c r="H17" s="1388">
        <v>22</v>
      </c>
      <c r="I17" s="1409">
        <f t="shared" si="24"/>
        <v>174.30769230769232</v>
      </c>
      <c r="J17" s="788">
        <f t="shared" si="0"/>
        <v>174.30769230769232</v>
      </c>
      <c r="K17" s="1388">
        <v>57</v>
      </c>
      <c r="L17" s="761">
        <f t="shared" si="1"/>
        <v>1.4855769230769231</v>
      </c>
      <c r="M17" s="788">
        <f t="shared" si="2"/>
        <v>84.677884615384613</v>
      </c>
      <c r="N17" s="1388">
        <v>0</v>
      </c>
      <c r="O17" s="761">
        <f t="shared" si="3"/>
        <v>1.9807692307692308</v>
      </c>
      <c r="P17" s="760">
        <f t="shared" si="101"/>
        <v>0</v>
      </c>
      <c r="Q17" s="1388">
        <v>24</v>
      </c>
      <c r="R17" s="761">
        <f t="shared" si="4"/>
        <v>1.9807692307692308</v>
      </c>
      <c r="S17" s="788">
        <f t="shared" si="5"/>
        <v>47.53846153846154</v>
      </c>
      <c r="T17" s="1388">
        <v>5</v>
      </c>
      <c r="U17" s="761">
        <f t="shared" si="6"/>
        <v>7.9230769230769234</v>
      </c>
      <c r="V17" s="788">
        <f t="shared" si="7"/>
        <v>39.615384615384613</v>
      </c>
      <c r="W17" s="1388">
        <v>0</v>
      </c>
      <c r="X17" s="788">
        <f>'S3 Salary'!T18*'S3'!W17</f>
        <v>0</v>
      </c>
      <c r="Y17" s="1388">
        <v>0</v>
      </c>
      <c r="Z17" s="761">
        <f t="shared" si="8"/>
        <v>3.9615384615384617</v>
      </c>
      <c r="AA17" s="788">
        <f t="shared" si="9"/>
        <v>0</v>
      </c>
      <c r="AB17" s="1388">
        <v>0</v>
      </c>
      <c r="AC17" s="1468">
        <f t="shared" si="10"/>
        <v>27</v>
      </c>
      <c r="AD17" s="1726">
        <v>0</v>
      </c>
      <c r="AE17" s="1923">
        <v>0</v>
      </c>
      <c r="AF17" s="1413">
        <f>4+4</f>
        <v>8</v>
      </c>
      <c r="AG17" s="762">
        <v>0</v>
      </c>
      <c r="AH17" s="788">
        <v>10</v>
      </c>
      <c r="AI17" s="788">
        <v>6</v>
      </c>
      <c r="AJ17" s="788">
        <v>10</v>
      </c>
      <c r="AK17" s="788">
        <v>10</v>
      </c>
      <c r="AL17" s="1325">
        <f t="shared" si="11"/>
        <v>392.13942307692309</v>
      </c>
      <c r="AM17" s="1280">
        <v>0.5</v>
      </c>
      <c r="AN17" s="1056">
        <v>102</v>
      </c>
      <c r="AO17" s="1097">
        <f>'Tax Calulation  '!P17</f>
        <v>0</v>
      </c>
      <c r="AP17" s="1097">
        <f>'Tax Calulation  '!W17</f>
        <v>5.9084194977843429</v>
      </c>
      <c r="AQ17" s="1687">
        <f t="shared" si="12"/>
        <v>283.73100357913876</v>
      </c>
      <c r="AR17" s="1685">
        <f t="shared" si="26"/>
        <v>338300</v>
      </c>
      <c r="AS17" s="1684">
        <f t="shared" si="13"/>
        <v>200</v>
      </c>
      <c r="AT17" s="612"/>
      <c r="AU17" s="763"/>
      <c r="AV17" s="764">
        <f>(J17+M17+P17+S17+V17+AA17+AH17+AI17+AJ17+AK17)*4000</f>
        <v>1528557.6923076925</v>
      </c>
      <c r="AW17" s="612">
        <f t="shared" si="14"/>
        <v>2</v>
      </c>
      <c r="AX17" s="612">
        <f t="shared" si="15"/>
        <v>0</v>
      </c>
      <c r="AY17" s="765">
        <f t="shared" si="16"/>
        <v>200</v>
      </c>
      <c r="AZ17" s="765">
        <f t="shared" si="17"/>
        <v>6</v>
      </c>
      <c r="BA17" s="766">
        <f t="shared" si="18"/>
        <v>3</v>
      </c>
      <c r="BB17" s="766">
        <f t="shared" si="19"/>
        <v>1</v>
      </c>
      <c r="BC17" s="766">
        <f t="shared" si="20"/>
        <v>3</v>
      </c>
      <c r="BD17" s="766">
        <f t="shared" si="21"/>
        <v>0</v>
      </c>
      <c r="BE17" s="766">
        <f t="shared" si="22"/>
        <v>3</v>
      </c>
      <c r="BF17" s="767">
        <f t="shared" si="23"/>
        <v>338300</v>
      </c>
      <c r="BH17" s="628" t="s">
        <v>783</v>
      </c>
      <c r="BI17" s="628" t="s">
        <v>573</v>
      </c>
      <c r="BJ17" s="1155">
        <v>29432</v>
      </c>
      <c r="BK17" s="628" t="s">
        <v>602</v>
      </c>
      <c r="BL17" s="787">
        <v>511188246</v>
      </c>
    </row>
    <row r="18" spans="1:64" s="768" customFormat="1" ht="45.75" customHeight="1">
      <c r="A18" s="1389">
        <v>12</v>
      </c>
      <c r="B18" s="1419" t="s">
        <v>529</v>
      </c>
      <c r="C18" s="1330" t="s">
        <v>530</v>
      </c>
      <c r="D18" s="1851">
        <v>43749</v>
      </c>
      <c r="E18" s="1151" t="s">
        <v>260</v>
      </c>
      <c r="F18" s="758">
        <f>191+8+2+3</f>
        <v>204</v>
      </c>
      <c r="G18" s="758">
        <f>2</f>
        <v>2</v>
      </c>
      <c r="H18" s="1388">
        <v>21.5</v>
      </c>
      <c r="I18" s="1409">
        <f t="shared" si="24"/>
        <v>168.69230769230768</v>
      </c>
      <c r="J18" s="788">
        <f t="shared" si="0"/>
        <v>168.69230769230768</v>
      </c>
      <c r="K18" s="1388">
        <v>67</v>
      </c>
      <c r="L18" s="761">
        <f t="shared" si="1"/>
        <v>1.471153846153846</v>
      </c>
      <c r="M18" s="788">
        <f t="shared" si="2"/>
        <v>98.567307692307679</v>
      </c>
      <c r="N18" s="1388">
        <v>0</v>
      </c>
      <c r="O18" s="761">
        <f t="shared" si="3"/>
        <v>1.9615384615384615</v>
      </c>
      <c r="P18" s="760">
        <f t="shared" si="101"/>
        <v>0</v>
      </c>
      <c r="Q18" s="1388">
        <v>24</v>
      </c>
      <c r="R18" s="761">
        <f t="shared" si="4"/>
        <v>1.9615384615384615</v>
      </c>
      <c r="S18" s="788">
        <f t="shared" si="5"/>
        <v>47.076923076923073</v>
      </c>
      <c r="T18" s="1388">
        <v>5</v>
      </c>
      <c r="U18" s="761">
        <f t="shared" si="6"/>
        <v>7.8461538461538458</v>
      </c>
      <c r="V18" s="788">
        <f t="shared" si="7"/>
        <v>39.230769230769226</v>
      </c>
      <c r="W18" s="1388">
        <v>0</v>
      </c>
      <c r="X18" s="788">
        <f>'S3 Salary'!T19*'S3'!W18</f>
        <v>0</v>
      </c>
      <c r="Y18" s="1388">
        <v>0</v>
      </c>
      <c r="Z18" s="761">
        <f t="shared" si="8"/>
        <v>3.9230769230769229</v>
      </c>
      <c r="AA18" s="788">
        <f t="shared" si="9"/>
        <v>0</v>
      </c>
      <c r="AB18" s="1388">
        <v>0.5</v>
      </c>
      <c r="AC18" s="1468">
        <f t="shared" si="10"/>
        <v>27</v>
      </c>
      <c r="AD18" s="1726">
        <v>0</v>
      </c>
      <c r="AE18" s="1121">
        <v>0</v>
      </c>
      <c r="AF18" s="1413">
        <f>4+1</f>
        <v>5</v>
      </c>
      <c r="AG18" s="762">
        <v>0</v>
      </c>
      <c r="AH18" s="788">
        <v>8.5</v>
      </c>
      <c r="AI18" s="788">
        <v>6</v>
      </c>
      <c r="AJ18" s="788">
        <v>10</v>
      </c>
      <c r="AK18" s="788">
        <v>10</v>
      </c>
      <c r="AL18" s="1325">
        <f t="shared" si="11"/>
        <v>395.06730769230768</v>
      </c>
      <c r="AM18" s="1280">
        <v>0</v>
      </c>
      <c r="AN18" s="1056">
        <v>102</v>
      </c>
      <c r="AO18" s="1097">
        <f>'Tax Calulation  '!P18</f>
        <v>0</v>
      </c>
      <c r="AP18" s="1097">
        <f>'Tax Calulation  '!W18</f>
        <v>5.9084194977843429</v>
      </c>
      <c r="AQ18" s="1687">
        <f t="shared" si="12"/>
        <v>287.15888819452334</v>
      </c>
      <c r="AR18" s="1685">
        <f t="shared" si="26"/>
        <v>352100</v>
      </c>
      <c r="AS18" s="1684">
        <f t="shared" si="13"/>
        <v>200</v>
      </c>
      <c r="AT18" s="612"/>
      <c r="AU18" s="763"/>
      <c r="AV18" s="764">
        <f>(J18+M18+P18+S18+V18+AA18+AH18+AI18+AJ18+AK18)*4000</f>
        <v>1552269.2307692308</v>
      </c>
      <c r="AW18" s="612">
        <f t="shared" si="14"/>
        <v>2</v>
      </c>
      <c r="AX18" s="612">
        <f t="shared" si="15"/>
        <v>0</v>
      </c>
      <c r="AY18" s="765">
        <f t="shared" si="16"/>
        <v>200</v>
      </c>
      <c r="AZ18" s="765">
        <f t="shared" si="17"/>
        <v>7</v>
      </c>
      <c r="BA18" s="766">
        <f t="shared" si="18"/>
        <v>0</v>
      </c>
      <c r="BB18" s="766">
        <f t="shared" si="19"/>
        <v>0</v>
      </c>
      <c r="BC18" s="766">
        <f t="shared" si="20"/>
        <v>2</v>
      </c>
      <c r="BD18" s="766">
        <f t="shared" si="21"/>
        <v>0</v>
      </c>
      <c r="BE18" s="766">
        <f t="shared" si="22"/>
        <v>1</v>
      </c>
      <c r="BF18" s="767">
        <f t="shared" si="23"/>
        <v>352100</v>
      </c>
      <c r="BH18" s="628" t="s">
        <v>784</v>
      </c>
      <c r="BI18" s="628" t="s">
        <v>573</v>
      </c>
      <c r="BJ18" s="1155">
        <v>32240</v>
      </c>
      <c r="BK18" s="628" t="s">
        <v>601</v>
      </c>
      <c r="BL18" s="787">
        <v>150856409</v>
      </c>
    </row>
    <row r="19" spans="1:64" s="755" customFormat="1" ht="45.75" customHeight="1">
      <c r="A19" s="1389">
        <v>13</v>
      </c>
      <c r="B19" s="1576" t="s">
        <v>1160</v>
      </c>
      <c r="C19" s="1854" t="s">
        <v>493</v>
      </c>
      <c r="D19" s="1841">
        <v>41340</v>
      </c>
      <c r="E19" s="1637" t="s">
        <v>260</v>
      </c>
      <c r="F19" s="617">
        <f>184+12+8+2+15</f>
        <v>221</v>
      </c>
      <c r="G19" s="617">
        <f>2</f>
        <v>2</v>
      </c>
      <c r="H19" s="1388">
        <v>22</v>
      </c>
      <c r="I19" s="1409">
        <f t="shared" si="24"/>
        <v>187</v>
      </c>
      <c r="J19" s="788">
        <f t="shared" si="0"/>
        <v>187</v>
      </c>
      <c r="K19" s="1388">
        <v>65</v>
      </c>
      <c r="L19" s="761">
        <f t="shared" si="1"/>
        <v>1.59375</v>
      </c>
      <c r="M19" s="788">
        <f t="shared" si="2"/>
        <v>103.59375</v>
      </c>
      <c r="N19" s="1388">
        <v>0</v>
      </c>
      <c r="O19" s="761">
        <f t="shared" si="3"/>
        <v>2.125</v>
      </c>
      <c r="P19" s="503">
        <f t="shared" si="101"/>
        <v>0</v>
      </c>
      <c r="Q19" s="1388">
        <v>24</v>
      </c>
      <c r="R19" s="761">
        <f t="shared" si="4"/>
        <v>2.125</v>
      </c>
      <c r="S19" s="618">
        <f t="shared" si="5"/>
        <v>51</v>
      </c>
      <c r="T19" s="1388">
        <v>5</v>
      </c>
      <c r="U19" s="761">
        <f t="shared" si="6"/>
        <v>8.5</v>
      </c>
      <c r="V19" s="788">
        <f t="shared" si="7"/>
        <v>42.5</v>
      </c>
      <c r="W19" s="1388">
        <v>0</v>
      </c>
      <c r="X19" s="788">
        <f>'S3 Salary'!T20*'S3'!W19</f>
        <v>0</v>
      </c>
      <c r="Y19" s="1388">
        <v>0</v>
      </c>
      <c r="Z19" s="510">
        <f t="shared" si="8"/>
        <v>4.25</v>
      </c>
      <c r="AA19" s="788">
        <f t="shared" si="9"/>
        <v>0</v>
      </c>
      <c r="AB19" s="1388">
        <v>0</v>
      </c>
      <c r="AC19" s="1468">
        <f t="shared" si="10"/>
        <v>27</v>
      </c>
      <c r="AD19" s="1726">
        <v>0</v>
      </c>
      <c r="AE19" s="1121">
        <v>0</v>
      </c>
      <c r="AF19" s="1412">
        <v>15</v>
      </c>
      <c r="AG19" s="511">
        <v>0</v>
      </c>
      <c r="AH19" s="788">
        <v>10</v>
      </c>
      <c r="AI19" s="618">
        <v>11</v>
      </c>
      <c r="AJ19" s="788">
        <v>10</v>
      </c>
      <c r="AK19" s="788">
        <v>10</v>
      </c>
      <c r="AL19" s="1325">
        <f t="shared" si="11"/>
        <v>442.09375</v>
      </c>
      <c r="AM19" s="1278">
        <v>0</v>
      </c>
      <c r="AN19" s="1056">
        <v>102</v>
      </c>
      <c r="AO19" s="1097">
        <f>'Tax Calulation  '!P19</f>
        <v>2.3454555945347133</v>
      </c>
      <c r="AP19" s="1097">
        <f>'Tax Calulation  '!W19</f>
        <v>5.9084194977843429</v>
      </c>
      <c r="AQ19" s="1687">
        <f t="shared" si="12"/>
        <v>331.83987490768095</v>
      </c>
      <c r="AR19" s="1685">
        <f t="shared" si="26"/>
        <v>128600</v>
      </c>
      <c r="AS19" s="1683">
        <f t="shared" si="13"/>
        <v>300</v>
      </c>
      <c r="AT19" s="502"/>
      <c r="AU19" s="504"/>
      <c r="AV19" s="505">
        <f>(J19+M19+P19+S19+V19+AA19+AH19+AI19+AJ19+AK19)*4000</f>
        <v>1700375</v>
      </c>
      <c r="AW19" s="502">
        <f t="shared" si="14"/>
        <v>3</v>
      </c>
      <c r="AX19" s="502">
        <f t="shared" si="15"/>
        <v>0</v>
      </c>
      <c r="AY19" s="573">
        <f t="shared" si="16"/>
        <v>300</v>
      </c>
      <c r="AZ19" s="573">
        <f t="shared" si="17"/>
        <v>2</v>
      </c>
      <c r="BA19" s="548">
        <f t="shared" si="18"/>
        <v>2</v>
      </c>
      <c r="BB19" s="548">
        <f t="shared" si="19"/>
        <v>1</v>
      </c>
      <c r="BC19" s="548">
        <f t="shared" si="20"/>
        <v>3</v>
      </c>
      <c r="BD19" s="548">
        <f t="shared" si="21"/>
        <v>1</v>
      </c>
      <c r="BE19" s="548">
        <f t="shared" si="22"/>
        <v>1</v>
      </c>
      <c r="BF19" s="549">
        <f t="shared" si="23"/>
        <v>128600</v>
      </c>
      <c r="BH19" s="581" t="s">
        <v>785</v>
      </c>
      <c r="BI19" s="581" t="s">
        <v>571</v>
      </c>
      <c r="BJ19" s="1154">
        <v>35704</v>
      </c>
      <c r="BK19" s="581" t="s">
        <v>603</v>
      </c>
      <c r="BL19" s="531">
        <v>10861966</v>
      </c>
    </row>
    <row r="20" spans="1:64" s="755" customFormat="1" ht="45.75" customHeight="1">
      <c r="A20" s="1389">
        <v>14</v>
      </c>
      <c r="B20" s="1414" t="s">
        <v>2196</v>
      </c>
      <c r="C20" s="1329" t="s">
        <v>273</v>
      </c>
      <c r="D20" s="1841">
        <v>42499</v>
      </c>
      <c r="E20" s="1637" t="s">
        <v>1113</v>
      </c>
      <c r="F20" s="617">
        <f>183+17+12+8+2+50</f>
        <v>272</v>
      </c>
      <c r="G20" s="617">
        <f t="shared" ref="G20" si="102">25+2</f>
        <v>27</v>
      </c>
      <c r="H20" s="1388">
        <v>22</v>
      </c>
      <c r="I20" s="1409">
        <f t="shared" si="24"/>
        <v>230.15384615384616</v>
      </c>
      <c r="J20" s="788">
        <f t="shared" si="0"/>
        <v>230.15384615384616</v>
      </c>
      <c r="K20" s="1388">
        <v>68</v>
      </c>
      <c r="L20" s="761">
        <f t="shared" si="1"/>
        <v>1.9615384615384617</v>
      </c>
      <c r="M20" s="788">
        <f t="shared" si="2"/>
        <v>133.38461538461539</v>
      </c>
      <c r="N20" s="1388">
        <v>0</v>
      </c>
      <c r="O20" s="761">
        <f t="shared" si="3"/>
        <v>2.6153846153846154</v>
      </c>
      <c r="P20" s="503">
        <f t="shared" ref="P20" si="103">N20*O20</f>
        <v>0</v>
      </c>
      <c r="Q20" s="1388">
        <v>24</v>
      </c>
      <c r="R20" s="761">
        <f t="shared" si="4"/>
        <v>2.6153846153846154</v>
      </c>
      <c r="S20" s="618">
        <f t="shared" ref="S20" si="104">R20*Q20</f>
        <v>62.769230769230774</v>
      </c>
      <c r="T20" s="1388">
        <v>5</v>
      </c>
      <c r="U20" s="761">
        <f t="shared" si="6"/>
        <v>10.461538461538462</v>
      </c>
      <c r="V20" s="788">
        <f t="shared" si="7"/>
        <v>52.307692307692307</v>
      </c>
      <c r="W20" s="1388">
        <v>0</v>
      </c>
      <c r="X20" s="788">
        <f>'S3 Salary'!T21*'S3'!W20</f>
        <v>0</v>
      </c>
      <c r="Y20" s="1388">
        <v>0</v>
      </c>
      <c r="Z20" s="510">
        <f t="shared" ref="Z20" si="105">F20/26/2</f>
        <v>5.2307692307692308</v>
      </c>
      <c r="AA20" s="788">
        <f t="shared" ref="AA20" si="106">Y20*Z20</f>
        <v>0</v>
      </c>
      <c r="AB20" s="1388">
        <v>0</v>
      </c>
      <c r="AC20" s="1468">
        <f t="shared" si="10"/>
        <v>27</v>
      </c>
      <c r="AD20" s="1726">
        <v>0</v>
      </c>
      <c r="AE20" s="1121">
        <v>0</v>
      </c>
      <c r="AF20" s="1412">
        <v>45</v>
      </c>
      <c r="AG20" s="511">
        <v>0</v>
      </c>
      <c r="AH20" s="788">
        <v>10</v>
      </c>
      <c r="AI20" s="618">
        <v>9</v>
      </c>
      <c r="AJ20" s="788">
        <v>10</v>
      </c>
      <c r="AK20" s="788">
        <v>10</v>
      </c>
      <c r="AL20" s="1325">
        <f t="shared" si="11"/>
        <v>589.61538461538464</v>
      </c>
      <c r="AM20" s="1278">
        <v>0</v>
      </c>
      <c r="AN20" s="1056">
        <v>102</v>
      </c>
      <c r="AO20" s="1097">
        <f>'Tax Calulation  '!P20</f>
        <v>6.0287751391887268</v>
      </c>
      <c r="AP20" s="1097">
        <f>'Tax Calulation  '!W20</f>
        <v>5.9084194977843429</v>
      </c>
      <c r="AQ20" s="1687">
        <f t="shared" si="12"/>
        <v>475.67818997841158</v>
      </c>
      <c r="AR20" s="1685">
        <f t="shared" si="26"/>
        <v>305700</v>
      </c>
      <c r="AS20" s="1683">
        <f t="shared" ref="AS20" si="107">CEILING(AQ20,(100))-100</f>
        <v>400</v>
      </c>
      <c r="AT20" s="502"/>
      <c r="AU20" s="504"/>
      <c r="AV20" s="505"/>
      <c r="AW20" s="502">
        <f t="shared" ref="AW20" si="108">INT(AS20/100)</f>
        <v>4</v>
      </c>
      <c r="AX20" s="502">
        <f t="shared" ref="AX20" si="109">INT((AS20-AW20*100)/50)</f>
        <v>0</v>
      </c>
      <c r="AY20" s="1113">
        <f t="shared" ref="AY20" si="110">AW20*100+AX20*50</f>
        <v>400</v>
      </c>
      <c r="AZ20" s="1113">
        <f t="shared" ref="AZ20" si="111">INT((AR20/50000))</f>
        <v>6</v>
      </c>
      <c r="BA20" s="548">
        <f t="shared" ref="BA20" si="112">INT((AR20-AZ20*50000)/10000)</f>
        <v>0</v>
      </c>
      <c r="BB20" s="548">
        <f t="shared" ref="BB20" si="113">INT((AR20-AZ20*50000-BA20*10000)/5000)</f>
        <v>1</v>
      </c>
      <c r="BC20" s="548">
        <f t="shared" ref="BC20" si="114">INT((AR20-AZ20*50000-BA20*10000-BB20*5000)/1000)</f>
        <v>0</v>
      </c>
      <c r="BD20" s="548">
        <f t="shared" ref="BD20" si="115">INT((AR20-AZ20*50000-BA20*10000-BB20*5000-BC20*1000)/500)</f>
        <v>1</v>
      </c>
      <c r="BE20" s="548">
        <f t="shared" ref="BE20" si="116">INT((AR20-AZ20*50000-BA20*10000-BB20*5000-BC20*1000-BD20*500)/100)</f>
        <v>2</v>
      </c>
      <c r="BF20" s="549">
        <f t="shared" ref="BF20" si="117">AZ20*50000+BA20*10000+BB20*5000+BC20*1000+BD20*500+BE20*100</f>
        <v>305700</v>
      </c>
      <c r="BH20" s="578" t="s">
        <v>877</v>
      </c>
      <c r="BI20" s="578" t="s">
        <v>573</v>
      </c>
      <c r="BJ20" s="1163">
        <v>33400</v>
      </c>
      <c r="BK20" s="578" t="s">
        <v>661</v>
      </c>
      <c r="BL20" s="531">
        <v>11025545</v>
      </c>
    </row>
    <row r="21" spans="1:64" s="768" customFormat="1" ht="45.75" customHeight="1">
      <c r="A21" s="1389">
        <v>15</v>
      </c>
      <c r="B21" s="1595" t="s">
        <v>1161</v>
      </c>
      <c r="C21" s="1855" t="s">
        <v>494</v>
      </c>
      <c r="D21" s="1851">
        <v>41386</v>
      </c>
      <c r="E21" s="1151" t="s">
        <v>260</v>
      </c>
      <c r="F21" s="758">
        <f>13+149+17+12+8+2+3</f>
        <v>204</v>
      </c>
      <c r="G21" s="758">
        <f>2</f>
        <v>2</v>
      </c>
      <c r="H21" s="1388">
        <v>22</v>
      </c>
      <c r="I21" s="1409">
        <f t="shared" si="24"/>
        <v>172.61538461538461</v>
      </c>
      <c r="J21" s="788">
        <f t="shared" si="0"/>
        <v>172.61538461538461</v>
      </c>
      <c r="K21" s="1388">
        <v>60</v>
      </c>
      <c r="L21" s="761">
        <f t="shared" si="1"/>
        <v>1.471153846153846</v>
      </c>
      <c r="M21" s="788">
        <f t="shared" si="2"/>
        <v>88.269230769230759</v>
      </c>
      <c r="N21" s="1388">
        <v>0</v>
      </c>
      <c r="O21" s="761">
        <f t="shared" si="3"/>
        <v>1.9615384615384615</v>
      </c>
      <c r="P21" s="760">
        <f t="shared" si="101"/>
        <v>0</v>
      </c>
      <c r="Q21" s="1388">
        <v>24</v>
      </c>
      <c r="R21" s="761">
        <f t="shared" si="4"/>
        <v>1.9615384615384615</v>
      </c>
      <c r="S21" s="788">
        <f t="shared" si="5"/>
        <v>47.076923076923073</v>
      </c>
      <c r="T21" s="1388">
        <v>5</v>
      </c>
      <c r="U21" s="761">
        <f t="shared" si="6"/>
        <v>7.8461538461538458</v>
      </c>
      <c r="V21" s="788">
        <f t="shared" si="7"/>
        <v>39.230769230769226</v>
      </c>
      <c r="W21" s="1388">
        <v>0</v>
      </c>
      <c r="X21" s="788">
        <f>'S3 Salary'!T22*'S3'!W21</f>
        <v>0</v>
      </c>
      <c r="Y21" s="1388">
        <v>0</v>
      </c>
      <c r="Z21" s="761">
        <f t="shared" si="8"/>
        <v>3.9230769230769229</v>
      </c>
      <c r="AA21" s="788">
        <f t="shared" si="9"/>
        <v>0</v>
      </c>
      <c r="AB21" s="1388">
        <v>0</v>
      </c>
      <c r="AC21" s="1468">
        <f t="shared" si="10"/>
        <v>27</v>
      </c>
      <c r="AD21" s="1726">
        <v>0</v>
      </c>
      <c r="AE21" s="1121">
        <v>0</v>
      </c>
      <c r="AF21" s="1413">
        <f>4+1</f>
        <v>5</v>
      </c>
      <c r="AG21" s="762">
        <v>0</v>
      </c>
      <c r="AH21" s="788">
        <v>10</v>
      </c>
      <c r="AI21" s="788">
        <v>11</v>
      </c>
      <c r="AJ21" s="788">
        <v>10</v>
      </c>
      <c r="AK21" s="788">
        <v>10</v>
      </c>
      <c r="AL21" s="1325">
        <f t="shared" si="11"/>
        <v>395.19230769230768</v>
      </c>
      <c r="AM21" s="1280">
        <v>0</v>
      </c>
      <c r="AN21" s="1056">
        <v>102</v>
      </c>
      <c r="AO21" s="1097">
        <f>'Tax Calulation  '!P21</f>
        <v>3.8347915009547765E-4</v>
      </c>
      <c r="AP21" s="1097">
        <f>'Tax Calulation  '!W21</f>
        <v>5.9084194977843429</v>
      </c>
      <c r="AQ21" s="1687">
        <f t="shared" si="12"/>
        <v>287.28350471537323</v>
      </c>
      <c r="AR21" s="1685">
        <f t="shared" si="26"/>
        <v>352600</v>
      </c>
      <c r="AS21" s="1684">
        <f t="shared" si="13"/>
        <v>200</v>
      </c>
      <c r="AT21" s="612"/>
      <c r="AU21" s="763"/>
      <c r="AV21" s="764">
        <f>(J21+M21+P21+S21+V21+AA21+AH21+AI21+AJ21+AK21)*4000</f>
        <v>1552769.2307692308</v>
      </c>
      <c r="AW21" s="612">
        <f t="shared" si="14"/>
        <v>2</v>
      </c>
      <c r="AX21" s="612">
        <f t="shared" si="15"/>
        <v>0</v>
      </c>
      <c r="AY21" s="765">
        <f t="shared" si="16"/>
        <v>200</v>
      </c>
      <c r="AZ21" s="765">
        <f t="shared" si="17"/>
        <v>7</v>
      </c>
      <c r="BA21" s="766">
        <f t="shared" si="18"/>
        <v>0</v>
      </c>
      <c r="BB21" s="766">
        <f t="shared" si="19"/>
        <v>0</v>
      </c>
      <c r="BC21" s="766">
        <f t="shared" si="20"/>
        <v>2</v>
      </c>
      <c r="BD21" s="766">
        <f t="shared" si="21"/>
        <v>1</v>
      </c>
      <c r="BE21" s="766">
        <f t="shared" si="22"/>
        <v>1</v>
      </c>
      <c r="BF21" s="767">
        <f t="shared" si="23"/>
        <v>352600</v>
      </c>
      <c r="BH21" s="625" t="s">
        <v>786</v>
      </c>
      <c r="BI21" s="625" t="s">
        <v>573</v>
      </c>
      <c r="BJ21" s="1155">
        <v>36354</v>
      </c>
      <c r="BK21" s="943" t="s">
        <v>604</v>
      </c>
      <c r="BL21" s="787">
        <v>21114115</v>
      </c>
    </row>
    <row r="22" spans="1:64" s="768" customFormat="1" ht="45.75" customHeight="1">
      <c r="A22" s="1389">
        <v>16</v>
      </c>
      <c r="B22" s="1419" t="s">
        <v>566</v>
      </c>
      <c r="C22" s="1330" t="s">
        <v>1162</v>
      </c>
      <c r="D22" s="1851">
        <v>43133</v>
      </c>
      <c r="E22" s="1151" t="s">
        <v>260</v>
      </c>
      <c r="F22" s="758">
        <f>179+12+8+2+3</f>
        <v>204</v>
      </c>
      <c r="G22" s="758">
        <f>2</f>
        <v>2</v>
      </c>
      <c r="H22" s="1388">
        <v>22</v>
      </c>
      <c r="I22" s="1409">
        <f t="shared" si="24"/>
        <v>172.61538461538461</v>
      </c>
      <c r="J22" s="788">
        <f t="shared" si="0"/>
        <v>172.61538461538461</v>
      </c>
      <c r="K22" s="1388">
        <v>28</v>
      </c>
      <c r="L22" s="761">
        <f t="shared" si="1"/>
        <v>1.471153846153846</v>
      </c>
      <c r="M22" s="788">
        <f t="shared" si="2"/>
        <v>41.192307692307686</v>
      </c>
      <c r="N22" s="1388">
        <v>0</v>
      </c>
      <c r="O22" s="761">
        <f t="shared" si="3"/>
        <v>1.9615384615384615</v>
      </c>
      <c r="P22" s="760">
        <f t="shared" si="101"/>
        <v>0</v>
      </c>
      <c r="Q22" s="1388">
        <v>24</v>
      </c>
      <c r="R22" s="761">
        <f t="shared" si="4"/>
        <v>1.9615384615384615</v>
      </c>
      <c r="S22" s="788">
        <f t="shared" si="5"/>
        <v>47.076923076923073</v>
      </c>
      <c r="T22" s="1388">
        <v>5</v>
      </c>
      <c r="U22" s="761">
        <f t="shared" si="6"/>
        <v>7.8461538461538458</v>
      </c>
      <c r="V22" s="788">
        <f t="shared" si="7"/>
        <v>39.230769230769226</v>
      </c>
      <c r="W22" s="1388">
        <v>0</v>
      </c>
      <c r="X22" s="788">
        <f>'S3 Salary'!T23*'S3'!W22</f>
        <v>0</v>
      </c>
      <c r="Y22" s="1388">
        <v>0</v>
      </c>
      <c r="Z22" s="761">
        <f t="shared" si="8"/>
        <v>3.9230769230769229</v>
      </c>
      <c r="AA22" s="788">
        <f t="shared" si="9"/>
        <v>0</v>
      </c>
      <c r="AB22" s="1388">
        <v>0</v>
      </c>
      <c r="AC22" s="1468">
        <f t="shared" si="10"/>
        <v>27</v>
      </c>
      <c r="AD22" s="1726">
        <v>0</v>
      </c>
      <c r="AE22" s="1121">
        <v>0</v>
      </c>
      <c r="AF22" s="1413">
        <f>4+1</f>
        <v>5</v>
      </c>
      <c r="AG22" s="762">
        <v>0</v>
      </c>
      <c r="AH22" s="788">
        <v>10</v>
      </c>
      <c r="AI22" s="788">
        <v>7</v>
      </c>
      <c r="AJ22" s="788">
        <v>10</v>
      </c>
      <c r="AK22" s="788">
        <v>10</v>
      </c>
      <c r="AL22" s="1325">
        <f t="shared" si="11"/>
        <v>344.11538461538458</v>
      </c>
      <c r="AM22" s="1280">
        <v>0.5</v>
      </c>
      <c r="AN22" s="1056">
        <v>102</v>
      </c>
      <c r="AO22" s="1097">
        <f>'Tax Calulation  '!P22</f>
        <v>0</v>
      </c>
      <c r="AP22" s="1097">
        <f>'Tax Calulation  '!W22</f>
        <v>5.9084194977843429</v>
      </c>
      <c r="AQ22" s="1687">
        <f t="shared" si="12"/>
        <v>235.70696511760025</v>
      </c>
      <c r="AR22" s="1685">
        <f t="shared" si="26"/>
        <v>144300</v>
      </c>
      <c r="AS22" s="1684">
        <f t="shared" si="13"/>
        <v>200</v>
      </c>
      <c r="AT22" s="612"/>
      <c r="AU22" s="763"/>
      <c r="AV22" s="764"/>
      <c r="AW22" s="612">
        <f t="shared" si="14"/>
        <v>2</v>
      </c>
      <c r="AX22" s="612">
        <f t="shared" si="15"/>
        <v>0</v>
      </c>
      <c r="AY22" s="765">
        <f t="shared" si="16"/>
        <v>200</v>
      </c>
      <c r="AZ22" s="765">
        <f t="shared" si="17"/>
        <v>2</v>
      </c>
      <c r="BA22" s="766">
        <f t="shared" si="18"/>
        <v>4</v>
      </c>
      <c r="BB22" s="766">
        <f t="shared" si="19"/>
        <v>0</v>
      </c>
      <c r="BC22" s="766">
        <f t="shared" si="20"/>
        <v>4</v>
      </c>
      <c r="BD22" s="766">
        <f t="shared" si="21"/>
        <v>0</v>
      </c>
      <c r="BE22" s="766">
        <f t="shared" si="22"/>
        <v>3</v>
      </c>
      <c r="BF22" s="767">
        <f t="shared" si="23"/>
        <v>144300</v>
      </c>
      <c r="BH22" s="628" t="s">
        <v>787</v>
      </c>
      <c r="BI22" s="628" t="s">
        <v>573</v>
      </c>
      <c r="BJ22" s="1155">
        <v>35859</v>
      </c>
      <c r="BK22" s="628" t="s">
        <v>605</v>
      </c>
      <c r="BL22" s="787">
        <v>11042339</v>
      </c>
    </row>
    <row r="23" spans="1:64" s="755" customFormat="1" ht="45.75" customHeight="1">
      <c r="A23" s="1389">
        <v>17</v>
      </c>
      <c r="B23" s="1415" t="s">
        <v>429</v>
      </c>
      <c r="C23" s="1329" t="s">
        <v>1341</v>
      </c>
      <c r="D23" s="1841">
        <v>43215</v>
      </c>
      <c r="E23" s="1637" t="s">
        <v>260</v>
      </c>
      <c r="F23" s="617">
        <f>184+12+8+2</f>
        <v>206</v>
      </c>
      <c r="G23" s="617">
        <f>2</f>
        <v>2</v>
      </c>
      <c r="H23" s="1388">
        <v>22</v>
      </c>
      <c r="I23" s="1409">
        <f t="shared" si="24"/>
        <v>174.30769230769232</v>
      </c>
      <c r="J23" s="788">
        <f t="shared" si="0"/>
        <v>174.30769230769232</v>
      </c>
      <c r="K23" s="1388">
        <v>68</v>
      </c>
      <c r="L23" s="761">
        <f t="shared" si="1"/>
        <v>1.4855769230769231</v>
      </c>
      <c r="M23" s="788">
        <f t="shared" si="2"/>
        <v>101.01923076923077</v>
      </c>
      <c r="N23" s="1388">
        <v>0</v>
      </c>
      <c r="O23" s="761">
        <f t="shared" si="3"/>
        <v>1.9807692307692308</v>
      </c>
      <c r="P23" s="503">
        <f t="shared" si="101"/>
        <v>0</v>
      </c>
      <c r="Q23" s="1388">
        <v>24</v>
      </c>
      <c r="R23" s="761">
        <f t="shared" si="4"/>
        <v>1.9807692307692308</v>
      </c>
      <c r="S23" s="618">
        <f t="shared" si="5"/>
        <v>47.53846153846154</v>
      </c>
      <c r="T23" s="1388">
        <v>5</v>
      </c>
      <c r="U23" s="761">
        <f t="shared" si="6"/>
        <v>7.9230769230769234</v>
      </c>
      <c r="V23" s="788">
        <f t="shared" si="7"/>
        <v>39.615384615384613</v>
      </c>
      <c r="W23" s="1388">
        <v>0</v>
      </c>
      <c r="X23" s="788">
        <f>'S3 Salary'!T24*'S3'!W23</f>
        <v>0</v>
      </c>
      <c r="Y23" s="1388">
        <v>0</v>
      </c>
      <c r="Z23" s="510">
        <f t="shared" si="8"/>
        <v>3.9615384615384617</v>
      </c>
      <c r="AA23" s="788">
        <f t="shared" si="9"/>
        <v>0</v>
      </c>
      <c r="AB23" s="1388">
        <v>0</v>
      </c>
      <c r="AC23" s="1468">
        <f t="shared" si="10"/>
        <v>27</v>
      </c>
      <c r="AD23" s="1726">
        <v>0</v>
      </c>
      <c r="AE23" s="1121">
        <v>0</v>
      </c>
      <c r="AF23" s="1412">
        <f>4+4</f>
        <v>8</v>
      </c>
      <c r="AG23" s="511">
        <v>0</v>
      </c>
      <c r="AH23" s="788">
        <v>10</v>
      </c>
      <c r="AI23" s="618">
        <v>7</v>
      </c>
      <c r="AJ23" s="788">
        <v>10</v>
      </c>
      <c r="AK23" s="788">
        <v>10</v>
      </c>
      <c r="AL23" s="1325">
        <f t="shared" si="11"/>
        <v>409.48076923076928</v>
      </c>
      <c r="AM23" s="1278">
        <v>0.5</v>
      </c>
      <c r="AN23" s="1056">
        <v>102</v>
      </c>
      <c r="AO23" s="1097">
        <f>'Tax Calulation  '!P23</f>
        <v>0</v>
      </c>
      <c r="AP23" s="1097">
        <f>'Tax Calulation  '!W23</f>
        <v>5.9084194977843429</v>
      </c>
      <c r="AQ23" s="1687">
        <f t="shared" si="12"/>
        <v>301.07234973298495</v>
      </c>
      <c r="AR23" s="1685">
        <f t="shared" si="26"/>
        <v>4300</v>
      </c>
      <c r="AS23" s="1683">
        <f t="shared" si="13"/>
        <v>300</v>
      </c>
      <c r="AT23" s="502"/>
      <c r="AU23" s="504"/>
      <c r="AV23" s="505">
        <f t="shared" ref="AV23:AV32" si="118">(J23+M23+P23+S23+V23+AA23+AH23+AI23+AJ23+AK23)*4000</f>
        <v>1597923.0769230772</v>
      </c>
      <c r="AW23" s="502">
        <f t="shared" si="14"/>
        <v>3</v>
      </c>
      <c r="AX23" s="502">
        <f t="shared" si="15"/>
        <v>0</v>
      </c>
      <c r="AY23" s="573">
        <f t="shared" si="16"/>
        <v>300</v>
      </c>
      <c r="AZ23" s="573">
        <f t="shared" si="17"/>
        <v>0</v>
      </c>
      <c r="BA23" s="548">
        <f t="shared" si="18"/>
        <v>0</v>
      </c>
      <c r="BB23" s="548">
        <f t="shared" si="19"/>
        <v>0</v>
      </c>
      <c r="BC23" s="548">
        <f t="shared" si="20"/>
        <v>4</v>
      </c>
      <c r="BD23" s="548">
        <f t="shared" si="21"/>
        <v>0</v>
      </c>
      <c r="BE23" s="548">
        <f t="shared" si="22"/>
        <v>3</v>
      </c>
      <c r="BF23" s="549">
        <f t="shared" si="23"/>
        <v>4300</v>
      </c>
      <c r="BH23" s="578" t="s">
        <v>788</v>
      </c>
      <c r="BI23" s="578" t="s">
        <v>573</v>
      </c>
      <c r="BJ23" s="1154">
        <v>29662</v>
      </c>
      <c r="BK23" s="578" t="s">
        <v>606</v>
      </c>
      <c r="BL23" s="531">
        <v>50946329</v>
      </c>
    </row>
    <row r="24" spans="1:64" s="755" customFormat="1" ht="45.75" customHeight="1">
      <c r="A24" s="1389">
        <v>18</v>
      </c>
      <c r="B24" s="1415" t="s">
        <v>448</v>
      </c>
      <c r="C24" s="1329" t="s">
        <v>1164</v>
      </c>
      <c r="D24" s="1841">
        <v>43407</v>
      </c>
      <c r="E24" s="1637" t="s">
        <v>260</v>
      </c>
      <c r="F24" s="617">
        <f>174+12+8+2+4+4</f>
        <v>204</v>
      </c>
      <c r="G24" s="617">
        <f>2</f>
        <v>2</v>
      </c>
      <c r="H24" s="1388">
        <v>22</v>
      </c>
      <c r="I24" s="1409">
        <f t="shared" si="24"/>
        <v>172.61538461538461</v>
      </c>
      <c r="J24" s="788">
        <f t="shared" si="0"/>
        <v>172.61538461538461</v>
      </c>
      <c r="K24" s="1388">
        <v>68</v>
      </c>
      <c r="L24" s="761">
        <f t="shared" si="1"/>
        <v>1.471153846153846</v>
      </c>
      <c r="M24" s="788">
        <f t="shared" si="2"/>
        <v>100.03846153846153</v>
      </c>
      <c r="N24" s="1388">
        <v>0</v>
      </c>
      <c r="O24" s="761">
        <f t="shared" si="3"/>
        <v>1.9615384615384615</v>
      </c>
      <c r="P24" s="503">
        <f t="shared" si="101"/>
        <v>0</v>
      </c>
      <c r="Q24" s="1388">
        <v>20</v>
      </c>
      <c r="R24" s="761">
        <f t="shared" si="4"/>
        <v>1.9615384615384615</v>
      </c>
      <c r="S24" s="618">
        <f t="shared" si="5"/>
        <v>39.230769230769226</v>
      </c>
      <c r="T24" s="1388">
        <v>5</v>
      </c>
      <c r="U24" s="761">
        <f t="shared" si="6"/>
        <v>7.8461538461538458</v>
      </c>
      <c r="V24" s="788">
        <f t="shared" si="7"/>
        <v>39.230769230769226</v>
      </c>
      <c r="W24" s="1388">
        <v>0</v>
      </c>
      <c r="X24" s="788">
        <f>'S3 Salary'!T25*'S3'!W24</f>
        <v>0</v>
      </c>
      <c r="Y24" s="1388">
        <v>0</v>
      </c>
      <c r="Z24" s="510">
        <f t="shared" si="8"/>
        <v>3.9230769230769229</v>
      </c>
      <c r="AA24" s="788">
        <f t="shared" si="9"/>
        <v>0</v>
      </c>
      <c r="AB24" s="1388">
        <v>0</v>
      </c>
      <c r="AC24" s="1468">
        <f t="shared" si="10"/>
        <v>27</v>
      </c>
      <c r="AD24" s="1726">
        <v>0</v>
      </c>
      <c r="AE24" s="1121">
        <v>0</v>
      </c>
      <c r="AF24" s="1412">
        <v>8</v>
      </c>
      <c r="AG24" s="511">
        <v>0</v>
      </c>
      <c r="AH24" s="788">
        <v>10</v>
      </c>
      <c r="AI24" s="618">
        <v>6</v>
      </c>
      <c r="AJ24" s="788">
        <v>10</v>
      </c>
      <c r="AK24" s="788">
        <v>10</v>
      </c>
      <c r="AL24" s="1325">
        <f t="shared" si="11"/>
        <v>397.11538461538458</v>
      </c>
      <c r="AM24" s="1281">
        <v>0.5</v>
      </c>
      <c r="AN24" s="1056">
        <v>102</v>
      </c>
      <c r="AO24" s="1097">
        <f>'Tax Calulation  '!P24</f>
        <v>9.6537325303941351E-2</v>
      </c>
      <c r="AP24" s="1097">
        <f>'Tax Calulation  '!W24</f>
        <v>5.9084194977843429</v>
      </c>
      <c r="AQ24" s="1687">
        <f t="shared" si="12"/>
        <v>288.61042779229632</v>
      </c>
      <c r="AR24" s="1685">
        <f t="shared" si="26"/>
        <v>358000</v>
      </c>
      <c r="AS24" s="1683">
        <f t="shared" si="13"/>
        <v>200</v>
      </c>
      <c r="AT24" s="502"/>
      <c r="AU24" s="504"/>
      <c r="AV24" s="505">
        <f t="shared" si="118"/>
        <v>1548461.5384615383</v>
      </c>
      <c r="AW24" s="502">
        <f t="shared" si="14"/>
        <v>2</v>
      </c>
      <c r="AX24" s="502">
        <f t="shared" si="15"/>
        <v>0</v>
      </c>
      <c r="AY24" s="573">
        <f t="shared" si="16"/>
        <v>200</v>
      </c>
      <c r="AZ24" s="573">
        <f t="shared" si="17"/>
        <v>7</v>
      </c>
      <c r="BA24" s="548">
        <f t="shared" si="18"/>
        <v>0</v>
      </c>
      <c r="BB24" s="548">
        <f t="shared" si="19"/>
        <v>1</v>
      </c>
      <c r="BC24" s="548">
        <f t="shared" si="20"/>
        <v>3</v>
      </c>
      <c r="BD24" s="548">
        <f t="shared" si="21"/>
        <v>0</v>
      </c>
      <c r="BE24" s="548">
        <f t="shared" si="22"/>
        <v>0</v>
      </c>
      <c r="BF24" s="549">
        <f t="shared" si="23"/>
        <v>358000</v>
      </c>
      <c r="BH24" s="578" t="s">
        <v>790</v>
      </c>
      <c r="BI24" s="578" t="s">
        <v>573</v>
      </c>
      <c r="BJ24" s="1154">
        <v>34948</v>
      </c>
      <c r="BK24" s="578" t="s">
        <v>607</v>
      </c>
      <c r="BL24" s="531">
        <v>170762905</v>
      </c>
    </row>
    <row r="25" spans="1:64" s="755" customFormat="1" ht="45.75" customHeight="1">
      <c r="A25" s="1389">
        <v>19</v>
      </c>
      <c r="B25" s="1414" t="s">
        <v>1165</v>
      </c>
      <c r="C25" s="1329" t="s">
        <v>495</v>
      </c>
      <c r="D25" s="1841">
        <v>41435</v>
      </c>
      <c r="E25" s="1637" t="s">
        <v>260</v>
      </c>
      <c r="F25" s="1649">
        <f>13+144+17+12+8+2+4+4</f>
        <v>204</v>
      </c>
      <c r="G25" s="617">
        <f>2</f>
        <v>2</v>
      </c>
      <c r="H25" s="1388">
        <v>21.5</v>
      </c>
      <c r="I25" s="1409">
        <f t="shared" si="24"/>
        <v>168.69230769230768</v>
      </c>
      <c r="J25" s="788">
        <f t="shared" si="0"/>
        <v>168.69230769230768</v>
      </c>
      <c r="K25" s="1388">
        <v>46</v>
      </c>
      <c r="L25" s="761">
        <f t="shared" si="1"/>
        <v>1.471153846153846</v>
      </c>
      <c r="M25" s="788">
        <f t="shared" si="2"/>
        <v>67.67307692307692</v>
      </c>
      <c r="N25" s="1388">
        <v>0</v>
      </c>
      <c r="O25" s="761">
        <f t="shared" si="3"/>
        <v>1.9615384615384615</v>
      </c>
      <c r="P25" s="503">
        <f t="shared" si="101"/>
        <v>0</v>
      </c>
      <c r="Q25" s="1388">
        <v>24</v>
      </c>
      <c r="R25" s="761">
        <f t="shared" si="4"/>
        <v>1.9615384615384615</v>
      </c>
      <c r="S25" s="618">
        <f t="shared" si="5"/>
        <v>47.076923076923073</v>
      </c>
      <c r="T25" s="1388">
        <v>5</v>
      </c>
      <c r="U25" s="761">
        <f t="shared" si="6"/>
        <v>7.8461538461538458</v>
      </c>
      <c r="V25" s="788">
        <f t="shared" si="7"/>
        <v>39.230769230769226</v>
      </c>
      <c r="W25" s="1388">
        <v>0.5</v>
      </c>
      <c r="X25" s="788">
        <f>'S3 Salary'!T26*'S3'!W25</f>
        <v>5.9652628687921014</v>
      </c>
      <c r="Y25" s="1388">
        <v>0</v>
      </c>
      <c r="Z25" s="510">
        <f t="shared" si="8"/>
        <v>3.9230769230769229</v>
      </c>
      <c r="AA25" s="788">
        <f t="shared" si="9"/>
        <v>0</v>
      </c>
      <c r="AB25" s="1388">
        <v>0</v>
      </c>
      <c r="AC25" s="1468">
        <f t="shared" si="10"/>
        <v>27</v>
      </c>
      <c r="AD25" s="1726">
        <v>0</v>
      </c>
      <c r="AE25" s="1121">
        <v>0</v>
      </c>
      <c r="AF25" s="1412">
        <v>0</v>
      </c>
      <c r="AG25" s="511">
        <v>0</v>
      </c>
      <c r="AH25" s="788">
        <v>10</v>
      </c>
      <c r="AI25" s="618">
        <v>11</v>
      </c>
      <c r="AJ25" s="788">
        <v>10</v>
      </c>
      <c r="AK25" s="788">
        <v>10</v>
      </c>
      <c r="AL25" s="1325">
        <f t="shared" si="11"/>
        <v>371.63833979186899</v>
      </c>
      <c r="AM25" s="1278">
        <v>0.5</v>
      </c>
      <c r="AN25" s="1056">
        <v>102</v>
      </c>
      <c r="AO25" s="1097">
        <f>'Tax Calulation  '!P25</f>
        <v>0</v>
      </c>
      <c r="AP25" s="1097">
        <f>'Tax Calulation  '!W25</f>
        <v>5.9084194977843429</v>
      </c>
      <c r="AQ25" s="1687">
        <f t="shared" si="12"/>
        <v>263.22992029408465</v>
      </c>
      <c r="AR25" s="1685">
        <f t="shared" si="26"/>
        <v>255400</v>
      </c>
      <c r="AS25" s="1683">
        <f t="shared" si="13"/>
        <v>200</v>
      </c>
      <c r="AT25" s="502"/>
      <c r="AU25" s="504"/>
      <c r="AV25" s="505">
        <f t="shared" si="118"/>
        <v>1454692.3076923075</v>
      </c>
      <c r="AW25" s="502">
        <f t="shared" si="14"/>
        <v>2</v>
      </c>
      <c r="AX25" s="502">
        <f t="shared" si="15"/>
        <v>0</v>
      </c>
      <c r="AY25" s="573">
        <f t="shared" si="16"/>
        <v>200</v>
      </c>
      <c r="AZ25" s="573">
        <f t="shared" si="17"/>
        <v>5</v>
      </c>
      <c r="BA25" s="548">
        <f t="shared" si="18"/>
        <v>0</v>
      </c>
      <c r="BB25" s="548">
        <f t="shared" si="19"/>
        <v>1</v>
      </c>
      <c r="BC25" s="548">
        <f t="shared" si="20"/>
        <v>0</v>
      </c>
      <c r="BD25" s="548">
        <f t="shared" si="21"/>
        <v>0</v>
      </c>
      <c r="BE25" s="548">
        <f t="shared" si="22"/>
        <v>4</v>
      </c>
      <c r="BF25" s="549">
        <f t="shared" si="23"/>
        <v>255400</v>
      </c>
      <c r="BH25" s="578" t="s">
        <v>791</v>
      </c>
      <c r="BI25" s="578" t="s">
        <v>573</v>
      </c>
      <c r="BJ25" s="1154">
        <v>27937</v>
      </c>
      <c r="BK25" s="578" t="s">
        <v>608</v>
      </c>
      <c r="BL25" s="531">
        <v>20053663</v>
      </c>
    </row>
    <row r="26" spans="1:64" s="755" customFormat="1" ht="45.75" customHeight="1">
      <c r="A26" s="1389">
        <v>20</v>
      </c>
      <c r="B26" s="1576" t="s">
        <v>1166</v>
      </c>
      <c r="C26" s="1854" t="s">
        <v>496</v>
      </c>
      <c r="D26" s="1841">
        <v>41440</v>
      </c>
      <c r="E26" s="1637" t="s">
        <v>260</v>
      </c>
      <c r="F26" s="617">
        <f>13+154+17+12+8+2</f>
        <v>206</v>
      </c>
      <c r="G26" s="617">
        <f>2</f>
        <v>2</v>
      </c>
      <c r="H26" s="1388">
        <v>22</v>
      </c>
      <c r="I26" s="1409">
        <f t="shared" si="24"/>
        <v>174.30769230769232</v>
      </c>
      <c r="J26" s="788">
        <f t="shared" si="0"/>
        <v>174.30769230769232</v>
      </c>
      <c r="K26" s="1388">
        <v>30</v>
      </c>
      <c r="L26" s="761">
        <f t="shared" si="1"/>
        <v>1.4855769230769231</v>
      </c>
      <c r="M26" s="788">
        <f t="shared" si="2"/>
        <v>44.567307692307693</v>
      </c>
      <c r="N26" s="1388">
        <v>0</v>
      </c>
      <c r="O26" s="761">
        <f t="shared" si="3"/>
        <v>1.9807692307692308</v>
      </c>
      <c r="P26" s="503">
        <f t="shared" si="101"/>
        <v>0</v>
      </c>
      <c r="Q26" s="1388">
        <v>16</v>
      </c>
      <c r="R26" s="761">
        <f t="shared" si="4"/>
        <v>1.9807692307692308</v>
      </c>
      <c r="S26" s="618">
        <f t="shared" si="5"/>
        <v>31.692307692307693</v>
      </c>
      <c r="T26" s="1388">
        <v>5</v>
      </c>
      <c r="U26" s="761">
        <f t="shared" si="6"/>
        <v>7.9230769230769234</v>
      </c>
      <c r="V26" s="788">
        <f t="shared" si="7"/>
        <v>39.615384615384613</v>
      </c>
      <c r="W26" s="1388">
        <v>0</v>
      </c>
      <c r="X26" s="788">
        <f>'S3 Salary'!T27*'S3'!W26</f>
        <v>0</v>
      </c>
      <c r="Y26" s="1388">
        <v>0</v>
      </c>
      <c r="Z26" s="510">
        <f t="shared" si="8"/>
        <v>3.9615384615384617</v>
      </c>
      <c r="AA26" s="788">
        <f t="shared" si="9"/>
        <v>0</v>
      </c>
      <c r="AB26" s="1388">
        <v>0</v>
      </c>
      <c r="AC26" s="1468">
        <f t="shared" si="10"/>
        <v>27</v>
      </c>
      <c r="AD26" s="1726">
        <v>0</v>
      </c>
      <c r="AE26" s="1121">
        <v>0</v>
      </c>
      <c r="AF26" s="1412">
        <f>4+4</f>
        <v>8</v>
      </c>
      <c r="AG26" s="511">
        <v>0</v>
      </c>
      <c r="AH26" s="788">
        <v>10</v>
      </c>
      <c r="AI26" s="618">
        <v>11</v>
      </c>
      <c r="AJ26" s="788">
        <v>10</v>
      </c>
      <c r="AK26" s="788">
        <v>10</v>
      </c>
      <c r="AL26" s="1325">
        <f t="shared" si="11"/>
        <v>341.18269230769226</v>
      </c>
      <c r="AM26" s="1278">
        <v>0</v>
      </c>
      <c r="AN26" s="1056">
        <v>102</v>
      </c>
      <c r="AO26" s="1097">
        <f>'Tax Calulation  '!P26</f>
        <v>0</v>
      </c>
      <c r="AP26" s="1097">
        <f>'Tax Calulation  '!W26</f>
        <v>5.9084194977843429</v>
      </c>
      <c r="AQ26" s="1687">
        <f t="shared" si="12"/>
        <v>233.27427280990793</v>
      </c>
      <c r="AR26" s="1685">
        <f t="shared" si="26"/>
        <v>134400</v>
      </c>
      <c r="AS26" s="1683">
        <f t="shared" si="13"/>
        <v>200</v>
      </c>
      <c r="AT26" s="502"/>
      <c r="AU26" s="504"/>
      <c r="AV26" s="505">
        <f t="shared" si="118"/>
        <v>1324730.769230769</v>
      </c>
      <c r="AW26" s="502">
        <f t="shared" si="14"/>
        <v>2</v>
      </c>
      <c r="AX26" s="502">
        <f t="shared" si="15"/>
        <v>0</v>
      </c>
      <c r="AY26" s="573">
        <f t="shared" si="16"/>
        <v>200</v>
      </c>
      <c r="AZ26" s="573">
        <f t="shared" si="17"/>
        <v>2</v>
      </c>
      <c r="BA26" s="548">
        <f t="shared" si="18"/>
        <v>3</v>
      </c>
      <c r="BB26" s="548">
        <f t="shared" si="19"/>
        <v>0</v>
      </c>
      <c r="BC26" s="548">
        <f t="shared" si="20"/>
        <v>4</v>
      </c>
      <c r="BD26" s="548">
        <f t="shared" si="21"/>
        <v>0</v>
      </c>
      <c r="BE26" s="548">
        <f t="shared" si="22"/>
        <v>4</v>
      </c>
      <c r="BF26" s="549">
        <f t="shared" si="23"/>
        <v>134400</v>
      </c>
      <c r="BH26" s="581" t="s">
        <v>792</v>
      </c>
      <c r="BI26" s="581" t="s">
        <v>573</v>
      </c>
      <c r="BJ26" s="1154">
        <v>27257</v>
      </c>
      <c r="BK26" s="581" t="s">
        <v>609</v>
      </c>
      <c r="BL26" s="531">
        <v>30646120</v>
      </c>
    </row>
    <row r="27" spans="1:64" s="755" customFormat="1" ht="45.75" customHeight="1">
      <c r="A27" s="1389">
        <v>21</v>
      </c>
      <c r="B27" s="1598" t="s">
        <v>1167</v>
      </c>
      <c r="C27" s="1861" t="s">
        <v>497</v>
      </c>
      <c r="D27" s="1858">
        <v>41444</v>
      </c>
      <c r="E27" s="1637" t="s">
        <v>1113</v>
      </c>
      <c r="F27" s="617">
        <f>13+210+17+12+8+2+10+39</f>
        <v>311</v>
      </c>
      <c r="G27" s="617">
        <f>50+20+2</f>
        <v>72</v>
      </c>
      <c r="H27" s="1388">
        <v>20</v>
      </c>
      <c r="I27" s="1409">
        <f t="shared" si="24"/>
        <v>239.23076923076923</v>
      </c>
      <c r="J27" s="788">
        <f t="shared" si="0"/>
        <v>239.23076923076923</v>
      </c>
      <c r="K27" s="1388">
        <v>57</v>
      </c>
      <c r="L27" s="761">
        <f t="shared" si="1"/>
        <v>2.2427884615384617</v>
      </c>
      <c r="M27" s="788">
        <f t="shared" si="2"/>
        <v>127.83894230769232</v>
      </c>
      <c r="N27" s="1388">
        <v>0</v>
      </c>
      <c r="O27" s="761">
        <f t="shared" si="3"/>
        <v>2.9903846153846154</v>
      </c>
      <c r="P27" s="503">
        <f t="shared" si="101"/>
        <v>0</v>
      </c>
      <c r="Q27" s="1388">
        <v>16</v>
      </c>
      <c r="R27" s="761">
        <f t="shared" si="4"/>
        <v>2.9903846153846154</v>
      </c>
      <c r="S27" s="618">
        <f t="shared" si="5"/>
        <v>47.846153846153847</v>
      </c>
      <c r="T27" s="1388">
        <v>5</v>
      </c>
      <c r="U27" s="761">
        <f t="shared" si="6"/>
        <v>11.961538461538462</v>
      </c>
      <c r="V27" s="788">
        <f t="shared" si="7"/>
        <v>59.807692307692307</v>
      </c>
      <c r="W27" s="1388">
        <v>2</v>
      </c>
      <c r="X27" s="788">
        <f>'S3 Salary'!T28*'S3'!W27</f>
        <v>39.043788100009643</v>
      </c>
      <c r="Y27" s="1388">
        <v>0</v>
      </c>
      <c r="Z27" s="510">
        <f t="shared" si="8"/>
        <v>5.9807692307692308</v>
      </c>
      <c r="AA27" s="788">
        <f t="shared" si="9"/>
        <v>0</v>
      </c>
      <c r="AB27" s="1388">
        <v>0</v>
      </c>
      <c r="AC27" s="1468">
        <f t="shared" si="10"/>
        <v>27</v>
      </c>
      <c r="AD27" s="1726">
        <v>0</v>
      </c>
      <c r="AE27" s="1121">
        <v>0</v>
      </c>
      <c r="AF27" s="1412">
        <f>4+20</f>
        <v>24</v>
      </c>
      <c r="AG27" s="511">
        <v>0</v>
      </c>
      <c r="AH27" s="788">
        <v>10</v>
      </c>
      <c r="AI27" s="618">
        <v>11</v>
      </c>
      <c r="AJ27" s="788">
        <v>10</v>
      </c>
      <c r="AK27" s="788">
        <v>10</v>
      </c>
      <c r="AL27" s="1325">
        <f t="shared" si="11"/>
        <v>650.76734579231743</v>
      </c>
      <c r="AM27" s="1278">
        <v>0</v>
      </c>
      <c r="AN27" s="1056">
        <v>102</v>
      </c>
      <c r="AO27" s="1097">
        <f>'Tax Calulation  '!P27</f>
        <v>12.01814275254538</v>
      </c>
      <c r="AP27" s="1097">
        <f>'Tax Calulation  '!W27</f>
        <v>5.9084194977843429</v>
      </c>
      <c r="AQ27" s="1687">
        <f t="shared" si="12"/>
        <v>530.84078354198766</v>
      </c>
      <c r="AR27" s="1685">
        <f t="shared" si="26"/>
        <v>124600</v>
      </c>
      <c r="AS27" s="1683">
        <f t="shared" si="13"/>
        <v>500</v>
      </c>
      <c r="AT27" s="502"/>
      <c r="AU27" s="504"/>
      <c r="AV27" s="505">
        <f t="shared" si="118"/>
        <v>2062894.230769231</v>
      </c>
      <c r="AW27" s="502">
        <f t="shared" si="14"/>
        <v>5</v>
      </c>
      <c r="AX27" s="502">
        <f t="shared" si="15"/>
        <v>0</v>
      </c>
      <c r="AY27" s="573">
        <f t="shared" si="16"/>
        <v>500</v>
      </c>
      <c r="AZ27" s="573">
        <f t="shared" si="17"/>
        <v>2</v>
      </c>
      <c r="BA27" s="548">
        <f t="shared" si="18"/>
        <v>2</v>
      </c>
      <c r="BB27" s="548">
        <f t="shared" si="19"/>
        <v>0</v>
      </c>
      <c r="BC27" s="548">
        <f t="shared" si="20"/>
        <v>4</v>
      </c>
      <c r="BD27" s="548">
        <f t="shared" si="21"/>
        <v>1</v>
      </c>
      <c r="BE27" s="548">
        <f t="shared" si="22"/>
        <v>1</v>
      </c>
      <c r="BF27" s="549">
        <f t="shared" si="23"/>
        <v>124600</v>
      </c>
      <c r="BH27" s="585" t="s">
        <v>793</v>
      </c>
      <c r="BI27" s="585" t="s">
        <v>573</v>
      </c>
      <c r="BJ27" s="1154">
        <v>32301</v>
      </c>
      <c r="BK27" s="585" t="s">
        <v>699</v>
      </c>
      <c r="BL27" s="531">
        <v>20648582</v>
      </c>
    </row>
    <row r="28" spans="1:64" s="1665" customFormat="1" ht="45.75" customHeight="1">
      <c r="A28" s="1389">
        <v>22</v>
      </c>
      <c r="B28" s="1651" t="s">
        <v>1168</v>
      </c>
      <c r="C28" s="1862" t="s">
        <v>286</v>
      </c>
      <c r="D28" s="1859">
        <v>42485</v>
      </c>
      <c r="E28" s="1652" t="s">
        <v>260</v>
      </c>
      <c r="F28" s="808">
        <f>206</f>
        <v>206</v>
      </c>
      <c r="G28" s="808">
        <f>2</f>
        <v>2</v>
      </c>
      <c r="H28" s="1388">
        <v>22</v>
      </c>
      <c r="I28" s="1409">
        <f t="shared" si="24"/>
        <v>174.30769230769232</v>
      </c>
      <c r="J28" s="788">
        <f t="shared" si="0"/>
        <v>174.30769230769232</v>
      </c>
      <c r="K28" s="1388">
        <v>30</v>
      </c>
      <c r="L28" s="761">
        <f t="shared" si="1"/>
        <v>1.4855769230769231</v>
      </c>
      <c r="M28" s="788">
        <f t="shared" si="2"/>
        <v>44.567307692307693</v>
      </c>
      <c r="N28" s="1388">
        <v>0</v>
      </c>
      <c r="O28" s="761">
        <f t="shared" si="3"/>
        <v>1.9807692307692308</v>
      </c>
      <c r="P28" s="1656">
        <f t="shared" si="101"/>
        <v>0</v>
      </c>
      <c r="Q28" s="1388">
        <v>0</v>
      </c>
      <c r="R28" s="761">
        <f t="shared" si="4"/>
        <v>1.9807692307692308</v>
      </c>
      <c r="S28" s="1653">
        <f t="shared" si="5"/>
        <v>0</v>
      </c>
      <c r="T28" s="1388">
        <v>5</v>
      </c>
      <c r="U28" s="761">
        <f t="shared" si="6"/>
        <v>7.9230769230769234</v>
      </c>
      <c r="V28" s="788">
        <f t="shared" si="7"/>
        <v>39.615384615384613</v>
      </c>
      <c r="W28" s="1388">
        <v>0</v>
      </c>
      <c r="X28" s="788">
        <f>'S3 Salary'!T29*'S3'!W28</f>
        <v>0</v>
      </c>
      <c r="Y28" s="1388">
        <v>0</v>
      </c>
      <c r="Z28" s="1654">
        <f t="shared" si="8"/>
        <v>3.9615384615384617</v>
      </c>
      <c r="AA28" s="788">
        <f t="shared" si="9"/>
        <v>0</v>
      </c>
      <c r="AB28" s="1388">
        <v>0</v>
      </c>
      <c r="AC28" s="1468">
        <f t="shared" si="10"/>
        <v>27</v>
      </c>
      <c r="AD28" s="1726">
        <v>0</v>
      </c>
      <c r="AE28" s="1121">
        <v>0</v>
      </c>
      <c r="AF28" s="1657">
        <f>4+4</f>
        <v>8</v>
      </c>
      <c r="AG28" s="1658">
        <v>0</v>
      </c>
      <c r="AH28" s="788">
        <v>10</v>
      </c>
      <c r="AI28" s="1653">
        <v>9</v>
      </c>
      <c r="AJ28" s="788">
        <v>10</v>
      </c>
      <c r="AK28" s="788">
        <v>10</v>
      </c>
      <c r="AL28" s="1325">
        <f t="shared" si="11"/>
        <v>307.49038461538464</v>
      </c>
      <c r="AM28" s="1659">
        <v>0.5</v>
      </c>
      <c r="AN28" s="1056">
        <v>102</v>
      </c>
      <c r="AO28" s="1097">
        <f>'Tax Calulation  '!P28</f>
        <v>0</v>
      </c>
      <c r="AP28" s="1097">
        <f>'Tax Calulation  '!W28</f>
        <v>5.9084194977843429</v>
      </c>
      <c r="AQ28" s="1687">
        <f t="shared" si="12"/>
        <v>199.0819651176003</v>
      </c>
      <c r="AR28" s="1685">
        <f t="shared" si="26"/>
        <v>400300</v>
      </c>
      <c r="AS28" s="1690">
        <f t="shared" si="13"/>
        <v>100</v>
      </c>
      <c r="AT28" s="1655"/>
      <c r="AU28" s="1660"/>
      <c r="AV28" s="1661">
        <f t="shared" si="118"/>
        <v>1189961.5384615385</v>
      </c>
      <c r="AW28" s="1655">
        <f t="shared" si="14"/>
        <v>1</v>
      </c>
      <c r="AX28" s="1655">
        <f t="shared" si="15"/>
        <v>0</v>
      </c>
      <c r="AY28" s="1662">
        <f t="shared" si="16"/>
        <v>100</v>
      </c>
      <c r="AZ28" s="1662">
        <f t="shared" si="17"/>
        <v>8</v>
      </c>
      <c r="BA28" s="1663">
        <f t="shared" si="18"/>
        <v>0</v>
      </c>
      <c r="BB28" s="1663">
        <f t="shared" si="19"/>
        <v>0</v>
      </c>
      <c r="BC28" s="1663">
        <f t="shared" si="20"/>
        <v>0</v>
      </c>
      <c r="BD28" s="1663">
        <f t="shared" si="21"/>
        <v>0</v>
      </c>
      <c r="BE28" s="1663">
        <f t="shared" si="22"/>
        <v>3</v>
      </c>
      <c r="BF28" s="1664">
        <f t="shared" si="23"/>
        <v>400300</v>
      </c>
      <c r="BH28" s="628" t="s">
        <v>794</v>
      </c>
      <c r="BI28" s="628" t="s">
        <v>573</v>
      </c>
      <c r="BJ28" s="1155">
        <v>30359</v>
      </c>
      <c r="BK28" s="628" t="s">
        <v>610</v>
      </c>
      <c r="BL28" s="787">
        <v>90026887</v>
      </c>
    </row>
    <row r="29" spans="1:64" s="755" customFormat="1" ht="45.75" customHeight="1">
      <c r="A29" s="1389">
        <v>23</v>
      </c>
      <c r="B29" s="1414" t="s">
        <v>1169</v>
      </c>
      <c r="C29" s="1329" t="s">
        <v>498</v>
      </c>
      <c r="D29" s="1841">
        <v>41491</v>
      </c>
      <c r="E29" s="1637" t="s">
        <v>260</v>
      </c>
      <c r="F29" s="617">
        <f>13+154+17+12+8+2</f>
        <v>206</v>
      </c>
      <c r="G29" s="617">
        <f>2</f>
        <v>2</v>
      </c>
      <c r="H29" s="1388">
        <v>21.5</v>
      </c>
      <c r="I29" s="1409">
        <f t="shared" si="24"/>
        <v>170.34615384615384</v>
      </c>
      <c r="J29" s="788">
        <f t="shared" si="0"/>
        <v>170.34615384615384</v>
      </c>
      <c r="K29" s="1388">
        <v>67</v>
      </c>
      <c r="L29" s="761">
        <f t="shared" si="1"/>
        <v>1.4855769230769231</v>
      </c>
      <c r="M29" s="788">
        <f t="shared" si="2"/>
        <v>99.533653846153854</v>
      </c>
      <c r="N29" s="1388">
        <v>0</v>
      </c>
      <c r="O29" s="761">
        <f t="shared" si="3"/>
        <v>1.9807692307692308</v>
      </c>
      <c r="P29" s="503">
        <f t="shared" si="101"/>
        <v>0</v>
      </c>
      <c r="Q29" s="1388">
        <v>24</v>
      </c>
      <c r="R29" s="761">
        <f t="shared" si="4"/>
        <v>1.9807692307692308</v>
      </c>
      <c r="S29" s="618">
        <f t="shared" si="5"/>
        <v>47.53846153846154</v>
      </c>
      <c r="T29" s="1388">
        <v>5</v>
      </c>
      <c r="U29" s="761">
        <f t="shared" si="6"/>
        <v>7.9230769230769234</v>
      </c>
      <c r="V29" s="788">
        <f t="shared" si="7"/>
        <v>39.615384615384613</v>
      </c>
      <c r="W29" s="1388">
        <v>0</v>
      </c>
      <c r="X29" s="788">
        <f>'S3 Salary'!T30*'S3'!W29</f>
        <v>0</v>
      </c>
      <c r="Y29" s="1388">
        <v>0</v>
      </c>
      <c r="Z29" s="510">
        <f t="shared" si="8"/>
        <v>3.9615384615384617</v>
      </c>
      <c r="AA29" s="788">
        <f t="shared" si="9"/>
        <v>0</v>
      </c>
      <c r="AB29" s="1388">
        <v>0.5</v>
      </c>
      <c r="AC29" s="1468">
        <f t="shared" si="10"/>
        <v>27</v>
      </c>
      <c r="AD29" s="1726">
        <v>0</v>
      </c>
      <c r="AE29" s="1121">
        <v>0</v>
      </c>
      <c r="AF29" s="1412">
        <f>4+4</f>
        <v>8</v>
      </c>
      <c r="AG29" s="511">
        <v>0</v>
      </c>
      <c r="AH29" s="788">
        <v>0</v>
      </c>
      <c r="AI29" s="618">
        <v>11</v>
      </c>
      <c r="AJ29" s="788">
        <v>10</v>
      </c>
      <c r="AK29" s="788">
        <v>10</v>
      </c>
      <c r="AL29" s="1325">
        <f t="shared" si="11"/>
        <v>398.03365384615381</v>
      </c>
      <c r="AM29" s="1278">
        <v>0</v>
      </c>
      <c r="AN29" s="1056">
        <v>102</v>
      </c>
      <c r="AO29" s="1097">
        <f>'Tax Calulation  '!P29</f>
        <v>0</v>
      </c>
      <c r="AP29" s="1097">
        <f>'Tax Calulation  '!W29</f>
        <v>5.9084194977843429</v>
      </c>
      <c r="AQ29" s="1687">
        <f t="shared" si="12"/>
        <v>290.12523434836947</v>
      </c>
      <c r="AR29" s="1685">
        <f t="shared" si="26"/>
        <v>364100</v>
      </c>
      <c r="AS29" s="1683">
        <f t="shared" si="13"/>
        <v>200</v>
      </c>
      <c r="AT29" s="502"/>
      <c r="AU29" s="504"/>
      <c r="AV29" s="505">
        <f t="shared" si="118"/>
        <v>1552134.6153846153</v>
      </c>
      <c r="AW29" s="502">
        <f t="shared" si="14"/>
        <v>2</v>
      </c>
      <c r="AX29" s="502">
        <f t="shared" si="15"/>
        <v>0</v>
      </c>
      <c r="AY29" s="573">
        <f t="shared" si="16"/>
        <v>200</v>
      </c>
      <c r="AZ29" s="573">
        <f t="shared" si="17"/>
        <v>7</v>
      </c>
      <c r="BA29" s="548">
        <f t="shared" si="18"/>
        <v>1</v>
      </c>
      <c r="BB29" s="548">
        <f t="shared" si="19"/>
        <v>0</v>
      </c>
      <c r="BC29" s="548">
        <f t="shared" si="20"/>
        <v>4</v>
      </c>
      <c r="BD29" s="548">
        <f t="shared" si="21"/>
        <v>0</v>
      </c>
      <c r="BE29" s="548">
        <f t="shared" si="22"/>
        <v>1</v>
      </c>
      <c r="BF29" s="549">
        <f t="shared" si="23"/>
        <v>364100</v>
      </c>
      <c r="BH29" s="578" t="s">
        <v>795</v>
      </c>
      <c r="BI29" s="578" t="s">
        <v>573</v>
      </c>
      <c r="BJ29" s="1154">
        <v>29952</v>
      </c>
      <c r="BK29" s="578" t="s">
        <v>611</v>
      </c>
      <c r="BL29" s="531">
        <v>101247832</v>
      </c>
    </row>
    <row r="30" spans="1:64" s="768" customFormat="1" ht="45.75" customHeight="1">
      <c r="A30" s="1389">
        <v>24</v>
      </c>
      <c r="B30" s="1418" t="s">
        <v>1171</v>
      </c>
      <c r="C30" s="1330" t="s">
        <v>929</v>
      </c>
      <c r="D30" s="1851">
        <v>44488</v>
      </c>
      <c r="E30" s="1151" t="s">
        <v>260</v>
      </c>
      <c r="F30" s="758">
        <f>206</f>
        <v>206</v>
      </c>
      <c r="G30" s="758">
        <f>2</f>
        <v>2</v>
      </c>
      <c r="H30" s="1388">
        <v>22</v>
      </c>
      <c r="I30" s="1409">
        <f t="shared" si="24"/>
        <v>174.30769230769232</v>
      </c>
      <c r="J30" s="788">
        <f t="shared" si="0"/>
        <v>174.30769230769232</v>
      </c>
      <c r="K30" s="1388">
        <v>67</v>
      </c>
      <c r="L30" s="761">
        <f t="shared" si="1"/>
        <v>1.4855769230769231</v>
      </c>
      <c r="M30" s="788">
        <f t="shared" si="2"/>
        <v>99.533653846153854</v>
      </c>
      <c r="N30" s="1388">
        <v>0</v>
      </c>
      <c r="O30" s="761">
        <f t="shared" si="3"/>
        <v>1.9807692307692308</v>
      </c>
      <c r="P30" s="503">
        <f t="shared" si="101"/>
        <v>0</v>
      </c>
      <c r="Q30" s="1388">
        <v>16</v>
      </c>
      <c r="R30" s="761">
        <f t="shared" si="4"/>
        <v>1.9807692307692308</v>
      </c>
      <c r="S30" s="618">
        <f t="shared" si="5"/>
        <v>31.692307692307693</v>
      </c>
      <c r="T30" s="1388">
        <v>5</v>
      </c>
      <c r="U30" s="761">
        <f t="shared" si="6"/>
        <v>7.9230769230769234</v>
      </c>
      <c r="V30" s="788">
        <f t="shared" si="7"/>
        <v>39.615384615384613</v>
      </c>
      <c r="W30" s="1388">
        <v>0</v>
      </c>
      <c r="X30" s="788">
        <f>'S3 Salary'!T31*'S3'!W30</f>
        <v>0</v>
      </c>
      <c r="Y30" s="1388">
        <v>0</v>
      </c>
      <c r="Z30" s="510">
        <f t="shared" si="8"/>
        <v>3.9615384615384617</v>
      </c>
      <c r="AA30" s="788">
        <f t="shared" si="9"/>
        <v>0</v>
      </c>
      <c r="AB30" s="1388">
        <v>0</v>
      </c>
      <c r="AC30" s="1468">
        <f t="shared" si="10"/>
        <v>27</v>
      </c>
      <c r="AD30" s="1726">
        <v>0</v>
      </c>
      <c r="AE30" s="1121">
        <v>0</v>
      </c>
      <c r="AF30" s="1412">
        <f>4+4</f>
        <v>8</v>
      </c>
      <c r="AG30" s="762">
        <v>0</v>
      </c>
      <c r="AH30" s="788">
        <v>10</v>
      </c>
      <c r="AI30" s="788">
        <v>4</v>
      </c>
      <c r="AJ30" s="788">
        <v>10</v>
      </c>
      <c r="AK30" s="788">
        <v>10</v>
      </c>
      <c r="AL30" s="1325">
        <f t="shared" si="11"/>
        <v>389.14903846153845</v>
      </c>
      <c r="AM30" s="1280">
        <v>0</v>
      </c>
      <c r="AN30" s="1056">
        <v>102</v>
      </c>
      <c r="AO30" s="1097">
        <f>'Tax Calulation  '!P30</f>
        <v>0</v>
      </c>
      <c r="AP30" s="1097">
        <f>'Tax Calulation  '!W30</f>
        <v>5.9084194977843429</v>
      </c>
      <c r="AQ30" s="1687">
        <f t="shared" si="12"/>
        <v>281.24061896375412</v>
      </c>
      <c r="AR30" s="1685">
        <f t="shared" si="26"/>
        <v>328200</v>
      </c>
      <c r="AS30" s="1684">
        <f t="shared" ref="AS30" si="119">CEILING(AQ30,(100))-100</f>
        <v>200</v>
      </c>
      <c r="AT30" s="612"/>
      <c r="AU30" s="763"/>
      <c r="AV30" s="764">
        <f t="shared" si="118"/>
        <v>1516596.1538461538</v>
      </c>
      <c r="AW30" s="612">
        <f t="shared" si="14"/>
        <v>2</v>
      </c>
      <c r="AX30" s="612">
        <f t="shared" si="15"/>
        <v>0</v>
      </c>
      <c r="AY30" s="765">
        <f t="shared" ref="AY30" si="120">AW30*100+AX30*50</f>
        <v>200</v>
      </c>
      <c r="AZ30" s="765">
        <f t="shared" si="17"/>
        <v>6</v>
      </c>
      <c r="BA30" s="766">
        <f t="shared" si="18"/>
        <v>2</v>
      </c>
      <c r="BB30" s="766">
        <f t="shared" si="19"/>
        <v>1</v>
      </c>
      <c r="BC30" s="766">
        <f t="shared" si="20"/>
        <v>3</v>
      </c>
      <c r="BD30" s="766">
        <f t="shared" si="21"/>
        <v>0</v>
      </c>
      <c r="BE30" s="766">
        <f t="shared" si="22"/>
        <v>2</v>
      </c>
      <c r="BF30" s="767">
        <f t="shared" ref="BF30" si="121">AZ30*50000+BA30*10000+BB30*5000+BC30*1000+BD30*500+BE30*100</f>
        <v>328200</v>
      </c>
      <c r="BH30" s="628" t="s">
        <v>948</v>
      </c>
      <c r="BI30" s="628" t="s">
        <v>943</v>
      </c>
      <c r="BJ30" s="1155">
        <v>36119</v>
      </c>
      <c r="BK30" s="628">
        <v>967852681</v>
      </c>
      <c r="BL30" s="787">
        <v>100900901</v>
      </c>
    </row>
    <row r="31" spans="1:64" s="755" customFormat="1" ht="45.75" customHeight="1">
      <c r="A31" s="1389">
        <v>25</v>
      </c>
      <c r="B31" s="1414" t="s">
        <v>1172</v>
      </c>
      <c r="C31" s="1329" t="s">
        <v>931</v>
      </c>
      <c r="D31" s="1841">
        <v>44487</v>
      </c>
      <c r="E31" s="1637" t="s">
        <v>260</v>
      </c>
      <c r="F31" s="617">
        <f>201+3</f>
        <v>204</v>
      </c>
      <c r="G31" s="617">
        <f>2</f>
        <v>2</v>
      </c>
      <c r="H31" s="1388">
        <v>22</v>
      </c>
      <c r="I31" s="1409">
        <f t="shared" si="24"/>
        <v>172.61538461538461</v>
      </c>
      <c r="J31" s="788">
        <f t="shared" si="0"/>
        <v>172.61538461538461</v>
      </c>
      <c r="K31" s="1388">
        <v>68</v>
      </c>
      <c r="L31" s="761">
        <f t="shared" si="1"/>
        <v>1.471153846153846</v>
      </c>
      <c r="M31" s="788">
        <f t="shared" si="2"/>
        <v>100.03846153846153</v>
      </c>
      <c r="N31" s="1388">
        <v>0</v>
      </c>
      <c r="O31" s="761">
        <f t="shared" si="3"/>
        <v>1.9615384615384615</v>
      </c>
      <c r="P31" s="503">
        <f t="shared" si="101"/>
        <v>0</v>
      </c>
      <c r="Q31" s="1388">
        <v>24</v>
      </c>
      <c r="R31" s="761">
        <f t="shared" si="4"/>
        <v>1.9615384615384615</v>
      </c>
      <c r="S31" s="618">
        <f t="shared" si="5"/>
        <v>47.076923076923073</v>
      </c>
      <c r="T31" s="1388">
        <v>5</v>
      </c>
      <c r="U31" s="761">
        <f t="shared" si="6"/>
        <v>7.8461538461538458</v>
      </c>
      <c r="V31" s="788">
        <f t="shared" si="7"/>
        <v>39.230769230769226</v>
      </c>
      <c r="W31" s="1388">
        <v>0</v>
      </c>
      <c r="X31" s="788">
        <f>'S3 Salary'!T32*'S3'!W31</f>
        <v>0</v>
      </c>
      <c r="Y31" s="1388">
        <v>0</v>
      </c>
      <c r="Z31" s="510">
        <f t="shared" si="8"/>
        <v>3.9230769230769229</v>
      </c>
      <c r="AA31" s="788">
        <f t="shared" si="9"/>
        <v>0</v>
      </c>
      <c r="AB31" s="1388">
        <v>0</v>
      </c>
      <c r="AC31" s="1468">
        <f t="shared" si="10"/>
        <v>27</v>
      </c>
      <c r="AD31" s="1726">
        <v>0</v>
      </c>
      <c r="AE31" s="1121">
        <v>0</v>
      </c>
      <c r="AF31" s="1412">
        <f>4+1</f>
        <v>5</v>
      </c>
      <c r="AG31" s="511">
        <v>0</v>
      </c>
      <c r="AH31" s="788">
        <v>10</v>
      </c>
      <c r="AI31" s="618">
        <v>4</v>
      </c>
      <c r="AJ31" s="788">
        <v>10</v>
      </c>
      <c r="AK31" s="788">
        <v>10</v>
      </c>
      <c r="AL31" s="1325">
        <f t="shared" si="11"/>
        <v>399.96153846153845</v>
      </c>
      <c r="AM31" s="1278">
        <v>0</v>
      </c>
      <c r="AN31" s="1056">
        <v>102</v>
      </c>
      <c r="AO31" s="1097">
        <f>'Tax Calulation  '!P31</f>
        <v>0.23884501761163526</v>
      </c>
      <c r="AP31" s="1097">
        <f>'Tax Calulation  '!W31</f>
        <v>5.9084194977843429</v>
      </c>
      <c r="AQ31" s="1687">
        <f t="shared" si="12"/>
        <v>291.81427394614246</v>
      </c>
      <c r="AR31" s="1685">
        <f t="shared" si="26"/>
        <v>370900</v>
      </c>
      <c r="AS31" s="1683">
        <f t="shared" ref="AS31" si="122">CEILING(AQ31,(100))-100</f>
        <v>200</v>
      </c>
      <c r="AT31" s="502"/>
      <c r="AU31" s="504"/>
      <c r="AV31" s="505">
        <f t="shared" si="118"/>
        <v>1571846.1538461538</v>
      </c>
      <c r="AW31" s="502">
        <f t="shared" si="14"/>
        <v>2</v>
      </c>
      <c r="AX31" s="502">
        <f t="shared" si="15"/>
        <v>0</v>
      </c>
      <c r="AY31" s="573">
        <f t="shared" ref="AY31" si="123">AW31*100+AX31*50</f>
        <v>200</v>
      </c>
      <c r="AZ31" s="573">
        <f t="shared" si="17"/>
        <v>7</v>
      </c>
      <c r="BA31" s="548">
        <f t="shared" si="18"/>
        <v>2</v>
      </c>
      <c r="BB31" s="548">
        <f t="shared" si="19"/>
        <v>0</v>
      </c>
      <c r="BC31" s="548">
        <f t="shared" si="20"/>
        <v>0</v>
      </c>
      <c r="BD31" s="548">
        <f t="shared" si="21"/>
        <v>1</v>
      </c>
      <c r="BE31" s="548">
        <f t="shared" si="22"/>
        <v>4</v>
      </c>
      <c r="BF31" s="549">
        <f t="shared" ref="BF31" si="124">AZ31*50000+BA31*10000+BB31*5000+BC31*1000+BD31*500+BE31*100</f>
        <v>370900</v>
      </c>
      <c r="BH31" s="578" t="s">
        <v>947</v>
      </c>
      <c r="BI31" s="578" t="s">
        <v>573</v>
      </c>
      <c r="BJ31" s="1154">
        <v>34008</v>
      </c>
      <c r="BK31" s="578">
        <v>0</v>
      </c>
      <c r="BL31" s="531">
        <v>110464637</v>
      </c>
    </row>
    <row r="32" spans="1:64" s="768" customFormat="1" ht="45.75" customHeight="1">
      <c r="A32" s="1389">
        <v>26</v>
      </c>
      <c r="B32" s="1595" t="s">
        <v>1173</v>
      </c>
      <c r="C32" s="1855" t="s">
        <v>408</v>
      </c>
      <c r="D32" s="1851">
        <v>42846</v>
      </c>
      <c r="E32" s="1151" t="s">
        <v>260</v>
      </c>
      <c r="F32" s="758">
        <f>167+17+12+8+2</f>
        <v>206</v>
      </c>
      <c r="G32" s="758">
        <f>2</f>
        <v>2</v>
      </c>
      <c r="H32" s="1388">
        <v>19.5</v>
      </c>
      <c r="I32" s="1409">
        <f t="shared" si="24"/>
        <v>154.5</v>
      </c>
      <c r="J32" s="788">
        <f t="shared" si="0"/>
        <v>154.5</v>
      </c>
      <c r="K32" s="1388">
        <v>49</v>
      </c>
      <c r="L32" s="761">
        <f t="shared" si="1"/>
        <v>1.4855769230769231</v>
      </c>
      <c r="M32" s="788">
        <f t="shared" si="2"/>
        <v>72.793269230769226</v>
      </c>
      <c r="N32" s="1388">
        <v>0</v>
      </c>
      <c r="O32" s="761">
        <f t="shared" si="3"/>
        <v>1.9807692307692308</v>
      </c>
      <c r="P32" s="760">
        <f t="shared" si="101"/>
        <v>0</v>
      </c>
      <c r="Q32" s="1388">
        <v>8</v>
      </c>
      <c r="R32" s="761">
        <f t="shared" si="4"/>
        <v>1.9807692307692308</v>
      </c>
      <c r="S32" s="788">
        <f t="shared" si="5"/>
        <v>15.846153846153847</v>
      </c>
      <c r="T32" s="1388">
        <v>5.5</v>
      </c>
      <c r="U32" s="761">
        <f t="shared" si="6"/>
        <v>7.9230769230769234</v>
      </c>
      <c r="V32" s="788">
        <f t="shared" si="7"/>
        <v>43.57692307692308</v>
      </c>
      <c r="W32" s="1388">
        <v>0</v>
      </c>
      <c r="X32" s="788">
        <f>'S3 Salary'!T33*'S3'!W32</f>
        <v>0</v>
      </c>
      <c r="Y32" s="1388">
        <v>0</v>
      </c>
      <c r="Z32" s="761">
        <f t="shared" si="8"/>
        <v>3.9615384615384617</v>
      </c>
      <c r="AA32" s="788">
        <f t="shared" si="9"/>
        <v>0</v>
      </c>
      <c r="AB32" s="1388">
        <v>2</v>
      </c>
      <c r="AC32" s="1468">
        <f t="shared" si="10"/>
        <v>27</v>
      </c>
      <c r="AD32" s="1726">
        <v>0</v>
      </c>
      <c r="AE32" s="1121">
        <v>0</v>
      </c>
      <c r="AF32" s="1413">
        <f>4+4</f>
        <v>8</v>
      </c>
      <c r="AG32" s="762">
        <v>0</v>
      </c>
      <c r="AH32" s="788">
        <v>4</v>
      </c>
      <c r="AI32" s="788">
        <v>8</v>
      </c>
      <c r="AJ32" s="788">
        <v>10</v>
      </c>
      <c r="AK32" s="788">
        <v>10</v>
      </c>
      <c r="AL32" s="1325">
        <f t="shared" si="11"/>
        <v>328.71634615384613</v>
      </c>
      <c r="AM32" s="1280">
        <v>0.5</v>
      </c>
      <c r="AN32" s="1056">
        <v>102</v>
      </c>
      <c r="AO32" s="1097">
        <f>'Tax Calulation  '!P32</f>
        <v>0</v>
      </c>
      <c r="AP32" s="1097">
        <f>'Tax Calulation  '!W32</f>
        <v>5.9084194977843429</v>
      </c>
      <c r="AQ32" s="1687">
        <f t="shared" si="12"/>
        <v>220.3079266560618</v>
      </c>
      <c r="AR32" s="1685">
        <f t="shared" si="26"/>
        <v>82000</v>
      </c>
      <c r="AS32" s="1684">
        <f t="shared" si="13"/>
        <v>200</v>
      </c>
      <c r="AT32" s="612"/>
      <c r="AU32" s="763"/>
      <c r="AV32" s="764">
        <f t="shared" si="118"/>
        <v>1274865.3846153845</v>
      </c>
      <c r="AW32" s="612">
        <f t="shared" si="14"/>
        <v>2</v>
      </c>
      <c r="AX32" s="612">
        <f t="shared" si="15"/>
        <v>0</v>
      </c>
      <c r="AY32" s="765">
        <f t="shared" si="16"/>
        <v>200</v>
      </c>
      <c r="AZ32" s="765">
        <f t="shared" si="17"/>
        <v>1</v>
      </c>
      <c r="BA32" s="766">
        <f t="shared" si="18"/>
        <v>3</v>
      </c>
      <c r="BB32" s="766">
        <f t="shared" si="19"/>
        <v>0</v>
      </c>
      <c r="BC32" s="766">
        <f t="shared" si="20"/>
        <v>2</v>
      </c>
      <c r="BD32" s="766">
        <f t="shared" si="21"/>
        <v>0</v>
      </c>
      <c r="BE32" s="766">
        <f t="shared" si="22"/>
        <v>0</v>
      </c>
      <c r="BF32" s="767">
        <f t="shared" si="23"/>
        <v>82000</v>
      </c>
      <c r="BH32" s="625" t="s">
        <v>796</v>
      </c>
      <c r="BI32" s="625" t="s">
        <v>573</v>
      </c>
      <c r="BJ32" s="1155">
        <v>31814</v>
      </c>
      <c r="BK32" s="625" t="s">
        <v>612</v>
      </c>
      <c r="BL32" s="787">
        <v>51313502</v>
      </c>
    </row>
    <row r="33" spans="1:64" s="768" customFormat="1" ht="45.75" customHeight="1">
      <c r="A33" s="1389">
        <v>27</v>
      </c>
      <c r="B33" s="1595" t="s">
        <v>1174</v>
      </c>
      <c r="C33" s="1855" t="s">
        <v>1040</v>
      </c>
      <c r="D33" s="1851">
        <v>44543</v>
      </c>
      <c r="E33" s="1151" t="s">
        <v>260</v>
      </c>
      <c r="F33" s="1650">
        <f>196+4+4</f>
        <v>204</v>
      </c>
      <c r="G33" s="758">
        <v>2</v>
      </c>
      <c r="H33" s="1388">
        <v>20.5</v>
      </c>
      <c r="I33" s="1409">
        <f t="shared" si="24"/>
        <v>160.84615384615384</v>
      </c>
      <c r="J33" s="788">
        <f t="shared" si="0"/>
        <v>160.84615384615384</v>
      </c>
      <c r="K33" s="1388">
        <v>58</v>
      </c>
      <c r="L33" s="761">
        <f t="shared" si="1"/>
        <v>1.471153846153846</v>
      </c>
      <c r="M33" s="788">
        <f t="shared" si="2"/>
        <v>85.326923076923066</v>
      </c>
      <c r="N33" s="1388">
        <v>0</v>
      </c>
      <c r="O33" s="761">
        <f t="shared" si="3"/>
        <v>1.9615384615384615</v>
      </c>
      <c r="P33" s="503">
        <f t="shared" si="101"/>
        <v>0</v>
      </c>
      <c r="Q33" s="1388">
        <v>24</v>
      </c>
      <c r="R33" s="761">
        <f t="shared" si="4"/>
        <v>1.9615384615384615</v>
      </c>
      <c r="S33" s="618">
        <f t="shared" si="5"/>
        <v>47.076923076923073</v>
      </c>
      <c r="T33" s="1388">
        <v>5.5</v>
      </c>
      <c r="U33" s="761">
        <f t="shared" si="6"/>
        <v>7.8461538461538458</v>
      </c>
      <c r="V33" s="788">
        <f t="shared" si="7"/>
        <v>43.153846153846153</v>
      </c>
      <c r="W33" s="1388">
        <v>0.5</v>
      </c>
      <c r="X33" s="788">
        <f>'S3 Salary'!T34*'S3'!W33</f>
        <v>5.5912003005582189</v>
      </c>
      <c r="Y33" s="1388">
        <v>0</v>
      </c>
      <c r="Z33" s="510">
        <f t="shared" si="8"/>
        <v>3.9230769230769229</v>
      </c>
      <c r="AA33" s="788">
        <f t="shared" si="9"/>
        <v>0</v>
      </c>
      <c r="AB33" s="1388">
        <v>0.5</v>
      </c>
      <c r="AC33" s="1468">
        <f t="shared" si="10"/>
        <v>27</v>
      </c>
      <c r="AD33" s="1726">
        <v>0</v>
      </c>
      <c r="AE33" s="1121">
        <v>0</v>
      </c>
      <c r="AF33" s="1412">
        <v>0</v>
      </c>
      <c r="AG33" s="762">
        <v>0</v>
      </c>
      <c r="AH33" s="788">
        <v>8.5</v>
      </c>
      <c r="AI33" s="788">
        <v>3</v>
      </c>
      <c r="AJ33" s="788">
        <v>10</v>
      </c>
      <c r="AK33" s="788">
        <v>10</v>
      </c>
      <c r="AL33" s="1325">
        <f t="shared" si="11"/>
        <v>375.49504645440436</v>
      </c>
      <c r="AM33" s="1280">
        <v>0</v>
      </c>
      <c r="AN33" s="1056">
        <v>102</v>
      </c>
      <c r="AO33" s="1097">
        <f>'Tax Calulation  '!P33</f>
        <v>0</v>
      </c>
      <c r="AP33" s="1097">
        <f>'Tax Calulation  '!W33</f>
        <v>5.9084194977843429</v>
      </c>
      <c r="AQ33" s="1687">
        <f t="shared" si="12"/>
        <v>267.58662695662002</v>
      </c>
      <c r="AR33" s="1685">
        <f t="shared" si="26"/>
        <v>273000</v>
      </c>
      <c r="AS33" s="1684">
        <f t="shared" ref="AS33:AS34" si="125">CEILING(AQ33,(100))-100</f>
        <v>200</v>
      </c>
      <c r="AT33" s="612"/>
      <c r="AU33" s="763"/>
      <c r="AV33" s="764"/>
      <c r="AW33" s="502">
        <f t="shared" si="14"/>
        <v>2</v>
      </c>
      <c r="AX33" s="502">
        <f t="shared" si="15"/>
        <v>0</v>
      </c>
      <c r="AY33" s="573">
        <f t="shared" ref="AY33:AY34" si="126">AW33*100+AX33*50</f>
        <v>200</v>
      </c>
      <c r="AZ33" s="573">
        <f t="shared" si="17"/>
        <v>5</v>
      </c>
      <c r="BA33" s="548">
        <f t="shared" si="18"/>
        <v>2</v>
      </c>
      <c r="BB33" s="548">
        <f t="shared" si="19"/>
        <v>0</v>
      </c>
      <c r="BC33" s="548">
        <f t="shared" si="20"/>
        <v>3</v>
      </c>
      <c r="BD33" s="548">
        <f t="shared" si="21"/>
        <v>0</v>
      </c>
      <c r="BE33" s="548">
        <f t="shared" si="22"/>
        <v>0</v>
      </c>
      <c r="BF33" s="549">
        <f t="shared" ref="BF33:BF34" si="127">AZ33*50000+BA33*10000+BB33*5000+BC33*1000+BD33*500+BE33*100</f>
        <v>273000</v>
      </c>
      <c r="BH33" s="625" t="s">
        <v>986</v>
      </c>
      <c r="BI33" s="625" t="s">
        <v>572</v>
      </c>
      <c r="BJ33" s="1155">
        <v>30310</v>
      </c>
      <c r="BK33" s="792" t="s">
        <v>988</v>
      </c>
      <c r="BL33" s="787">
        <v>130154267</v>
      </c>
    </row>
    <row r="34" spans="1:64" s="768" customFormat="1" ht="45.75" customHeight="1">
      <c r="A34" s="1389">
        <v>28</v>
      </c>
      <c r="B34" s="1595" t="s">
        <v>1176</v>
      </c>
      <c r="C34" s="1855" t="s">
        <v>985</v>
      </c>
      <c r="D34" s="1851">
        <v>44544</v>
      </c>
      <c r="E34" s="1151" t="s">
        <v>260</v>
      </c>
      <c r="F34" s="758">
        <f>206</f>
        <v>206</v>
      </c>
      <c r="G34" s="758">
        <v>2</v>
      </c>
      <c r="H34" s="1388">
        <v>22</v>
      </c>
      <c r="I34" s="1409">
        <f t="shared" si="24"/>
        <v>174.30769230769232</v>
      </c>
      <c r="J34" s="788">
        <f t="shared" si="0"/>
        <v>174.30769230769232</v>
      </c>
      <c r="K34" s="1388">
        <v>68</v>
      </c>
      <c r="L34" s="761">
        <f t="shared" si="1"/>
        <v>1.4855769230769231</v>
      </c>
      <c r="M34" s="788">
        <f t="shared" si="2"/>
        <v>101.01923076923077</v>
      </c>
      <c r="N34" s="1388">
        <v>0</v>
      </c>
      <c r="O34" s="761">
        <f t="shared" si="3"/>
        <v>1.9807692307692308</v>
      </c>
      <c r="P34" s="503">
        <f t="shared" si="101"/>
        <v>0</v>
      </c>
      <c r="Q34" s="1388">
        <v>24</v>
      </c>
      <c r="R34" s="761">
        <f t="shared" si="4"/>
        <v>1.9807692307692308</v>
      </c>
      <c r="S34" s="618">
        <f t="shared" si="5"/>
        <v>47.53846153846154</v>
      </c>
      <c r="T34" s="1388">
        <v>5</v>
      </c>
      <c r="U34" s="761">
        <f t="shared" si="6"/>
        <v>7.9230769230769234</v>
      </c>
      <c r="V34" s="788">
        <f t="shared" si="7"/>
        <v>39.615384615384613</v>
      </c>
      <c r="W34" s="1388">
        <v>0</v>
      </c>
      <c r="X34" s="788">
        <f>'S3 Salary'!T35*'S3'!W34</f>
        <v>0</v>
      </c>
      <c r="Y34" s="1388">
        <v>0</v>
      </c>
      <c r="Z34" s="510">
        <f t="shared" si="8"/>
        <v>3.9615384615384617</v>
      </c>
      <c r="AA34" s="788">
        <f t="shared" si="9"/>
        <v>0</v>
      </c>
      <c r="AB34" s="1388">
        <v>0</v>
      </c>
      <c r="AC34" s="1468">
        <f t="shared" si="10"/>
        <v>27</v>
      </c>
      <c r="AD34" s="1726">
        <v>0</v>
      </c>
      <c r="AE34" s="1121">
        <v>0</v>
      </c>
      <c r="AF34" s="1412">
        <f>4+4</f>
        <v>8</v>
      </c>
      <c r="AG34" s="762">
        <v>0</v>
      </c>
      <c r="AH34" s="788">
        <v>10</v>
      </c>
      <c r="AI34" s="788">
        <v>3</v>
      </c>
      <c r="AJ34" s="788">
        <v>10</v>
      </c>
      <c r="AK34" s="788">
        <v>10</v>
      </c>
      <c r="AL34" s="1325">
        <f t="shared" si="11"/>
        <v>405.48076923076928</v>
      </c>
      <c r="AM34" s="1280">
        <v>0</v>
      </c>
      <c r="AN34" s="1056">
        <v>102</v>
      </c>
      <c r="AO34" s="1097">
        <f>'Tax Calulation  '!P34</f>
        <v>0.51480655607317438</v>
      </c>
      <c r="AP34" s="1097">
        <f>'Tax Calulation  '!W34</f>
        <v>5.9084194977843429</v>
      </c>
      <c r="AQ34" s="1687">
        <f t="shared" si="12"/>
        <v>297.05754317691179</v>
      </c>
      <c r="AR34" s="1685">
        <f t="shared" si="26"/>
        <v>392100</v>
      </c>
      <c r="AS34" s="1684">
        <f t="shared" si="125"/>
        <v>200</v>
      </c>
      <c r="AT34" s="612"/>
      <c r="AU34" s="763"/>
      <c r="AV34" s="764"/>
      <c r="AW34" s="502">
        <f t="shared" si="14"/>
        <v>2</v>
      </c>
      <c r="AX34" s="502">
        <f t="shared" si="15"/>
        <v>0</v>
      </c>
      <c r="AY34" s="573">
        <f t="shared" si="126"/>
        <v>200</v>
      </c>
      <c r="AZ34" s="573">
        <f t="shared" si="17"/>
        <v>7</v>
      </c>
      <c r="BA34" s="548">
        <f t="shared" si="18"/>
        <v>4</v>
      </c>
      <c r="BB34" s="548">
        <f t="shared" si="19"/>
        <v>0</v>
      </c>
      <c r="BC34" s="548">
        <f t="shared" si="20"/>
        <v>2</v>
      </c>
      <c r="BD34" s="548">
        <f t="shared" si="21"/>
        <v>0</v>
      </c>
      <c r="BE34" s="548">
        <f t="shared" si="22"/>
        <v>1</v>
      </c>
      <c r="BF34" s="549">
        <f t="shared" si="127"/>
        <v>392100</v>
      </c>
      <c r="BH34" s="625" t="s">
        <v>987</v>
      </c>
      <c r="BI34" s="625" t="s">
        <v>572</v>
      </c>
      <c r="BJ34" s="1155">
        <v>34585</v>
      </c>
      <c r="BK34" s="792" t="s">
        <v>989</v>
      </c>
      <c r="BL34" s="787">
        <v>101088761</v>
      </c>
    </row>
    <row r="35" spans="1:64" s="768" customFormat="1" ht="45.75" customHeight="1">
      <c r="A35" s="1389">
        <v>29</v>
      </c>
      <c r="B35" s="1595" t="s">
        <v>2163</v>
      </c>
      <c r="C35" s="1855" t="s">
        <v>2164</v>
      </c>
      <c r="D35" s="1851">
        <v>44634</v>
      </c>
      <c r="E35" s="614" t="s">
        <v>260</v>
      </c>
      <c r="F35" s="1650">
        <f>200+4</f>
        <v>204</v>
      </c>
      <c r="G35" s="758">
        <v>2</v>
      </c>
      <c r="H35" s="1388">
        <v>22</v>
      </c>
      <c r="I35" s="1409">
        <f t="shared" si="24"/>
        <v>172.61538461538461</v>
      </c>
      <c r="J35" s="788">
        <f t="shared" si="0"/>
        <v>172.61538461538461</v>
      </c>
      <c r="K35" s="1388">
        <v>28</v>
      </c>
      <c r="L35" s="761">
        <f t="shared" si="1"/>
        <v>1.471153846153846</v>
      </c>
      <c r="M35" s="788">
        <f t="shared" si="2"/>
        <v>41.192307692307686</v>
      </c>
      <c r="N35" s="1388">
        <v>0</v>
      </c>
      <c r="O35" s="761">
        <f t="shared" si="3"/>
        <v>1.9615384615384615</v>
      </c>
      <c r="P35" s="503">
        <f t="shared" ref="P35" si="128">N35*O35</f>
        <v>0</v>
      </c>
      <c r="Q35" s="1388">
        <v>0</v>
      </c>
      <c r="R35" s="761">
        <f t="shared" si="4"/>
        <v>1.9615384615384615</v>
      </c>
      <c r="S35" s="618">
        <f t="shared" ref="S35" si="129">R35*Q35</f>
        <v>0</v>
      </c>
      <c r="T35" s="1388">
        <v>5</v>
      </c>
      <c r="U35" s="761">
        <f t="shared" si="6"/>
        <v>7.8461538461538458</v>
      </c>
      <c r="V35" s="788">
        <f t="shared" si="7"/>
        <v>39.230769230769226</v>
      </c>
      <c r="W35" s="1388">
        <v>0</v>
      </c>
      <c r="X35" s="788">
        <f>'S3 Salary'!T36*'S3'!W35</f>
        <v>0</v>
      </c>
      <c r="Y35" s="1388">
        <v>0</v>
      </c>
      <c r="Z35" s="510">
        <f t="shared" ref="Z35" si="130">F35/26/2</f>
        <v>3.9230769230769229</v>
      </c>
      <c r="AA35" s="788">
        <f t="shared" si="9"/>
        <v>0</v>
      </c>
      <c r="AB35" s="1388">
        <v>0</v>
      </c>
      <c r="AC35" s="1468">
        <f t="shared" si="10"/>
        <v>27</v>
      </c>
      <c r="AD35" s="1726">
        <v>0</v>
      </c>
      <c r="AE35" s="1121">
        <v>0</v>
      </c>
      <c r="AF35" s="1412">
        <v>0</v>
      </c>
      <c r="AG35" s="762">
        <v>0</v>
      </c>
      <c r="AH35" s="788">
        <v>10</v>
      </c>
      <c r="AI35" s="788">
        <v>3</v>
      </c>
      <c r="AJ35" s="788">
        <v>10</v>
      </c>
      <c r="AK35" s="788">
        <v>10</v>
      </c>
      <c r="AL35" s="1325">
        <f t="shared" si="11"/>
        <v>288.03846153846155</v>
      </c>
      <c r="AM35" s="1280">
        <v>0</v>
      </c>
      <c r="AN35" s="1056">
        <v>102</v>
      </c>
      <c r="AO35" s="1097">
        <f>'Tax Calulation  '!P35</f>
        <v>0</v>
      </c>
      <c r="AP35" s="1097">
        <f>'Tax Calulation  '!W35</f>
        <v>5.7607692307692302</v>
      </c>
      <c r="AQ35" s="1687">
        <f t="shared" si="12"/>
        <v>180.27769230769232</v>
      </c>
      <c r="AR35" s="1685">
        <f t="shared" si="26"/>
        <v>324300</v>
      </c>
      <c r="AS35" s="1684">
        <f t="shared" ref="AS35" si="131">CEILING(AQ35,(100))-100</f>
        <v>100</v>
      </c>
      <c r="AT35" s="612"/>
      <c r="AU35" s="763"/>
      <c r="AV35" s="764"/>
      <c r="AW35" s="502">
        <f t="shared" ref="AW35" si="132">INT(AS35/100)</f>
        <v>1</v>
      </c>
      <c r="AX35" s="502">
        <f t="shared" ref="AX35" si="133">INT((AS35-AW35*100)/50)</f>
        <v>0</v>
      </c>
      <c r="AY35" s="1113">
        <f t="shared" ref="AY35" si="134">AW35*100+AX35*50</f>
        <v>100</v>
      </c>
      <c r="AZ35" s="1113">
        <f t="shared" ref="AZ35" si="135">INT((AR35/50000))</f>
        <v>6</v>
      </c>
      <c r="BA35" s="548">
        <f t="shared" ref="BA35" si="136">INT((AR35-AZ35*50000)/10000)</f>
        <v>2</v>
      </c>
      <c r="BB35" s="548">
        <f t="shared" ref="BB35" si="137">INT((AR35-AZ35*50000-BA35*10000)/5000)</f>
        <v>0</v>
      </c>
      <c r="BC35" s="548">
        <f t="shared" ref="BC35" si="138">INT((AR35-AZ35*50000-BA35*10000-BB35*5000)/1000)</f>
        <v>4</v>
      </c>
      <c r="BD35" s="548">
        <f t="shared" ref="BD35" si="139">INT((AR35-AZ35*50000-BA35*10000-BB35*5000-BC35*1000)/500)</f>
        <v>0</v>
      </c>
      <c r="BE35" s="548">
        <f t="shared" ref="BE35" si="140">INT((AR35-AZ35*50000-BA35*10000-BB35*5000-BC35*1000-BD35*500)/100)</f>
        <v>3</v>
      </c>
      <c r="BF35" s="549">
        <f t="shared" ref="BF35" si="141">AZ35*50000+BA35*10000+BB35*5000+BC35*1000+BD35*500+BE35*100</f>
        <v>324300</v>
      </c>
      <c r="BH35" s="625" t="s">
        <v>2165</v>
      </c>
      <c r="BI35" s="625" t="s">
        <v>572</v>
      </c>
      <c r="BJ35" s="1155">
        <v>37637</v>
      </c>
      <c r="BK35" s="792" t="s">
        <v>2166</v>
      </c>
      <c r="BL35" s="795" t="s">
        <v>2167</v>
      </c>
    </row>
    <row r="36" spans="1:64" s="768" customFormat="1" ht="45.75" customHeight="1">
      <c r="A36" s="1389">
        <v>30</v>
      </c>
      <c r="B36" s="1415" t="s">
        <v>1523</v>
      </c>
      <c r="C36" s="1448" t="s">
        <v>1524</v>
      </c>
      <c r="D36" s="1841">
        <v>44688</v>
      </c>
      <c r="E36" s="1151" t="s">
        <v>260</v>
      </c>
      <c r="F36" s="758">
        <f>206</f>
        <v>206</v>
      </c>
      <c r="G36" s="758">
        <v>2</v>
      </c>
      <c r="H36" s="1388">
        <v>22</v>
      </c>
      <c r="I36" s="1409">
        <f t="shared" si="24"/>
        <v>174.30769230769232</v>
      </c>
      <c r="J36" s="788">
        <f t="shared" si="0"/>
        <v>174.30769230769232</v>
      </c>
      <c r="K36" s="1388">
        <v>63</v>
      </c>
      <c r="L36" s="761">
        <f t="shared" si="1"/>
        <v>1.4855769230769231</v>
      </c>
      <c r="M36" s="788">
        <f t="shared" si="2"/>
        <v>93.59134615384616</v>
      </c>
      <c r="N36" s="1388">
        <v>0</v>
      </c>
      <c r="O36" s="761">
        <f t="shared" si="3"/>
        <v>1.9807692307692308</v>
      </c>
      <c r="P36" s="503">
        <f t="shared" si="101"/>
        <v>0</v>
      </c>
      <c r="Q36" s="1388">
        <v>24</v>
      </c>
      <c r="R36" s="761">
        <f t="shared" si="4"/>
        <v>1.9807692307692308</v>
      </c>
      <c r="S36" s="618">
        <f t="shared" si="5"/>
        <v>47.53846153846154</v>
      </c>
      <c r="T36" s="1388">
        <v>5</v>
      </c>
      <c r="U36" s="761">
        <f t="shared" si="6"/>
        <v>7.9230769230769234</v>
      </c>
      <c r="V36" s="788">
        <f t="shared" si="7"/>
        <v>39.615384615384613</v>
      </c>
      <c r="W36" s="1388">
        <v>0</v>
      </c>
      <c r="X36" s="788">
        <f>'S3 Salary'!T37*'S3'!W36</f>
        <v>0</v>
      </c>
      <c r="Y36" s="1388">
        <v>0</v>
      </c>
      <c r="Z36" s="510">
        <f t="shared" si="8"/>
        <v>3.9615384615384617</v>
      </c>
      <c r="AA36" s="788">
        <f t="shared" si="9"/>
        <v>0</v>
      </c>
      <c r="AB36" s="1388">
        <v>0</v>
      </c>
      <c r="AC36" s="1468">
        <f t="shared" si="10"/>
        <v>27</v>
      </c>
      <c r="AD36" s="1726">
        <v>0</v>
      </c>
      <c r="AE36" s="1121">
        <v>0</v>
      </c>
      <c r="AF36" s="1412">
        <f>4+4</f>
        <v>8</v>
      </c>
      <c r="AG36" s="511">
        <v>0</v>
      </c>
      <c r="AH36" s="788">
        <v>10</v>
      </c>
      <c r="AI36" s="618">
        <v>3</v>
      </c>
      <c r="AJ36" s="788">
        <v>10</v>
      </c>
      <c r="AK36" s="788">
        <v>10</v>
      </c>
      <c r="AL36" s="1325">
        <f t="shared" si="11"/>
        <v>398.05288461538464</v>
      </c>
      <c r="AM36" s="1278">
        <v>0</v>
      </c>
      <c r="AN36" s="1056">
        <v>102</v>
      </c>
      <c r="AO36" s="1097">
        <f>'Tax Calulation  '!P36</f>
        <v>0</v>
      </c>
      <c r="AP36" s="1097">
        <f>'Tax Calulation  '!W36</f>
        <v>5.9084194977843429</v>
      </c>
      <c r="AQ36" s="1687">
        <f t="shared" si="12"/>
        <v>290.1444651176003</v>
      </c>
      <c r="AR36" s="1685">
        <f t="shared" si="26"/>
        <v>364200</v>
      </c>
      <c r="AS36" s="1683">
        <f t="shared" ref="AS36" si="142">CEILING(AQ36,(100))-100</f>
        <v>200</v>
      </c>
      <c r="AT36" s="502"/>
      <c r="AU36" s="763"/>
      <c r="AV36" s="764"/>
      <c r="AW36" s="502">
        <f t="shared" si="14"/>
        <v>2</v>
      </c>
      <c r="AX36" s="502">
        <f t="shared" si="15"/>
        <v>0</v>
      </c>
      <c r="AY36" s="1083">
        <f t="shared" ref="AY36" si="143">AW36*100+AX36*50</f>
        <v>200</v>
      </c>
      <c r="AZ36" s="1083">
        <f t="shared" si="17"/>
        <v>7</v>
      </c>
      <c r="BA36" s="548">
        <f t="shared" si="18"/>
        <v>1</v>
      </c>
      <c r="BB36" s="548">
        <f t="shared" si="19"/>
        <v>0</v>
      </c>
      <c r="BC36" s="548">
        <f t="shared" si="20"/>
        <v>4</v>
      </c>
      <c r="BD36" s="548">
        <f t="shared" si="21"/>
        <v>0</v>
      </c>
      <c r="BE36" s="548">
        <f t="shared" si="22"/>
        <v>2</v>
      </c>
      <c r="BF36" s="549">
        <f t="shared" ref="BF36" si="144">AZ36*50000+BA36*10000+BB36*5000+BC36*1000+BD36*500+BE36*100</f>
        <v>364200</v>
      </c>
      <c r="BH36" s="625" t="s">
        <v>1541</v>
      </c>
      <c r="BI36" s="625" t="s">
        <v>572</v>
      </c>
      <c r="BJ36" s="1155">
        <v>32966</v>
      </c>
      <c r="BK36" s="792" t="s">
        <v>1540</v>
      </c>
      <c r="BL36" s="795">
        <v>150658058</v>
      </c>
    </row>
    <row r="37" spans="1:64" s="755" customFormat="1" ht="45.75" customHeight="1">
      <c r="A37" s="1389">
        <v>31</v>
      </c>
      <c r="B37" s="1414" t="s">
        <v>1177</v>
      </c>
      <c r="C37" s="1329" t="s">
        <v>289</v>
      </c>
      <c r="D37" s="1841">
        <v>41827</v>
      </c>
      <c r="E37" s="1637" t="s">
        <v>260</v>
      </c>
      <c r="F37" s="617">
        <f>13+149+17+12+8+2+3</f>
        <v>204</v>
      </c>
      <c r="G37" s="617">
        <f>2</f>
        <v>2</v>
      </c>
      <c r="H37" s="1388">
        <v>22</v>
      </c>
      <c r="I37" s="1409">
        <f t="shared" si="24"/>
        <v>172.61538461538461</v>
      </c>
      <c r="J37" s="788">
        <f t="shared" si="0"/>
        <v>172.61538461538461</v>
      </c>
      <c r="K37" s="1388">
        <v>64</v>
      </c>
      <c r="L37" s="761">
        <f t="shared" si="1"/>
        <v>1.471153846153846</v>
      </c>
      <c r="M37" s="788">
        <f t="shared" si="2"/>
        <v>94.153846153846146</v>
      </c>
      <c r="N37" s="1388">
        <v>0</v>
      </c>
      <c r="O37" s="761">
        <f t="shared" si="3"/>
        <v>1.9615384615384615</v>
      </c>
      <c r="P37" s="503">
        <f t="shared" si="101"/>
        <v>0</v>
      </c>
      <c r="Q37" s="1388">
        <v>24</v>
      </c>
      <c r="R37" s="761">
        <f t="shared" si="4"/>
        <v>1.9615384615384615</v>
      </c>
      <c r="S37" s="618">
        <f t="shared" si="5"/>
        <v>47.076923076923073</v>
      </c>
      <c r="T37" s="1388">
        <v>5</v>
      </c>
      <c r="U37" s="761">
        <f t="shared" si="6"/>
        <v>7.8461538461538458</v>
      </c>
      <c r="V37" s="788">
        <f t="shared" si="7"/>
        <v>39.230769230769226</v>
      </c>
      <c r="W37" s="1388">
        <v>0</v>
      </c>
      <c r="X37" s="788">
        <f>'S3 Salary'!T38*'S3'!W37</f>
        <v>0</v>
      </c>
      <c r="Y37" s="1388">
        <v>0</v>
      </c>
      <c r="Z37" s="510">
        <f t="shared" si="8"/>
        <v>3.9230769230769229</v>
      </c>
      <c r="AA37" s="788">
        <f t="shared" si="9"/>
        <v>0</v>
      </c>
      <c r="AB37" s="1388">
        <v>0</v>
      </c>
      <c r="AC37" s="1468">
        <f t="shared" si="10"/>
        <v>27</v>
      </c>
      <c r="AD37" s="1726">
        <v>0</v>
      </c>
      <c r="AE37" s="1121">
        <v>0</v>
      </c>
      <c r="AF37" s="1412">
        <f>4+1</f>
        <v>5</v>
      </c>
      <c r="AG37" s="511">
        <v>0</v>
      </c>
      <c r="AH37" s="788">
        <v>10</v>
      </c>
      <c r="AI37" s="618">
        <v>11</v>
      </c>
      <c r="AJ37" s="788">
        <v>10</v>
      </c>
      <c r="AK37" s="788">
        <v>10</v>
      </c>
      <c r="AL37" s="1325">
        <f t="shared" si="11"/>
        <v>401.07692307692309</v>
      </c>
      <c r="AM37" s="1278">
        <v>0.5</v>
      </c>
      <c r="AN37" s="1056">
        <v>102</v>
      </c>
      <c r="AO37" s="1097">
        <f>'Tax Calulation  '!P37</f>
        <v>0</v>
      </c>
      <c r="AP37" s="1097">
        <f>'Tax Calulation  '!W37</f>
        <v>5.9084194977843429</v>
      </c>
      <c r="AQ37" s="1687">
        <f t="shared" si="12"/>
        <v>292.66850357913876</v>
      </c>
      <c r="AR37" s="1685">
        <f t="shared" si="26"/>
        <v>374400</v>
      </c>
      <c r="AS37" s="1683">
        <f t="shared" si="13"/>
        <v>200</v>
      </c>
      <c r="AT37" s="502"/>
      <c r="AU37" s="504"/>
      <c r="AV37" s="505">
        <f>(J37+M37+P37+S37+V37+AA37+AH37+AI37+AJ37+AK37)*4000</f>
        <v>1576307.6923076925</v>
      </c>
      <c r="AW37" s="502">
        <f t="shared" si="14"/>
        <v>2</v>
      </c>
      <c r="AX37" s="502">
        <f t="shared" si="15"/>
        <v>0</v>
      </c>
      <c r="AY37" s="573">
        <f t="shared" si="16"/>
        <v>200</v>
      </c>
      <c r="AZ37" s="573">
        <f t="shared" si="17"/>
        <v>7</v>
      </c>
      <c r="BA37" s="548">
        <f t="shared" si="18"/>
        <v>2</v>
      </c>
      <c r="BB37" s="548">
        <f t="shared" si="19"/>
        <v>0</v>
      </c>
      <c r="BC37" s="548">
        <f t="shared" si="20"/>
        <v>4</v>
      </c>
      <c r="BD37" s="548">
        <f t="shared" si="21"/>
        <v>0</v>
      </c>
      <c r="BE37" s="548">
        <f t="shared" si="22"/>
        <v>4</v>
      </c>
      <c r="BF37" s="549">
        <f t="shared" si="23"/>
        <v>374400</v>
      </c>
      <c r="BH37" s="578" t="s">
        <v>797</v>
      </c>
      <c r="BI37" s="578" t="s">
        <v>573</v>
      </c>
      <c r="BJ37" s="1154">
        <v>28865</v>
      </c>
      <c r="BK37" s="578" t="s">
        <v>613</v>
      </c>
      <c r="BL37" s="531">
        <v>100891131</v>
      </c>
    </row>
    <row r="38" spans="1:64" s="755" customFormat="1" ht="45.75" customHeight="1">
      <c r="A38" s="1389">
        <v>32</v>
      </c>
      <c r="B38" s="1414" t="s">
        <v>1179</v>
      </c>
      <c r="C38" s="1329" t="s">
        <v>458</v>
      </c>
      <c r="D38" s="1841">
        <v>41855</v>
      </c>
      <c r="E38" s="1637" t="s">
        <v>260</v>
      </c>
      <c r="F38" s="617">
        <f>13+154+17+12+8+2</f>
        <v>206</v>
      </c>
      <c r="G38" s="617">
        <f>2</f>
        <v>2</v>
      </c>
      <c r="H38" s="1388">
        <v>21</v>
      </c>
      <c r="I38" s="1409">
        <f t="shared" si="24"/>
        <v>166.38461538461539</v>
      </c>
      <c r="J38" s="788">
        <f t="shared" si="0"/>
        <v>166.38461538461539</v>
      </c>
      <c r="K38" s="1388">
        <v>33</v>
      </c>
      <c r="L38" s="761">
        <f t="shared" si="1"/>
        <v>1.4855769230769231</v>
      </c>
      <c r="M38" s="788">
        <f t="shared" si="2"/>
        <v>49.02403846153846</v>
      </c>
      <c r="N38" s="1388">
        <v>0</v>
      </c>
      <c r="O38" s="761">
        <f t="shared" si="3"/>
        <v>1.9807692307692308</v>
      </c>
      <c r="P38" s="503">
        <f t="shared" si="101"/>
        <v>0</v>
      </c>
      <c r="Q38" s="1388">
        <v>24</v>
      </c>
      <c r="R38" s="761">
        <f t="shared" si="4"/>
        <v>1.9807692307692308</v>
      </c>
      <c r="S38" s="618">
        <f t="shared" si="5"/>
        <v>47.53846153846154</v>
      </c>
      <c r="T38" s="1388">
        <v>6</v>
      </c>
      <c r="U38" s="761">
        <f t="shared" si="6"/>
        <v>7.9230769230769234</v>
      </c>
      <c r="V38" s="788">
        <f t="shared" si="7"/>
        <v>47.53846153846154</v>
      </c>
      <c r="W38" s="1388">
        <v>0</v>
      </c>
      <c r="X38" s="788">
        <f>'S3 Salary'!T39*'S3'!W38</f>
        <v>0</v>
      </c>
      <c r="Y38" s="1388">
        <v>0</v>
      </c>
      <c r="Z38" s="510">
        <f t="shared" si="8"/>
        <v>3.9615384615384617</v>
      </c>
      <c r="AA38" s="788">
        <f t="shared" si="9"/>
        <v>0</v>
      </c>
      <c r="AB38" s="1388">
        <v>0</v>
      </c>
      <c r="AC38" s="1468">
        <f t="shared" si="10"/>
        <v>27</v>
      </c>
      <c r="AD38" s="1726">
        <v>0</v>
      </c>
      <c r="AE38" s="1121">
        <v>0</v>
      </c>
      <c r="AF38" s="1412">
        <f>4+4</f>
        <v>8</v>
      </c>
      <c r="AG38" s="511">
        <v>0</v>
      </c>
      <c r="AH38" s="788">
        <v>10</v>
      </c>
      <c r="AI38" s="618">
        <v>11</v>
      </c>
      <c r="AJ38" s="788">
        <v>10</v>
      </c>
      <c r="AK38" s="788">
        <v>10</v>
      </c>
      <c r="AL38" s="1325">
        <f t="shared" si="11"/>
        <v>361.48557692307691</v>
      </c>
      <c r="AM38" s="1278">
        <v>0</v>
      </c>
      <c r="AN38" s="1056">
        <v>102</v>
      </c>
      <c r="AO38" s="1097">
        <f>'Tax Calulation  '!P38</f>
        <v>0</v>
      </c>
      <c r="AP38" s="1097">
        <f>'Tax Calulation  '!W38</f>
        <v>5.9084194977843429</v>
      </c>
      <c r="AQ38" s="1687">
        <f t="shared" si="12"/>
        <v>253.57715742529257</v>
      </c>
      <c r="AR38" s="1685">
        <f t="shared" si="26"/>
        <v>216500</v>
      </c>
      <c r="AS38" s="1683">
        <f>CEILING(AQ38,(100))-100</f>
        <v>200</v>
      </c>
      <c r="AT38" s="502"/>
      <c r="AU38" s="504"/>
      <c r="AV38" s="505">
        <f>(J38+M38+P38+S38+V38+AA38+AH38+AI38+AJ38+AK38)*4000</f>
        <v>1405942.3076923075</v>
      </c>
      <c r="AW38" s="502">
        <f t="shared" si="14"/>
        <v>2</v>
      </c>
      <c r="AX38" s="502">
        <f t="shared" si="15"/>
        <v>0</v>
      </c>
      <c r="AY38" s="573">
        <f t="shared" si="16"/>
        <v>200</v>
      </c>
      <c r="AZ38" s="573">
        <f t="shared" si="17"/>
        <v>4</v>
      </c>
      <c r="BA38" s="548">
        <f t="shared" si="18"/>
        <v>1</v>
      </c>
      <c r="BB38" s="548">
        <f t="shared" si="19"/>
        <v>1</v>
      </c>
      <c r="BC38" s="548">
        <f t="shared" si="20"/>
        <v>1</v>
      </c>
      <c r="BD38" s="548">
        <f t="shared" si="21"/>
        <v>1</v>
      </c>
      <c r="BE38" s="548">
        <f t="shared" si="22"/>
        <v>0</v>
      </c>
      <c r="BF38" s="549">
        <f t="shared" si="23"/>
        <v>216500</v>
      </c>
      <c r="BH38" s="578" t="s">
        <v>798</v>
      </c>
      <c r="BI38" s="578" t="s">
        <v>573</v>
      </c>
      <c r="BJ38" s="1154">
        <v>28727</v>
      </c>
      <c r="BK38" s="578" t="s">
        <v>614</v>
      </c>
      <c r="BL38" s="531">
        <v>100757149</v>
      </c>
    </row>
    <row r="39" spans="1:64" ht="45.75" customHeight="1">
      <c r="A39" s="535" t="s">
        <v>214</v>
      </c>
      <c r="B39" s="536"/>
      <c r="C39" s="536"/>
      <c r="D39" s="750"/>
      <c r="E39" s="536"/>
      <c r="F39" s="536"/>
      <c r="G39" s="536"/>
      <c r="H39" s="536"/>
      <c r="I39" s="536"/>
      <c r="J39" s="536"/>
      <c r="K39" s="536"/>
      <c r="L39" s="536"/>
      <c r="M39" s="536"/>
      <c r="N39" s="536"/>
      <c r="O39" s="536"/>
      <c r="P39" s="536"/>
      <c r="Q39" s="536"/>
      <c r="R39" s="536"/>
      <c r="S39" s="536"/>
      <c r="T39" s="536"/>
      <c r="U39" s="536"/>
      <c r="V39" s="536"/>
      <c r="W39" s="536"/>
      <c r="X39" s="950">
        <f>SUM(X7:X38)</f>
        <v>73.951792317351973</v>
      </c>
      <c r="Y39" s="536"/>
      <c r="Z39" s="536"/>
      <c r="AA39" s="536"/>
      <c r="AB39" s="536"/>
      <c r="AC39" s="536"/>
      <c r="AD39" s="558">
        <f>SUM(AD7:AD38)</f>
        <v>45.764000000000003</v>
      </c>
      <c r="AE39" s="1114">
        <f>SUM(AE7:AE38)</f>
        <v>0</v>
      </c>
      <c r="AF39" s="536"/>
      <c r="AG39" s="1290">
        <f>SUM(AG7:AG38)</f>
        <v>15</v>
      </c>
      <c r="AH39" s="536"/>
      <c r="AI39" s="536"/>
      <c r="AJ39" s="558">
        <f t="shared" ref="AJ39:AS39" si="145">SUM(AJ7:AJ38)</f>
        <v>320</v>
      </c>
      <c r="AK39" s="558">
        <f t="shared" si="145"/>
        <v>320</v>
      </c>
      <c r="AL39" s="551">
        <f t="shared" si="145"/>
        <v>12552.422523086583</v>
      </c>
      <c r="AM39" s="1270">
        <f t="shared" si="145"/>
        <v>4</v>
      </c>
      <c r="AN39" s="809">
        <f t="shared" si="145"/>
        <v>3264</v>
      </c>
      <c r="AO39" s="503">
        <f t="shared" si="145"/>
        <v>21.242945864407666</v>
      </c>
      <c r="AP39" s="503">
        <f t="shared" si="145"/>
        <v>188.92177366208375</v>
      </c>
      <c r="AQ39" s="618">
        <f t="shared" si="145"/>
        <v>9074.2578035600909</v>
      </c>
      <c r="AR39" s="1753">
        <f t="shared" si="145"/>
        <v>8783800</v>
      </c>
      <c r="AS39" s="1614">
        <f t="shared" si="145"/>
        <v>6900</v>
      </c>
      <c r="AT39" s="635"/>
      <c r="AU39" s="501"/>
      <c r="AV39" s="552"/>
      <c r="AW39" s="573">
        <f t="shared" ref="AW39:BF39" si="146">SUM(AW7:AW38)</f>
        <v>69</v>
      </c>
      <c r="AX39" s="573">
        <f t="shared" si="146"/>
        <v>0</v>
      </c>
      <c r="AY39" s="507">
        <f t="shared" si="146"/>
        <v>6900</v>
      </c>
      <c r="AZ39" s="573">
        <f t="shared" si="146"/>
        <v>162</v>
      </c>
      <c r="BA39" s="573">
        <f t="shared" si="146"/>
        <v>53</v>
      </c>
      <c r="BB39" s="573">
        <f t="shared" si="146"/>
        <v>13</v>
      </c>
      <c r="BC39" s="573">
        <f t="shared" si="146"/>
        <v>77</v>
      </c>
      <c r="BD39" s="573">
        <f t="shared" si="146"/>
        <v>10</v>
      </c>
      <c r="BE39" s="573">
        <f t="shared" si="146"/>
        <v>68</v>
      </c>
      <c r="BF39" s="553">
        <f t="shared" si="146"/>
        <v>8783800</v>
      </c>
    </row>
    <row r="40" spans="1:64">
      <c r="A40" s="552"/>
      <c r="B40" s="552"/>
      <c r="C40" s="567"/>
      <c r="D40" s="567"/>
      <c r="E40" s="552"/>
      <c r="F40" s="554"/>
      <c r="G40" s="552"/>
      <c r="H40" s="552"/>
      <c r="I40" s="552"/>
      <c r="J40" s="552"/>
      <c r="K40" s="552"/>
      <c r="L40" s="552"/>
      <c r="M40" s="552"/>
      <c r="N40" s="552"/>
      <c r="O40" s="552"/>
      <c r="P40" s="552"/>
      <c r="Q40" s="552"/>
      <c r="R40" s="552"/>
      <c r="S40" s="552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2"/>
      <c r="AE40" s="552"/>
      <c r="AF40" s="552"/>
      <c r="AG40" s="552"/>
      <c r="AH40" s="552"/>
      <c r="AI40" s="552"/>
      <c r="AJ40" s="552"/>
      <c r="AK40" s="552"/>
      <c r="AL40" s="552"/>
      <c r="AM40" s="552"/>
      <c r="AN40" s="552"/>
      <c r="AO40" s="552"/>
      <c r="AP40" s="552"/>
      <c r="AQ40" s="552"/>
      <c r="AR40" s="552"/>
      <c r="AS40" s="552"/>
      <c r="AT40" s="552"/>
      <c r="AU40" s="552"/>
      <c r="AV40" s="552"/>
      <c r="AW40" s="552"/>
      <c r="AX40" s="552"/>
      <c r="AY40" s="552"/>
      <c r="AZ40" s="552"/>
      <c r="BA40" s="552"/>
    </row>
    <row r="41" spans="1:64" s="555" customFormat="1" ht="27" customHeight="1">
      <c r="A41" s="555" t="s">
        <v>213</v>
      </c>
      <c r="C41" s="755"/>
      <c r="D41" s="755"/>
      <c r="F41" s="556"/>
      <c r="L41" s="1355" t="s">
        <v>2168</v>
      </c>
      <c r="AF41" s="540" t="s">
        <v>445</v>
      </c>
      <c r="AG41" s="540"/>
      <c r="AS41" s="555" t="s">
        <v>212</v>
      </c>
    </row>
    <row r="42" spans="1:64">
      <c r="A42" s="552"/>
      <c r="B42" s="552"/>
      <c r="C42" s="567"/>
      <c r="D42" s="567"/>
      <c r="E42" s="552"/>
      <c r="F42" s="554"/>
      <c r="G42" s="552"/>
      <c r="H42" s="552"/>
      <c r="I42" s="552"/>
      <c r="J42" s="552"/>
      <c r="K42" s="552"/>
      <c r="L42" s="552"/>
      <c r="M42" s="552"/>
      <c r="N42" s="552"/>
      <c r="O42" s="552"/>
      <c r="P42" s="552"/>
      <c r="Q42" s="552"/>
      <c r="R42" s="552"/>
      <c r="S42" s="552"/>
      <c r="T42" s="552"/>
      <c r="U42" s="552"/>
      <c r="V42" s="552"/>
      <c r="W42" s="552"/>
      <c r="X42" s="552"/>
      <c r="Y42" s="552"/>
      <c r="Z42" s="552"/>
      <c r="AA42" s="552"/>
      <c r="AB42" s="552"/>
      <c r="AC42" s="552"/>
      <c r="AD42" s="552"/>
      <c r="AE42" s="552"/>
      <c r="AF42" s="552"/>
      <c r="AG42" s="552"/>
      <c r="AH42" s="552"/>
      <c r="AI42" s="552"/>
      <c r="AJ42" s="552"/>
      <c r="AK42" s="552"/>
      <c r="AL42" s="552"/>
      <c r="AM42" s="552"/>
      <c r="AN42" s="552"/>
      <c r="AO42" s="552"/>
      <c r="AP42" s="552"/>
      <c r="AQ42" s="552"/>
      <c r="AR42" s="552"/>
      <c r="AS42" s="552"/>
      <c r="AT42" s="552"/>
      <c r="AU42" s="552"/>
      <c r="AV42" s="552"/>
      <c r="AW42" s="552"/>
      <c r="AX42" s="552"/>
      <c r="AY42" s="552"/>
      <c r="AZ42" s="552"/>
      <c r="BA42" s="552"/>
    </row>
  </sheetData>
  <mergeCells count="32">
    <mergeCell ref="BI5:BI6"/>
    <mergeCell ref="BJ5:BJ6"/>
    <mergeCell ref="BK5:BK6"/>
    <mergeCell ref="BL5:BL6"/>
    <mergeCell ref="W5:X5"/>
    <mergeCell ref="H5:J5"/>
    <mergeCell ref="K5:M5"/>
    <mergeCell ref="N5:P5"/>
    <mergeCell ref="Q5:S5"/>
    <mergeCell ref="T5:V5"/>
    <mergeCell ref="A1:AT1"/>
    <mergeCell ref="A2:AT2"/>
    <mergeCell ref="A3:AT3"/>
    <mergeCell ref="AN5:AN6"/>
    <mergeCell ref="AT5:AT6"/>
    <mergeCell ref="AO5:AO6"/>
    <mergeCell ref="AQ5:AS5"/>
    <mergeCell ref="C4:F4"/>
    <mergeCell ref="AJ5:AJ6"/>
    <mergeCell ref="AK5:AK6"/>
    <mergeCell ref="AL5:AL6"/>
    <mergeCell ref="AM5:AM6"/>
    <mergeCell ref="Y5:AA5"/>
    <mergeCell ref="AB5:AB6"/>
    <mergeCell ref="AD5:AD6"/>
    <mergeCell ref="AF5:AF6"/>
    <mergeCell ref="AW4:BF4"/>
    <mergeCell ref="AI5:AI6"/>
    <mergeCell ref="AW5:AY5"/>
    <mergeCell ref="BB5:BF5"/>
    <mergeCell ref="AH5:AH6"/>
    <mergeCell ref="AP5:AP6"/>
  </mergeCells>
  <phoneticPr fontId="171" type="noConversion"/>
  <pageMargins left="0" right="0" top="0" bottom="0" header="0" footer="0"/>
  <pageSetup paperSize="9" scale="36" orientation="landscape" horizontalDpi="4294967293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workbookViewId="0">
      <pane xSplit="4" ySplit="6" topLeftCell="S35" activePane="bottomRight" state="frozen"/>
      <selection pane="topRight" activeCell="E1" sqref="E1"/>
      <selection pane="bottomLeft" activeCell="A7" sqref="A7"/>
      <selection pane="bottomRight" activeCell="W37" sqref="W37"/>
    </sheetView>
  </sheetViews>
  <sheetFormatPr defaultRowHeight="15.75"/>
  <cols>
    <col min="1" max="1" width="4" style="474" customWidth="1"/>
    <col min="2" max="2" width="7.75" style="474" customWidth="1"/>
    <col min="3" max="3" width="11.625" style="477" customWidth="1"/>
    <col min="4" max="4" width="9.625" style="475" customWidth="1"/>
    <col min="5" max="5" width="6.375" style="500" customWidth="1"/>
    <col min="6" max="6" width="12.75" style="474" customWidth="1"/>
    <col min="7" max="7" width="9.125" style="474" bestFit="1" customWidth="1"/>
    <col min="8" max="8" width="13.75" style="474" bestFit="1" customWidth="1"/>
    <col min="9" max="10" width="7.375" style="474" customWidth="1"/>
    <col min="11" max="11" width="9" style="474"/>
    <col min="12" max="12" width="10.875" style="474" customWidth="1"/>
    <col min="13" max="13" width="9" style="474"/>
    <col min="14" max="14" width="11.875" style="474" customWidth="1"/>
    <col min="15" max="15" width="12.125" style="474" customWidth="1"/>
    <col min="16" max="16" width="15.125" style="474" customWidth="1"/>
    <col min="17" max="17" width="9" style="474"/>
    <col min="18" max="18" width="15.75" style="474" customWidth="1"/>
    <col min="19" max="19" width="16.25" style="474" customWidth="1"/>
    <col min="20" max="20" width="14.25" style="474" customWidth="1"/>
    <col min="21" max="21" width="14" style="474" customWidth="1"/>
    <col min="22" max="23" width="14.625" style="474" customWidth="1"/>
    <col min="24" max="16384" width="9" style="474"/>
  </cols>
  <sheetData>
    <row r="1" spans="1:39" s="479" customFormat="1" ht="29.25" customHeight="1">
      <c r="A1" s="2127" t="s">
        <v>222</v>
      </c>
      <c r="B1" s="2127"/>
      <c r="C1" s="2127"/>
      <c r="D1" s="2127"/>
      <c r="E1" s="2127"/>
      <c r="F1" s="2127"/>
      <c r="G1" s="2127"/>
      <c r="H1" s="2127"/>
      <c r="I1" s="2127"/>
      <c r="J1" s="2127"/>
      <c r="K1" s="2127"/>
      <c r="L1" s="2127"/>
      <c r="M1" s="2127"/>
      <c r="N1" s="2127"/>
      <c r="O1" s="2127"/>
      <c r="P1" s="2127"/>
      <c r="R1" s="2126" t="s">
        <v>222</v>
      </c>
      <c r="S1" s="2126"/>
      <c r="T1" s="2126"/>
      <c r="U1" s="2126"/>
      <c r="V1" s="2126"/>
      <c r="W1" s="2126"/>
    </row>
    <row r="2" spans="1:39" s="479" customFormat="1" ht="20.25" customHeight="1">
      <c r="A2" s="2127" t="s">
        <v>221</v>
      </c>
      <c r="B2" s="2127"/>
      <c r="C2" s="2127"/>
      <c r="D2" s="2127"/>
      <c r="E2" s="2127"/>
      <c r="F2" s="2127"/>
      <c r="G2" s="2127"/>
      <c r="H2" s="2127"/>
      <c r="I2" s="2127"/>
      <c r="J2" s="2127"/>
      <c r="K2" s="2127"/>
      <c r="L2" s="2127"/>
      <c r="M2" s="2127"/>
      <c r="N2" s="2127"/>
      <c r="O2" s="2127"/>
      <c r="P2" s="2127"/>
      <c r="R2" s="2126" t="s">
        <v>1807</v>
      </c>
      <c r="S2" s="2126"/>
      <c r="T2" s="2126"/>
      <c r="U2" s="2126"/>
      <c r="V2" s="2126"/>
      <c r="W2" s="2126"/>
    </row>
    <row r="3" spans="1:39" s="479" customFormat="1" ht="19.5" customHeight="1">
      <c r="A3" s="2126" t="s">
        <v>2354</v>
      </c>
      <c r="B3" s="2126"/>
      <c r="C3" s="2126"/>
      <c r="D3" s="2126"/>
      <c r="E3" s="2126"/>
      <c r="F3" s="2126"/>
      <c r="G3" s="2126"/>
      <c r="H3" s="2126"/>
      <c r="I3" s="2126"/>
      <c r="J3" s="2126"/>
      <c r="K3" s="2126"/>
      <c r="L3" s="2126"/>
      <c r="M3" s="2126"/>
      <c r="N3" s="2126"/>
      <c r="O3" s="2126"/>
      <c r="P3" s="2126"/>
      <c r="R3" s="2126" t="s">
        <v>2353</v>
      </c>
      <c r="S3" s="2126"/>
      <c r="T3" s="2126"/>
      <c r="U3" s="2126"/>
      <c r="V3" s="2126"/>
      <c r="W3" s="2126"/>
    </row>
    <row r="4" spans="1:39" s="479" customFormat="1" ht="20.25" customHeight="1" thickBot="1">
      <c r="A4" s="2128" t="s">
        <v>279</v>
      </c>
      <c r="B4" s="2128"/>
      <c r="C4" s="2128"/>
      <c r="D4" s="2128"/>
      <c r="E4" s="2128"/>
    </row>
    <row r="5" spans="1:39" s="473" customFormat="1" ht="63" customHeight="1" thickTop="1">
      <c r="A5" s="482" t="s">
        <v>223</v>
      </c>
      <c r="B5" s="482" t="s">
        <v>224</v>
      </c>
      <c r="C5" s="482" t="s">
        <v>225</v>
      </c>
      <c r="D5" s="482" t="s">
        <v>226</v>
      </c>
      <c r="E5" s="498" t="s">
        <v>227</v>
      </c>
      <c r="F5" s="482" t="s">
        <v>228</v>
      </c>
      <c r="G5" s="482" t="s">
        <v>229</v>
      </c>
      <c r="H5" s="482" t="s">
        <v>230</v>
      </c>
      <c r="I5" s="482" t="s">
        <v>231</v>
      </c>
      <c r="J5" s="482" t="s">
        <v>232</v>
      </c>
      <c r="K5" s="482" t="s">
        <v>233</v>
      </c>
      <c r="L5" s="482" t="s">
        <v>234</v>
      </c>
      <c r="M5" s="482" t="s">
        <v>235</v>
      </c>
      <c r="N5" s="482" t="s">
        <v>236</v>
      </c>
      <c r="O5" s="482" t="s">
        <v>237</v>
      </c>
      <c r="P5" s="482" t="s">
        <v>238</v>
      </c>
      <c r="Q5" s="483"/>
      <c r="R5" s="1203" t="s">
        <v>1810</v>
      </c>
      <c r="S5" s="1203" t="s">
        <v>1811</v>
      </c>
      <c r="T5" s="498" t="s">
        <v>1812</v>
      </c>
      <c r="U5" s="498" t="s">
        <v>1809</v>
      </c>
      <c r="V5" s="498" t="s">
        <v>1813</v>
      </c>
      <c r="W5" s="498" t="s">
        <v>1814</v>
      </c>
      <c r="X5" s="483"/>
      <c r="Y5" s="483"/>
      <c r="Z5" s="483"/>
      <c r="AA5" s="484"/>
      <c r="AB5" s="484"/>
      <c r="AC5" s="484"/>
      <c r="AD5" s="484"/>
      <c r="AE5" s="484"/>
      <c r="AF5" s="484"/>
      <c r="AG5" s="484"/>
      <c r="AH5" s="484"/>
      <c r="AI5" s="484"/>
      <c r="AJ5" s="484"/>
      <c r="AK5" s="484"/>
      <c r="AL5" s="484"/>
      <c r="AM5" s="484"/>
    </row>
    <row r="6" spans="1:39" s="473" customFormat="1" ht="33" customHeight="1">
      <c r="A6" s="485" t="s">
        <v>111</v>
      </c>
      <c r="B6" s="485" t="s">
        <v>239</v>
      </c>
      <c r="C6" s="485" t="s">
        <v>87</v>
      </c>
      <c r="D6" s="486" t="s">
        <v>240</v>
      </c>
      <c r="E6" s="499" t="s">
        <v>218</v>
      </c>
      <c r="F6" s="492" t="s">
        <v>241</v>
      </c>
      <c r="G6" s="492" t="s">
        <v>242</v>
      </c>
      <c r="H6" s="492" t="s">
        <v>243</v>
      </c>
      <c r="I6" s="492" t="s">
        <v>244</v>
      </c>
      <c r="J6" s="493" t="s">
        <v>245</v>
      </c>
      <c r="K6" s="492" t="s">
        <v>246</v>
      </c>
      <c r="L6" s="493" t="s">
        <v>247</v>
      </c>
      <c r="M6" s="492" t="s">
        <v>248</v>
      </c>
      <c r="N6" s="492"/>
      <c r="O6" s="492" t="s">
        <v>249</v>
      </c>
      <c r="P6" s="492" t="s">
        <v>250</v>
      </c>
      <c r="Q6" s="487"/>
      <c r="R6" s="1154"/>
      <c r="S6" s="1169"/>
      <c r="T6" s="1169" t="s">
        <v>1806</v>
      </c>
      <c r="U6" s="488">
        <v>4062</v>
      </c>
      <c r="V6" s="1183">
        <v>0.02</v>
      </c>
      <c r="W6" s="488">
        <v>4062</v>
      </c>
      <c r="X6" s="487"/>
      <c r="Y6" s="487"/>
      <c r="Z6" s="487"/>
      <c r="AA6" s="481"/>
      <c r="AB6" s="481"/>
      <c r="AC6" s="481"/>
      <c r="AD6" s="481"/>
      <c r="AE6" s="481"/>
      <c r="AF6" s="481"/>
      <c r="AG6" s="484"/>
      <c r="AH6" s="484"/>
      <c r="AI6" s="484"/>
      <c r="AJ6" s="484"/>
      <c r="AK6" s="484"/>
      <c r="AL6" s="484"/>
      <c r="AM6" s="484"/>
    </row>
    <row r="7" spans="1:39" s="477" customFormat="1" ht="31.5" customHeight="1">
      <c r="A7" s="478">
        <v>1</v>
      </c>
      <c r="B7" s="514" t="s">
        <v>281</v>
      </c>
      <c r="C7" s="583" t="s">
        <v>492</v>
      </c>
      <c r="D7" s="1563">
        <v>41316</v>
      </c>
      <c r="E7" s="513" t="s">
        <v>260</v>
      </c>
      <c r="F7" s="494">
        <f>'S3'!AL7-'S3'!AD7-'S3'!AJ7-'S3'!AK7-'S3'!AE7-'S3'!AG7-W7</f>
        <v>309.4569651176003</v>
      </c>
      <c r="G7" s="495">
        <v>4062</v>
      </c>
      <c r="H7" s="488">
        <f t="shared" ref="H7:H38" si="0">F7*G7</f>
        <v>1257014.1923076925</v>
      </c>
      <c r="I7" s="480"/>
      <c r="J7" s="519">
        <v>1</v>
      </c>
      <c r="K7" s="488">
        <f t="shared" ref="K7:K38" si="1">150000*(J7+I7)</f>
        <v>150000</v>
      </c>
      <c r="L7" s="488">
        <f t="shared" ref="L7:L38" si="2">H7-K7</f>
        <v>1107014.1923076925</v>
      </c>
      <c r="M7" s="489">
        <f t="shared" ref="M7:M10" si="3">IF(L7&gt;=12500000,20%,IF(L7&gt;=8500001,15%,IF(L7&gt;=2000001,10%,IF(L7&gt;=1500001,5%,0%))))</f>
        <v>0</v>
      </c>
      <c r="N7" s="488">
        <f t="shared" ref="N7:N38" si="4">IF(M7=5%,75000,IF(M7=10%,175000,0))</f>
        <v>0</v>
      </c>
      <c r="O7" s="490">
        <f t="shared" ref="O7:O38" si="5">L7*M7-N7</f>
        <v>0</v>
      </c>
      <c r="P7" s="491">
        <f>O7/4062</f>
        <v>0</v>
      </c>
      <c r="R7" s="1186">
        <v>29024</v>
      </c>
      <c r="S7" s="1191">
        <v>44835</v>
      </c>
      <c r="T7" s="1187">
        <f>'S3'!AL7-'S3'!AE7</f>
        <v>335.36538461538464</v>
      </c>
      <c r="U7" s="1176">
        <f>T7*4062</f>
        <v>1362254.1923076925</v>
      </c>
      <c r="V7" s="1181">
        <f t="shared" ref="V7:V10" si="6">IF(YEARFRAC(R7,S7)&gt;=60,"0",IF(U7&lt;400000,400000*2%,IF(U7&gt;1200000,1200000*2%,U7*2%)))</f>
        <v>24000</v>
      </c>
      <c r="W7" s="1188">
        <f>V7/4062</f>
        <v>5.9084194977843429</v>
      </c>
    </row>
    <row r="8" spans="1:39" s="477" customFormat="1" ht="31.5" customHeight="1">
      <c r="A8" s="478">
        <v>2</v>
      </c>
      <c r="B8" s="572" t="s">
        <v>2051</v>
      </c>
      <c r="C8" s="956" t="s">
        <v>1968</v>
      </c>
      <c r="D8" s="1474">
        <v>45119</v>
      </c>
      <c r="E8" s="513" t="s">
        <v>260</v>
      </c>
      <c r="F8" s="494">
        <f>'S3'!AL8-'S3'!AD8-'S3'!AJ8-'S3'!AK8-'S3'!AE8-'S3'!AG8-W8</f>
        <v>367.20696511760025</v>
      </c>
      <c r="G8" s="495">
        <v>4062</v>
      </c>
      <c r="H8" s="488">
        <f t="shared" si="0"/>
        <v>1491594.6923076923</v>
      </c>
      <c r="I8" s="480"/>
      <c r="J8" s="519">
        <v>2</v>
      </c>
      <c r="K8" s="488">
        <f t="shared" ref="K8:K9" si="7">150000*(J8+I8)</f>
        <v>300000</v>
      </c>
      <c r="L8" s="488">
        <f t="shared" ref="L8:L9" si="8">H8-K8</f>
        <v>1191594.6923076923</v>
      </c>
      <c r="M8" s="489">
        <f t="shared" si="3"/>
        <v>0</v>
      </c>
      <c r="N8" s="488">
        <f t="shared" si="4"/>
        <v>0</v>
      </c>
      <c r="O8" s="490">
        <f t="shared" si="5"/>
        <v>0</v>
      </c>
      <c r="P8" s="491">
        <f t="shared" ref="P8:P38" si="9">O8/4062</f>
        <v>0</v>
      </c>
      <c r="R8" s="1186">
        <v>35563</v>
      </c>
      <c r="S8" s="1191">
        <v>44836</v>
      </c>
      <c r="T8" s="1187">
        <f>'S3'!AL8-'S3'!AE8</f>
        <v>398.11538461538458</v>
      </c>
      <c r="U8" s="1176">
        <f t="shared" ref="U8:U38" si="10">T8*4062</f>
        <v>1617144.6923076923</v>
      </c>
      <c r="V8" s="1181">
        <f t="shared" si="6"/>
        <v>24000</v>
      </c>
      <c r="W8" s="1188">
        <f t="shared" ref="W8:W38" si="11">V8/4062</f>
        <v>5.9084194977843429</v>
      </c>
    </row>
    <row r="9" spans="1:39" s="477" customFormat="1" ht="31.5" customHeight="1">
      <c r="A9" s="478">
        <v>3</v>
      </c>
      <c r="B9" s="572" t="s">
        <v>2052</v>
      </c>
      <c r="C9" s="956" t="s">
        <v>1970</v>
      </c>
      <c r="D9" s="1474">
        <v>45119</v>
      </c>
      <c r="E9" s="513" t="s">
        <v>260</v>
      </c>
      <c r="F9" s="494">
        <f>'S3'!AL9-'S3'!AD9-'S3'!AJ9-'S3'!AK9-'S3'!AE9-'S3'!AG9-W9</f>
        <v>352.4954266560618</v>
      </c>
      <c r="G9" s="495">
        <v>4062</v>
      </c>
      <c r="H9" s="488">
        <f t="shared" si="0"/>
        <v>1431836.423076923</v>
      </c>
      <c r="I9" s="480"/>
      <c r="J9" s="519">
        <v>2</v>
      </c>
      <c r="K9" s="488">
        <f t="shared" si="7"/>
        <v>300000</v>
      </c>
      <c r="L9" s="488">
        <f t="shared" si="8"/>
        <v>1131836.423076923</v>
      </c>
      <c r="M9" s="489">
        <f t="shared" si="3"/>
        <v>0</v>
      </c>
      <c r="N9" s="488">
        <f t="shared" si="4"/>
        <v>0</v>
      </c>
      <c r="O9" s="490">
        <f t="shared" si="5"/>
        <v>0</v>
      </c>
      <c r="P9" s="491">
        <f t="shared" si="9"/>
        <v>0</v>
      </c>
      <c r="R9" s="1186">
        <v>32948</v>
      </c>
      <c r="S9" s="1191">
        <v>44838</v>
      </c>
      <c r="T9" s="1187">
        <f>'S3'!AL9-'S3'!AE9</f>
        <v>383.40384615384613</v>
      </c>
      <c r="U9" s="1176">
        <f t="shared" si="10"/>
        <v>1557386.423076923</v>
      </c>
      <c r="V9" s="1181">
        <f t="shared" si="6"/>
        <v>24000</v>
      </c>
      <c r="W9" s="1188">
        <f t="shared" si="11"/>
        <v>5.9084194977843429</v>
      </c>
    </row>
    <row r="10" spans="1:39" s="477" customFormat="1" ht="31.5" customHeight="1">
      <c r="A10" s="478">
        <v>4</v>
      </c>
      <c r="B10" s="572" t="s">
        <v>2053</v>
      </c>
      <c r="C10" s="1079" t="s">
        <v>1996</v>
      </c>
      <c r="D10" s="1474">
        <v>45125</v>
      </c>
      <c r="E10" s="513" t="s">
        <v>260</v>
      </c>
      <c r="F10" s="494">
        <f>'S3'!AL10-'S3'!AD10-'S3'!AJ10-'S3'!AK10-'S3'!AE10-'S3'!AG10-W10</f>
        <v>366.90375501853748</v>
      </c>
      <c r="G10" s="495">
        <v>4062</v>
      </c>
      <c r="H10" s="488">
        <f t="shared" si="0"/>
        <v>1490363.0528852993</v>
      </c>
      <c r="I10" s="480"/>
      <c r="J10" s="519">
        <v>3</v>
      </c>
      <c r="K10" s="488">
        <f t="shared" ref="K10" si="12">150000*(J10+I10)</f>
        <v>450000</v>
      </c>
      <c r="L10" s="488">
        <f t="shared" ref="L10" si="13">H10-K10</f>
        <v>1040363.0528852993</v>
      </c>
      <c r="M10" s="489">
        <f t="shared" si="3"/>
        <v>0</v>
      </c>
      <c r="N10" s="488">
        <f t="shared" si="4"/>
        <v>0</v>
      </c>
      <c r="O10" s="490">
        <f t="shared" si="5"/>
        <v>0</v>
      </c>
      <c r="P10" s="491">
        <f t="shared" si="9"/>
        <v>0</v>
      </c>
      <c r="R10" s="1186">
        <v>30985</v>
      </c>
      <c r="S10" s="1191">
        <v>44839</v>
      </c>
      <c r="T10" s="1187">
        <f>'S3'!AL10-'S3'!AE10</f>
        <v>392.81217451632182</v>
      </c>
      <c r="U10" s="1176">
        <f t="shared" si="10"/>
        <v>1595603.0528852993</v>
      </c>
      <c r="V10" s="1181">
        <f t="shared" si="6"/>
        <v>24000</v>
      </c>
      <c r="W10" s="1188">
        <f t="shared" si="11"/>
        <v>5.9084194977843429</v>
      </c>
    </row>
    <row r="11" spans="1:39" s="477" customFormat="1" ht="31.5" customHeight="1">
      <c r="A11" s="478">
        <v>5</v>
      </c>
      <c r="B11" s="572" t="s">
        <v>2216</v>
      </c>
      <c r="C11" s="1079" t="s">
        <v>2214</v>
      </c>
      <c r="D11" s="530">
        <v>45460</v>
      </c>
      <c r="E11" s="513" t="s">
        <v>260</v>
      </c>
      <c r="F11" s="494">
        <f>'S3'!AL11-'S3'!AD11-'S3'!AJ11-'S3'!AK11-'S3'!AE11-'S3'!AG11-W11</f>
        <v>364.22619588683108</v>
      </c>
      <c r="G11" s="495">
        <v>4062</v>
      </c>
      <c r="H11" s="488">
        <f t="shared" si="0"/>
        <v>1479486.8076923077</v>
      </c>
      <c r="I11" s="480"/>
      <c r="J11" s="519"/>
      <c r="K11" s="488">
        <f t="shared" ref="K11" si="14">150000*(J11+I11)</f>
        <v>0</v>
      </c>
      <c r="L11" s="488">
        <f t="shared" ref="L11" si="15">H11-K11</f>
        <v>1479486.8076923077</v>
      </c>
      <c r="M11" s="489">
        <f t="shared" ref="M11" si="16">IF(L11&gt;=12500000,20%,IF(L11&gt;=8500001,15%,IF(L11&gt;=2000001,10%,IF(L11&gt;=1500001,5%,0%))))</f>
        <v>0</v>
      </c>
      <c r="N11" s="488">
        <f t="shared" si="4"/>
        <v>0</v>
      </c>
      <c r="O11" s="490">
        <f t="shared" ref="O11" si="17">L11*M11-N11</f>
        <v>0</v>
      </c>
      <c r="P11" s="491">
        <f t="shared" si="9"/>
        <v>0</v>
      </c>
      <c r="R11" s="1763">
        <v>29008</v>
      </c>
      <c r="S11" s="1191">
        <v>44839</v>
      </c>
      <c r="T11" s="1187">
        <f>'S3'!AL11-'S3'!AE11</f>
        <v>435.89861538461543</v>
      </c>
      <c r="U11" s="1176">
        <f t="shared" si="10"/>
        <v>1770620.1756923078</v>
      </c>
      <c r="V11" s="1181">
        <f t="shared" ref="V11" si="18">IF(YEARFRAC(R11,S11)&gt;=60,"0",IF(U11&lt;400000,400000*2%,IF(U11&gt;1200000,1200000*2%,U11*2%)))</f>
        <v>24000</v>
      </c>
      <c r="W11" s="1188">
        <f t="shared" si="11"/>
        <v>5.9084194977843429</v>
      </c>
    </row>
    <row r="12" spans="1:39" s="477" customFormat="1" ht="31.5" customHeight="1">
      <c r="A12" s="478">
        <v>6</v>
      </c>
      <c r="B12" s="572" t="s">
        <v>2267</v>
      </c>
      <c r="C12" s="1079" t="s">
        <v>2269</v>
      </c>
      <c r="D12" s="1763">
        <v>45496</v>
      </c>
      <c r="E12" s="513" t="s">
        <v>260</v>
      </c>
      <c r="F12" s="494">
        <f>'S3'!AL12-'S3'!AD12-'S3'!AJ12-'S3'!AK12-'S3'!AE12-'S3'!AG12-W12</f>
        <v>373.05311896375412</v>
      </c>
      <c r="G12" s="495">
        <v>4062</v>
      </c>
      <c r="H12" s="488">
        <f t="shared" si="0"/>
        <v>1515341.7692307692</v>
      </c>
      <c r="I12" s="480"/>
      <c r="J12" s="519">
        <v>2</v>
      </c>
      <c r="K12" s="488">
        <f t="shared" ref="K12:K13" si="19">150000*(J12+I12)</f>
        <v>300000</v>
      </c>
      <c r="L12" s="488">
        <f t="shared" ref="L12:L13" si="20">H12-K12</f>
        <v>1215341.7692307692</v>
      </c>
      <c r="M12" s="489">
        <f t="shared" ref="M12:M13" si="21">IF(L12&gt;=12500000,20%,IF(L12&gt;=8500001,15%,IF(L12&gt;=2000001,10%,IF(L12&gt;=1500001,5%,0%))))</f>
        <v>0</v>
      </c>
      <c r="N12" s="488">
        <f t="shared" si="4"/>
        <v>0</v>
      </c>
      <c r="O12" s="490">
        <f t="shared" ref="O12:O13" si="22">L12*M12-N12</f>
        <v>0</v>
      </c>
      <c r="P12" s="491">
        <f t="shared" si="9"/>
        <v>0</v>
      </c>
      <c r="R12" s="1804">
        <v>35829</v>
      </c>
      <c r="S12" s="1191">
        <v>44839</v>
      </c>
      <c r="T12" s="1187">
        <f>'S3'!AL12-'S3'!AE12</f>
        <v>403.96153846153845</v>
      </c>
      <c r="U12" s="1176">
        <f t="shared" si="10"/>
        <v>1640891.7692307692</v>
      </c>
      <c r="V12" s="1181">
        <f t="shared" ref="V12:V13" si="23">IF(YEARFRAC(R12,S12)&gt;=60,"0",IF(U12&lt;400000,400000*2%,IF(U12&gt;1200000,1200000*2%,U12*2%)))</f>
        <v>24000</v>
      </c>
      <c r="W12" s="1188">
        <f t="shared" si="11"/>
        <v>5.9084194977843429</v>
      </c>
    </row>
    <row r="13" spans="1:39" s="477" customFormat="1" ht="31.5" customHeight="1">
      <c r="A13" s="478">
        <v>7</v>
      </c>
      <c r="B13" s="572" t="s">
        <v>2268</v>
      </c>
      <c r="C13" s="1079" t="s">
        <v>2270</v>
      </c>
      <c r="D13" s="1763">
        <v>45496</v>
      </c>
      <c r="E13" s="513" t="s">
        <v>260</v>
      </c>
      <c r="F13" s="494">
        <f>'S3'!AL13-'S3'!AD13-'S3'!AJ13-'S3'!AK13-'S3'!AE13-'S3'!AG13-W13</f>
        <v>309.20696511760025</v>
      </c>
      <c r="G13" s="495">
        <v>4062</v>
      </c>
      <c r="H13" s="488">
        <f t="shared" si="0"/>
        <v>1255998.6923076923</v>
      </c>
      <c r="I13" s="480"/>
      <c r="J13" s="519">
        <v>1</v>
      </c>
      <c r="K13" s="488">
        <f t="shared" si="19"/>
        <v>150000</v>
      </c>
      <c r="L13" s="488">
        <f t="shared" si="20"/>
        <v>1105998.6923076923</v>
      </c>
      <c r="M13" s="489">
        <f t="shared" si="21"/>
        <v>0</v>
      </c>
      <c r="N13" s="488">
        <f t="shared" si="4"/>
        <v>0</v>
      </c>
      <c r="O13" s="490">
        <f t="shared" si="22"/>
        <v>0</v>
      </c>
      <c r="P13" s="491">
        <f t="shared" si="9"/>
        <v>0</v>
      </c>
      <c r="R13" s="1804">
        <v>35583</v>
      </c>
      <c r="S13" s="1191">
        <v>44839</v>
      </c>
      <c r="T13" s="1187">
        <f>'S3'!AL13-'S3'!AE13</f>
        <v>335.11538461538458</v>
      </c>
      <c r="U13" s="1176">
        <f t="shared" si="10"/>
        <v>1361238.6923076923</v>
      </c>
      <c r="V13" s="1181">
        <f t="shared" si="23"/>
        <v>24000</v>
      </c>
      <c r="W13" s="1188">
        <f t="shared" si="11"/>
        <v>5.9084194977843429</v>
      </c>
    </row>
    <row r="14" spans="1:39" s="477" customFormat="1" ht="31.5" customHeight="1">
      <c r="A14" s="478">
        <v>8</v>
      </c>
      <c r="B14" s="572" t="s">
        <v>2308</v>
      </c>
      <c r="C14" s="1079" t="s">
        <v>2310</v>
      </c>
      <c r="D14" s="530">
        <v>45505</v>
      </c>
      <c r="E14" s="513" t="s">
        <v>260</v>
      </c>
      <c r="F14" s="494">
        <f>'S3'!AL14-'S3'!AD14-'S3'!AJ14-'S3'!AK14-'S3'!AE14-'S3'!AG14-W14</f>
        <v>373.05311896375412</v>
      </c>
      <c r="G14" s="495">
        <v>4062</v>
      </c>
      <c r="H14" s="488">
        <f t="shared" si="0"/>
        <v>1515341.7692307692</v>
      </c>
      <c r="I14" s="480"/>
      <c r="J14" s="519">
        <v>1</v>
      </c>
      <c r="K14" s="488">
        <f t="shared" ref="K14:K15" si="24">150000*(J14+I14)</f>
        <v>150000</v>
      </c>
      <c r="L14" s="488">
        <f t="shared" ref="L14:L15" si="25">H14-K14</f>
        <v>1365341.7692307692</v>
      </c>
      <c r="M14" s="489">
        <f t="shared" ref="M14:M15" si="26">IF(L14&gt;=12500000,20%,IF(L14&gt;=8500001,15%,IF(L14&gt;=2000001,10%,IF(L14&gt;=1500001,5%,0%))))</f>
        <v>0</v>
      </c>
      <c r="N14" s="488">
        <f t="shared" si="4"/>
        <v>0</v>
      </c>
      <c r="O14" s="490">
        <f t="shared" ref="O14:O15" si="27">L14*M14-N14</f>
        <v>0</v>
      </c>
      <c r="P14" s="491">
        <f t="shared" si="9"/>
        <v>0</v>
      </c>
      <c r="R14" s="530">
        <v>36224</v>
      </c>
      <c r="S14" s="1191">
        <v>44839</v>
      </c>
      <c r="T14" s="1187">
        <f>'S3'!AL14-'S3'!AE14</f>
        <v>398.96153846153845</v>
      </c>
      <c r="U14" s="1176">
        <f t="shared" si="10"/>
        <v>1620581.7692307692</v>
      </c>
      <c r="V14" s="1181">
        <f t="shared" ref="V14:V15" si="28">IF(YEARFRAC(R14,S14)&gt;=60,"0",IF(U14&lt;400000,400000*2%,IF(U14&gt;1200000,1200000*2%,U14*2%)))</f>
        <v>24000</v>
      </c>
      <c r="W14" s="1188">
        <f t="shared" si="11"/>
        <v>5.9084194977843429</v>
      </c>
    </row>
    <row r="15" spans="1:39" s="477" customFormat="1" ht="31.5" customHeight="1">
      <c r="A15" s="478">
        <v>9</v>
      </c>
      <c r="B15" s="572" t="s">
        <v>2309</v>
      </c>
      <c r="C15" s="1079" t="s">
        <v>2311</v>
      </c>
      <c r="D15" s="530">
        <v>45505</v>
      </c>
      <c r="E15" s="513" t="s">
        <v>260</v>
      </c>
      <c r="F15" s="494">
        <f>'S3'!AL15-'S3'!AD15-'S3'!AJ15-'S3'!AK15-'S3'!AE15-'S3'!AG15-W15</f>
        <v>280.2454266560618</v>
      </c>
      <c r="G15" s="495">
        <v>4062</v>
      </c>
      <c r="H15" s="488">
        <f t="shared" si="0"/>
        <v>1138356.923076923</v>
      </c>
      <c r="I15" s="480"/>
      <c r="J15" s="519">
        <v>1</v>
      </c>
      <c r="K15" s="488">
        <f t="shared" si="24"/>
        <v>150000</v>
      </c>
      <c r="L15" s="488">
        <f t="shared" si="25"/>
        <v>988356.92307692301</v>
      </c>
      <c r="M15" s="489">
        <f t="shared" si="26"/>
        <v>0</v>
      </c>
      <c r="N15" s="488">
        <f t="shared" si="4"/>
        <v>0</v>
      </c>
      <c r="O15" s="490">
        <f t="shared" si="27"/>
        <v>0</v>
      </c>
      <c r="P15" s="491">
        <f t="shared" si="9"/>
        <v>0</v>
      </c>
      <c r="R15" s="530">
        <v>37639</v>
      </c>
      <c r="S15" s="1191">
        <v>44839</v>
      </c>
      <c r="T15" s="1187">
        <f>'S3'!AL15-'S3'!AE15</f>
        <v>306.15384615384613</v>
      </c>
      <c r="U15" s="1176">
        <f t="shared" si="10"/>
        <v>1243596.923076923</v>
      </c>
      <c r="V15" s="1181">
        <f t="shared" si="28"/>
        <v>24000</v>
      </c>
      <c r="W15" s="1188">
        <f t="shared" si="11"/>
        <v>5.9084194977843429</v>
      </c>
    </row>
    <row r="16" spans="1:39" s="477" customFormat="1" ht="31.5" customHeight="1">
      <c r="A16" s="478">
        <v>10</v>
      </c>
      <c r="B16" s="646" t="s">
        <v>2054</v>
      </c>
      <c r="C16" s="584" t="s">
        <v>521</v>
      </c>
      <c r="D16" s="1563">
        <v>43710</v>
      </c>
      <c r="E16" s="557" t="s">
        <v>260</v>
      </c>
      <c r="F16" s="494">
        <f>'S3'!AL16-'S3'!AD16-'S3'!AJ16-'S3'!AK16-'S3'!AE16-'S3'!AG16-W16</f>
        <v>355.33767780311666</v>
      </c>
      <c r="G16" s="495">
        <v>4062</v>
      </c>
      <c r="H16" s="488">
        <f t="shared" si="0"/>
        <v>1443381.6472362599</v>
      </c>
      <c r="I16" s="480"/>
      <c r="J16" s="519">
        <v>1</v>
      </c>
      <c r="K16" s="488">
        <f t="shared" si="1"/>
        <v>150000</v>
      </c>
      <c r="L16" s="488">
        <f t="shared" si="2"/>
        <v>1293381.6472362599</v>
      </c>
      <c r="M16" s="489">
        <f t="shared" ref="M16:M38" si="29">IF(L16&gt;=12500000,20%,IF(L16&gt;=8500001,15%,IF(L16&gt;=2000001,10%,IF(L16&gt;=1500001,5%,0%))))</f>
        <v>0</v>
      </c>
      <c r="N16" s="488">
        <f t="shared" si="4"/>
        <v>0</v>
      </c>
      <c r="O16" s="490">
        <f t="shared" si="5"/>
        <v>0</v>
      </c>
      <c r="P16" s="491">
        <f t="shared" si="9"/>
        <v>0</v>
      </c>
      <c r="R16" s="1186">
        <v>33790</v>
      </c>
      <c r="S16" s="1191">
        <v>44835</v>
      </c>
      <c r="T16" s="1187">
        <f>'S3'!AL16-'S3'!AE16</f>
        <v>381.246097300901</v>
      </c>
      <c r="U16" s="1176">
        <f t="shared" si="10"/>
        <v>1548621.6472362599</v>
      </c>
      <c r="V16" s="1181">
        <f t="shared" ref="V16:V38" si="30">IF(YEARFRAC(R16,S16)&gt;=60,"0",IF(U16&lt;400000,400000*2%,IF(U16&gt;1200000,1200000*2%,U16*2%)))</f>
        <v>24000</v>
      </c>
      <c r="W16" s="1188">
        <f t="shared" si="11"/>
        <v>5.9084194977843429</v>
      </c>
    </row>
    <row r="17" spans="1:23" s="477" customFormat="1" ht="31.5" customHeight="1">
      <c r="A17" s="478">
        <v>11</v>
      </c>
      <c r="B17" s="646" t="s">
        <v>2055</v>
      </c>
      <c r="C17" s="584" t="s">
        <v>528</v>
      </c>
      <c r="D17" s="1563">
        <v>43747</v>
      </c>
      <c r="E17" s="557" t="s">
        <v>260</v>
      </c>
      <c r="F17" s="494">
        <f>'S3'!AL17-'S3'!AD17-'S3'!AJ17-'S3'!AK17-'S3'!AE17-'S3'!AG17-W17</f>
        <v>366.23100357913876</v>
      </c>
      <c r="G17" s="495">
        <v>4062</v>
      </c>
      <c r="H17" s="488">
        <f t="shared" si="0"/>
        <v>1487630.3365384617</v>
      </c>
      <c r="I17" s="480"/>
      <c r="J17" s="519">
        <v>0</v>
      </c>
      <c r="K17" s="488">
        <f t="shared" si="1"/>
        <v>0</v>
      </c>
      <c r="L17" s="488">
        <f t="shared" si="2"/>
        <v>1487630.3365384617</v>
      </c>
      <c r="M17" s="489">
        <f t="shared" si="29"/>
        <v>0</v>
      </c>
      <c r="N17" s="488">
        <f t="shared" si="4"/>
        <v>0</v>
      </c>
      <c r="O17" s="490">
        <f t="shared" si="5"/>
        <v>0</v>
      </c>
      <c r="P17" s="491">
        <f t="shared" si="9"/>
        <v>0</v>
      </c>
      <c r="R17" s="1186">
        <v>29432</v>
      </c>
      <c r="S17" s="1191">
        <v>44835</v>
      </c>
      <c r="T17" s="1187">
        <f>'S3'!AL17-'S3'!AE17</f>
        <v>392.13942307692309</v>
      </c>
      <c r="U17" s="1176">
        <f t="shared" si="10"/>
        <v>1592870.3365384615</v>
      </c>
      <c r="V17" s="1181">
        <f t="shared" si="30"/>
        <v>24000</v>
      </c>
      <c r="W17" s="1188">
        <f t="shared" si="11"/>
        <v>5.9084194977843429</v>
      </c>
    </row>
    <row r="18" spans="1:23" s="477" customFormat="1" ht="31.5" customHeight="1">
      <c r="A18" s="478">
        <v>12</v>
      </c>
      <c r="B18" s="646" t="s">
        <v>2056</v>
      </c>
      <c r="C18" s="584" t="s">
        <v>530</v>
      </c>
      <c r="D18" s="1563">
        <v>43749</v>
      </c>
      <c r="E18" s="557" t="s">
        <v>260</v>
      </c>
      <c r="F18" s="494">
        <f>'S3'!AL18-'S3'!AD18-'S3'!AJ18-'S3'!AK18-'S3'!AE18-'S3'!AG18-W18</f>
        <v>369.15888819452334</v>
      </c>
      <c r="G18" s="495">
        <v>4062</v>
      </c>
      <c r="H18" s="488">
        <f t="shared" si="0"/>
        <v>1499523.4038461538</v>
      </c>
      <c r="I18" s="480"/>
      <c r="J18" s="519">
        <v>1</v>
      </c>
      <c r="K18" s="488">
        <f t="shared" si="1"/>
        <v>150000</v>
      </c>
      <c r="L18" s="488">
        <f t="shared" si="2"/>
        <v>1349523.4038461538</v>
      </c>
      <c r="M18" s="489">
        <f t="shared" si="29"/>
        <v>0</v>
      </c>
      <c r="N18" s="488">
        <f t="shared" si="4"/>
        <v>0</v>
      </c>
      <c r="O18" s="490">
        <f t="shared" si="5"/>
        <v>0</v>
      </c>
      <c r="P18" s="491">
        <f t="shared" si="9"/>
        <v>0</v>
      </c>
      <c r="R18" s="1186">
        <v>32240</v>
      </c>
      <c r="S18" s="1191">
        <v>44835</v>
      </c>
      <c r="T18" s="1187">
        <f>'S3'!AL18-'S3'!AE18</f>
        <v>395.06730769230768</v>
      </c>
      <c r="U18" s="1176">
        <f t="shared" si="10"/>
        <v>1604763.4038461538</v>
      </c>
      <c r="V18" s="1181">
        <f t="shared" si="30"/>
        <v>24000</v>
      </c>
      <c r="W18" s="1188">
        <f t="shared" si="11"/>
        <v>5.9084194977843429</v>
      </c>
    </row>
    <row r="19" spans="1:23" s="477" customFormat="1" ht="31.5" customHeight="1">
      <c r="A19" s="478">
        <v>13</v>
      </c>
      <c r="B19" s="514" t="s">
        <v>2018</v>
      </c>
      <c r="C19" s="583" t="s">
        <v>493</v>
      </c>
      <c r="D19" s="1563">
        <v>41340</v>
      </c>
      <c r="E19" s="513" t="s">
        <v>260</v>
      </c>
      <c r="F19" s="494">
        <f>'S3'!AL19-'S3'!AD19-'S3'!AJ19-'S3'!AK19-'S3'!AE19-'S3'!AG19-W19</f>
        <v>416.18533050221566</v>
      </c>
      <c r="G19" s="495">
        <v>4062</v>
      </c>
      <c r="H19" s="488">
        <f t="shared" si="0"/>
        <v>1690544.8125</v>
      </c>
      <c r="I19" s="480"/>
      <c r="J19" s="521">
        <v>0</v>
      </c>
      <c r="K19" s="488">
        <f t="shared" si="1"/>
        <v>0</v>
      </c>
      <c r="L19" s="488">
        <f t="shared" si="2"/>
        <v>1690544.8125</v>
      </c>
      <c r="M19" s="489">
        <f t="shared" si="29"/>
        <v>0.05</v>
      </c>
      <c r="N19" s="488">
        <f t="shared" si="4"/>
        <v>75000</v>
      </c>
      <c r="O19" s="490">
        <f t="shared" si="5"/>
        <v>9527.2406250000058</v>
      </c>
      <c r="P19" s="491">
        <f t="shared" si="9"/>
        <v>2.3454555945347133</v>
      </c>
      <c r="R19" s="1186">
        <v>35704</v>
      </c>
      <c r="S19" s="1191">
        <v>44835</v>
      </c>
      <c r="T19" s="1187">
        <f>'S3'!AL19-'S3'!AE19</f>
        <v>442.09375</v>
      </c>
      <c r="U19" s="1176">
        <f t="shared" si="10"/>
        <v>1795784.8125</v>
      </c>
      <c r="V19" s="1181">
        <f t="shared" si="30"/>
        <v>24000</v>
      </c>
      <c r="W19" s="1188">
        <f t="shared" si="11"/>
        <v>5.9084194977843429</v>
      </c>
    </row>
    <row r="20" spans="1:23" s="477" customFormat="1" ht="31.5" customHeight="1">
      <c r="A20" s="478">
        <v>14</v>
      </c>
      <c r="B20" s="1333" t="s">
        <v>2196</v>
      </c>
      <c r="C20" s="578" t="s">
        <v>273</v>
      </c>
      <c r="D20" s="1476">
        <v>42499</v>
      </c>
      <c r="E20" s="1637" t="s">
        <v>1113</v>
      </c>
      <c r="F20" s="494">
        <f>'S3'!AL20-'S3'!AD20-'S3'!AJ20-'S3'!AK20-'S3'!AE20-'S3'!AG20-W20</f>
        <v>563.70696511760025</v>
      </c>
      <c r="G20" s="495">
        <v>4062</v>
      </c>
      <c r="H20" s="488">
        <f t="shared" si="0"/>
        <v>2289777.692307692</v>
      </c>
      <c r="I20" s="480"/>
      <c r="J20" s="521">
        <v>2</v>
      </c>
      <c r="K20" s="488">
        <f t="shared" ref="K20" si="31">150000*(J20+I20)</f>
        <v>300000</v>
      </c>
      <c r="L20" s="488">
        <f t="shared" ref="L20" si="32">H20-K20</f>
        <v>1989777.692307692</v>
      </c>
      <c r="M20" s="489">
        <f t="shared" ref="M20" si="33">IF(L20&gt;=12500000,20%,IF(L20&gt;=8500001,15%,IF(L20&gt;=2000001,10%,IF(L20&gt;=1500001,5%,0%))))</f>
        <v>0.05</v>
      </c>
      <c r="N20" s="488">
        <f t="shared" si="4"/>
        <v>75000</v>
      </c>
      <c r="O20" s="490">
        <f t="shared" si="5"/>
        <v>24488.88461538461</v>
      </c>
      <c r="P20" s="491">
        <f t="shared" si="9"/>
        <v>6.0287751391887268</v>
      </c>
      <c r="R20" s="1186">
        <v>33400</v>
      </c>
      <c r="S20" s="1170">
        <v>44835</v>
      </c>
      <c r="T20" s="1187">
        <f>'S3'!AL20-'S3'!AE20</f>
        <v>589.61538461538464</v>
      </c>
      <c r="U20" s="1176">
        <f t="shared" si="10"/>
        <v>2395017.6923076925</v>
      </c>
      <c r="V20" s="1181">
        <f t="shared" ref="V20" si="34">IF(YEARFRAC(R20,S20)&gt;=60,"0",IF(U20&lt;400000,400000*2%,IF(U20&gt;1200000,1200000*2%,U20*2%)))</f>
        <v>24000</v>
      </c>
      <c r="W20" s="1188">
        <f t="shared" si="11"/>
        <v>5.9084194977843429</v>
      </c>
    </row>
    <row r="21" spans="1:23" s="477" customFormat="1" ht="31.5" customHeight="1">
      <c r="A21" s="478">
        <v>15</v>
      </c>
      <c r="B21" s="514" t="s">
        <v>282</v>
      </c>
      <c r="C21" s="583" t="s">
        <v>494</v>
      </c>
      <c r="D21" s="1563">
        <v>41386</v>
      </c>
      <c r="E21" s="513" t="s">
        <v>260</v>
      </c>
      <c r="F21" s="494">
        <f>'S3'!AL21-'S3'!AD21-'S3'!AJ21-'S3'!AK21-'S3'!AE21-'S3'!AG21-W21</f>
        <v>369.28388819452334</v>
      </c>
      <c r="G21" s="495">
        <v>4062</v>
      </c>
      <c r="H21" s="488">
        <f t="shared" si="0"/>
        <v>1500031.1538461538</v>
      </c>
      <c r="I21" s="480"/>
      <c r="J21" s="521">
        <v>0</v>
      </c>
      <c r="K21" s="488">
        <f t="shared" si="1"/>
        <v>0</v>
      </c>
      <c r="L21" s="488">
        <f t="shared" si="2"/>
        <v>1500031.1538461538</v>
      </c>
      <c r="M21" s="489">
        <f t="shared" si="29"/>
        <v>0.05</v>
      </c>
      <c r="N21" s="488">
        <f t="shared" si="4"/>
        <v>75000</v>
      </c>
      <c r="O21" s="490">
        <f t="shared" si="5"/>
        <v>1.5576923076878302</v>
      </c>
      <c r="P21" s="491">
        <f t="shared" si="9"/>
        <v>3.8347915009547765E-4</v>
      </c>
      <c r="R21" s="1186">
        <v>36354</v>
      </c>
      <c r="S21" s="1191">
        <v>44835</v>
      </c>
      <c r="T21" s="1187">
        <f>'S3'!AL21-'S3'!AE21</f>
        <v>395.19230769230768</v>
      </c>
      <c r="U21" s="1176">
        <f t="shared" si="10"/>
        <v>1605271.1538461538</v>
      </c>
      <c r="V21" s="1181">
        <f t="shared" si="30"/>
        <v>24000</v>
      </c>
      <c r="W21" s="1188">
        <f t="shared" si="11"/>
        <v>5.9084194977843429</v>
      </c>
    </row>
    <row r="22" spans="1:23" s="477" customFormat="1" ht="31.5" customHeight="1">
      <c r="A22" s="478">
        <v>16</v>
      </c>
      <c r="B22" s="591" t="s">
        <v>2057</v>
      </c>
      <c r="C22" s="584" t="s">
        <v>567</v>
      </c>
      <c r="D22" s="1563">
        <v>43133</v>
      </c>
      <c r="E22" s="557" t="s">
        <v>260</v>
      </c>
      <c r="F22" s="494">
        <f>'S3'!AL22-'S3'!AD22-'S3'!AJ22-'S3'!AK22-'S3'!AE22-'S3'!AG22-W22</f>
        <v>318.20696511760025</v>
      </c>
      <c r="G22" s="495">
        <v>4062</v>
      </c>
      <c r="H22" s="488">
        <f t="shared" si="0"/>
        <v>1292556.6923076923</v>
      </c>
      <c r="I22" s="480"/>
      <c r="J22" s="521">
        <v>2</v>
      </c>
      <c r="K22" s="488">
        <f t="shared" si="1"/>
        <v>300000</v>
      </c>
      <c r="L22" s="488">
        <f t="shared" si="2"/>
        <v>992556.69230769225</v>
      </c>
      <c r="M22" s="489">
        <f t="shared" si="29"/>
        <v>0</v>
      </c>
      <c r="N22" s="488">
        <f t="shared" si="4"/>
        <v>0</v>
      </c>
      <c r="O22" s="490">
        <f t="shared" si="5"/>
        <v>0</v>
      </c>
      <c r="P22" s="491">
        <f t="shared" si="9"/>
        <v>0</v>
      </c>
      <c r="R22" s="1186">
        <v>35859</v>
      </c>
      <c r="S22" s="1191">
        <v>44835</v>
      </c>
      <c r="T22" s="1187">
        <f>'S3'!AL22-'S3'!AE22</f>
        <v>344.11538461538458</v>
      </c>
      <c r="U22" s="1176">
        <f t="shared" si="10"/>
        <v>1397796.6923076923</v>
      </c>
      <c r="V22" s="1181">
        <f t="shared" si="30"/>
        <v>24000</v>
      </c>
      <c r="W22" s="1188">
        <f t="shared" si="11"/>
        <v>5.9084194977843429</v>
      </c>
    </row>
    <row r="23" spans="1:23" s="477" customFormat="1" ht="31.5" customHeight="1">
      <c r="A23" s="478">
        <v>17</v>
      </c>
      <c r="B23" s="572" t="s">
        <v>2058</v>
      </c>
      <c r="C23" s="578" t="s">
        <v>430</v>
      </c>
      <c r="D23" s="1474">
        <v>43215</v>
      </c>
      <c r="E23" s="513" t="s">
        <v>260</v>
      </c>
      <c r="F23" s="494">
        <f>'S3'!AL23-'S3'!AD23-'S3'!AJ23-'S3'!AK23-'S3'!AE23-'S3'!AG23-W23</f>
        <v>383.57234973298495</v>
      </c>
      <c r="G23" s="495">
        <v>4062</v>
      </c>
      <c r="H23" s="488">
        <f t="shared" si="0"/>
        <v>1558070.8846153847</v>
      </c>
      <c r="I23" s="480"/>
      <c r="J23" s="521">
        <v>1</v>
      </c>
      <c r="K23" s="488">
        <f t="shared" si="1"/>
        <v>150000</v>
      </c>
      <c r="L23" s="488">
        <f t="shared" si="2"/>
        <v>1408070.8846153847</v>
      </c>
      <c r="M23" s="489">
        <f t="shared" si="29"/>
        <v>0</v>
      </c>
      <c r="N23" s="488">
        <f t="shared" si="4"/>
        <v>0</v>
      </c>
      <c r="O23" s="490">
        <f t="shared" si="5"/>
        <v>0</v>
      </c>
      <c r="P23" s="491">
        <f t="shared" si="9"/>
        <v>0</v>
      </c>
      <c r="R23" s="1186">
        <v>29662</v>
      </c>
      <c r="S23" s="1191">
        <v>44835</v>
      </c>
      <c r="T23" s="1187">
        <f>'S3'!AL23-'S3'!AE23</f>
        <v>409.48076923076928</v>
      </c>
      <c r="U23" s="1176">
        <f t="shared" si="10"/>
        <v>1663310.8846153847</v>
      </c>
      <c r="V23" s="1181">
        <f t="shared" si="30"/>
        <v>24000</v>
      </c>
      <c r="W23" s="1188">
        <f t="shared" si="11"/>
        <v>5.9084194977843429</v>
      </c>
    </row>
    <row r="24" spans="1:23" s="477" customFormat="1" ht="31.5" customHeight="1">
      <c r="A24" s="478">
        <v>18</v>
      </c>
      <c r="B24" s="591" t="s">
        <v>2059</v>
      </c>
      <c r="C24" s="584" t="s">
        <v>449</v>
      </c>
      <c r="D24" s="1563">
        <v>43407</v>
      </c>
      <c r="E24" s="513" t="s">
        <v>260</v>
      </c>
      <c r="F24" s="494">
        <f>'S3'!AL24-'S3'!AD24-'S3'!AJ24-'S3'!AK24-'S3'!AE24-'S3'!AG24-W24</f>
        <v>371.20696511760025</v>
      </c>
      <c r="G24" s="495">
        <v>4062</v>
      </c>
      <c r="H24" s="488">
        <f t="shared" si="0"/>
        <v>1507842.6923076923</v>
      </c>
      <c r="I24" s="480"/>
      <c r="J24" s="521">
        <v>0</v>
      </c>
      <c r="K24" s="488">
        <f t="shared" si="1"/>
        <v>0</v>
      </c>
      <c r="L24" s="488">
        <f t="shared" si="2"/>
        <v>1507842.6923076923</v>
      </c>
      <c r="M24" s="489">
        <f t="shared" si="29"/>
        <v>0.05</v>
      </c>
      <c r="N24" s="488">
        <f t="shared" si="4"/>
        <v>75000</v>
      </c>
      <c r="O24" s="490">
        <f t="shared" si="5"/>
        <v>392.13461538460979</v>
      </c>
      <c r="P24" s="491">
        <f t="shared" si="9"/>
        <v>9.6537325303941351E-2</v>
      </c>
      <c r="R24" s="1186">
        <v>34948</v>
      </c>
      <c r="S24" s="1191">
        <v>44835</v>
      </c>
      <c r="T24" s="1187">
        <f>'S3'!AL24-'S3'!AE24</f>
        <v>397.11538461538458</v>
      </c>
      <c r="U24" s="1176">
        <f t="shared" si="10"/>
        <v>1613082.6923076923</v>
      </c>
      <c r="V24" s="1181">
        <f t="shared" si="30"/>
        <v>24000</v>
      </c>
      <c r="W24" s="1188">
        <f t="shared" si="11"/>
        <v>5.9084194977843429</v>
      </c>
    </row>
    <row r="25" spans="1:23" s="477" customFormat="1" ht="31.5" customHeight="1">
      <c r="A25" s="478">
        <v>19</v>
      </c>
      <c r="B25" s="1572" t="s">
        <v>283</v>
      </c>
      <c r="C25" s="584" t="s">
        <v>495</v>
      </c>
      <c r="D25" s="1563">
        <v>41435</v>
      </c>
      <c r="E25" s="513" t="s">
        <v>260</v>
      </c>
      <c r="F25" s="494">
        <f>'S3'!AL25-'S3'!AD25-'S3'!AJ25-'S3'!AK25-'S3'!AE25-'S3'!AG25-W25</f>
        <v>345.72992029408465</v>
      </c>
      <c r="G25" s="495">
        <v>4062</v>
      </c>
      <c r="H25" s="488">
        <f t="shared" si="0"/>
        <v>1404354.9362345717</v>
      </c>
      <c r="I25" s="480"/>
      <c r="J25" s="519">
        <v>4</v>
      </c>
      <c r="K25" s="488">
        <f t="shared" si="1"/>
        <v>600000</v>
      </c>
      <c r="L25" s="488">
        <f t="shared" si="2"/>
        <v>804354.93623457174</v>
      </c>
      <c r="M25" s="489">
        <f t="shared" si="29"/>
        <v>0</v>
      </c>
      <c r="N25" s="488">
        <f t="shared" si="4"/>
        <v>0</v>
      </c>
      <c r="O25" s="490">
        <f t="shared" si="5"/>
        <v>0</v>
      </c>
      <c r="P25" s="491">
        <f t="shared" si="9"/>
        <v>0</v>
      </c>
      <c r="R25" s="1186">
        <v>27937</v>
      </c>
      <c r="S25" s="1191">
        <v>44835</v>
      </c>
      <c r="T25" s="1187">
        <f>'S3'!AL25-'S3'!AE25</f>
        <v>371.63833979186899</v>
      </c>
      <c r="U25" s="1176">
        <f t="shared" si="10"/>
        <v>1509594.9362345717</v>
      </c>
      <c r="V25" s="1181">
        <f t="shared" si="30"/>
        <v>24000</v>
      </c>
      <c r="W25" s="1188">
        <f t="shared" si="11"/>
        <v>5.9084194977843429</v>
      </c>
    </row>
    <row r="26" spans="1:23" s="477" customFormat="1" ht="31.5" customHeight="1">
      <c r="A26" s="478">
        <v>20</v>
      </c>
      <c r="B26" s="514" t="s">
        <v>284</v>
      </c>
      <c r="C26" s="583" t="s">
        <v>496</v>
      </c>
      <c r="D26" s="1563">
        <v>41440</v>
      </c>
      <c r="E26" s="513" t="s">
        <v>260</v>
      </c>
      <c r="F26" s="494">
        <f>'S3'!AL26-'S3'!AD26-'S3'!AJ26-'S3'!AK26-'S3'!AE26-'S3'!AG26-W26</f>
        <v>315.27427280990793</v>
      </c>
      <c r="G26" s="495">
        <v>4062</v>
      </c>
      <c r="H26" s="488">
        <f t="shared" si="0"/>
        <v>1280644.096153846</v>
      </c>
      <c r="I26" s="480"/>
      <c r="J26" s="519">
        <v>3</v>
      </c>
      <c r="K26" s="488">
        <f t="shared" si="1"/>
        <v>450000</v>
      </c>
      <c r="L26" s="488">
        <f t="shared" si="2"/>
        <v>830644.09615384601</v>
      </c>
      <c r="M26" s="489">
        <f t="shared" si="29"/>
        <v>0</v>
      </c>
      <c r="N26" s="488">
        <f t="shared" si="4"/>
        <v>0</v>
      </c>
      <c r="O26" s="490">
        <f t="shared" si="5"/>
        <v>0</v>
      </c>
      <c r="P26" s="491">
        <f t="shared" si="9"/>
        <v>0</v>
      </c>
      <c r="R26" s="1186">
        <v>27257</v>
      </c>
      <c r="S26" s="1191">
        <v>44835</v>
      </c>
      <c r="T26" s="1187">
        <f>'S3'!AL26-'S3'!AE26</f>
        <v>341.18269230769226</v>
      </c>
      <c r="U26" s="1176">
        <f t="shared" si="10"/>
        <v>1385884.096153846</v>
      </c>
      <c r="V26" s="1181">
        <f t="shared" si="30"/>
        <v>24000</v>
      </c>
      <c r="W26" s="1188">
        <f t="shared" si="11"/>
        <v>5.9084194977843429</v>
      </c>
    </row>
    <row r="27" spans="1:23" s="477" customFormat="1" ht="31.5" customHeight="1">
      <c r="A27" s="478">
        <v>21</v>
      </c>
      <c r="B27" s="1564" t="s">
        <v>451</v>
      </c>
      <c r="C27" s="586" t="s">
        <v>497</v>
      </c>
      <c r="D27" s="1565">
        <v>41444</v>
      </c>
      <c r="E27" s="513" t="s">
        <v>260</v>
      </c>
      <c r="F27" s="494">
        <f>'S3'!AL27-'S3'!AD27-'S3'!AJ27-'S3'!AK27-'S3'!AE27-'S3'!AG27-W27</f>
        <v>624.85892629453303</v>
      </c>
      <c r="G27" s="495">
        <v>4062</v>
      </c>
      <c r="H27" s="488">
        <f t="shared" si="0"/>
        <v>2538176.9586083931</v>
      </c>
      <c r="I27" s="480"/>
      <c r="J27" s="519">
        <v>2</v>
      </c>
      <c r="K27" s="488">
        <f t="shared" si="1"/>
        <v>300000</v>
      </c>
      <c r="L27" s="488">
        <f t="shared" si="2"/>
        <v>2238176.9586083931</v>
      </c>
      <c r="M27" s="489">
        <f t="shared" si="29"/>
        <v>0.1</v>
      </c>
      <c r="N27" s="488">
        <f t="shared" si="4"/>
        <v>175000</v>
      </c>
      <c r="O27" s="490">
        <f t="shared" si="5"/>
        <v>48817.695860839332</v>
      </c>
      <c r="P27" s="491">
        <f t="shared" si="9"/>
        <v>12.01814275254538</v>
      </c>
      <c r="R27" s="1186">
        <v>32301</v>
      </c>
      <c r="S27" s="1191">
        <v>44835</v>
      </c>
      <c r="T27" s="1187">
        <f>'S3'!AL27-'S3'!AE27</f>
        <v>650.76734579231743</v>
      </c>
      <c r="U27" s="1176">
        <f t="shared" si="10"/>
        <v>2643416.9586083936</v>
      </c>
      <c r="V27" s="1181">
        <f t="shared" si="30"/>
        <v>24000</v>
      </c>
      <c r="W27" s="1188">
        <f t="shared" si="11"/>
        <v>5.9084194977843429</v>
      </c>
    </row>
    <row r="28" spans="1:23" s="477" customFormat="1" ht="31.5" customHeight="1">
      <c r="A28" s="478">
        <v>22</v>
      </c>
      <c r="B28" s="1572" t="s">
        <v>285</v>
      </c>
      <c r="C28" s="584" t="s">
        <v>286</v>
      </c>
      <c r="D28" s="1565">
        <v>42485</v>
      </c>
      <c r="E28" s="513" t="s">
        <v>260</v>
      </c>
      <c r="F28" s="494">
        <f>'S3'!AL28-'S3'!AD28-'S3'!AJ28-'S3'!AK28-'S3'!AE28-'S3'!AG28-W28</f>
        <v>281.5819651176003</v>
      </c>
      <c r="G28" s="495">
        <v>4062</v>
      </c>
      <c r="H28" s="488">
        <f t="shared" si="0"/>
        <v>1143785.9423076925</v>
      </c>
      <c r="I28" s="480"/>
      <c r="J28" s="519">
        <v>2</v>
      </c>
      <c r="K28" s="488">
        <f t="shared" si="1"/>
        <v>300000</v>
      </c>
      <c r="L28" s="488">
        <f t="shared" si="2"/>
        <v>843785.94230769249</v>
      </c>
      <c r="M28" s="489">
        <f t="shared" si="29"/>
        <v>0</v>
      </c>
      <c r="N28" s="488">
        <f t="shared" si="4"/>
        <v>0</v>
      </c>
      <c r="O28" s="490">
        <f t="shared" si="5"/>
        <v>0</v>
      </c>
      <c r="P28" s="491">
        <f t="shared" si="9"/>
        <v>0</v>
      </c>
      <c r="R28" s="1186">
        <v>30359</v>
      </c>
      <c r="S28" s="1191">
        <v>44835</v>
      </c>
      <c r="T28" s="1187">
        <f>'S3'!AL28-'S3'!AE28</f>
        <v>307.49038461538464</v>
      </c>
      <c r="U28" s="1176">
        <f t="shared" si="10"/>
        <v>1249025.9423076925</v>
      </c>
      <c r="V28" s="1181">
        <f t="shared" si="30"/>
        <v>24000</v>
      </c>
      <c r="W28" s="1188">
        <f t="shared" si="11"/>
        <v>5.9084194977843429</v>
      </c>
    </row>
    <row r="29" spans="1:23" s="477" customFormat="1" ht="31.5" customHeight="1">
      <c r="A29" s="478">
        <v>23</v>
      </c>
      <c r="B29" s="1572" t="s">
        <v>287</v>
      </c>
      <c r="C29" s="584" t="s">
        <v>498</v>
      </c>
      <c r="D29" s="1563">
        <v>41491</v>
      </c>
      <c r="E29" s="513" t="s">
        <v>260</v>
      </c>
      <c r="F29" s="494">
        <f>'S3'!AL29-'S3'!AD29-'S3'!AJ29-'S3'!AK29-'S3'!AE29-'S3'!AG29-W29</f>
        <v>372.12523434836947</v>
      </c>
      <c r="G29" s="495">
        <v>4062</v>
      </c>
      <c r="H29" s="488">
        <f t="shared" si="0"/>
        <v>1511572.7019230768</v>
      </c>
      <c r="I29" s="480"/>
      <c r="J29" s="519">
        <v>1</v>
      </c>
      <c r="K29" s="488">
        <f t="shared" si="1"/>
        <v>150000</v>
      </c>
      <c r="L29" s="488">
        <f t="shared" si="2"/>
        <v>1361572.7019230768</v>
      </c>
      <c r="M29" s="489">
        <f t="shared" si="29"/>
        <v>0</v>
      </c>
      <c r="N29" s="488">
        <f t="shared" si="4"/>
        <v>0</v>
      </c>
      <c r="O29" s="490">
        <f t="shared" si="5"/>
        <v>0</v>
      </c>
      <c r="P29" s="491">
        <f t="shared" si="9"/>
        <v>0</v>
      </c>
      <c r="R29" s="1186">
        <v>29952</v>
      </c>
      <c r="S29" s="1191">
        <v>44835</v>
      </c>
      <c r="T29" s="1187">
        <f>'S3'!AL29-'S3'!AE29</f>
        <v>398.03365384615381</v>
      </c>
      <c r="U29" s="1176">
        <f t="shared" si="10"/>
        <v>1616812.7019230768</v>
      </c>
      <c r="V29" s="1181">
        <f t="shared" si="30"/>
        <v>24000</v>
      </c>
      <c r="W29" s="1188">
        <f t="shared" si="11"/>
        <v>5.9084194977843429</v>
      </c>
    </row>
    <row r="30" spans="1:23" s="477" customFormat="1" ht="31.5" customHeight="1">
      <c r="A30" s="478">
        <v>24</v>
      </c>
      <c r="B30" s="645" t="s">
        <v>928</v>
      </c>
      <c r="C30" s="584" t="s">
        <v>929</v>
      </c>
      <c r="D30" s="1563">
        <v>44488</v>
      </c>
      <c r="E30" s="513" t="s">
        <v>260</v>
      </c>
      <c r="F30" s="494">
        <f>'S3'!AL30-'S3'!AD30-'S3'!AJ30-'S3'!AK30-'S3'!AE30-'S3'!AG30-W30</f>
        <v>363.24061896375412</v>
      </c>
      <c r="G30" s="495">
        <v>4062</v>
      </c>
      <c r="H30" s="488">
        <f t="shared" si="0"/>
        <v>1475483.3942307692</v>
      </c>
      <c r="I30" s="480">
        <v>1</v>
      </c>
      <c r="J30" s="520">
        <v>1</v>
      </c>
      <c r="K30" s="488">
        <f t="shared" si="1"/>
        <v>300000</v>
      </c>
      <c r="L30" s="488">
        <f t="shared" si="2"/>
        <v>1175483.3942307692</v>
      </c>
      <c r="M30" s="489">
        <f t="shared" si="29"/>
        <v>0</v>
      </c>
      <c r="N30" s="488">
        <f t="shared" si="4"/>
        <v>0</v>
      </c>
      <c r="O30" s="490">
        <f t="shared" si="5"/>
        <v>0</v>
      </c>
      <c r="P30" s="491">
        <f t="shared" si="9"/>
        <v>0</v>
      </c>
      <c r="R30" s="1212">
        <v>36119</v>
      </c>
      <c r="S30" s="1191">
        <v>44835</v>
      </c>
      <c r="T30" s="1187">
        <f>'S3'!AL30-'S3'!AE30</f>
        <v>389.14903846153845</v>
      </c>
      <c r="U30" s="1176">
        <f t="shared" si="10"/>
        <v>1580723.3942307692</v>
      </c>
      <c r="V30" s="1181">
        <f t="shared" si="30"/>
        <v>24000</v>
      </c>
      <c r="W30" s="1188">
        <f t="shared" si="11"/>
        <v>5.9084194977843429</v>
      </c>
    </row>
    <row r="31" spans="1:23" s="477" customFormat="1" ht="31.5" customHeight="1">
      <c r="A31" s="478">
        <v>25</v>
      </c>
      <c r="B31" s="645" t="s">
        <v>930</v>
      </c>
      <c r="C31" s="584" t="s">
        <v>931</v>
      </c>
      <c r="D31" s="1563">
        <v>44487</v>
      </c>
      <c r="E31" s="513" t="s">
        <v>260</v>
      </c>
      <c r="F31" s="494">
        <f>'S3'!AL31-'S3'!AD31-'S3'!AJ31-'S3'!AK31-'S3'!AE31-'S3'!AG31-W31</f>
        <v>374.05311896375412</v>
      </c>
      <c r="G31" s="495">
        <v>4062</v>
      </c>
      <c r="H31" s="488">
        <f t="shared" si="0"/>
        <v>1519403.7692307692</v>
      </c>
      <c r="I31" s="480"/>
      <c r="J31" s="519">
        <v>0</v>
      </c>
      <c r="K31" s="488">
        <f t="shared" si="1"/>
        <v>0</v>
      </c>
      <c r="L31" s="488">
        <f t="shared" si="2"/>
        <v>1519403.7692307692</v>
      </c>
      <c r="M31" s="489">
        <f t="shared" si="29"/>
        <v>0.05</v>
      </c>
      <c r="N31" s="488">
        <f t="shared" si="4"/>
        <v>75000</v>
      </c>
      <c r="O31" s="490">
        <f t="shared" si="5"/>
        <v>970.18846153846243</v>
      </c>
      <c r="P31" s="491">
        <f t="shared" si="9"/>
        <v>0.23884501761163526</v>
      </c>
      <c r="R31" s="1186">
        <v>34008</v>
      </c>
      <c r="S31" s="1191">
        <v>44835</v>
      </c>
      <c r="T31" s="1187">
        <f>'S3'!AL31-'S3'!AE31</f>
        <v>399.96153846153845</v>
      </c>
      <c r="U31" s="1176">
        <f t="shared" si="10"/>
        <v>1624643.7692307692</v>
      </c>
      <c r="V31" s="1181">
        <f t="shared" si="30"/>
        <v>24000</v>
      </c>
      <c r="W31" s="1188">
        <f t="shared" si="11"/>
        <v>5.9084194977843429</v>
      </c>
    </row>
    <row r="32" spans="1:23" s="477" customFormat="1" ht="31.5" customHeight="1">
      <c r="A32" s="478">
        <v>26</v>
      </c>
      <c r="B32" s="515" t="s">
        <v>407</v>
      </c>
      <c r="C32" s="581" t="s">
        <v>408</v>
      </c>
      <c r="D32" s="1474">
        <v>42846</v>
      </c>
      <c r="E32" s="513" t="s">
        <v>260</v>
      </c>
      <c r="F32" s="494">
        <f>'S3'!AL32-'S3'!AD32-'S3'!AJ32-'S3'!AK32-'S3'!AE32-'S3'!AG32-W32</f>
        <v>302.8079266560618</v>
      </c>
      <c r="G32" s="495">
        <v>4062</v>
      </c>
      <c r="H32" s="488">
        <f t="shared" si="0"/>
        <v>1230005.798076923</v>
      </c>
      <c r="I32" s="480"/>
      <c r="J32" s="519">
        <v>2</v>
      </c>
      <c r="K32" s="488">
        <f t="shared" si="1"/>
        <v>300000</v>
      </c>
      <c r="L32" s="488">
        <f t="shared" si="2"/>
        <v>930005.79807692301</v>
      </c>
      <c r="M32" s="489">
        <f t="shared" si="29"/>
        <v>0</v>
      </c>
      <c r="N32" s="488">
        <f t="shared" si="4"/>
        <v>0</v>
      </c>
      <c r="O32" s="490">
        <f t="shared" si="5"/>
        <v>0</v>
      </c>
      <c r="P32" s="491">
        <f t="shared" si="9"/>
        <v>0</v>
      </c>
      <c r="R32" s="1186">
        <v>31814</v>
      </c>
      <c r="S32" s="1191">
        <v>44835</v>
      </c>
      <c r="T32" s="1187">
        <f>'S3'!AL32-'S3'!AE32</f>
        <v>328.71634615384613</v>
      </c>
      <c r="U32" s="1176">
        <f t="shared" si="10"/>
        <v>1335245.798076923</v>
      </c>
      <c r="V32" s="1181">
        <f t="shared" si="30"/>
        <v>24000</v>
      </c>
      <c r="W32" s="1188">
        <f t="shared" si="11"/>
        <v>5.9084194977843429</v>
      </c>
    </row>
    <row r="33" spans="1:23" s="477" customFormat="1" ht="31.5" customHeight="1">
      <c r="A33" s="478">
        <v>27</v>
      </c>
      <c r="B33" s="515" t="s">
        <v>982</v>
      </c>
      <c r="C33" s="581" t="s">
        <v>984</v>
      </c>
      <c r="D33" s="1474">
        <v>44543</v>
      </c>
      <c r="E33" s="513" t="s">
        <v>260</v>
      </c>
      <c r="F33" s="494">
        <f>'S3'!AL33-'S3'!AD33-'S3'!AJ33-'S3'!AK33-'S3'!AE33-'S3'!AG33-W33</f>
        <v>349.58662695662002</v>
      </c>
      <c r="G33" s="495">
        <v>4062</v>
      </c>
      <c r="H33" s="488">
        <f t="shared" si="0"/>
        <v>1420020.8786977904</v>
      </c>
      <c r="I33" s="480"/>
      <c r="J33" s="519">
        <v>1</v>
      </c>
      <c r="K33" s="488">
        <f t="shared" si="1"/>
        <v>150000</v>
      </c>
      <c r="L33" s="488">
        <f t="shared" si="2"/>
        <v>1270020.8786977904</v>
      </c>
      <c r="M33" s="489">
        <f t="shared" si="29"/>
        <v>0</v>
      </c>
      <c r="N33" s="488">
        <f t="shared" si="4"/>
        <v>0</v>
      </c>
      <c r="O33" s="490">
        <f t="shared" si="5"/>
        <v>0</v>
      </c>
      <c r="P33" s="491">
        <f t="shared" si="9"/>
        <v>0</v>
      </c>
      <c r="R33" s="1212">
        <v>30310</v>
      </c>
      <c r="S33" s="1191">
        <v>44835</v>
      </c>
      <c r="T33" s="1187">
        <f>'S3'!AL33-'S3'!AE33</f>
        <v>375.49504645440436</v>
      </c>
      <c r="U33" s="1176">
        <f t="shared" si="10"/>
        <v>1525260.8786977904</v>
      </c>
      <c r="V33" s="1181">
        <f t="shared" si="30"/>
        <v>24000</v>
      </c>
      <c r="W33" s="1188">
        <f t="shared" si="11"/>
        <v>5.9084194977843429</v>
      </c>
    </row>
    <row r="34" spans="1:23" s="477" customFormat="1" ht="31.5" customHeight="1">
      <c r="A34" s="478">
        <v>28</v>
      </c>
      <c r="B34" s="515" t="s">
        <v>983</v>
      </c>
      <c r="C34" s="581" t="s">
        <v>985</v>
      </c>
      <c r="D34" s="1474">
        <v>44544</v>
      </c>
      <c r="E34" s="513" t="s">
        <v>260</v>
      </c>
      <c r="F34" s="494">
        <f>'S3'!AL34-'S3'!AD34-'S3'!AJ34-'S3'!AK34-'S3'!AE34-'S3'!AG34-W34</f>
        <v>379.57234973298495</v>
      </c>
      <c r="G34" s="495">
        <v>4062</v>
      </c>
      <c r="H34" s="488">
        <f t="shared" si="0"/>
        <v>1541822.8846153847</v>
      </c>
      <c r="I34" s="480"/>
      <c r="J34" s="519">
        <v>0</v>
      </c>
      <c r="K34" s="488">
        <f t="shared" si="1"/>
        <v>0</v>
      </c>
      <c r="L34" s="488">
        <f t="shared" si="2"/>
        <v>1541822.8846153847</v>
      </c>
      <c r="M34" s="489">
        <f t="shared" si="29"/>
        <v>0.05</v>
      </c>
      <c r="N34" s="488">
        <f t="shared" si="4"/>
        <v>75000</v>
      </c>
      <c r="O34" s="490">
        <f t="shared" si="5"/>
        <v>2091.1442307692341</v>
      </c>
      <c r="P34" s="491">
        <f t="shared" si="9"/>
        <v>0.51480655607317438</v>
      </c>
      <c r="R34" s="1212">
        <v>34585</v>
      </c>
      <c r="S34" s="1191">
        <v>44835</v>
      </c>
      <c r="T34" s="1187">
        <f>'S3'!AL34-'S3'!AE34</f>
        <v>405.48076923076928</v>
      </c>
      <c r="U34" s="1176">
        <f t="shared" si="10"/>
        <v>1647062.8846153847</v>
      </c>
      <c r="V34" s="1181">
        <f t="shared" si="30"/>
        <v>24000</v>
      </c>
      <c r="W34" s="1188">
        <f t="shared" si="11"/>
        <v>5.9084194977843429</v>
      </c>
    </row>
    <row r="35" spans="1:23" s="477" customFormat="1" ht="31.5" customHeight="1">
      <c r="A35" s="478">
        <v>29</v>
      </c>
      <c r="B35" s="1328" t="s">
        <v>2163</v>
      </c>
      <c r="C35" s="625" t="s">
        <v>2164</v>
      </c>
      <c r="D35" s="1472">
        <v>44634</v>
      </c>
      <c r="E35" s="513" t="s">
        <v>260</v>
      </c>
      <c r="F35" s="494">
        <f>'S3'!AL35-'S3'!AD35-'S3'!AJ35-'S3'!AK35-'S3'!AE35-'S3'!AG35-W35</f>
        <v>262.27769230769229</v>
      </c>
      <c r="G35" s="495">
        <v>4062</v>
      </c>
      <c r="H35" s="488">
        <f t="shared" si="0"/>
        <v>1065371.9861538461</v>
      </c>
      <c r="I35" s="480"/>
      <c r="J35" s="519">
        <v>1</v>
      </c>
      <c r="K35" s="488">
        <f t="shared" ref="K35" si="35">150000*(J35+I35)</f>
        <v>150000</v>
      </c>
      <c r="L35" s="488">
        <f t="shared" ref="L35" si="36">H35-K35</f>
        <v>915371.98615384614</v>
      </c>
      <c r="M35" s="489">
        <f t="shared" ref="M35" si="37">IF(L35&gt;=12500000,20%,IF(L35&gt;=8500001,15%,IF(L35&gt;=2000001,10%,IF(L35&gt;=1500001,5%,0%))))</f>
        <v>0</v>
      </c>
      <c r="N35" s="488">
        <f t="shared" si="4"/>
        <v>0</v>
      </c>
      <c r="O35" s="490">
        <f t="shared" si="5"/>
        <v>0</v>
      </c>
      <c r="P35" s="491">
        <f t="shared" si="9"/>
        <v>0</v>
      </c>
      <c r="R35" s="1212">
        <v>37637</v>
      </c>
      <c r="S35" s="1191">
        <v>44835</v>
      </c>
      <c r="T35" s="1187">
        <f>'S3'!AL35-'S3'!AE35</f>
        <v>288.03846153846155</v>
      </c>
      <c r="U35" s="1176">
        <f t="shared" si="10"/>
        <v>1170012.2307692308</v>
      </c>
      <c r="V35" s="1181">
        <f t="shared" ref="V35" si="38">IF(YEARFRAC(R35,S35)&gt;=60,"0",IF(U35&lt;400000,400000*2%,IF(U35&gt;1200000,1200000*2%,U35*2%)))</f>
        <v>23400.244615384614</v>
      </c>
      <c r="W35" s="1188">
        <f t="shared" si="11"/>
        <v>5.7607692307692302</v>
      </c>
    </row>
    <row r="36" spans="1:23" s="477" customFormat="1" ht="31.5" customHeight="1">
      <c r="A36" s="478">
        <v>30</v>
      </c>
      <c r="B36" s="572" t="s">
        <v>2060</v>
      </c>
      <c r="C36" s="966" t="s">
        <v>1524</v>
      </c>
      <c r="D36" s="1474">
        <v>44688</v>
      </c>
      <c r="E36" s="513" t="s">
        <v>260</v>
      </c>
      <c r="F36" s="494">
        <f>'S3'!AL36-'S3'!AD36-'S3'!AJ36-'S3'!AK36-'S3'!AE36-'S3'!AG36-W36</f>
        <v>372.1444651176003</v>
      </c>
      <c r="G36" s="495">
        <v>4062</v>
      </c>
      <c r="H36" s="488">
        <f t="shared" si="0"/>
        <v>1511650.8173076925</v>
      </c>
      <c r="I36" s="480"/>
      <c r="J36" s="519">
        <v>2</v>
      </c>
      <c r="K36" s="488">
        <f t="shared" si="1"/>
        <v>300000</v>
      </c>
      <c r="L36" s="488">
        <f t="shared" si="2"/>
        <v>1211650.8173076925</v>
      </c>
      <c r="M36" s="489">
        <f t="shared" si="29"/>
        <v>0</v>
      </c>
      <c r="N36" s="488">
        <f t="shared" si="4"/>
        <v>0</v>
      </c>
      <c r="O36" s="490">
        <f t="shared" si="5"/>
        <v>0</v>
      </c>
      <c r="P36" s="491">
        <f t="shared" si="9"/>
        <v>0</v>
      </c>
      <c r="R36" s="1212">
        <v>32966</v>
      </c>
      <c r="S36" s="1191">
        <v>44835</v>
      </c>
      <c r="T36" s="1187">
        <f>'S3'!AL36-'S3'!AE36</f>
        <v>398.05288461538464</v>
      </c>
      <c r="U36" s="1176">
        <f t="shared" si="10"/>
        <v>1616890.8173076925</v>
      </c>
      <c r="V36" s="1181">
        <f t="shared" si="30"/>
        <v>24000</v>
      </c>
      <c r="W36" s="1188">
        <f t="shared" si="11"/>
        <v>5.9084194977843429</v>
      </c>
    </row>
    <row r="37" spans="1:23" s="477" customFormat="1" ht="31.5" customHeight="1">
      <c r="A37" s="478">
        <v>31</v>
      </c>
      <c r="B37" s="518" t="s">
        <v>288</v>
      </c>
      <c r="C37" s="584" t="s">
        <v>289</v>
      </c>
      <c r="D37" s="1563">
        <v>41827</v>
      </c>
      <c r="E37" s="513" t="s">
        <v>260</v>
      </c>
      <c r="F37" s="494">
        <f>'S3'!AL37-'S3'!AD37-'S3'!AJ37-'S3'!AK37-'S3'!AE37-'S3'!AG37-W37</f>
        <v>375.16850357913876</v>
      </c>
      <c r="G37" s="495">
        <v>4062</v>
      </c>
      <c r="H37" s="488">
        <f t="shared" si="0"/>
        <v>1523934.4615384617</v>
      </c>
      <c r="I37" s="480"/>
      <c r="J37" s="519">
        <v>2</v>
      </c>
      <c r="K37" s="488">
        <f t="shared" si="1"/>
        <v>300000</v>
      </c>
      <c r="L37" s="488">
        <f t="shared" si="2"/>
        <v>1223934.4615384617</v>
      </c>
      <c r="M37" s="489">
        <f t="shared" si="29"/>
        <v>0</v>
      </c>
      <c r="N37" s="488">
        <f t="shared" si="4"/>
        <v>0</v>
      </c>
      <c r="O37" s="490">
        <f t="shared" si="5"/>
        <v>0</v>
      </c>
      <c r="P37" s="491">
        <f t="shared" si="9"/>
        <v>0</v>
      </c>
      <c r="R37" s="1186">
        <v>28865</v>
      </c>
      <c r="S37" s="1191">
        <v>44835</v>
      </c>
      <c r="T37" s="1187">
        <f>'S3'!AL37-'S3'!AE37</f>
        <v>401.07692307692309</v>
      </c>
      <c r="U37" s="1176">
        <f t="shared" si="10"/>
        <v>1629174.4615384615</v>
      </c>
      <c r="V37" s="1181">
        <f t="shared" si="30"/>
        <v>24000</v>
      </c>
      <c r="W37" s="1188">
        <f t="shared" si="11"/>
        <v>5.9084194977843429</v>
      </c>
    </row>
    <row r="38" spans="1:23" s="477" customFormat="1" ht="31.5" customHeight="1">
      <c r="A38" s="478">
        <v>32</v>
      </c>
      <c r="B38" s="518" t="s">
        <v>457</v>
      </c>
      <c r="C38" s="584" t="s">
        <v>458</v>
      </c>
      <c r="D38" s="1563">
        <v>41855</v>
      </c>
      <c r="E38" s="513" t="s">
        <v>260</v>
      </c>
      <c r="F38" s="494">
        <f>'S3'!AL38-'S3'!AD38-'S3'!AJ38-'S3'!AK38-'S3'!AE38-'S3'!AG38-W38</f>
        <v>335.57715742529257</v>
      </c>
      <c r="G38" s="495">
        <v>4062</v>
      </c>
      <c r="H38" s="488">
        <f t="shared" si="0"/>
        <v>1363114.4134615385</v>
      </c>
      <c r="I38" s="480"/>
      <c r="J38" s="519">
        <v>2</v>
      </c>
      <c r="K38" s="488">
        <f t="shared" si="1"/>
        <v>300000</v>
      </c>
      <c r="L38" s="488">
        <f t="shared" si="2"/>
        <v>1063114.4134615385</v>
      </c>
      <c r="M38" s="489">
        <f t="shared" si="29"/>
        <v>0</v>
      </c>
      <c r="N38" s="488">
        <f t="shared" si="4"/>
        <v>0</v>
      </c>
      <c r="O38" s="490">
        <f t="shared" si="5"/>
        <v>0</v>
      </c>
      <c r="P38" s="491">
        <f t="shared" si="9"/>
        <v>0</v>
      </c>
      <c r="R38" s="1186">
        <v>28727</v>
      </c>
      <c r="S38" s="1191">
        <v>44835</v>
      </c>
      <c r="T38" s="1187">
        <f>'S3'!AL38-'S3'!AE38</f>
        <v>361.48557692307691</v>
      </c>
      <c r="U38" s="1176">
        <f t="shared" si="10"/>
        <v>1468354.4134615385</v>
      </c>
      <c r="V38" s="1181">
        <f t="shared" si="30"/>
        <v>24000</v>
      </c>
      <c r="W38" s="1188">
        <f t="shared" si="11"/>
        <v>5.9084194977843429</v>
      </c>
    </row>
    <row r="39" spans="1:23" ht="38.25" customHeight="1">
      <c r="A39" s="1338"/>
      <c r="B39" s="1339"/>
      <c r="C39" s="1339"/>
      <c r="D39" s="1339"/>
      <c r="E39" s="1339"/>
      <c r="F39" s="1340">
        <f>SUM(F7:F38)</f>
        <v>11662.736749424501</v>
      </c>
      <c r="G39" s="1339"/>
      <c r="H39" s="1339"/>
      <c r="I39" s="1339"/>
      <c r="J39" s="1339"/>
      <c r="K39" s="1339"/>
      <c r="L39" s="2129" t="s">
        <v>251</v>
      </c>
      <c r="M39" s="2130"/>
      <c r="N39" s="2131"/>
      <c r="O39" s="496">
        <f>SUM(O7:O38)</f>
        <v>86288.846101223942</v>
      </c>
      <c r="P39" s="491">
        <f>SUM(P7:P38)</f>
        <v>21.242945864407666</v>
      </c>
      <c r="R39" s="2123" t="s">
        <v>251</v>
      </c>
      <c r="S39" s="2124"/>
      <c r="T39" s="2124"/>
      <c r="U39" s="2125"/>
      <c r="V39" s="1189">
        <f>SUM(V7:V38)</f>
        <v>767400.24461538461</v>
      </c>
      <c r="W39" s="1190">
        <f>SUM(W7:W38)</f>
        <v>188.92177366208375</v>
      </c>
    </row>
  </sheetData>
  <mergeCells count="9">
    <mergeCell ref="R39:U39"/>
    <mergeCell ref="R1:W1"/>
    <mergeCell ref="R2:W2"/>
    <mergeCell ref="R3:W3"/>
    <mergeCell ref="A1:P1"/>
    <mergeCell ref="A2:P2"/>
    <mergeCell ref="A3:P3"/>
    <mergeCell ref="A4:E4"/>
    <mergeCell ref="L39:N39"/>
  </mergeCells>
  <phoneticPr fontId="171" type="noConversion"/>
  <conditionalFormatting sqref="M7 M36:M38 M21:M34 M16:M19">
    <cfRule type="cellIs" dxfId="80" priority="49" stopIfTrue="1" operator="equal">
      <formula>0</formula>
    </cfRule>
  </conditionalFormatting>
  <conditionalFormatting sqref="M8">
    <cfRule type="cellIs" dxfId="79" priority="15" stopIfTrue="1" operator="equal">
      <formula>0</formula>
    </cfRule>
  </conditionalFormatting>
  <conditionalFormatting sqref="M9">
    <cfRule type="cellIs" dxfId="78" priority="13" stopIfTrue="1" operator="equal">
      <formula>0</formula>
    </cfRule>
  </conditionalFormatting>
  <conditionalFormatting sqref="M10">
    <cfRule type="cellIs" dxfId="77" priority="11" stopIfTrue="1" operator="equal">
      <formula>0</formula>
    </cfRule>
  </conditionalFormatting>
  <conditionalFormatting sqref="M35">
    <cfRule type="cellIs" dxfId="76" priority="9" stopIfTrue="1" operator="equal">
      <formula>0</formula>
    </cfRule>
  </conditionalFormatting>
  <conditionalFormatting sqref="M20">
    <cfRule type="cellIs" dxfId="75" priority="8" stopIfTrue="1" operator="equal">
      <formula>0</formula>
    </cfRule>
  </conditionalFormatting>
  <conditionalFormatting sqref="M11">
    <cfRule type="cellIs" dxfId="74" priority="7" stopIfTrue="1" operator="equal">
      <formula>0</formula>
    </cfRule>
  </conditionalFormatting>
  <conditionalFormatting sqref="M12">
    <cfRule type="cellIs" dxfId="73" priority="6" stopIfTrue="1" operator="equal">
      <formula>0</formula>
    </cfRule>
  </conditionalFormatting>
  <conditionalFormatting sqref="M13">
    <cfRule type="cellIs" dxfId="72" priority="4" stopIfTrue="1" operator="equal">
      <formula>0</formula>
    </cfRule>
  </conditionalFormatting>
  <conditionalFormatting sqref="M14">
    <cfRule type="cellIs" dxfId="71" priority="2" stopIfTrue="1" operator="equal">
      <formula>0</formula>
    </cfRule>
  </conditionalFormatting>
  <conditionalFormatting sqref="M15">
    <cfRule type="cellIs" dxfId="70" priority="1" stopIfTrue="1" operator="equal">
      <formula>0</formula>
    </cfRule>
  </conditionalFormatting>
  <printOptions horizontalCentered="1"/>
  <pageMargins left="0.2" right="0.19" top="0.2" bottom="0.2" header="0.3" footer="0.31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40"/>
  <sheetViews>
    <sheetView zoomScaleNormal="100" zoomScaleSheetLayoutView="100" workbookViewId="0">
      <pane xSplit="4" ySplit="7" topLeftCell="Q34" activePane="bottomRight" state="frozen"/>
      <selection pane="topRight" activeCell="E1" sqref="E1"/>
      <selection pane="bottomLeft" activeCell="A8" sqref="A8"/>
      <selection pane="bottomRight" activeCell="U37" sqref="U37"/>
    </sheetView>
  </sheetViews>
  <sheetFormatPr defaultRowHeight="14.25"/>
  <cols>
    <col min="1" max="1" width="6.25" customWidth="1"/>
    <col min="4" max="4" width="10.375" bestFit="1" customWidth="1"/>
  </cols>
  <sheetData>
    <row r="1" spans="1:37" s="839" customFormat="1" ht="19.5">
      <c r="A1" s="2134" t="s">
        <v>222</v>
      </c>
      <c r="B1" s="2134"/>
      <c r="C1" s="2134"/>
      <c r="D1" s="2134"/>
      <c r="E1" s="2134"/>
      <c r="F1" s="2134"/>
      <c r="G1" s="2134"/>
      <c r="H1" s="2134"/>
      <c r="I1" s="2134"/>
      <c r="J1" s="2134"/>
      <c r="K1" s="2134"/>
      <c r="L1" s="2134"/>
      <c r="M1" s="2134"/>
      <c r="N1" s="2134"/>
      <c r="O1" s="2134"/>
      <c r="P1" s="2134"/>
      <c r="Q1" s="2134"/>
      <c r="R1" s="2134"/>
      <c r="S1" s="2134"/>
      <c r="T1" s="2134"/>
      <c r="U1" s="844"/>
      <c r="V1" s="844"/>
    </row>
    <row r="2" spans="1:37" s="871" customFormat="1" ht="19.5">
      <c r="A2" s="2134" t="s">
        <v>221</v>
      </c>
      <c r="B2" s="2134"/>
      <c r="C2" s="2134"/>
      <c r="D2" s="2134"/>
      <c r="E2" s="2134"/>
      <c r="F2" s="2134"/>
      <c r="G2" s="2134"/>
      <c r="H2" s="2134"/>
      <c r="I2" s="2134"/>
      <c r="J2" s="2134"/>
      <c r="K2" s="2134"/>
      <c r="L2" s="2134"/>
      <c r="M2" s="2134"/>
      <c r="N2" s="2134"/>
      <c r="O2" s="2134"/>
      <c r="P2" s="2134"/>
      <c r="Q2" s="2134"/>
      <c r="R2" s="2134"/>
      <c r="S2" s="2134"/>
      <c r="T2" s="2134"/>
      <c r="U2" s="844"/>
      <c r="V2" s="844"/>
    </row>
    <row r="3" spans="1:37" s="871" customFormat="1" ht="29.25">
      <c r="A3" s="2135" t="s">
        <v>2110</v>
      </c>
      <c r="B3" s="2135"/>
      <c r="C3" s="2135"/>
      <c r="D3" s="2135"/>
      <c r="E3" s="2135"/>
      <c r="F3" s="2135"/>
      <c r="G3" s="2135"/>
      <c r="H3" s="2135"/>
      <c r="I3" s="2135"/>
      <c r="J3" s="2135"/>
      <c r="K3" s="2135"/>
      <c r="L3" s="2135"/>
      <c r="M3" s="2135"/>
      <c r="N3" s="2135"/>
      <c r="O3" s="2135"/>
      <c r="P3" s="2135"/>
      <c r="Q3" s="2135"/>
      <c r="R3" s="2135"/>
      <c r="S3" s="2135"/>
      <c r="T3" s="2135"/>
      <c r="U3" s="845"/>
      <c r="V3" s="845"/>
    </row>
    <row r="4" spans="1:37" s="871" customFormat="1" ht="29.25">
      <c r="A4" s="2135" t="s">
        <v>1841</v>
      </c>
      <c r="B4" s="2135"/>
      <c r="C4" s="2135"/>
      <c r="D4" s="2135"/>
      <c r="E4" s="2135"/>
      <c r="F4" s="2135"/>
      <c r="G4" s="2135"/>
      <c r="H4" s="2135"/>
      <c r="I4" s="2135"/>
      <c r="J4" s="2135"/>
      <c r="K4" s="2135"/>
      <c r="L4" s="2135"/>
      <c r="M4" s="2135"/>
      <c r="N4" s="2135"/>
      <c r="O4" s="2135"/>
      <c r="P4" s="2135"/>
      <c r="Q4" s="2135"/>
      <c r="R4" s="2135"/>
      <c r="S4" s="2135"/>
      <c r="T4" s="2135"/>
      <c r="U4" s="845"/>
      <c r="V4" s="845"/>
    </row>
    <row r="5" spans="1:37" s="856" customFormat="1" ht="15.75">
      <c r="A5" s="2136" t="s">
        <v>1299</v>
      </c>
      <c r="B5" s="2136"/>
      <c r="C5" s="2136"/>
      <c r="D5" s="817"/>
      <c r="E5" s="817"/>
      <c r="F5" s="817"/>
      <c r="G5" s="817"/>
      <c r="H5" s="817"/>
      <c r="I5" s="817"/>
      <c r="J5" s="817"/>
      <c r="K5" s="817"/>
      <c r="L5" s="2136" t="s">
        <v>2347</v>
      </c>
      <c r="M5" s="2136"/>
      <c r="N5" s="2136"/>
      <c r="O5" s="2136"/>
      <c r="P5" s="2136"/>
      <c r="Q5" s="2136"/>
      <c r="R5" s="2136"/>
      <c r="S5" s="888"/>
      <c r="T5" s="819"/>
      <c r="U5" s="819"/>
      <c r="V5" s="819"/>
      <c r="W5" s="855"/>
    </row>
    <row r="6" spans="1:37" s="871" customFormat="1" ht="33">
      <c r="A6" s="820" t="s">
        <v>252</v>
      </c>
      <c r="B6" s="820" t="s">
        <v>1072</v>
      </c>
      <c r="C6" s="820" t="s">
        <v>1073</v>
      </c>
      <c r="D6" s="820" t="s">
        <v>254</v>
      </c>
      <c r="E6" s="821" t="s">
        <v>227</v>
      </c>
      <c r="F6" s="2138" t="s">
        <v>1074</v>
      </c>
      <c r="G6" s="2139"/>
      <c r="H6" s="2139"/>
      <c r="I6" s="2139"/>
      <c r="J6" s="2139"/>
      <c r="K6" s="2139"/>
      <c r="L6" s="2139"/>
      <c r="M6" s="2139"/>
      <c r="N6" s="2139"/>
      <c r="O6" s="2139"/>
      <c r="P6" s="2139"/>
      <c r="Q6" s="2139"/>
      <c r="R6" s="889" t="s">
        <v>1075</v>
      </c>
      <c r="S6" s="889" t="s">
        <v>1076</v>
      </c>
      <c r="T6" s="889" t="s">
        <v>1077</v>
      </c>
      <c r="U6" s="822" t="s">
        <v>1126</v>
      </c>
      <c r="V6" s="850" t="s">
        <v>1128</v>
      </c>
      <c r="W6" s="823" t="s">
        <v>1078</v>
      </c>
      <c r="X6" s="504"/>
    </row>
    <row r="7" spans="1:37" s="839" customFormat="1" ht="24">
      <c r="A7" s="858" t="s">
        <v>41</v>
      </c>
      <c r="B7" s="858" t="s">
        <v>42</v>
      </c>
      <c r="C7" s="858" t="s">
        <v>1079</v>
      </c>
      <c r="D7" s="858" t="s">
        <v>1080</v>
      </c>
      <c r="E7" s="859" t="s">
        <v>1081</v>
      </c>
      <c r="F7" s="859" t="s">
        <v>1082</v>
      </c>
      <c r="G7" s="859" t="s">
        <v>1083</v>
      </c>
      <c r="H7" s="859" t="s">
        <v>1084</v>
      </c>
      <c r="I7" s="859" t="s">
        <v>1085</v>
      </c>
      <c r="J7" s="859" t="s">
        <v>1086</v>
      </c>
      <c r="K7" s="825" t="s">
        <v>1087</v>
      </c>
      <c r="L7" s="825" t="s">
        <v>1088</v>
      </c>
      <c r="M7" s="825" t="s">
        <v>1089</v>
      </c>
      <c r="N7" s="825" t="s">
        <v>1090</v>
      </c>
      <c r="O7" s="825" t="s">
        <v>1091</v>
      </c>
      <c r="P7" s="890" t="s">
        <v>1092</v>
      </c>
      <c r="Q7" s="891" t="s">
        <v>1093</v>
      </c>
      <c r="R7" s="826" t="s">
        <v>1094</v>
      </c>
      <c r="S7" s="827" t="s">
        <v>1095</v>
      </c>
      <c r="T7" s="827" t="s">
        <v>1096</v>
      </c>
      <c r="U7" s="852" t="s">
        <v>1125</v>
      </c>
      <c r="V7" s="854" t="s">
        <v>1127</v>
      </c>
      <c r="W7" s="861" t="s">
        <v>1097</v>
      </c>
      <c r="X7" s="893"/>
      <c r="Y7" s="1701">
        <v>1</v>
      </c>
      <c r="Z7" s="1701">
        <v>2</v>
      </c>
      <c r="AA7" s="1701">
        <v>3</v>
      </c>
      <c r="AB7" s="1701">
        <v>4</v>
      </c>
      <c r="AC7" s="1701">
        <v>5</v>
      </c>
      <c r="AD7" s="1701">
        <v>6</v>
      </c>
      <c r="AE7" s="1701">
        <v>7</v>
      </c>
      <c r="AF7" s="1701">
        <v>8</v>
      </c>
      <c r="AG7" s="1701">
        <v>9</v>
      </c>
      <c r="AH7" s="1701">
        <v>10</v>
      </c>
      <c r="AI7" s="1701">
        <v>11</v>
      </c>
      <c r="AJ7" s="1701">
        <v>12</v>
      </c>
      <c r="AK7" s="1701" t="s">
        <v>74</v>
      </c>
    </row>
    <row r="8" spans="1:37" s="871" customFormat="1" ht="41.25" customHeight="1">
      <c r="A8" s="502">
        <v>1</v>
      </c>
      <c r="B8" s="1534" t="s">
        <v>1185</v>
      </c>
      <c r="C8" s="1260" t="s">
        <v>1186</v>
      </c>
      <c r="D8" s="1502">
        <v>42845</v>
      </c>
      <c r="E8" s="880" t="s">
        <v>1098</v>
      </c>
      <c r="F8" s="1718">
        <v>302.12084520417852</v>
      </c>
      <c r="G8" s="1718">
        <v>311.04671548098827</v>
      </c>
      <c r="H8" s="1719">
        <v>272.36354176123859</v>
      </c>
      <c r="I8" s="1718">
        <v>328.46904669419831</v>
      </c>
      <c r="J8" s="1718">
        <v>421.22981721249039</v>
      </c>
      <c r="K8" s="1718">
        <v>482.72162985529314</v>
      </c>
      <c r="L8" s="1718">
        <v>458.06141119450416</v>
      </c>
      <c r="M8" s="1718">
        <v>348.31881510983447</v>
      </c>
      <c r="N8" s="1718">
        <v>274.53404773200822</v>
      </c>
      <c r="O8" s="1306">
        <v>322.23477241148595</v>
      </c>
      <c r="P8" s="1306">
        <v>213.07692307692309</v>
      </c>
      <c r="Q8" s="1306">
        <v>30</v>
      </c>
      <c r="R8" s="560">
        <f>SUM(F8:Q8)</f>
        <v>3764.1775657331436</v>
      </c>
      <c r="S8" s="560">
        <f>R8/12</f>
        <v>313.68146381109528</v>
      </c>
      <c r="T8" s="560">
        <f>S8/26</f>
        <v>12.064671685042127</v>
      </c>
      <c r="U8" s="1692">
        <f>'S4'!W7</f>
        <v>0</v>
      </c>
      <c r="V8" s="641">
        <f>T8*U8</f>
        <v>0</v>
      </c>
      <c r="W8" s="502"/>
      <c r="X8" s="505"/>
      <c r="Y8" s="1692">
        <v>0</v>
      </c>
      <c r="Z8" s="894">
        <v>2</v>
      </c>
      <c r="AA8" s="1694">
        <v>2</v>
      </c>
      <c r="AB8" s="894">
        <v>1.5</v>
      </c>
      <c r="AC8" s="894">
        <v>0</v>
      </c>
      <c r="AD8" s="894">
        <v>0</v>
      </c>
      <c r="AE8" s="1692">
        <v>1</v>
      </c>
      <c r="AF8" s="1694">
        <v>1</v>
      </c>
      <c r="AG8" s="1692">
        <v>1</v>
      </c>
      <c r="AH8" s="1694"/>
      <c r="AI8" s="1694"/>
      <c r="AJ8" s="1694"/>
      <c r="AK8" s="1699">
        <f t="shared" ref="AK8:AK19" si="0">SUM(Y8:AJ8)</f>
        <v>8.5</v>
      </c>
    </row>
    <row r="9" spans="1:37" s="871" customFormat="1" ht="41.25" customHeight="1">
      <c r="A9" s="502">
        <v>2</v>
      </c>
      <c r="B9" s="1534" t="s">
        <v>1187</v>
      </c>
      <c r="C9" s="1260" t="s">
        <v>292</v>
      </c>
      <c r="D9" s="1502">
        <v>41919</v>
      </c>
      <c r="E9" s="880" t="s">
        <v>1119</v>
      </c>
      <c r="F9" s="1718">
        <v>300.12084520417852</v>
      </c>
      <c r="G9" s="1718">
        <v>309.70916429249758</v>
      </c>
      <c r="H9" s="1719">
        <v>268.92507015114165</v>
      </c>
      <c r="I9" s="1718">
        <v>299.4533798617685</v>
      </c>
      <c r="J9" s="1718">
        <v>345.83075694993568</v>
      </c>
      <c r="K9" s="1718">
        <v>375.34463061690786</v>
      </c>
      <c r="L9" s="1718">
        <v>371.24024251610456</v>
      </c>
      <c r="M9" s="1718">
        <v>341.37966488956584</v>
      </c>
      <c r="N9" s="1718">
        <v>270.46235712808982</v>
      </c>
      <c r="O9" s="1306">
        <v>307.71201414709759</v>
      </c>
      <c r="P9" s="1306">
        <v>211.23076923076923</v>
      </c>
      <c r="Q9" s="1306">
        <v>30</v>
      </c>
      <c r="R9" s="560">
        <f t="shared" ref="R9:R37" si="1">SUM(F9:Q9)</f>
        <v>3431.408894988057</v>
      </c>
      <c r="S9" s="560">
        <f t="shared" ref="S9:S22" si="2">R9/12</f>
        <v>285.95074124900475</v>
      </c>
      <c r="T9" s="560">
        <f t="shared" ref="T9:T37" si="3">S9/26</f>
        <v>10.998105432654029</v>
      </c>
      <c r="U9" s="1692">
        <f>'S4'!W8</f>
        <v>0</v>
      </c>
      <c r="V9" s="641">
        <f t="shared" ref="V9:V37" si="4">T9*U9</f>
        <v>0</v>
      </c>
      <c r="W9" s="502"/>
      <c r="X9" s="505"/>
      <c r="Y9" s="1692">
        <v>0</v>
      </c>
      <c r="Z9" s="894">
        <v>0</v>
      </c>
      <c r="AA9" s="1694">
        <v>2</v>
      </c>
      <c r="AB9" s="894">
        <v>1.5</v>
      </c>
      <c r="AC9" s="894">
        <v>1</v>
      </c>
      <c r="AD9" s="894">
        <v>0</v>
      </c>
      <c r="AE9" s="1692">
        <v>0</v>
      </c>
      <c r="AF9" s="1694"/>
      <c r="AG9" s="1692">
        <v>1</v>
      </c>
      <c r="AH9" s="1694"/>
      <c r="AI9" s="1694"/>
      <c r="AJ9" s="1694"/>
      <c r="AK9" s="1699">
        <f t="shared" si="0"/>
        <v>5.5</v>
      </c>
    </row>
    <row r="10" spans="1:37" s="871" customFormat="1" ht="41.25" customHeight="1">
      <c r="A10" s="502">
        <v>3</v>
      </c>
      <c r="B10" s="1534" t="s">
        <v>1188</v>
      </c>
      <c r="C10" s="1260" t="s">
        <v>295</v>
      </c>
      <c r="D10" s="1502">
        <v>42543</v>
      </c>
      <c r="E10" s="880" t="s">
        <v>1119</v>
      </c>
      <c r="F10" s="1718">
        <v>276.59591642924977</v>
      </c>
      <c r="G10" s="1718">
        <v>307.70916429249758</v>
      </c>
      <c r="H10" s="1719">
        <v>266.7344305303622</v>
      </c>
      <c r="I10" s="1718">
        <v>252.345339987194</v>
      </c>
      <c r="J10" s="1718">
        <v>348.56854531607007</v>
      </c>
      <c r="K10" s="1718">
        <v>399.84463061690786</v>
      </c>
      <c r="L10" s="1718">
        <v>340.26597345108519</v>
      </c>
      <c r="M10" s="1718">
        <v>308.32958872810354</v>
      </c>
      <c r="N10" s="1718">
        <v>269.09083136342173</v>
      </c>
      <c r="O10" s="1306">
        <v>305.99681659823591</v>
      </c>
      <c r="P10" s="1306">
        <v>209.23076923076923</v>
      </c>
      <c r="Q10" s="1306">
        <v>30</v>
      </c>
      <c r="R10" s="560">
        <f t="shared" si="1"/>
        <v>3314.7120065438967</v>
      </c>
      <c r="S10" s="560">
        <f t="shared" si="2"/>
        <v>276.22600054532472</v>
      </c>
      <c r="T10" s="560">
        <f t="shared" si="3"/>
        <v>10.624076944050952</v>
      </c>
      <c r="U10" s="1692">
        <f>'S4'!W9</f>
        <v>0</v>
      </c>
      <c r="V10" s="641">
        <f t="shared" si="4"/>
        <v>0</v>
      </c>
      <c r="W10" s="502"/>
      <c r="X10" s="1792"/>
      <c r="Y10" s="1692">
        <v>0</v>
      </c>
      <c r="Z10" s="894">
        <v>0</v>
      </c>
      <c r="AA10" s="1694">
        <v>2</v>
      </c>
      <c r="AB10" s="894">
        <v>1.5</v>
      </c>
      <c r="AC10" s="894">
        <v>0</v>
      </c>
      <c r="AD10" s="894">
        <v>0</v>
      </c>
      <c r="AE10" s="1692">
        <v>3</v>
      </c>
      <c r="AF10" s="1694"/>
      <c r="AG10" s="1692">
        <v>1</v>
      </c>
      <c r="AH10" s="1694"/>
      <c r="AI10" s="1694"/>
      <c r="AJ10" s="1694"/>
      <c r="AK10" s="1699">
        <f t="shared" si="0"/>
        <v>7.5</v>
      </c>
    </row>
    <row r="11" spans="1:37" s="871" customFormat="1" ht="41.25" customHeight="1">
      <c r="A11" s="502">
        <v>4</v>
      </c>
      <c r="B11" s="1534" t="s">
        <v>1189</v>
      </c>
      <c r="C11" s="1260" t="s">
        <v>970</v>
      </c>
      <c r="D11" s="1471">
        <v>43231</v>
      </c>
      <c r="E11" s="880" t="s">
        <v>1098</v>
      </c>
      <c r="F11" s="1718">
        <v>311.57276828110162</v>
      </c>
      <c r="G11" s="1718">
        <v>321.21877967711305</v>
      </c>
      <c r="H11" s="1719">
        <v>282.06249224323994</v>
      </c>
      <c r="I11" s="1718">
        <v>341.06768582651785</v>
      </c>
      <c r="J11" s="1718">
        <v>435.27170601675556</v>
      </c>
      <c r="K11" s="1718">
        <v>515.7379569687738</v>
      </c>
      <c r="L11" s="1718">
        <v>439.7840895806757</v>
      </c>
      <c r="M11" s="1718">
        <v>364.17237005608416</v>
      </c>
      <c r="N11" s="1718">
        <v>279.00105895719491</v>
      </c>
      <c r="O11" s="1306">
        <v>333.31711536147839</v>
      </c>
      <c r="P11" s="1306">
        <v>221.30769230769232</v>
      </c>
      <c r="Q11" s="1306">
        <v>30</v>
      </c>
      <c r="R11" s="560">
        <f t="shared" si="1"/>
        <v>3874.5137152766274</v>
      </c>
      <c r="S11" s="560">
        <f>R11/12</f>
        <v>322.87614293971893</v>
      </c>
      <c r="T11" s="560">
        <f t="shared" si="3"/>
        <v>12.41831318998919</v>
      </c>
      <c r="U11" s="1692">
        <f>'S4'!W10</f>
        <v>0</v>
      </c>
      <c r="V11" s="641">
        <f t="shared" si="4"/>
        <v>0</v>
      </c>
      <c r="W11" s="502"/>
      <c r="X11" s="505"/>
      <c r="Y11" s="1692">
        <v>0</v>
      </c>
      <c r="Z11" s="894">
        <v>0</v>
      </c>
      <c r="AA11" s="1694">
        <v>2</v>
      </c>
      <c r="AB11" s="894">
        <v>1.5</v>
      </c>
      <c r="AC11" s="894">
        <v>0</v>
      </c>
      <c r="AD11" s="894">
        <v>0</v>
      </c>
      <c r="AE11" s="1692">
        <v>0.5</v>
      </c>
      <c r="AF11" s="1694">
        <v>1</v>
      </c>
      <c r="AG11" s="1692">
        <v>1</v>
      </c>
      <c r="AH11" s="1694"/>
      <c r="AI11" s="1694"/>
      <c r="AJ11" s="1694"/>
      <c r="AK11" s="1699">
        <f t="shared" si="0"/>
        <v>6</v>
      </c>
    </row>
    <row r="12" spans="1:37" s="1667" customFormat="1" ht="41.25" customHeight="1">
      <c r="A12" s="502">
        <v>5</v>
      </c>
      <c r="B12" s="572" t="s">
        <v>2118</v>
      </c>
      <c r="C12" s="731" t="s">
        <v>2119</v>
      </c>
      <c r="D12" s="530">
        <v>43407</v>
      </c>
      <c r="E12" s="880" t="s">
        <v>1098</v>
      </c>
      <c r="F12" s="1718">
        <v>264.59444877326848</v>
      </c>
      <c r="G12" s="1718">
        <v>315.79972012351232</v>
      </c>
      <c r="H12" s="1719">
        <v>276.34611373520596</v>
      </c>
      <c r="I12" s="1718">
        <v>286.62067097035032</v>
      </c>
      <c r="J12" s="1718">
        <v>429.27170601675556</v>
      </c>
      <c r="K12" s="1718">
        <v>349.07873191165271</v>
      </c>
      <c r="L12" s="1718">
        <v>411.82438897309584</v>
      </c>
      <c r="M12" s="1718">
        <v>363.77630650403347</v>
      </c>
      <c r="N12" s="1718">
        <v>277.27189729998292</v>
      </c>
      <c r="O12" s="1097" t="s">
        <v>1102</v>
      </c>
      <c r="P12" s="1097" t="s">
        <v>1102</v>
      </c>
      <c r="Q12" s="1306">
        <v>30</v>
      </c>
      <c r="R12" s="560">
        <f t="shared" si="1"/>
        <v>3004.5839843078575</v>
      </c>
      <c r="S12" s="560">
        <f>R12/10</f>
        <v>300.45839843078573</v>
      </c>
      <c r="T12" s="560">
        <f t="shared" si="3"/>
        <v>11.556092247337913</v>
      </c>
      <c r="U12" s="1692">
        <f>'S4'!W11</f>
        <v>0</v>
      </c>
      <c r="V12" s="641">
        <f t="shared" si="4"/>
        <v>0</v>
      </c>
      <c r="W12" s="502"/>
      <c r="X12" s="505"/>
      <c r="Y12" s="1692">
        <v>2</v>
      </c>
      <c r="Z12" s="894">
        <v>1</v>
      </c>
      <c r="AA12" s="1694">
        <v>2</v>
      </c>
      <c r="AB12" s="894">
        <v>1.5</v>
      </c>
      <c r="AC12" s="894">
        <v>0</v>
      </c>
      <c r="AD12" s="894">
        <v>0</v>
      </c>
      <c r="AE12" s="1692">
        <v>0</v>
      </c>
      <c r="AF12" s="1694">
        <v>1.5</v>
      </c>
      <c r="AG12" s="1692">
        <v>1</v>
      </c>
      <c r="AH12" s="1694"/>
      <c r="AI12" s="1694"/>
      <c r="AJ12" s="1694"/>
      <c r="AK12" s="1699">
        <f t="shared" si="0"/>
        <v>9</v>
      </c>
    </row>
    <row r="13" spans="1:37" s="871" customFormat="1" ht="41.25" customHeight="1">
      <c r="A13" s="502">
        <v>6</v>
      </c>
      <c r="B13" s="1534" t="s">
        <v>480</v>
      </c>
      <c r="C13" s="1537" t="s">
        <v>1190</v>
      </c>
      <c r="D13" s="1481">
        <v>43657</v>
      </c>
      <c r="E13" s="880" t="s">
        <v>1122</v>
      </c>
      <c r="F13" s="1718">
        <v>329.85152306195874</v>
      </c>
      <c r="G13" s="1718">
        <v>336.69885459717</v>
      </c>
      <c r="H13" s="1719">
        <v>299.21401947747762</v>
      </c>
      <c r="I13" s="1718">
        <v>346.6249067757646</v>
      </c>
      <c r="J13" s="1718">
        <v>458.18997524752473</v>
      </c>
      <c r="K13" s="1718">
        <v>512.13923267326732</v>
      </c>
      <c r="L13" s="1718">
        <v>495.27617307862562</v>
      </c>
      <c r="M13" s="1718">
        <v>366.23886138613864</v>
      </c>
      <c r="N13" s="1718">
        <v>301.41468098112364</v>
      </c>
      <c r="O13" s="1306">
        <v>350.35047165650093</v>
      </c>
      <c r="P13" s="1306">
        <v>247.5</v>
      </c>
      <c r="Q13" s="1306">
        <v>30</v>
      </c>
      <c r="R13" s="560">
        <f t="shared" si="1"/>
        <v>4073.4986989355516</v>
      </c>
      <c r="S13" s="560">
        <f t="shared" si="2"/>
        <v>339.45822491129599</v>
      </c>
      <c r="T13" s="560">
        <f t="shared" si="3"/>
        <v>13.056085573511384</v>
      </c>
      <c r="U13" s="1692">
        <f>'S4'!W12</f>
        <v>0.5</v>
      </c>
      <c r="V13" s="641">
        <f t="shared" si="4"/>
        <v>6.5280427867556918</v>
      </c>
      <c r="W13" s="502"/>
      <c r="X13" s="505"/>
      <c r="Y13" s="1692">
        <v>1</v>
      </c>
      <c r="Z13" s="894">
        <v>2</v>
      </c>
      <c r="AA13" s="1694">
        <v>2</v>
      </c>
      <c r="AB13" s="894">
        <v>1.5</v>
      </c>
      <c r="AC13" s="894">
        <v>0</v>
      </c>
      <c r="AD13" s="894">
        <v>0</v>
      </c>
      <c r="AE13" s="1692">
        <v>1</v>
      </c>
      <c r="AF13" s="1694"/>
      <c r="AG13" s="1692">
        <v>1</v>
      </c>
      <c r="AH13" s="1694"/>
      <c r="AI13" s="1694"/>
      <c r="AJ13" s="1694"/>
      <c r="AK13" s="1699">
        <f t="shared" si="0"/>
        <v>8.5</v>
      </c>
    </row>
    <row r="14" spans="1:37" s="871" customFormat="1" ht="41.25" customHeight="1">
      <c r="A14" s="502">
        <v>7</v>
      </c>
      <c r="B14" s="1534" t="s">
        <v>532</v>
      </c>
      <c r="C14" s="1537" t="s">
        <v>533</v>
      </c>
      <c r="D14" s="1481">
        <v>43746</v>
      </c>
      <c r="E14" s="880" t="s">
        <v>1098</v>
      </c>
      <c r="F14" s="1718">
        <v>300.12084520417852</v>
      </c>
      <c r="G14" s="1718">
        <v>306.14957264957263</v>
      </c>
      <c r="H14" s="1719">
        <v>270.02999599963437</v>
      </c>
      <c r="I14" s="1718">
        <v>319.78438083833822</v>
      </c>
      <c r="J14" s="1718">
        <v>411.10757806549879</v>
      </c>
      <c r="K14" s="1718">
        <v>444.11976389946682</v>
      </c>
      <c r="L14" s="1718">
        <v>399.29068776051531</v>
      </c>
      <c r="M14" s="1718">
        <v>335.62490861198597</v>
      </c>
      <c r="N14" s="1718">
        <v>271.03324606597289</v>
      </c>
      <c r="O14" s="1306">
        <v>320.03004912051642</v>
      </c>
      <c r="P14" s="1306">
        <v>211.07692307692309</v>
      </c>
      <c r="Q14" s="1306">
        <v>30</v>
      </c>
      <c r="R14" s="560">
        <f t="shared" si="1"/>
        <v>3618.3679512926028</v>
      </c>
      <c r="S14" s="560">
        <f t="shared" si="2"/>
        <v>301.53066260771692</v>
      </c>
      <c r="T14" s="560">
        <f t="shared" si="3"/>
        <v>11.597333177219882</v>
      </c>
      <c r="U14" s="1692">
        <f>'S4'!W13</f>
        <v>0</v>
      </c>
      <c r="V14" s="641">
        <f t="shared" si="4"/>
        <v>0</v>
      </c>
      <c r="W14" s="502"/>
      <c r="X14" s="505"/>
      <c r="Y14" s="1692">
        <v>0</v>
      </c>
      <c r="Z14" s="894">
        <v>0</v>
      </c>
      <c r="AA14" s="1694">
        <v>2</v>
      </c>
      <c r="AB14" s="894">
        <v>1.5</v>
      </c>
      <c r="AC14" s="894">
        <v>0</v>
      </c>
      <c r="AD14" s="894">
        <v>0</v>
      </c>
      <c r="AE14" s="1692">
        <v>0</v>
      </c>
      <c r="AF14" s="1694">
        <v>1</v>
      </c>
      <c r="AG14" s="1692">
        <v>1</v>
      </c>
      <c r="AH14" s="1694"/>
      <c r="AI14" s="1694"/>
      <c r="AJ14" s="1694"/>
      <c r="AK14" s="1699">
        <f t="shared" si="0"/>
        <v>5.5</v>
      </c>
    </row>
    <row r="15" spans="1:37" s="1800" customFormat="1" ht="41.25" customHeight="1">
      <c r="A15" s="502">
        <v>8</v>
      </c>
      <c r="B15" s="785" t="s">
        <v>2329</v>
      </c>
      <c r="C15" s="628" t="s">
        <v>2330</v>
      </c>
      <c r="D15" s="1477">
        <v>44480</v>
      </c>
      <c r="E15" s="1151" t="s">
        <v>260</v>
      </c>
      <c r="F15" s="1718">
        <v>285.27469135802471</v>
      </c>
      <c r="G15" s="1718">
        <v>291.30341880341877</v>
      </c>
      <c r="H15" s="1719">
        <v>268.41311193392193</v>
      </c>
      <c r="I15" s="1718">
        <v>309.57596353873799</v>
      </c>
      <c r="J15" s="1718">
        <v>330.11230769230758</v>
      </c>
      <c r="K15" s="1097" t="s">
        <v>1918</v>
      </c>
      <c r="L15" s="1097" t="s">
        <v>1918</v>
      </c>
      <c r="M15" s="1718">
        <v>93.562520944402138</v>
      </c>
      <c r="N15" s="1718">
        <v>208.53946659370723</v>
      </c>
      <c r="O15" s="1306">
        <v>316.59767643158528</v>
      </c>
      <c r="P15" s="1306">
        <v>220.67307692307693</v>
      </c>
      <c r="Q15" s="1306">
        <v>30</v>
      </c>
      <c r="R15" s="560">
        <f t="shared" si="1"/>
        <v>2354.0522342191825</v>
      </c>
      <c r="S15" s="560">
        <f>R15/10</f>
        <v>235.40522342191827</v>
      </c>
      <c r="T15" s="560">
        <f>S15/26</f>
        <v>9.054047054689164</v>
      </c>
      <c r="U15" s="1692">
        <f>'S4'!W14</f>
        <v>0</v>
      </c>
      <c r="V15" s="641">
        <f t="shared" si="4"/>
        <v>0</v>
      </c>
      <c r="W15" s="502"/>
      <c r="X15" s="505"/>
      <c r="Y15" s="1692">
        <v>0</v>
      </c>
      <c r="Z15" s="894">
        <v>0</v>
      </c>
      <c r="AA15" s="1694">
        <v>2</v>
      </c>
      <c r="AB15" s="894">
        <v>1.5</v>
      </c>
      <c r="AC15" s="894"/>
      <c r="AD15" s="894"/>
      <c r="AE15" s="1692"/>
      <c r="AF15" s="1694"/>
      <c r="AG15" s="1692">
        <v>1</v>
      </c>
      <c r="AH15" s="1694"/>
      <c r="AI15" s="1694"/>
      <c r="AJ15" s="1694"/>
      <c r="AK15" s="1699">
        <f t="shared" si="0"/>
        <v>4.5</v>
      </c>
    </row>
    <row r="16" spans="1:37" s="871" customFormat="1" ht="41.25" customHeight="1">
      <c r="A16" s="502">
        <v>9</v>
      </c>
      <c r="B16" s="1534" t="s">
        <v>1191</v>
      </c>
      <c r="C16" s="1537" t="s">
        <v>992</v>
      </c>
      <c r="D16" s="1481">
        <v>44533</v>
      </c>
      <c r="E16" s="880" t="s">
        <v>1098</v>
      </c>
      <c r="F16" s="1718">
        <v>303.57276828110162</v>
      </c>
      <c r="G16" s="1718">
        <v>313.21877967711305</v>
      </c>
      <c r="H16" s="1719">
        <v>273.49289144884028</v>
      </c>
      <c r="I16" s="1718">
        <v>332.61113803516645</v>
      </c>
      <c r="J16" s="1718">
        <v>426.27170601675556</v>
      </c>
      <c r="K16" s="1718">
        <v>506.7379569687738</v>
      </c>
      <c r="L16" s="1718">
        <v>358.04169977092727</v>
      </c>
      <c r="M16" s="1718">
        <v>351.62414318354911</v>
      </c>
      <c r="N16" s="1718">
        <v>274.44183017229977</v>
      </c>
      <c r="O16" s="1306">
        <v>323.43</v>
      </c>
      <c r="P16" s="1306">
        <v>212.30769230769232</v>
      </c>
      <c r="Q16" s="1306">
        <v>30</v>
      </c>
      <c r="R16" s="560">
        <f t="shared" si="1"/>
        <v>3705.7506058622193</v>
      </c>
      <c r="S16" s="560">
        <f t="shared" ref="S16:S19" si="5">R16/12</f>
        <v>308.8125504885183</v>
      </c>
      <c r="T16" s="560">
        <f t="shared" si="3"/>
        <v>11.877405788019935</v>
      </c>
      <c r="U16" s="1692">
        <f>'S4'!W15</f>
        <v>0</v>
      </c>
      <c r="V16" s="641">
        <f t="shared" si="4"/>
        <v>0</v>
      </c>
      <c r="W16" s="502"/>
      <c r="X16" s="505"/>
      <c r="Y16" s="1692">
        <v>0</v>
      </c>
      <c r="Z16" s="894">
        <v>0</v>
      </c>
      <c r="AA16" s="1694">
        <v>2</v>
      </c>
      <c r="AB16" s="894">
        <v>1.5</v>
      </c>
      <c r="AC16" s="894">
        <v>0</v>
      </c>
      <c r="AD16" s="894">
        <v>0</v>
      </c>
      <c r="AE16" s="1692">
        <v>2</v>
      </c>
      <c r="AF16" s="1694"/>
      <c r="AG16" s="1692">
        <v>1</v>
      </c>
      <c r="AH16" s="1694"/>
      <c r="AI16" s="1694"/>
      <c r="AJ16" s="1694"/>
      <c r="AK16" s="1699">
        <f t="shared" si="0"/>
        <v>6.5</v>
      </c>
    </row>
    <row r="17" spans="1:37" s="871" customFormat="1" ht="41.25" customHeight="1">
      <c r="A17" s="502">
        <v>10</v>
      </c>
      <c r="B17" s="1534" t="s">
        <v>1192</v>
      </c>
      <c r="C17" s="1537" t="s">
        <v>1193</v>
      </c>
      <c r="D17" s="1481">
        <v>44539</v>
      </c>
      <c r="E17" s="880" t="s">
        <v>1119</v>
      </c>
      <c r="F17" s="1718">
        <v>293.12084520417852</v>
      </c>
      <c r="G17" s="1718">
        <v>299.14957264957263</v>
      </c>
      <c r="H17" s="1719">
        <v>226.5773867793479</v>
      </c>
      <c r="I17" s="1718">
        <v>287.32075347055883</v>
      </c>
      <c r="J17" s="1718">
        <v>347.12966488956579</v>
      </c>
      <c r="K17" s="1718">
        <v>393.1207159177456</v>
      </c>
      <c r="L17" s="1718">
        <v>289.00784883847882</v>
      </c>
      <c r="M17" s="1718">
        <v>318.00896344837867</v>
      </c>
      <c r="N17" s="1718">
        <v>262.88723028844953</v>
      </c>
      <c r="O17" s="1306">
        <v>310.76</v>
      </c>
      <c r="P17" s="1306">
        <v>203.23076923076923</v>
      </c>
      <c r="Q17" s="1306">
        <v>30</v>
      </c>
      <c r="R17" s="560">
        <f t="shared" si="1"/>
        <v>3260.3137507170454</v>
      </c>
      <c r="S17" s="560">
        <f t="shared" si="5"/>
        <v>271.6928125597538</v>
      </c>
      <c r="T17" s="560">
        <f t="shared" si="3"/>
        <v>10.449723559990531</v>
      </c>
      <c r="U17" s="1692">
        <f>'S4'!W16</f>
        <v>0</v>
      </c>
      <c r="V17" s="641">
        <f t="shared" si="4"/>
        <v>0</v>
      </c>
      <c r="W17" s="502"/>
      <c r="X17" s="505"/>
      <c r="Y17" s="1692">
        <v>0</v>
      </c>
      <c r="Z17" s="894">
        <v>0</v>
      </c>
      <c r="AA17" s="1694">
        <v>2</v>
      </c>
      <c r="AB17" s="894">
        <v>1.5</v>
      </c>
      <c r="AC17" s="894">
        <v>0</v>
      </c>
      <c r="AD17" s="894">
        <v>0</v>
      </c>
      <c r="AE17" s="1692">
        <v>3</v>
      </c>
      <c r="AF17" s="1692">
        <v>3</v>
      </c>
      <c r="AG17" s="1692">
        <v>1</v>
      </c>
      <c r="AH17" s="1694"/>
      <c r="AI17" s="1694"/>
      <c r="AJ17" s="1694"/>
      <c r="AK17" s="1699">
        <f t="shared" si="0"/>
        <v>10.5</v>
      </c>
    </row>
    <row r="18" spans="1:37" s="871" customFormat="1" ht="41.25" customHeight="1">
      <c r="A18" s="502">
        <v>11</v>
      </c>
      <c r="B18" s="1534" t="s">
        <v>1194</v>
      </c>
      <c r="C18" s="1537" t="s">
        <v>994</v>
      </c>
      <c r="D18" s="1481">
        <v>44544</v>
      </c>
      <c r="E18" s="880" t="s">
        <v>1098</v>
      </c>
      <c r="F18" s="1718">
        <v>299.98433048433048</v>
      </c>
      <c r="G18" s="1718">
        <v>309.63034188034186</v>
      </c>
      <c r="H18" s="1719">
        <v>272.09847037923686</v>
      </c>
      <c r="I18" s="1718">
        <v>317.23703614287928</v>
      </c>
      <c r="J18" s="1718">
        <v>406.21677456207169</v>
      </c>
      <c r="K18" s="1718">
        <v>442.47415270373193</v>
      </c>
      <c r="L18" s="1718">
        <v>401.54547176960966</v>
      </c>
      <c r="M18" s="1718">
        <v>331.92978717643547</v>
      </c>
      <c r="N18" s="1718">
        <v>266.80777612263989</v>
      </c>
      <c r="O18" s="1306">
        <v>298.34230962582984</v>
      </c>
      <c r="P18" s="1306">
        <v>215.89309676809674</v>
      </c>
      <c r="Q18" s="1306">
        <v>30</v>
      </c>
      <c r="R18" s="560">
        <f t="shared" si="1"/>
        <v>3592.1595476152038</v>
      </c>
      <c r="S18" s="560">
        <f t="shared" si="5"/>
        <v>299.34662896793367</v>
      </c>
      <c r="T18" s="560">
        <f t="shared" si="3"/>
        <v>11.513331883382063</v>
      </c>
      <c r="U18" s="1692">
        <f>'S4'!W17</f>
        <v>0.5</v>
      </c>
      <c r="V18" s="641">
        <f t="shared" si="4"/>
        <v>5.7566659416910317</v>
      </c>
      <c r="W18" s="502"/>
      <c r="X18" s="505"/>
      <c r="Y18" s="1692">
        <v>0</v>
      </c>
      <c r="Z18" s="894">
        <v>0</v>
      </c>
      <c r="AA18" s="1694">
        <v>2</v>
      </c>
      <c r="AB18" s="894">
        <v>1.5</v>
      </c>
      <c r="AC18" s="894">
        <v>0</v>
      </c>
      <c r="AD18" s="894">
        <v>0</v>
      </c>
      <c r="AE18" s="1692">
        <v>0</v>
      </c>
      <c r="AF18" s="1692">
        <v>1</v>
      </c>
      <c r="AG18" s="1692">
        <v>1</v>
      </c>
      <c r="AH18" s="1694"/>
      <c r="AI18" s="1694"/>
      <c r="AJ18" s="1694"/>
      <c r="AK18" s="1699">
        <f t="shared" si="0"/>
        <v>5.5</v>
      </c>
    </row>
    <row r="19" spans="1:37" s="871" customFormat="1" ht="41.25" customHeight="1">
      <c r="A19" s="502">
        <v>12</v>
      </c>
      <c r="B19" s="1534" t="s">
        <v>1195</v>
      </c>
      <c r="C19" s="1260" t="s">
        <v>499</v>
      </c>
      <c r="D19" s="1502">
        <v>41334</v>
      </c>
      <c r="E19" s="880" t="s">
        <v>1098</v>
      </c>
      <c r="F19" s="1718">
        <v>311.57276828110162</v>
      </c>
      <c r="G19" s="1718">
        <v>323.98948338857389</v>
      </c>
      <c r="H19" s="1719">
        <v>269.72673844082146</v>
      </c>
      <c r="I19" s="1718">
        <v>311.22934324166363</v>
      </c>
      <c r="J19" s="1718">
        <v>357.86124764911528</v>
      </c>
      <c r="K19" s="1718">
        <v>402.90977371705378</v>
      </c>
      <c r="L19" s="1718">
        <v>374.26870973853727</v>
      </c>
      <c r="M19" s="1718">
        <v>356.77732292460018</v>
      </c>
      <c r="N19" s="1718">
        <v>281.94020155602095</v>
      </c>
      <c r="O19" s="1306">
        <v>324.19234524624017</v>
      </c>
      <c r="P19" s="1306">
        <v>204.92307692307691</v>
      </c>
      <c r="Q19" s="1306">
        <v>30</v>
      </c>
      <c r="R19" s="560">
        <f t="shared" si="1"/>
        <v>3549.3910111068053</v>
      </c>
      <c r="S19" s="560">
        <f t="shared" si="5"/>
        <v>295.78258425890044</v>
      </c>
      <c r="T19" s="560">
        <f t="shared" si="3"/>
        <v>11.376253240726941</v>
      </c>
      <c r="U19" s="1692">
        <f>'S4'!W18</f>
        <v>1</v>
      </c>
      <c r="V19" s="641">
        <f t="shared" si="4"/>
        <v>11.376253240726941</v>
      </c>
      <c r="W19" s="502"/>
      <c r="X19" s="505"/>
      <c r="Y19" s="1692">
        <v>0</v>
      </c>
      <c r="Z19" s="894">
        <v>1</v>
      </c>
      <c r="AA19" s="1694">
        <v>2</v>
      </c>
      <c r="AB19" s="894">
        <v>1.5</v>
      </c>
      <c r="AC19" s="894">
        <v>1</v>
      </c>
      <c r="AD19" s="894">
        <v>1</v>
      </c>
      <c r="AE19" s="1692">
        <v>0</v>
      </c>
      <c r="AF19" s="1694"/>
      <c r="AG19" s="1692">
        <v>1</v>
      </c>
      <c r="AH19" s="1694"/>
      <c r="AI19" s="1694"/>
      <c r="AJ19" s="1694"/>
      <c r="AK19" s="1699">
        <f t="shared" si="0"/>
        <v>7.5</v>
      </c>
    </row>
    <row r="20" spans="1:37" s="871" customFormat="1" ht="41.25" customHeight="1">
      <c r="A20" s="502">
        <v>13</v>
      </c>
      <c r="B20" s="785" t="s">
        <v>1053</v>
      </c>
      <c r="C20" s="627" t="s">
        <v>1054</v>
      </c>
      <c r="D20" s="1446">
        <v>44573</v>
      </c>
      <c r="E20" s="880" t="s">
        <v>1098</v>
      </c>
      <c r="F20" s="1718">
        <v>294.52279202279203</v>
      </c>
      <c r="G20" s="1718">
        <v>313.21877967711299</v>
      </c>
      <c r="H20" s="1719">
        <v>273.22433821890837</v>
      </c>
      <c r="I20" s="1718">
        <v>332.45232992279716</v>
      </c>
      <c r="J20" s="1718">
        <v>424.0993868007406</v>
      </c>
      <c r="K20" s="1718">
        <v>506.7379569687738</v>
      </c>
      <c r="L20" s="1718">
        <v>448.63691265630916</v>
      </c>
      <c r="M20" s="1718">
        <v>359.82164841531232</v>
      </c>
      <c r="N20" s="1718">
        <v>274.66875397887969</v>
      </c>
      <c r="O20" s="1306">
        <v>323.41779780851033</v>
      </c>
      <c r="P20" s="1306">
        <v>212.30769230769232</v>
      </c>
      <c r="Q20" s="1306">
        <v>30</v>
      </c>
      <c r="R20" s="560">
        <f t="shared" si="1"/>
        <v>3793.1083887778286</v>
      </c>
      <c r="S20" s="560">
        <f>R20/12</f>
        <v>316.0923657314857</v>
      </c>
      <c r="T20" s="560">
        <f t="shared" si="3"/>
        <v>12.157398681980219</v>
      </c>
      <c r="U20" s="1692">
        <f>'S4'!W19</f>
        <v>0</v>
      </c>
      <c r="V20" s="641">
        <f t="shared" si="4"/>
        <v>0</v>
      </c>
      <c r="W20" s="502"/>
      <c r="X20" s="505"/>
      <c r="Y20" s="1692">
        <v>0</v>
      </c>
      <c r="Z20" s="894">
        <v>0</v>
      </c>
      <c r="AA20" s="1694">
        <v>2</v>
      </c>
      <c r="AB20" s="894">
        <v>1.5</v>
      </c>
      <c r="AC20" s="894">
        <v>0.5</v>
      </c>
      <c r="AD20" s="894">
        <v>0</v>
      </c>
      <c r="AE20" s="1692">
        <v>0</v>
      </c>
      <c r="AF20" s="1692">
        <v>1</v>
      </c>
      <c r="AG20" s="1692">
        <v>1</v>
      </c>
      <c r="AH20" s="1694"/>
      <c r="AI20" s="1694"/>
      <c r="AJ20" s="1694"/>
      <c r="AK20" s="1699">
        <f t="shared" ref="AK20:AK37" si="6">SUM(Y20:AJ20)</f>
        <v>6</v>
      </c>
    </row>
    <row r="21" spans="1:37" s="871" customFormat="1" ht="41.25" customHeight="1">
      <c r="A21" s="502">
        <v>14</v>
      </c>
      <c r="B21" s="1534" t="s">
        <v>1196</v>
      </c>
      <c r="C21" s="1260" t="s">
        <v>500</v>
      </c>
      <c r="D21" s="1502">
        <v>41334</v>
      </c>
      <c r="E21" s="880" t="s">
        <v>1113</v>
      </c>
      <c r="F21" s="1718">
        <v>451.75546058879394</v>
      </c>
      <c r="G21" s="1718">
        <v>465.4957264957265</v>
      </c>
      <c r="H21" s="1719">
        <v>420.250659694413</v>
      </c>
      <c r="I21" s="1718">
        <v>494.51052043001062</v>
      </c>
      <c r="J21" s="1718">
        <v>617.65255506572544</v>
      </c>
      <c r="K21" s="1718">
        <v>717.75624779668738</v>
      </c>
      <c r="L21" s="1718">
        <v>241.57934275345934</v>
      </c>
      <c r="M21" s="1718">
        <v>523.60732146440353</v>
      </c>
      <c r="N21" s="1718">
        <v>418.17192068551418</v>
      </c>
      <c r="O21" s="1306">
        <v>523.99992284665439</v>
      </c>
      <c r="P21" s="1306">
        <v>363.59840155858484</v>
      </c>
      <c r="Q21" s="1306">
        <v>30</v>
      </c>
      <c r="R21" s="560">
        <f t="shared" si="1"/>
        <v>5268.3780793799724</v>
      </c>
      <c r="S21" s="560">
        <f t="shared" si="2"/>
        <v>439.03150661499768</v>
      </c>
      <c r="T21" s="560">
        <f t="shared" si="3"/>
        <v>16.885827177499912</v>
      </c>
      <c r="U21" s="1692">
        <f>'S4'!W20</f>
        <v>2</v>
      </c>
      <c r="V21" s="641">
        <f t="shared" si="4"/>
        <v>33.771654354999825</v>
      </c>
      <c r="W21" s="502"/>
      <c r="X21" s="505"/>
      <c r="Y21" s="1692">
        <v>0</v>
      </c>
      <c r="Z21" s="894">
        <v>0</v>
      </c>
      <c r="AA21" s="1694">
        <v>2</v>
      </c>
      <c r="AB21" s="894">
        <v>1.5</v>
      </c>
      <c r="AC21" s="894">
        <v>2</v>
      </c>
      <c r="AD21" s="894">
        <v>1</v>
      </c>
      <c r="AE21" s="1692">
        <v>2</v>
      </c>
      <c r="AF21" s="1692">
        <v>2</v>
      </c>
      <c r="AG21" s="1692">
        <v>1</v>
      </c>
      <c r="AH21" s="1694"/>
      <c r="AI21" s="1694"/>
      <c r="AJ21" s="1694"/>
      <c r="AK21" s="1699">
        <f t="shared" si="6"/>
        <v>11.5</v>
      </c>
    </row>
    <row r="22" spans="1:37" s="871" customFormat="1" ht="41.25" customHeight="1">
      <c r="A22" s="502">
        <v>15</v>
      </c>
      <c r="B22" s="1534" t="s">
        <v>1197</v>
      </c>
      <c r="C22" s="625" t="s">
        <v>808</v>
      </c>
      <c r="D22" s="1502">
        <v>42600</v>
      </c>
      <c r="E22" s="880" t="s">
        <v>1098</v>
      </c>
      <c r="F22" s="1718">
        <v>308.57276828110162</v>
      </c>
      <c r="G22" s="1718">
        <v>318.21877967711305</v>
      </c>
      <c r="H22" s="1719">
        <v>279.02032139338371</v>
      </c>
      <c r="I22" s="1718">
        <v>334.1827022953841</v>
      </c>
      <c r="J22" s="1718">
        <v>410.50634556324087</v>
      </c>
      <c r="K22" s="1718">
        <v>511.7379569687738</v>
      </c>
      <c r="L22" s="1718">
        <v>478.60847918156117</v>
      </c>
      <c r="M22" s="1718">
        <v>351.06301526881907</v>
      </c>
      <c r="N22" s="1718">
        <v>277.37279629730409</v>
      </c>
      <c r="O22" s="1306">
        <v>326.71121988195455</v>
      </c>
      <c r="P22" s="1306">
        <v>218.30769230769232</v>
      </c>
      <c r="Q22" s="1306">
        <v>30</v>
      </c>
      <c r="R22" s="560">
        <f t="shared" si="1"/>
        <v>3844.3020771163278</v>
      </c>
      <c r="S22" s="560">
        <f t="shared" si="2"/>
        <v>320.35850642636063</v>
      </c>
      <c r="T22" s="560">
        <f t="shared" si="3"/>
        <v>12.321481016398486</v>
      </c>
      <c r="U22" s="1692">
        <f>'S4'!W21</f>
        <v>0</v>
      </c>
      <c r="V22" s="641">
        <f t="shared" si="4"/>
        <v>0</v>
      </c>
      <c r="W22" s="502"/>
      <c r="X22" s="505"/>
      <c r="Y22" s="1692">
        <v>0</v>
      </c>
      <c r="Z22" s="894">
        <v>0</v>
      </c>
      <c r="AA22" s="1694">
        <v>2</v>
      </c>
      <c r="AB22" s="894">
        <v>2.5</v>
      </c>
      <c r="AC22" s="894">
        <v>2.5</v>
      </c>
      <c r="AD22" s="894">
        <v>0</v>
      </c>
      <c r="AE22" s="1692">
        <v>1</v>
      </c>
      <c r="AF22" s="1692">
        <v>1</v>
      </c>
      <c r="AG22" s="1692">
        <v>1</v>
      </c>
      <c r="AH22" s="1694"/>
      <c r="AI22" s="1694"/>
      <c r="AJ22" s="1694"/>
      <c r="AK22" s="1699">
        <f t="shared" si="6"/>
        <v>10</v>
      </c>
    </row>
    <row r="23" spans="1:37" s="964" customFormat="1" ht="41.25" customHeight="1">
      <c r="A23" s="502">
        <v>16</v>
      </c>
      <c r="B23" s="785" t="s">
        <v>1345</v>
      </c>
      <c r="C23" s="805" t="s">
        <v>1349</v>
      </c>
      <c r="D23" s="1472">
        <v>44594</v>
      </c>
      <c r="E23" s="880" t="s">
        <v>1098</v>
      </c>
      <c r="F23" s="1718">
        <v>222.01127730294397</v>
      </c>
      <c r="G23" s="1718">
        <v>238.11122981956314</v>
      </c>
      <c r="H23" s="1719">
        <v>207.19816885542539</v>
      </c>
      <c r="I23" s="1718">
        <v>243.9574715075828</v>
      </c>
      <c r="J23" s="1718">
        <v>305.65544327764331</v>
      </c>
      <c r="K23" s="1718">
        <v>367.49604912414321</v>
      </c>
      <c r="L23" s="1718">
        <v>279.89520178097769</v>
      </c>
      <c r="M23" s="1718">
        <v>326.52113480578828</v>
      </c>
      <c r="N23" s="1718">
        <v>228.36920541341721</v>
      </c>
      <c r="O23" s="1306">
        <v>259.11655341431617</v>
      </c>
      <c r="P23" s="1306">
        <v>210.43155830655829</v>
      </c>
      <c r="Q23" s="1306">
        <v>30</v>
      </c>
      <c r="R23" s="560">
        <f t="shared" si="1"/>
        <v>2918.7632936083592</v>
      </c>
      <c r="S23" s="560">
        <f t="shared" ref="S23:S25" si="7">R23/12</f>
        <v>243.23027446736327</v>
      </c>
      <c r="T23" s="560">
        <f t="shared" si="3"/>
        <v>9.3550105564370494</v>
      </c>
      <c r="U23" s="1692">
        <f>'S4'!W22</f>
        <v>0</v>
      </c>
      <c r="V23" s="641">
        <f t="shared" si="4"/>
        <v>0</v>
      </c>
      <c r="W23" s="502"/>
      <c r="X23" s="505"/>
      <c r="Y23" s="1692">
        <v>0</v>
      </c>
      <c r="Z23" s="894">
        <v>0</v>
      </c>
      <c r="AA23" s="1694">
        <v>2</v>
      </c>
      <c r="AB23" s="894">
        <v>1.5</v>
      </c>
      <c r="AC23" s="894">
        <v>0.5</v>
      </c>
      <c r="AD23" s="894">
        <v>0</v>
      </c>
      <c r="AE23" s="1692">
        <v>0</v>
      </c>
      <c r="AF23" s="1694"/>
      <c r="AG23" s="1692">
        <v>1</v>
      </c>
      <c r="AH23" s="1694"/>
      <c r="AI23" s="1694"/>
      <c r="AJ23" s="1694"/>
      <c r="AK23" s="1699">
        <f t="shared" si="6"/>
        <v>5</v>
      </c>
    </row>
    <row r="24" spans="1:37" s="964" customFormat="1" ht="41.25" customHeight="1">
      <c r="A24" s="502">
        <v>17</v>
      </c>
      <c r="B24" s="785" t="s">
        <v>1346</v>
      </c>
      <c r="C24" s="805" t="s">
        <v>1348</v>
      </c>
      <c r="D24" s="1472">
        <v>44595</v>
      </c>
      <c r="E24" s="880" t="s">
        <v>1098</v>
      </c>
      <c r="F24" s="1718">
        <v>293.56125356125358</v>
      </c>
      <c r="G24" s="1718">
        <v>307.70916429249758</v>
      </c>
      <c r="H24" s="1719">
        <v>270.50263621804419</v>
      </c>
      <c r="I24" s="1718">
        <v>312.18354132260288</v>
      </c>
      <c r="J24" s="1718">
        <v>405.54645849200301</v>
      </c>
      <c r="K24" s="1718">
        <v>453.02732292460013</v>
      </c>
      <c r="L24" s="1718">
        <v>423.17127699886316</v>
      </c>
      <c r="M24" s="1718">
        <v>353.62414318354917</v>
      </c>
      <c r="N24" s="1718">
        <v>269.14221147291994</v>
      </c>
      <c r="O24" s="1306">
        <v>316.33747843666413</v>
      </c>
      <c r="P24" s="1306">
        <v>208.07692307692309</v>
      </c>
      <c r="Q24" s="1306">
        <v>30</v>
      </c>
      <c r="R24" s="560">
        <f t="shared" si="1"/>
        <v>3642.8824099799212</v>
      </c>
      <c r="S24" s="560">
        <f t="shared" si="7"/>
        <v>303.57353416499342</v>
      </c>
      <c r="T24" s="560">
        <f t="shared" si="3"/>
        <v>11.675905160192055</v>
      </c>
      <c r="U24" s="1692">
        <f>'S4'!W23</f>
        <v>0</v>
      </c>
      <c r="V24" s="641">
        <f t="shared" si="4"/>
        <v>0</v>
      </c>
      <c r="W24" s="502"/>
      <c r="X24" s="505"/>
      <c r="Y24" s="1692">
        <v>0</v>
      </c>
      <c r="Z24" s="894">
        <v>0</v>
      </c>
      <c r="AA24" s="1694">
        <v>3</v>
      </c>
      <c r="AB24" s="894">
        <v>1.5</v>
      </c>
      <c r="AC24" s="894">
        <v>0</v>
      </c>
      <c r="AD24" s="894">
        <v>0</v>
      </c>
      <c r="AE24" s="1692">
        <v>0</v>
      </c>
      <c r="AF24" s="1694"/>
      <c r="AG24" s="1692">
        <v>1</v>
      </c>
      <c r="AH24" s="1694"/>
      <c r="AI24" s="1694"/>
      <c r="AJ24" s="1694"/>
      <c r="AK24" s="1699">
        <f t="shared" si="6"/>
        <v>5.5</v>
      </c>
    </row>
    <row r="25" spans="1:37" s="964" customFormat="1" ht="41.25" customHeight="1">
      <c r="A25" s="502">
        <v>18</v>
      </c>
      <c r="B25" s="785" t="s">
        <v>1347</v>
      </c>
      <c r="C25" s="805" t="s">
        <v>1350</v>
      </c>
      <c r="D25" s="1472">
        <v>44604</v>
      </c>
      <c r="E25" s="880" t="s">
        <v>1098</v>
      </c>
      <c r="F25" s="1718">
        <v>291.69776828110162</v>
      </c>
      <c r="G25" s="1718">
        <v>291.60731244064579</v>
      </c>
      <c r="H25" s="1719">
        <v>267.76876970775618</v>
      </c>
      <c r="I25" s="1718">
        <v>326.58987972632468</v>
      </c>
      <c r="J25" s="1718">
        <v>416.22981721249039</v>
      </c>
      <c r="K25" s="1718">
        <v>452.26523229245998</v>
      </c>
      <c r="L25" s="1718">
        <v>436.45197044334975</v>
      </c>
      <c r="M25" s="1718">
        <v>332.25742574257424</v>
      </c>
      <c r="N25" s="1718">
        <v>269.09299157728555</v>
      </c>
      <c r="O25" s="1306">
        <v>304.5438611087626</v>
      </c>
      <c r="P25" s="1306">
        <v>208.07692307692309</v>
      </c>
      <c r="Q25" s="1306">
        <v>30</v>
      </c>
      <c r="R25" s="560">
        <f t="shared" si="1"/>
        <v>3626.5819516096735</v>
      </c>
      <c r="S25" s="560">
        <f t="shared" si="7"/>
        <v>302.21516263413946</v>
      </c>
      <c r="T25" s="560">
        <f t="shared" si="3"/>
        <v>11.623660101313057</v>
      </c>
      <c r="U25" s="1692">
        <f>'S4'!W24</f>
        <v>0</v>
      </c>
      <c r="V25" s="641">
        <f t="shared" si="4"/>
        <v>0</v>
      </c>
      <c r="W25" s="502"/>
      <c r="X25" s="505"/>
      <c r="Y25" s="1692">
        <v>0</v>
      </c>
      <c r="Z25" s="894">
        <v>0</v>
      </c>
      <c r="AA25" s="1694">
        <v>2</v>
      </c>
      <c r="AB25" s="894">
        <v>1.5</v>
      </c>
      <c r="AC25" s="894">
        <v>0</v>
      </c>
      <c r="AD25" s="894">
        <v>0</v>
      </c>
      <c r="AE25" s="1692">
        <v>0</v>
      </c>
      <c r="AF25" s="1694"/>
      <c r="AG25" s="1692">
        <v>1</v>
      </c>
      <c r="AH25" s="1694"/>
      <c r="AI25" s="1694"/>
      <c r="AJ25" s="1694"/>
      <c r="AK25" s="1699">
        <f t="shared" si="6"/>
        <v>4.5</v>
      </c>
    </row>
    <row r="26" spans="1:37" s="1712" customFormat="1" ht="41.25" customHeight="1">
      <c r="A26" s="502">
        <v>19</v>
      </c>
      <c r="B26" s="1360" t="s">
        <v>2177</v>
      </c>
      <c r="C26" s="805" t="s">
        <v>2178</v>
      </c>
      <c r="D26" s="1472">
        <v>44621</v>
      </c>
      <c r="E26" s="880" t="s">
        <v>1098</v>
      </c>
      <c r="F26" s="1097" t="s">
        <v>1102</v>
      </c>
      <c r="G26" s="1718">
        <v>313.63034188034186</v>
      </c>
      <c r="H26" s="1718">
        <v>281.16471344619515</v>
      </c>
      <c r="I26" s="1718">
        <v>339.60433421168739</v>
      </c>
      <c r="J26" s="1718">
        <v>397.47572353389182</v>
      </c>
      <c r="K26" s="1718">
        <v>471.78417968265376</v>
      </c>
      <c r="L26" s="1718">
        <v>462.14690759895518</v>
      </c>
      <c r="M26" s="1718">
        <v>355.4957159177456</v>
      </c>
      <c r="N26" s="1718">
        <v>284.12660608968582</v>
      </c>
      <c r="O26" s="1306">
        <v>308.83999999999997</v>
      </c>
      <c r="P26" s="1097" t="s">
        <v>1102</v>
      </c>
      <c r="Q26" s="1097" t="s">
        <v>1102</v>
      </c>
      <c r="R26" s="560">
        <f t="shared" si="1"/>
        <v>3214.268522361157</v>
      </c>
      <c r="S26" s="560">
        <f>R26/9</f>
        <v>357.14094692901745</v>
      </c>
      <c r="T26" s="560">
        <f t="shared" ref="T26" si="8">S26/26</f>
        <v>13.736190266500671</v>
      </c>
      <c r="U26" s="1692">
        <f>'S4'!W25</f>
        <v>0.5</v>
      </c>
      <c r="V26" s="641">
        <f t="shared" si="4"/>
        <v>6.8680951332503355</v>
      </c>
      <c r="W26" s="502"/>
      <c r="X26" s="505"/>
      <c r="Y26" s="1692"/>
      <c r="Z26" s="894">
        <v>0</v>
      </c>
      <c r="AA26" s="1694">
        <v>2</v>
      </c>
      <c r="AB26" s="894">
        <v>1.5</v>
      </c>
      <c r="AC26" s="894">
        <v>0</v>
      </c>
      <c r="AD26" s="894">
        <v>1</v>
      </c>
      <c r="AE26" s="1692">
        <v>1</v>
      </c>
      <c r="AF26" s="1694"/>
      <c r="AG26" s="1692">
        <v>1.5</v>
      </c>
      <c r="AH26" s="1694"/>
      <c r="AI26" s="1694"/>
      <c r="AJ26" s="1694"/>
      <c r="AK26" s="1699">
        <f t="shared" si="6"/>
        <v>7</v>
      </c>
    </row>
    <row r="27" spans="1:37" s="1071" customFormat="1" ht="41.25" customHeight="1">
      <c r="A27" s="502">
        <v>20</v>
      </c>
      <c r="B27" s="785" t="s">
        <v>1517</v>
      </c>
      <c r="C27" s="805" t="s">
        <v>1518</v>
      </c>
      <c r="D27" s="1472">
        <v>44673</v>
      </c>
      <c r="E27" s="880" t="s">
        <v>1098</v>
      </c>
      <c r="F27" s="1718">
        <v>307.57276828110162</v>
      </c>
      <c r="G27" s="1718">
        <v>311.27096688969232</v>
      </c>
      <c r="H27" s="1719">
        <v>278.32783637565586</v>
      </c>
      <c r="I27" s="1718">
        <v>321.93589993965725</v>
      </c>
      <c r="J27" s="1718">
        <v>372.37271515613099</v>
      </c>
      <c r="K27" s="1718">
        <v>402.08282559025133</v>
      </c>
      <c r="L27" s="1718">
        <v>464.15803808260705</v>
      </c>
      <c r="M27" s="1718">
        <v>355.4957159177456</v>
      </c>
      <c r="N27" s="1718">
        <v>282.85261414244161</v>
      </c>
      <c r="O27" s="1306">
        <v>309.64212457860282</v>
      </c>
      <c r="P27" s="1306">
        <v>217.30769230769232</v>
      </c>
      <c r="Q27" s="1306">
        <v>30</v>
      </c>
      <c r="R27" s="560">
        <f t="shared" si="1"/>
        <v>3653.0191972615789</v>
      </c>
      <c r="S27" s="560">
        <f t="shared" ref="S27" si="9">R27/12</f>
        <v>304.41826643846491</v>
      </c>
      <c r="T27" s="560">
        <f t="shared" si="3"/>
        <v>11.708394863017881</v>
      </c>
      <c r="U27" s="1692">
        <f>'S4'!W26</f>
        <v>0</v>
      </c>
      <c r="V27" s="641">
        <f t="shared" si="4"/>
        <v>0</v>
      </c>
      <c r="W27" s="502"/>
      <c r="X27" s="505"/>
      <c r="Y27" s="1692">
        <v>0</v>
      </c>
      <c r="Z27" s="894">
        <v>2</v>
      </c>
      <c r="AA27" s="1694">
        <v>3</v>
      </c>
      <c r="AB27" s="894">
        <v>1.5</v>
      </c>
      <c r="AC27" s="894">
        <v>0</v>
      </c>
      <c r="AD27" s="894">
        <v>0</v>
      </c>
      <c r="AE27" s="1692">
        <v>0</v>
      </c>
      <c r="AF27" s="1694"/>
      <c r="AG27" s="1692">
        <v>2</v>
      </c>
      <c r="AH27" s="1694"/>
      <c r="AI27" s="1694"/>
      <c r="AJ27" s="1694"/>
      <c r="AK27" s="1699">
        <f t="shared" si="6"/>
        <v>8.5</v>
      </c>
    </row>
    <row r="28" spans="1:37" s="1670" customFormat="1" ht="41.25" customHeight="1">
      <c r="A28" s="502">
        <v>21</v>
      </c>
      <c r="B28" s="1381" t="s">
        <v>2133</v>
      </c>
      <c r="C28" s="805" t="s">
        <v>2134</v>
      </c>
      <c r="D28" s="1385">
        <v>45314</v>
      </c>
      <c r="E28" s="880" t="s">
        <v>1098</v>
      </c>
      <c r="F28" s="1718">
        <v>98.009064577397893</v>
      </c>
      <c r="G28" s="1718">
        <v>295.19954890788222</v>
      </c>
      <c r="H28" s="1719">
        <v>249.27725436481845</v>
      </c>
      <c r="I28" s="1718">
        <v>320.96467860009494</v>
      </c>
      <c r="J28" s="1718">
        <v>417.79093678598622</v>
      </c>
      <c r="K28" s="1718">
        <v>497.56007235338916</v>
      </c>
      <c r="L28" s="1718">
        <v>457.30039787798398</v>
      </c>
      <c r="M28" s="1718">
        <v>351.62414318354917</v>
      </c>
      <c r="N28" s="1718">
        <v>268.44232367487439</v>
      </c>
      <c r="O28" s="1097">
        <v>0</v>
      </c>
      <c r="P28" s="1097">
        <v>0</v>
      </c>
      <c r="Q28" s="1097">
        <v>0</v>
      </c>
      <c r="R28" s="560">
        <f t="shared" si="1"/>
        <v>2956.1684203259765</v>
      </c>
      <c r="S28" s="560">
        <f>R28/9</f>
        <v>328.46315781399738</v>
      </c>
      <c r="T28" s="560">
        <f t="shared" si="3"/>
        <v>12.633198377461438</v>
      </c>
      <c r="U28" s="1692">
        <f>'S4'!W27</f>
        <v>0</v>
      </c>
      <c r="V28" s="641">
        <f t="shared" si="4"/>
        <v>0</v>
      </c>
      <c r="W28" s="502"/>
      <c r="X28" s="505"/>
      <c r="Y28" s="1692">
        <v>0</v>
      </c>
      <c r="Z28" s="894">
        <v>0</v>
      </c>
      <c r="AA28" s="1694">
        <v>2</v>
      </c>
      <c r="AB28" s="894">
        <v>1.5</v>
      </c>
      <c r="AC28" s="894">
        <v>0</v>
      </c>
      <c r="AD28" s="894">
        <v>0</v>
      </c>
      <c r="AE28" s="1692">
        <v>0</v>
      </c>
      <c r="AF28" s="1694"/>
      <c r="AG28" s="1692">
        <v>1</v>
      </c>
      <c r="AH28" s="1694"/>
      <c r="AI28" s="1694"/>
      <c r="AJ28" s="1694"/>
      <c r="AK28" s="1699">
        <f t="shared" si="6"/>
        <v>4.5</v>
      </c>
    </row>
    <row r="29" spans="1:37" s="1670" customFormat="1" ht="41.25" customHeight="1">
      <c r="A29" s="502">
        <v>22</v>
      </c>
      <c r="B29" s="1381" t="s">
        <v>2138</v>
      </c>
      <c r="C29" s="805" t="s">
        <v>2139</v>
      </c>
      <c r="D29" s="1385">
        <v>45314</v>
      </c>
      <c r="E29" s="880" t="s">
        <v>1098</v>
      </c>
      <c r="F29" s="1718">
        <v>86.054449192782513</v>
      </c>
      <c r="G29" s="1718">
        <v>235.16892212725546</v>
      </c>
      <c r="H29" s="1719">
        <v>201.89320658923225</v>
      </c>
      <c r="I29" s="1718">
        <v>282.28884237914849</v>
      </c>
      <c r="J29" s="1718">
        <v>378.57806549885754</v>
      </c>
      <c r="K29" s="1718">
        <v>388.894801980198</v>
      </c>
      <c r="L29" s="1718">
        <v>380.94860742705566</v>
      </c>
      <c r="M29" s="1718">
        <v>292.17707539984769</v>
      </c>
      <c r="N29" s="1718">
        <v>264.23351111695774</v>
      </c>
      <c r="O29" s="1097">
        <v>0</v>
      </c>
      <c r="P29" s="1097">
        <v>0</v>
      </c>
      <c r="Q29" s="1097">
        <v>0</v>
      </c>
      <c r="R29" s="560">
        <f t="shared" si="1"/>
        <v>2510.2374817113355</v>
      </c>
      <c r="S29" s="560">
        <f>R29/9</f>
        <v>278.91527574570392</v>
      </c>
      <c r="T29" s="560">
        <f t="shared" si="3"/>
        <v>10.727510605603998</v>
      </c>
      <c r="U29" s="1692">
        <f>'S4'!W28</f>
        <v>0</v>
      </c>
      <c r="V29" s="641">
        <f t="shared" si="4"/>
        <v>0</v>
      </c>
      <c r="W29" s="502"/>
      <c r="X29" s="505"/>
      <c r="Y29" s="1692">
        <v>0</v>
      </c>
      <c r="Z29" s="894">
        <v>0</v>
      </c>
      <c r="AA29" s="1694">
        <v>2</v>
      </c>
      <c r="AB29" s="894">
        <v>1.5</v>
      </c>
      <c r="AC29" s="894">
        <v>0</v>
      </c>
      <c r="AD29" s="894">
        <v>0</v>
      </c>
      <c r="AE29" s="1692">
        <v>0</v>
      </c>
      <c r="AF29" s="1694"/>
      <c r="AG29" s="1692">
        <v>1.5</v>
      </c>
      <c r="AH29" s="1694"/>
      <c r="AI29" s="1694"/>
      <c r="AJ29" s="1694"/>
      <c r="AK29" s="1699">
        <f t="shared" si="6"/>
        <v>5</v>
      </c>
    </row>
    <row r="30" spans="1:37" s="1670" customFormat="1" ht="41.25" customHeight="1">
      <c r="A30" s="502">
        <v>23</v>
      </c>
      <c r="B30" s="1381" t="s">
        <v>2148</v>
      </c>
      <c r="C30" s="805" t="s">
        <v>2149</v>
      </c>
      <c r="D30" s="1385">
        <v>45316</v>
      </c>
      <c r="E30" s="880" t="s">
        <v>1098</v>
      </c>
      <c r="F30" s="1718">
        <v>73.869112060778718</v>
      </c>
      <c r="G30" s="1718">
        <v>300.19954890788222</v>
      </c>
      <c r="H30" s="1719">
        <v>253.54110234494848</v>
      </c>
      <c r="I30" s="1718">
        <v>325.6785996667009</v>
      </c>
      <c r="J30" s="1718">
        <v>439.10205635948211</v>
      </c>
      <c r="K30" s="1718">
        <v>458.2410510281797</v>
      </c>
      <c r="L30" s="1718">
        <v>409.91900341038269</v>
      </c>
      <c r="M30" s="1718">
        <v>355.35025018636748</v>
      </c>
      <c r="N30" s="1718">
        <v>273.09700938311295</v>
      </c>
      <c r="O30" s="1097">
        <v>0</v>
      </c>
      <c r="P30" s="1097">
        <v>0</v>
      </c>
      <c r="Q30" s="1097">
        <v>0</v>
      </c>
      <c r="R30" s="560">
        <f t="shared" si="1"/>
        <v>2888.9977333478355</v>
      </c>
      <c r="S30" s="560">
        <f>R30/9</f>
        <v>320.99974814975951</v>
      </c>
      <c r="T30" s="560">
        <f t="shared" si="3"/>
        <v>12.346144159606135</v>
      </c>
      <c r="U30" s="1692">
        <f>'S4'!W29</f>
        <v>0</v>
      </c>
      <c r="V30" s="641">
        <f t="shared" si="4"/>
        <v>0</v>
      </c>
      <c r="W30" s="502"/>
      <c r="X30" s="505"/>
      <c r="Y30" s="1692">
        <v>0</v>
      </c>
      <c r="Z30" s="894">
        <v>0</v>
      </c>
      <c r="AA30" s="1694">
        <v>2</v>
      </c>
      <c r="AB30" s="894">
        <v>1.5</v>
      </c>
      <c r="AC30" s="894">
        <v>0</v>
      </c>
      <c r="AD30" s="894">
        <v>0</v>
      </c>
      <c r="AE30" s="1692">
        <v>0</v>
      </c>
      <c r="AF30" s="1692">
        <v>0.5</v>
      </c>
      <c r="AG30" s="1692">
        <v>1</v>
      </c>
      <c r="AH30" s="1694"/>
      <c r="AI30" s="1694"/>
      <c r="AJ30" s="1694"/>
      <c r="AK30" s="1699">
        <f t="shared" si="6"/>
        <v>5</v>
      </c>
    </row>
    <row r="31" spans="1:37" s="1670" customFormat="1" ht="41.25" customHeight="1">
      <c r="A31" s="502">
        <v>24</v>
      </c>
      <c r="B31" s="1381" t="s">
        <v>2153</v>
      </c>
      <c r="C31" s="805" t="s">
        <v>2154</v>
      </c>
      <c r="D31" s="1385">
        <v>45316</v>
      </c>
      <c r="E31" s="880" t="s">
        <v>1098</v>
      </c>
      <c r="F31" s="1718">
        <v>70.338366571699908</v>
      </c>
      <c r="G31" s="1718">
        <v>286.50992767915841</v>
      </c>
      <c r="H31" s="1719">
        <v>247.87878054810992</v>
      </c>
      <c r="I31" s="1718">
        <v>320.23854796449626</v>
      </c>
      <c r="J31" s="1718">
        <v>410.66869763899462</v>
      </c>
      <c r="K31" s="1718">
        <v>489.71391850723523</v>
      </c>
      <c r="L31" s="1718">
        <v>463.68430276619927</v>
      </c>
      <c r="M31" s="1718">
        <v>350.40268052543416</v>
      </c>
      <c r="N31" s="1718">
        <v>268.21015600925051</v>
      </c>
      <c r="O31" s="1097">
        <v>0</v>
      </c>
      <c r="P31" s="1097">
        <v>0</v>
      </c>
      <c r="Q31" s="1097">
        <v>0</v>
      </c>
      <c r="R31" s="560">
        <f t="shared" si="1"/>
        <v>2907.6453782105787</v>
      </c>
      <c r="S31" s="560">
        <f>R31/9</f>
        <v>323.07170869006427</v>
      </c>
      <c r="T31" s="560">
        <f t="shared" si="3"/>
        <v>12.425834949617856</v>
      </c>
      <c r="U31" s="1692">
        <f>'S4'!W30</f>
        <v>0</v>
      </c>
      <c r="V31" s="641">
        <f t="shared" si="4"/>
        <v>0</v>
      </c>
      <c r="W31" s="502"/>
      <c r="X31" s="505"/>
      <c r="Y31" s="1692">
        <v>0</v>
      </c>
      <c r="Z31" s="894">
        <v>1</v>
      </c>
      <c r="AA31" s="1694">
        <v>2</v>
      </c>
      <c r="AB31" s="894">
        <v>1.5</v>
      </c>
      <c r="AC31" s="894">
        <v>0</v>
      </c>
      <c r="AD31" s="894">
        <v>0</v>
      </c>
      <c r="AE31" s="1692">
        <v>0</v>
      </c>
      <c r="AF31" s="1692">
        <v>2</v>
      </c>
      <c r="AG31" s="1692">
        <v>1</v>
      </c>
      <c r="AH31" s="1694"/>
      <c r="AI31" s="1694"/>
      <c r="AJ31" s="1694"/>
      <c r="AK31" s="1699">
        <f t="shared" si="6"/>
        <v>7.5</v>
      </c>
    </row>
    <row r="32" spans="1:37" s="1760" customFormat="1" ht="41.25" customHeight="1">
      <c r="A32" s="502">
        <v>25</v>
      </c>
      <c r="B32" s="1785" t="s">
        <v>2277</v>
      </c>
      <c r="C32" s="1796" t="s">
        <v>2280</v>
      </c>
      <c r="D32" s="1797">
        <v>45474</v>
      </c>
      <c r="E32" s="880" t="s">
        <v>1098</v>
      </c>
      <c r="F32" s="1325">
        <v>0</v>
      </c>
      <c r="G32" s="1325">
        <v>0</v>
      </c>
      <c r="H32" s="1325">
        <v>0</v>
      </c>
      <c r="I32" s="1325">
        <v>0</v>
      </c>
      <c r="J32" s="1325">
        <v>0</v>
      </c>
      <c r="K32" s="1325">
        <v>0</v>
      </c>
      <c r="L32" s="1718">
        <v>434.29078249336868</v>
      </c>
      <c r="M32" s="1718">
        <v>332.90881704026862</v>
      </c>
      <c r="N32" s="1718">
        <v>275.62096708031123</v>
      </c>
      <c r="O32" s="1325">
        <v>0</v>
      </c>
      <c r="P32" s="1325">
        <v>0</v>
      </c>
      <c r="Q32" s="1325">
        <v>0</v>
      </c>
      <c r="R32" s="560">
        <f t="shared" si="1"/>
        <v>1042.8205666139486</v>
      </c>
      <c r="S32" s="560">
        <f>R32/3</f>
        <v>347.60685553798288</v>
      </c>
      <c r="T32" s="560">
        <f t="shared" si="3"/>
        <v>13.369494443768572</v>
      </c>
      <c r="U32" s="1692">
        <f>'S4'!W31</f>
        <v>1</v>
      </c>
      <c r="V32" s="641">
        <f t="shared" si="4"/>
        <v>13.369494443768572</v>
      </c>
      <c r="W32" s="502"/>
      <c r="X32" s="505"/>
      <c r="Y32" s="1692"/>
      <c r="Z32" s="894"/>
      <c r="AA32" s="1694"/>
      <c r="AB32" s="894"/>
      <c r="AC32" s="894"/>
      <c r="AD32" s="894"/>
      <c r="AE32" s="1692">
        <v>0</v>
      </c>
      <c r="AF32" s="1692">
        <v>1.5</v>
      </c>
      <c r="AG32" s="1692">
        <v>2</v>
      </c>
      <c r="AH32" s="1694"/>
      <c r="AI32" s="1694"/>
      <c r="AJ32" s="1694"/>
      <c r="AK32" s="1699">
        <f>SUM(Y32:AJ32)</f>
        <v>3.5</v>
      </c>
    </row>
    <row r="33" spans="1:37" s="1760" customFormat="1" ht="41.25" customHeight="1">
      <c r="A33" s="502">
        <v>26</v>
      </c>
      <c r="B33" s="1785" t="s">
        <v>2278</v>
      </c>
      <c r="C33" s="1796" t="s">
        <v>2281</v>
      </c>
      <c r="D33" s="1797">
        <v>45496</v>
      </c>
      <c r="E33" s="880" t="s">
        <v>1098</v>
      </c>
      <c r="F33" s="1325">
        <v>0</v>
      </c>
      <c r="G33" s="1325">
        <v>0</v>
      </c>
      <c r="H33" s="1325">
        <v>0</v>
      </c>
      <c r="I33" s="1325">
        <v>0</v>
      </c>
      <c r="J33" s="1325">
        <v>0</v>
      </c>
      <c r="K33" s="1325">
        <v>0</v>
      </c>
      <c r="L33" s="1718">
        <v>106.57835259568017</v>
      </c>
      <c r="M33" s="1718">
        <v>340.7010662604722</v>
      </c>
      <c r="N33" s="1718">
        <v>217.99292306867994</v>
      </c>
      <c r="O33" s="1325">
        <v>0</v>
      </c>
      <c r="P33" s="1325">
        <v>0</v>
      </c>
      <c r="Q33" s="1325">
        <v>0</v>
      </c>
      <c r="R33" s="560">
        <f t="shared" si="1"/>
        <v>665.27234192483229</v>
      </c>
      <c r="S33" s="560">
        <f>R33/3</f>
        <v>221.75744730827742</v>
      </c>
      <c r="T33" s="560">
        <f t="shared" si="3"/>
        <v>8.5291325887799001</v>
      </c>
      <c r="U33" s="1692">
        <f>'S4'!W32</f>
        <v>0</v>
      </c>
      <c r="V33" s="641">
        <f t="shared" si="4"/>
        <v>0</v>
      </c>
      <c r="W33" s="502"/>
      <c r="X33" s="505"/>
      <c r="Y33" s="1692"/>
      <c r="Z33" s="894"/>
      <c r="AA33" s="1694"/>
      <c r="AB33" s="894"/>
      <c r="AC33" s="894"/>
      <c r="AD33" s="894"/>
      <c r="AE33" s="1692">
        <v>0</v>
      </c>
      <c r="AF33" s="1694"/>
      <c r="AG33" s="1692">
        <v>1.5</v>
      </c>
      <c r="AH33" s="1694"/>
      <c r="AI33" s="1694"/>
      <c r="AJ33" s="1694"/>
      <c r="AK33" s="1699">
        <f t="shared" si="6"/>
        <v>1.5</v>
      </c>
    </row>
    <row r="34" spans="1:37" s="1760" customFormat="1" ht="41.25" customHeight="1">
      <c r="A34" s="502">
        <v>27</v>
      </c>
      <c r="B34" s="1785" t="s">
        <v>2279</v>
      </c>
      <c r="C34" s="1796" t="s">
        <v>2282</v>
      </c>
      <c r="D34" s="1797">
        <v>45496</v>
      </c>
      <c r="E34" s="880" t="s">
        <v>1098</v>
      </c>
      <c r="F34" s="1325">
        <v>0</v>
      </c>
      <c r="G34" s="1325">
        <v>0</v>
      </c>
      <c r="H34" s="1325">
        <v>0</v>
      </c>
      <c r="I34" s="1325">
        <v>0</v>
      </c>
      <c r="J34" s="1325">
        <v>0</v>
      </c>
      <c r="K34" s="1325">
        <v>0</v>
      </c>
      <c r="L34" s="1718">
        <v>121.49257199696854</v>
      </c>
      <c r="M34" s="1718">
        <v>312.88928027418126</v>
      </c>
      <c r="N34" s="1718">
        <v>265.87406075388162</v>
      </c>
      <c r="O34" s="1325">
        <v>0</v>
      </c>
      <c r="P34" s="1325">
        <v>0</v>
      </c>
      <c r="Q34" s="1325">
        <v>0</v>
      </c>
      <c r="R34" s="560">
        <f t="shared" si="1"/>
        <v>700.25591302503142</v>
      </c>
      <c r="S34" s="560">
        <f>R34/3</f>
        <v>233.41863767501047</v>
      </c>
      <c r="T34" s="560">
        <f t="shared" si="3"/>
        <v>8.9776399105773255</v>
      </c>
      <c r="U34" s="1692">
        <f>'S4'!W33</f>
        <v>0</v>
      </c>
      <c r="V34" s="641">
        <f t="shared" si="4"/>
        <v>0</v>
      </c>
      <c r="W34" s="502"/>
      <c r="X34" s="505"/>
      <c r="Y34" s="1692"/>
      <c r="Z34" s="894"/>
      <c r="AA34" s="1694"/>
      <c r="AB34" s="894"/>
      <c r="AC34" s="894"/>
      <c r="AD34" s="894"/>
      <c r="AE34" s="1692">
        <v>0</v>
      </c>
      <c r="AF34" s="1694"/>
      <c r="AG34" s="1692">
        <v>1</v>
      </c>
      <c r="AH34" s="1694"/>
      <c r="AI34" s="1694"/>
      <c r="AJ34" s="1694"/>
      <c r="AK34" s="1699">
        <f t="shared" si="6"/>
        <v>1</v>
      </c>
    </row>
    <row r="35" spans="1:37" s="1849" customFormat="1" ht="41.25" customHeight="1">
      <c r="A35" s="502">
        <v>28</v>
      </c>
      <c r="B35" s="1887" t="s">
        <v>2378</v>
      </c>
      <c r="C35" s="1898" t="s">
        <v>2379</v>
      </c>
      <c r="D35" s="1902">
        <v>45573</v>
      </c>
      <c r="E35" s="880" t="s">
        <v>1098</v>
      </c>
      <c r="F35" s="1325">
        <v>0</v>
      </c>
      <c r="G35" s="1325">
        <v>0</v>
      </c>
      <c r="H35" s="1325">
        <v>0</v>
      </c>
      <c r="I35" s="1325">
        <v>0</v>
      </c>
      <c r="J35" s="1325">
        <v>0</v>
      </c>
      <c r="K35" s="1325">
        <v>0</v>
      </c>
      <c r="L35" s="1325">
        <v>0</v>
      </c>
      <c r="M35" s="1325">
        <v>0</v>
      </c>
      <c r="N35" s="1325">
        <v>0</v>
      </c>
      <c r="O35" s="1325">
        <v>0</v>
      </c>
      <c r="P35" s="1325">
        <v>0</v>
      </c>
      <c r="Q35" s="1325">
        <v>0</v>
      </c>
      <c r="R35" s="560">
        <f t="shared" si="1"/>
        <v>0</v>
      </c>
      <c r="S35" s="560">
        <f>R35/1</f>
        <v>0</v>
      </c>
      <c r="T35" s="560">
        <f t="shared" ref="T35" si="10">S35/26</f>
        <v>0</v>
      </c>
      <c r="U35" s="1692">
        <f>'S4'!W34</f>
        <v>0</v>
      </c>
      <c r="V35" s="641">
        <f t="shared" ref="V35" si="11">T35*U35</f>
        <v>0</v>
      </c>
      <c r="W35" s="502"/>
      <c r="X35" s="505"/>
      <c r="Y35" s="1692"/>
      <c r="Z35" s="894"/>
      <c r="AA35" s="1694"/>
      <c r="AB35" s="894"/>
      <c r="AC35" s="894"/>
      <c r="AD35" s="894"/>
      <c r="AE35" s="1692"/>
      <c r="AF35" s="1694"/>
      <c r="AG35" s="1692"/>
      <c r="AH35" s="1694"/>
      <c r="AI35" s="1694"/>
      <c r="AJ35" s="1694"/>
      <c r="AK35" s="1699"/>
    </row>
    <row r="36" spans="1:37" s="871" customFormat="1" ht="41.25" customHeight="1">
      <c r="A36" s="502">
        <v>29</v>
      </c>
      <c r="B36" s="1520" t="s">
        <v>1198</v>
      </c>
      <c r="C36" s="1488" t="s">
        <v>1199</v>
      </c>
      <c r="D36" s="1502">
        <v>42597</v>
      </c>
      <c r="E36" s="880" t="s">
        <v>1200</v>
      </c>
      <c r="F36" s="1718">
        <v>295.47281576448239</v>
      </c>
      <c r="G36" s="1718">
        <v>323.21877967711305</v>
      </c>
      <c r="H36" s="1719">
        <v>290.46531486210131</v>
      </c>
      <c r="I36" s="1718">
        <v>314.03920391850448</v>
      </c>
      <c r="J36" s="1718">
        <v>418.32187738004563</v>
      </c>
      <c r="K36" s="1718">
        <v>487.52361005331301</v>
      </c>
      <c r="L36" s="1718">
        <v>444.87360763231271</v>
      </c>
      <c r="M36" s="1718">
        <v>366.95725437928405</v>
      </c>
      <c r="N36" s="1718">
        <v>280.8576894275767</v>
      </c>
      <c r="O36" s="1306">
        <v>336.49279816910399</v>
      </c>
      <c r="P36" s="1306">
        <v>223.30769230769232</v>
      </c>
      <c r="Q36" s="1306">
        <v>30</v>
      </c>
      <c r="R36" s="560">
        <f t="shared" si="1"/>
        <v>3811.5306435715297</v>
      </c>
      <c r="S36" s="560">
        <f>R36/12</f>
        <v>317.62755363096079</v>
      </c>
      <c r="T36" s="560">
        <f t="shared" si="3"/>
        <v>12.216444370421568</v>
      </c>
      <c r="U36" s="1692">
        <f>'S4'!W35</f>
        <v>0.5</v>
      </c>
      <c r="V36" s="641">
        <f t="shared" si="4"/>
        <v>6.1082221852107841</v>
      </c>
      <c r="W36" s="502"/>
      <c r="X36" s="504"/>
      <c r="Y36" s="1692">
        <v>0</v>
      </c>
      <c r="Z36" s="894">
        <v>0</v>
      </c>
      <c r="AA36" s="1694">
        <v>4</v>
      </c>
      <c r="AB36" s="894">
        <v>1.5</v>
      </c>
      <c r="AC36" s="894">
        <v>0</v>
      </c>
      <c r="AD36" s="894">
        <v>0</v>
      </c>
      <c r="AE36" s="1692">
        <v>1</v>
      </c>
      <c r="AF36" s="1694"/>
      <c r="AG36" s="1692">
        <v>1</v>
      </c>
      <c r="AH36" s="1694"/>
      <c r="AI36" s="1694"/>
      <c r="AJ36" s="1694"/>
      <c r="AK36" s="1699">
        <f t="shared" si="6"/>
        <v>7.5</v>
      </c>
    </row>
    <row r="37" spans="1:37" s="871" customFormat="1" ht="41.25" customHeight="1">
      <c r="A37" s="502">
        <v>30</v>
      </c>
      <c r="B37" s="1534" t="s">
        <v>1201</v>
      </c>
      <c r="C37" s="1537" t="s">
        <v>483</v>
      </c>
      <c r="D37" s="1481">
        <v>41850</v>
      </c>
      <c r="E37" s="880" t="s">
        <v>1098</v>
      </c>
      <c r="F37" s="1718">
        <v>279.19586894586894</v>
      </c>
      <c r="G37" s="1718">
        <v>314.36434745094658</v>
      </c>
      <c r="H37" s="1719">
        <v>282.09518743292278</v>
      </c>
      <c r="I37" s="1718">
        <v>312.66541256262366</v>
      </c>
      <c r="J37" s="1718">
        <v>365.06235719725822</v>
      </c>
      <c r="K37" s="1718">
        <v>419.40917745620715</v>
      </c>
      <c r="L37" s="1718">
        <v>383.93292913982566</v>
      </c>
      <c r="M37" s="1718">
        <v>353.18735719725822</v>
      </c>
      <c r="N37" s="1718">
        <v>285.37290572411996</v>
      </c>
      <c r="O37" s="1306">
        <v>322.92321866896316</v>
      </c>
      <c r="P37" s="1306">
        <v>220.30769230769232</v>
      </c>
      <c r="Q37" s="1306">
        <v>30</v>
      </c>
      <c r="R37" s="560">
        <f t="shared" si="1"/>
        <v>3568.5164540836868</v>
      </c>
      <c r="S37" s="560">
        <f>R37/12</f>
        <v>297.37637117364056</v>
      </c>
      <c r="T37" s="560">
        <f t="shared" si="3"/>
        <v>11.437552737447714</v>
      </c>
      <c r="U37" s="1692">
        <f>'S4'!W36</f>
        <v>0</v>
      </c>
      <c r="V37" s="641">
        <f t="shared" si="4"/>
        <v>0</v>
      </c>
      <c r="W37" s="502"/>
      <c r="X37" s="505"/>
      <c r="Y37" s="1692">
        <v>0</v>
      </c>
      <c r="Z37" s="894">
        <v>0.5</v>
      </c>
      <c r="AA37" s="1694">
        <v>3</v>
      </c>
      <c r="AB37" s="894">
        <v>2.5</v>
      </c>
      <c r="AC37" s="894">
        <v>0</v>
      </c>
      <c r="AD37" s="894">
        <v>0</v>
      </c>
      <c r="AE37" s="1692">
        <v>0</v>
      </c>
      <c r="AF37" s="1694"/>
      <c r="AG37" s="1692">
        <v>2</v>
      </c>
      <c r="AH37" s="1694"/>
      <c r="AI37" s="1694"/>
      <c r="AJ37" s="1694"/>
      <c r="AK37" s="1699">
        <f t="shared" si="6"/>
        <v>8</v>
      </c>
    </row>
    <row r="38" spans="1:37" s="871" customFormat="1" ht="38.25" customHeight="1">
      <c r="A38" s="2160" t="s">
        <v>214</v>
      </c>
      <c r="B38" s="2152"/>
      <c r="C38" s="2152"/>
      <c r="D38" s="2152"/>
      <c r="E38" s="2152"/>
      <c r="F38" s="2152"/>
      <c r="G38" s="2152"/>
      <c r="H38" s="2152"/>
      <c r="I38" s="2152"/>
      <c r="J38" s="2152"/>
      <c r="K38" s="2152"/>
      <c r="L38" s="2152"/>
      <c r="M38" s="2152"/>
      <c r="N38" s="2152"/>
      <c r="O38" s="2152"/>
      <c r="P38" s="2152"/>
      <c r="Q38" s="2152"/>
      <c r="R38" s="1119"/>
      <c r="S38" s="886"/>
      <c r="T38" s="886"/>
      <c r="U38" s="886"/>
      <c r="V38" s="946">
        <f>SUM(V8:V37)</f>
        <v>83.778428086403181</v>
      </c>
      <c r="W38" s="504"/>
      <c r="X38" s="842"/>
    </row>
    <row r="39" spans="1:37" s="871" customFormat="1" ht="15.75">
      <c r="A39" s="842"/>
      <c r="B39" s="842"/>
      <c r="C39" s="842"/>
      <c r="D39" s="567"/>
      <c r="E39" s="842"/>
      <c r="F39" s="842"/>
      <c r="G39" s="842"/>
      <c r="H39" s="842"/>
      <c r="I39" s="842"/>
      <c r="J39" s="842"/>
      <c r="K39" s="842"/>
      <c r="L39" s="842"/>
      <c r="M39" s="842"/>
      <c r="N39" s="842"/>
      <c r="O39" s="842"/>
      <c r="P39" s="842"/>
      <c r="Q39" s="842"/>
      <c r="R39" s="870"/>
      <c r="S39" s="870"/>
      <c r="T39" s="870"/>
      <c r="U39" s="870"/>
      <c r="V39" s="896"/>
      <c r="W39" s="842"/>
      <c r="X39" s="842"/>
    </row>
    <row r="40" spans="1:37" s="871" customFormat="1" ht="15.75">
      <c r="A40" s="2132" t="s">
        <v>1155</v>
      </c>
      <c r="B40" s="2132"/>
      <c r="C40" s="2132"/>
      <c r="D40" s="872"/>
      <c r="H40" s="2132" t="s">
        <v>1156</v>
      </c>
      <c r="I40" s="2132"/>
      <c r="J40" s="2132"/>
      <c r="K40" s="2132"/>
      <c r="R40" s="2133" t="s">
        <v>1157</v>
      </c>
      <c r="S40" s="2133"/>
      <c r="T40" s="2133"/>
      <c r="U40" s="873"/>
      <c r="V40" s="898"/>
      <c r="X40" s="843"/>
    </row>
  </sheetData>
  <mergeCells count="11">
    <mergeCell ref="A1:T1"/>
    <mergeCell ref="A2:T2"/>
    <mergeCell ref="A3:T3"/>
    <mergeCell ref="A4:T4"/>
    <mergeCell ref="A5:C5"/>
    <mergeCell ref="L5:R5"/>
    <mergeCell ref="F6:Q6"/>
    <mergeCell ref="A38:Q38"/>
    <mergeCell ref="A40:C40"/>
    <mergeCell ref="H40:K40"/>
    <mergeCell ref="R40:T40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BL53"/>
  <sheetViews>
    <sheetView view="pageBreakPreview" zoomScale="80" zoomScaleNormal="100" zoomScaleSheetLayoutView="80" workbookViewId="0">
      <pane xSplit="7" ySplit="5" topLeftCell="H31" activePane="bottomRight" state="frozen"/>
      <selection pane="topRight" activeCell="H1" sqref="H1"/>
      <selection pane="bottomLeft" activeCell="A6" sqref="A6"/>
      <selection pane="bottomRight" activeCell="H34" sqref="H34"/>
    </sheetView>
  </sheetViews>
  <sheetFormatPr defaultRowHeight="15.75"/>
  <cols>
    <col min="1" max="1" width="5.25" style="544" customWidth="1"/>
    <col min="2" max="2" width="11.125" style="544" customWidth="1"/>
    <col min="3" max="3" width="11.625" style="755" customWidth="1"/>
    <col min="4" max="4" width="11.5" style="555" customWidth="1"/>
    <col min="5" max="5" width="7.25" style="544" customWidth="1"/>
    <col min="6" max="6" width="8.375" style="556" customWidth="1"/>
    <col min="7" max="7" width="6.375" style="544" customWidth="1"/>
    <col min="8" max="8" width="5" style="544" customWidth="1"/>
    <col min="9" max="9" width="8.125" style="544" customWidth="1"/>
    <col min="10" max="10" width="8.625" style="544" customWidth="1"/>
    <col min="11" max="11" width="5.625" style="544" customWidth="1"/>
    <col min="12" max="12" width="5.5" style="544" customWidth="1"/>
    <col min="13" max="13" width="8.125" style="544" customWidth="1"/>
    <col min="14" max="14" width="5.625" style="544" customWidth="1"/>
    <col min="15" max="15" width="6.125" style="544" customWidth="1"/>
    <col min="16" max="16" width="8.125" style="544" customWidth="1"/>
    <col min="17" max="17" width="5.125" style="544" customWidth="1"/>
    <col min="18" max="18" width="5.625" style="544" customWidth="1"/>
    <col min="19" max="19" width="7.75" style="544" customWidth="1"/>
    <col min="20" max="20" width="5.125" style="544" customWidth="1"/>
    <col min="21" max="21" width="5.75" style="544" customWidth="1"/>
    <col min="22" max="22" width="7.5" style="544" customWidth="1"/>
    <col min="23" max="23" width="6.125" style="544" customWidth="1"/>
    <col min="24" max="24" width="8.75" style="544" customWidth="1"/>
    <col min="25" max="25" width="5" style="544" customWidth="1"/>
    <col min="26" max="26" width="6.625" style="544" customWidth="1"/>
    <col min="27" max="27" width="7.125" style="544" customWidth="1"/>
    <col min="28" max="28" width="5.25" style="544" customWidth="1"/>
    <col min="29" max="29" width="5.75" style="544" customWidth="1"/>
    <col min="30" max="30" width="9" style="544" customWidth="1"/>
    <col min="31" max="31" width="7.5" style="544" customWidth="1"/>
    <col min="32" max="33" width="6.625" style="544" customWidth="1"/>
    <col min="34" max="35" width="7.875" style="544" customWidth="1"/>
    <col min="36" max="36" width="10.125" style="544" customWidth="1"/>
    <col min="37" max="37" width="9.625" style="544" customWidth="1"/>
    <col min="38" max="38" width="11.625" style="544" customWidth="1"/>
    <col min="39" max="39" width="8.625" style="544" customWidth="1"/>
    <col min="40" max="40" width="10.25" style="544" customWidth="1"/>
    <col min="41" max="41" width="7.375" style="544" customWidth="1"/>
    <col min="42" max="42" width="10" style="544" customWidth="1"/>
    <col min="43" max="43" width="11" style="544" customWidth="1"/>
    <col min="44" max="44" width="15.625" style="544" customWidth="1"/>
    <col min="45" max="45" width="10" style="544" customWidth="1"/>
    <col min="46" max="46" width="20.875" style="544" customWidth="1"/>
    <col min="47" max="47" width="15.25" style="544" customWidth="1"/>
    <col min="48" max="48" width="10.5" style="544" hidden="1" customWidth="1"/>
    <col min="49" max="50" width="9" style="544"/>
    <col min="51" max="53" width="8.875" style="544" customWidth="1"/>
    <col min="54" max="54" width="8.75" style="544" customWidth="1"/>
    <col min="55" max="57" width="9" style="544"/>
    <col min="58" max="58" width="11.75" style="544" customWidth="1"/>
    <col min="59" max="59" width="9" style="544"/>
    <col min="60" max="60" width="17.5" style="544" customWidth="1"/>
    <col min="61" max="61" width="9" style="544"/>
    <col min="62" max="62" width="13.875" style="544" customWidth="1"/>
    <col min="63" max="63" width="16.375" style="544" customWidth="1"/>
    <col min="64" max="64" width="15.375" style="544" customWidth="1"/>
    <col min="65" max="16384" width="9" style="544"/>
  </cols>
  <sheetData>
    <row r="1" spans="1:64" s="541" customFormat="1" ht="29.25" customHeight="1">
      <c r="A1" s="2110" t="s">
        <v>222</v>
      </c>
      <c r="B1" s="2110"/>
      <c r="C1" s="2110"/>
      <c r="D1" s="2110"/>
      <c r="E1" s="2110"/>
      <c r="F1" s="2110"/>
      <c r="G1" s="2110"/>
      <c r="H1" s="2110"/>
      <c r="I1" s="2110"/>
      <c r="J1" s="2110"/>
      <c r="K1" s="2110"/>
      <c r="L1" s="2110"/>
      <c r="M1" s="2110"/>
      <c r="N1" s="2110"/>
      <c r="O1" s="2110"/>
      <c r="P1" s="2110"/>
      <c r="Q1" s="2110"/>
      <c r="R1" s="2110"/>
      <c r="S1" s="2110"/>
      <c r="T1" s="2110"/>
      <c r="U1" s="2110"/>
      <c r="V1" s="2110"/>
      <c r="W1" s="2110"/>
      <c r="X1" s="2110"/>
      <c r="Y1" s="2110"/>
      <c r="Z1" s="2110"/>
      <c r="AA1" s="2110"/>
      <c r="AB1" s="2110"/>
      <c r="AC1" s="2110"/>
      <c r="AD1" s="2110"/>
      <c r="AE1" s="2110"/>
      <c r="AF1" s="2110"/>
      <c r="AG1" s="2110"/>
      <c r="AH1" s="2110"/>
      <c r="AI1" s="2110"/>
      <c r="AJ1" s="2110"/>
      <c r="AK1" s="2110"/>
      <c r="AL1" s="2110"/>
      <c r="AM1" s="2110"/>
      <c r="AN1" s="2110"/>
      <c r="AO1" s="2110"/>
      <c r="AP1" s="2110"/>
      <c r="AQ1" s="2110"/>
      <c r="AR1" s="2110"/>
      <c r="AS1" s="2110"/>
      <c r="AT1" s="2110"/>
      <c r="AU1" s="751"/>
    </row>
    <row r="2" spans="1:64" s="541" customFormat="1" ht="20.25" customHeight="1">
      <c r="A2" s="2110" t="s">
        <v>221</v>
      </c>
      <c r="B2" s="2110"/>
      <c r="C2" s="2110"/>
      <c r="D2" s="2110"/>
      <c r="E2" s="2110"/>
      <c r="F2" s="2110"/>
      <c r="G2" s="2110"/>
      <c r="H2" s="2110"/>
      <c r="I2" s="2110"/>
      <c r="J2" s="2110"/>
      <c r="K2" s="2110"/>
      <c r="L2" s="2110"/>
      <c r="M2" s="2110"/>
      <c r="N2" s="2110"/>
      <c r="O2" s="2110"/>
      <c r="P2" s="2110"/>
      <c r="Q2" s="2110"/>
      <c r="R2" s="2110"/>
      <c r="S2" s="2110"/>
      <c r="T2" s="2110"/>
      <c r="U2" s="2110"/>
      <c r="V2" s="2110"/>
      <c r="W2" s="2110"/>
      <c r="X2" s="2110"/>
      <c r="Y2" s="2110"/>
      <c r="Z2" s="2110"/>
      <c r="AA2" s="2110"/>
      <c r="AB2" s="2110"/>
      <c r="AC2" s="2110"/>
      <c r="AD2" s="2110"/>
      <c r="AE2" s="2110"/>
      <c r="AF2" s="2110"/>
      <c r="AG2" s="2110"/>
      <c r="AH2" s="2110"/>
      <c r="AI2" s="2110"/>
      <c r="AJ2" s="2110"/>
      <c r="AK2" s="2110"/>
      <c r="AL2" s="2110"/>
      <c r="AM2" s="2110"/>
      <c r="AN2" s="2110"/>
      <c r="AO2" s="2110"/>
      <c r="AP2" s="2110"/>
      <c r="AQ2" s="2110"/>
      <c r="AR2" s="2110"/>
      <c r="AS2" s="2110"/>
      <c r="AT2" s="2110"/>
      <c r="AU2" s="751"/>
    </row>
    <row r="3" spans="1:64" s="541" customFormat="1" ht="19.5" customHeight="1">
      <c r="A3" s="2111" t="s">
        <v>2342</v>
      </c>
      <c r="B3" s="2111"/>
      <c r="C3" s="2111"/>
      <c r="D3" s="2111"/>
      <c r="E3" s="2111"/>
      <c r="F3" s="2111"/>
      <c r="G3" s="2111"/>
      <c r="H3" s="2111"/>
      <c r="I3" s="2111"/>
      <c r="J3" s="2111"/>
      <c r="K3" s="2111"/>
      <c r="L3" s="2111"/>
      <c r="M3" s="2111"/>
      <c r="N3" s="2111"/>
      <c r="O3" s="2111"/>
      <c r="P3" s="2111"/>
      <c r="Q3" s="2111"/>
      <c r="R3" s="2111"/>
      <c r="S3" s="2111"/>
      <c r="T3" s="2111"/>
      <c r="U3" s="2111"/>
      <c r="V3" s="2111"/>
      <c r="W3" s="2111"/>
      <c r="X3" s="2111"/>
      <c r="Y3" s="2111"/>
      <c r="Z3" s="2111"/>
      <c r="AA3" s="2111"/>
      <c r="AB3" s="2111"/>
      <c r="AC3" s="2111"/>
      <c r="AD3" s="2111"/>
      <c r="AE3" s="2111"/>
      <c r="AF3" s="2111"/>
      <c r="AG3" s="2111"/>
      <c r="AH3" s="2111"/>
      <c r="AI3" s="2111"/>
      <c r="AJ3" s="2111"/>
      <c r="AK3" s="2111"/>
      <c r="AL3" s="2111"/>
      <c r="AM3" s="2111"/>
      <c r="AN3" s="2111"/>
      <c r="AO3" s="2111"/>
      <c r="AP3" s="2111"/>
      <c r="AQ3" s="2111"/>
      <c r="AR3" s="2111"/>
      <c r="AS3" s="2111"/>
      <c r="AT3" s="2111"/>
      <c r="AU3" s="752"/>
    </row>
    <row r="4" spans="1:64" s="541" customFormat="1" ht="20.25" customHeight="1">
      <c r="A4" s="566" t="s">
        <v>290</v>
      </c>
      <c r="B4" s="566"/>
      <c r="C4" s="2091" t="s">
        <v>2341</v>
      </c>
      <c r="D4" s="2092"/>
      <c r="E4" s="2092"/>
      <c r="F4" s="2092"/>
      <c r="G4" s="566"/>
      <c r="H4" s="566"/>
      <c r="I4" s="566"/>
      <c r="J4" s="566"/>
      <c r="K4" s="566"/>
      <c r="L4" s="566"/>
      <c r="M4" s="566"/>
      <c r="N4" s="566"/>
      <c r="O4" s="566"/>
      <c r="P4" s="566"/>
      <c r="Q4" s="566"/>
      <c r="R4" s="566"/>
      <c r="S4" s="566"/>
      <c r="T4" s="566"/>
      <c r="U4" s="566"/>
      <c r="V4" s="566"/>
      <c r="W4" s="566"/>
      <c r="X4" s="566"/>
      <c r="Y4" s="566"/>
      <c r="Z4" s="566"/>
      <c r="AA4" s="566"/>
      <c r="AB4" s="566"/>
      <c r="AC4" s="566"/>
      <c r="AD4" s="566"/>
      <c r="AE4" s="566"/>
      <c r="AF4" s="566"/>
      <c r="AG4" s="566"/>
      <c r="AH4" s="566"/>
      <c r="AI4" s="566"/>
      <c r="AJ4" s="566"/>
      <c r="AK4" s="566"/>
      <c r="AL4" s="566"/>
      <c r="AM4" s="566"/>
      <c r="AN4" s="566"/>
      <c r="AO4" s="566"/>
      <c r="AP4" s="566"/>
      <c r="AQ4" s="566"/>
      <c r="AR4" s="566"/>
      <c r="AS4" s="566"/>
      <c r="AT4" s="566"/>
      <c r="AU4" s="542"/>
      <c r="AW4" s="2161" t="s">
        <v>472</v>
      </c>
      <c r="AX4" s="2161"/>
      <c r="AY4" s="2161"/>
      <c r="AZ4" s="2161"/>
      <c r="BA4" s="2161"/>
      <c r="BB4" s="2161"/>
      <c r="BC4" s="2161"/>
      <c r="BD4" s="2161"/>
      <c r="BE4" s="2161"/>
      <c r="BF4" s="2161"/>
    </row>
    <row r="5" spans="1:64" ht="69.95" customHeight="1">
      <c r="A5" s="722" t="s">
        <v>252</v>
      </c>
      <c r="B5" s="722" t="s">
        <v>253</v>
      </c>
      <c r="C5" s="722" t="s">
        <v>911</v>
      </c>
      <c r="D5" s="722" t="s">
        <v>254</v>
      </c>
      <c r="E5" s="643" t="s">
        <v>227</v>
      </c>
      <c r="F5" s="724" t="s">
        <v>255</v>
      </c>
      <c r="G5" s="643" t="s">
        <v>256</v>
      </c>
      <c r="H5" s="2120" t="s">
        <v>1748</v>
      </c>
      <c r="I5" s="2094"/>
      <c r="J5" s="2095"/>
      <c r="K5" s="2120" t="s">
        <v>1744</v>
      </c>
      <c r="L5" s="2094"/>
      <c r="M5" s="2095"/>
      <c r="N5" s="2120" t="s">
        <v>1689</v>
      </c>
      <c r="O5" s="2094"/>
      <c r="P5" s="2095"/>
      <c r="Q5" s="2120" t="s">
        <v>1776</v>
      </c>
      <c r="R5" s="2094"/>
      <c r="S5" s="2095"/>
      <c r="T5" s="2117" t="s">
        <v>1647</v>
      </c>
      <c r="U5" s="2118"/>
      <c r="V5" s="2119"/>
      <c r="W5" s="2102" t="s">
        <v>1674</v>
      </c>
      <c r="X5" s="2103"/>
      <c r="Y5" s="2093" t="s">
        <v>1675</v>
      </c>
      <c r="Z5" s="2094"/>
      <c r="AA5" s="2095"/>
      <c r="AB5" s="2096" t="s">
        <v>1699</v>
      </c>
      <c r="AC5" s="1126" t="s">
        <v>258</v>
      </c>
      <c r="AD5" s="2098" t="s">
        <v>220</v>
      </c>
      <c r="AE5" s="1133" t="s">
        <v>1835</v>
      </c>
      <c r="AF5" s="2100" t="s">
        <v>1840</v>
      </c>
      <c r="AG5" s="1268" t="s">
        <v>1832</v>
      </c>
      <c r="AH5" s="2080" t="s">
        <v>1666</v>
      </c>
      <c r="AI5" s="2080" t="s">
        <v>1665</v>
      </c>
      <c r="AJ5" s="2076" t="s">
        <v>1653</v>
      </c>
      <c r="AK5" s="2114" t="s">
        <v>1700</v>
      </c>
      <c r="AL5" s="2148" t="s">
        <v>1701</v>
      </c>
      <c r="AM5" s="2084" t="s">
        <v>1668</v>
      </c>
      <c r="AN5" s="2121" t="s">
        <v>1719</v>
      </c>
      <c r="AO5" s="2116" t="s">
        <v>1713</v>
      </c>
      <c r="AP5" s="2089" t="s">
        <v>1805</v>
      </c>
      <c r="AQ5" s="2146" t="s">
        <v>1690</v>
      </c>
      <c r="AR5" s="2146"/>
      <c r="AS5" s="2147"/>
      <c r="AT5" s="2088" t="s">
        <v>1672</v>
      </c>
      <c r="AU5" s="543"/>
      <c r="AV5" s="501"/>
      <c r="AW5" s="2081" t="s">
        <v>219</v>
      </c>
      <c r="AX5" s="2082"/>
      <c r="AY5" s="2083"/>
      <c r="AZ5" s="1125"/>
      <c r="BA5" s="1125"/>
      <c r="BB5" s="2086"/>
      <c r="BC5" s="2086"/>
      <c r="BD5" s="2086"/>
      <c r="BE5" s="2086"/>
      <c r="BF5" s="2087"/>
      <c r="BH5" s="690" t="s">
        <v>789</v>
      </c>
      <c r="BI5" s="2156" t="s">
        <v>568</v>
      </c>
      <c r="BJ5" s="2156" t="s">
        <v>569</v>
      </c>
      <c r="BK5" s="2162" t="s">
        <v>570</v>
      </c>
      <c r="BL5" s="2158" t="s">
        <v>713</v>
      </c>
    </row>
    <row r="6" spans="1:64" ht="99.95" customHeight="1">
      <c r="A6" s="725" t="s">
        <v>111</v>
      </c>
      <c r="B6" s="725" t="s">
        <v>1640</v>
      </c>
      <c r="C6" s="1122" t="s">
        <v>1643</v>
      </c>
      <c r="D6" s="725" t="s">
        <v>1698</v>
      </c>
      <c r="E6" s="607" t="s">
        <v>1703</v>
      </c>
      <c r="F6" s="1124" t="s">
        <v>1641</v>
      </c>
      <c r="G6" s="607" t="s">
        <v>1656</v>
      </c>
      <c r="H6" s="545" t="s">
        <v>1657</v>
      </c>
      <c r="I6" s="546" t="s">
        <v>1658</v>
      </c>
      <c r="J6" s="546" t="s">
        <v>1644</v>
      </c>
      <c r="K6" s="547" t="s">
        <v>1645</v>
      </c>
      <c r="L6" s="546" t="s">
        <v>1659</v>
      </c>
      <c r="M6" s="546" t="s">
        <v>1662</v>
      </c>
      <c r="N6" s="547" t="s">
        <v>1660</v>
      </c>
      <c r="O6" s="546" t="s">
        <v>1659</v>
      </c>
      <c r="P6" s="546" t="s">
        <v>1662</v>
      </c>
      <c r="Q6" s="547" t="s">
        <v>1660</v>
      </c>
      <c r="R6" s="546" t="s">
        <v>1659</v>
      </c>
      <c r="S6" s="1129" t="s">
        <v>1662</v>
      </c>
      <c r="T6" s="1132" t="s">
        <v>1682</v>
      </c>
      <c r="U6" s="546" t="s">
        <v>1661</v>
      </c>
      <c r="V6" s="546" t="s">
        <v>1662</v>
      </c>
      <c r="W6" s="546" t="s">
        <v>1683</v>
      </c>
      <c r="X6" s="546" t="s">
        <v>1663</v>
      </c>
      <c r="Y6" s="546" t="s">
        <v>1649</v>
      </c>
      <c r="Z6" s="546" t="s">
        <v>1661</v>
      </c>
      <c r="AA6" s="546" t="s">
        <v>1710</v>
      </c>
      <c r="AB6" s="2097"/>
      <c r="AC6" s="1127" t="s">
        <v>1651</v>
      </c>
      <c r="AD6" s="2099"/>
      <c r="AE6" s="1118" t="s">
        <v>1678</v>
      </c>
      <c r="AF6" s="2101"/>
      <c r="AG6" s="1269" t="s">
        <v>1833</v>
      </c>
      <c r="AH6" s="2077"/>
      <c r="AI6" s="2077"/>
      <c r="AJ6" s="2077"/>
      <c r="AK6" s="2115"/>
      <c r="AL6" s="2149"/>
      <c r="AM6" s="2085"/>
      <c r="AN6" s="2122"/>
      <c r="AO6" s="2116"/>
      <c r="AP6" s="2090"/>
      <c r="AQ6" s="1135" t="s">
        <v>1714</v>
      </c>
      <c r="AR6" s="1134" t="s">
        <v>1720</v>
      </c>
      <c r="AS6" s="1136" t="s">
        <v>1721</v>
      </c>
      <c r="AT6" s="2088"/>
      <c r="AU6" s="543"/>
      <c r="AV6" s="501"/>
      <c r="AW6" s="539" t="s">
        <v>215</v>
      </c>
      <c r="AX6" s="539" t="s">
        <v>217</v>
      </c>
      <c r="AY6" s="1113" t="s">
        <v>125</v>
      </c>
      <c r="AZ6" s="502" t="s">
        <v>721</v>
      </c>
      <c r="BA6" s="502" t="s">
        <v>722</v>
      </c>
      <c r="BB6" s="548" t="s">
        <v>723</v>
      </c>
      <c r="BC6" s="548" t="s">
        <v>724</v>
      </c>
      <c r="BD6" s="548" t="s">
        <v>725</v>
      </c>
      <c r="BE6" s="548" t="s">
        <v>727</v>
      </c>
      <c r="BF6" s="549" t="s">
        <v>125</v>
      </c>
      <c r="BH6" s="730" t="s">
        <v>761</v>
      </c>
      <c r="BI6" s="2157"/>
      <c r="BJ6" s="2157"/>
      <c r="BK6" s="2163"/>
      <c r="BL6" s="2159"/>
    </row>
    <row r="7" spans="1:64" s="755" customFormat="1" ht="48" customHeight="1">
      <c r="A7" s="1369">
        <v>1</v>
      </c>
      <c r="B7" s="1576" t="s">
        <v>1185</v>
      </c>
      <c r="C7" s="1854" t="s">
        <v>453</v>
      </c>
      <c r="D7" s="1841">
        <v>42845</v>
      </c>
      <c r="E7" s="1637" t="s">
        <v>260</v>
      </c>
      <c r="F7" s="617">
        <f>162+17+12+8+2+3</f>
        <v>204</v>
      </c>
      <c r="G7" s="617">
        <f>2</f>
        <v>2</v>
      </c>
      <c r="H7" s="1001">
        <v>22</v>
      </c>
      <c r="I7" s="1408">
        <f t="shared" ref="I7:I36" si="0">F7/26*H7</f>
        <v>172.61538461538461</v>
      </c>
      <c r="J7" s="618">
        <f t="shared" ref="J7:J36" si="1">F7/26*H7</f>
        <v>172.61538461538461</v>
      </c>
      <c r="K7" s="1001">
        <v>68</v>
      </c>
      <c r="L7" s="510">
        <f t="shared" ref="L7:L36" si="2">F7/26/8*1.5</f>
        <v>1.471153846153846</v>
      </c>
      <c r="M7" s="618">
        <f t="shared" ref="M7:M36" si="3">K7*L7</f>
        <v>100.03846153846153</v>
      </c>
      <c r="N7" s="1001">
        <v>0</v>
      </c>
      <c r="O7" s="510">
        <f t="shared" ref="O7:O36" si="4">F7/26/8*2</f>
        <v>1.9615384615384615</v>
      </c>
      <c r="P7" s="503">
        <f t="shared" ref="P7:P36" si="5">N7*O7</f>
        <v>0</v>
      </c>
      <c r="Q7" s="1001">
        <v>24</v>
      </c>
      <c r="R7" s="510">
        <f t="shared" ref="R7:R36" si="6">F7/26/8*2</f>
        <v>1.9615384615384615</v>
      </c>
      <c r="S7" s="618">
        <f t="shared" ref="S7:S26" si="7">R7*Q7</f>
        <v>47.076923076923073</v>
      </c>
      <c r="T7" s="1001">
        <v>5</v>
      </c>
      <c r="U7" s="510">
        <f t="shared" ref="U7:U36" si="8">F7/26</f>
        <v>7.8461538461538458</v>
      </c>
      <c r="V7" s="618">
        <f t="shared" ref="V7:V36" si="9">U7*T7</f>
        <v>39.230769230769226</v>
      </c>
      <c r="W7" s="1001">
        <v>0</v>
      </c>
      <c r="X7" s="618">
        <f>'S4 Salary'!T8*'S4'!W7</f>
        <v>0</v>
      </c>
      <c r="Y7" s="1001">
        <v>0</v>
      </c>
      <c r="Z7" s="510">
        <f t="shared" ref="Z7:Z36" si="10">F7/26/2</f>
        <v>3.9230769230769229</v>
      </c>
      <c r="AA7" s="618">
        <f t="shared" ref="AA7:AA36" si="11">Y7*Z7</f>
        <v>0</v>
      </c>
      <c r="AB7" s="1001">
        <v>0</v>
      </c>
      <c r="AC7" s="1467">
        <f t="shared" ref="AC7:AC36" si="12">H7+T7+Y7+AB7+W7</f>
        <v>27</v>
      </c>
      <c r="AD7" s="1408">
        <v>0</v>
      </c>
      <c r="AE7" s="1121">
        <v>0</v>
      </c>
      <c r="AF7" s="1412">
        <f>4+1</f>
        <v>5</v>
      </c>
      <c r="AG7" s="511">
        <v>0</v>
      </c>
      <c r="AH7" s="618">
        <v>10</v>
      </c>
      <c r="AI7" s="618">
        <v>8</v>
      </c>
      <c r="AJ7" s="618">
        <v>10</v>
      </c>
      <c r="AK7" s="618">
        <v>10</v>
      </c>
      <c r="AL7" s="1148">
        <f t="shared" ref="AL7:AL36" si="13">G7+J7+M7+P7+S7+V7+AA7+AD7+AF7+AH7+AI7+AJ7+AK7+X7+AE7+AG7</f>
        <v>403.96153846153845</v>
      </c>
      <c r="AM7" s="911">
        <v>0</v>
      </c>
      <c r="AN7" s="1018">
        <v>102</v>
      </c>
      <c r="AO7" s="1096">
        <f>'Tax Calulation   '!P7</f>
        <v>0</v>
      </c>
      <c r="AP7" s="1096">
        <f>'Tax Calulation   '!W7</f>
        <v>5.9084194977843429</v>
      </c>
      <c r="AQ7" s="1686">
        <f t="shared" ref="AQ7:AQ36" si="14">AL7-AO7-AN7-AP7-AM7</f>
        <v>296.05311896375412</v>
      </c>
      <c r="AR7" s="1682">
        <f>ROUND((AQ7-AS7)*4040,-2)</f>
        <v>388100</v>
      </c>
      <c r="AS7" s="1683">
        <f>CEILING(AQ7,(100))-100</f>
        <v>200</v>
      </c>
      <c r="AT7" s="502"/>
      <c r="AU7" s="504"/>
      <c r="AV7" s="505">
        <f>(J7+M7+P7+S7+V7+AA7+AH7+AI7+AJ7+AK7)*4000</f>
        <v>1587846.1538461538</v>
      </c>
      <c r="AW7" s="502">
        <f t="shared" ref="AW7:AW36" si="15">INT(AS7/100)</f>
        <v>2</v>
      </c>
      <c r="AX7" s="502">
        <f t="shared" ref="AX7:AX36" si="16">INT((AS7-AW7*100)/50)</f>
        <v>0</v>
      </c>
      <c r="AY7" s="573">
        <f>AW7*100+AX7*50</f>
        <v>200</v>
      </c>
      <c r="AZ7" s="573">
        <f t="shared" ref="AZ7:AZ36" si="17">INT((AR7/50000))</f>
        <v>7</v>
      </c>
      <c r="BA7" s="548">
        <f t="shared" ref="BA7:BA36" si="18">INT((AR7-AZ7*50000)/10000)</f>
        <v>3</v>
      </c>
      <c r="BB7" s="548">
        <f t="shared" ref="BB7:BB36" si="19">INT((AR7-AZ7*50000-BA7*10000)/5000)</f>
        <v>1</v>
      </c>
      <c r="BC7" s="548">
        <f t="shared" ref="BC7:BC36" si="20">INT((AR7-AZ7*50000-BA7*10000-BB7*5000)/1000)</f>
        <v>3</v>
      </c>
      <c r="BD7" s="548">
        <f t="shared" ref="BD7:BD36" si="21">INT((AR7-AZ7*50000-BA7*10000-BB7*5000-BC7*1000)/500)</f>
        <v>0</v>
      </c>
      <c r="BE7" s="548">
        <f t="shared" ref="BE7:BE36" si="22">INT((AR7-AZ7*50000-BA7*10000-BB7*5000-BC7*1000-BD7*500)/100)</f>
        <v>1</v>
      </c>
      <c r="BF7" s="549">
        <f>AZ7*50000+BA7*10000+BB7*5000+BC7*1000+BD7*500+BE7*100</f>
        <v>388100</v>
      </c>
      <c r="BH7" s="1349" t="s">
        <v>799</v>
      </c>
      <c r="BI7" s="1349" t="s">
        <v>573</v>
      </c>
      <c r="BJ7" s="1163">
        <v>29438</v>
      </c>
      <c r="BK7" s="1673" t="s">
        <v>615</v>
      </c>
      <c r="BL7" s="1673">
        <v>30652551</v>
      </c>
    </row>
    <row r="8" spans="1:64" s="755" customFormat="1" ht="48" customHeight="1">
      <c r="A8" s="1369">
        <v>2</v>
      </c>
      <c r="B8" s="1414" t="s">
        <v>1187</v>
      </c>
      <c r="C8" s="1329" t="s">
        <v>292</v>
      </c>
      <c r="D8" s="1841">
        <v>41921</v>
      </c>
      <c r="E8" s="1637" t="s">
        <v>260</v>
      </c>
      <c r="F8" s="1649">
        <f>13+144+17+12+8+2+4+4</f>
        <v>204</v>
      </c>
      <c r="G8" s="617">
        <f>2</f>
        <v>2</v>
      </c>
      <c r="H8" s="1001">
        <v>21</v>
      </c>
      <c r="I8" s="1408">
        <f t="shared" si="0"/>
        <v>164.76923076923077</v>
      </c>
      <c r="J8" s="618">
        <f t="shared" si="1"/>
        <v>164.76923076923077</v>
      </c>
      <c r="K8" s="1001">
        <v>30</v>
      </c>
      <c r="L8" s="510">
        <f t="shared" si="2"/>
        <v>1.471153846153846</v>
      </c>
      <c r="M8" s="618">
        <f t="shared" si="3"/>
        <v>44.13461538461538</v>
      </c>
      <c r="N8" s="1001">
        <v>0</v>
      </c>
      <c r="O8" s="510">
        <f t="shared" si="4"/>
        <v>1.9615384615384615</v>
      </c>
      <c r="P8" s="503">
        <f t="shared" si="5"/>
        <v>0</v>
      </c>
      <c r="Q8" s="1001">
        <v>24</v>
      </c>
      <c r="R8" s="510">
        <f t="shared" si="6"/>
        <v>1.9615384615384615</v>
      </c>
      <c r="S8" s="618">
        <f t="shared" si="7"/>
        <v>47.076923076923073</v>
      </c>
      <c r="T8" s="1001">
        <v>6</v>
      </c>
      <c r="U8" s="510">
        <f t="shared" si="8"/>
        <v>7.8461538461538458</v>
      </c>
      <c r="V8" s="618">
        <f t="shared" si="9"/>
        <v>47.076923076923073</v>
      </c>
      <c r="W8" s="1001">
        <v>0</v>
      </c>
      <c r="X8" s="618">
        <f>'S4 Salary'!T9*'S4'!W8</f>
        <v>0</v>
      </c>
      <c r="Y8" s="1001">
        <v>0</v>
      </c>
      <c r="Z8" s="510">
        <f t="shared" si="10"/>
        <v>3.9230769230769229</v>
      </c>
      <c r="AA8" s="618">
        <f t="shared" si="11"/>
        <v>0</v>
      </c>
      <c r="AB8" s="1001">
        <v>0</v>
      </c>
      <c r="AC8" s="1467">
        <f t="shared" si="12"/>
        <v>27</v>
      </c>
      <c r="AD8" s="1408">
        <v>0</v>
      </c>
      <c r="AE8" s="1121">
        <v>0</v>
      </c>
      <c r="AF8" s="1412">
        <v>0</v>
      </c>
      <c r="AG8" s="511">
        <v>0</v>
      </c>
      <c r="AH8" s="618">
        <v>10</v>
      </c>
      <c r="AI8" s="618">
        <v>11</v>
      </c>
      <c r="AJ8" s="618">
        <v>10</v>
      </c>
      <c r="AK8" s="618">
        <v>10</v>
      </c>
      <c r="AL8" s="1148">
        <f t="shared" si="13"/>
        <v>346.05769230769232</v>
      </c>
      <c r="AM8" s="911">
        <v>0.5</v>
      </c>
      <c r="AN8" s="1018">
        <v>102</v>
      </c>
      <c r="AO8" s="1096">
        <f>'Tax Calulation   '!P8</f>
        <v>0</v>
      </c>
      <c r="AP8" s="1096">
        <f>'Tax Calulation   '!W8</f>
        <v>5.9084194977843429</v>
      </c>
      <c r="AQ8" s="1686">
        <f t="shared" si="14"/>
        <v>237.64927280990798</v>
      </c>
      <c r="AR8" s="1682">
        <f t="shared" ref="AR8:AR36" si="23">ROUND((AQ8-AS8)*4040,-2)</f>
        <v>152100</v>
      </c>
      <c r="AS8" s="1683">
        <f t="shared" ref="AS8:AS36" si="24">CEILING(AQ8,(100))-100</f>
        <v>200</v>
      </c>
      <c r="AT8" s="502"/>
      <c r="AU8" s="504"/>
      <c r="AV8" s="505">
        <f>(J8+M8+P8+S8+V8+AA8+AH8+AI8+AJ8+AK8)*4000</f>
        <v>1376230.7692307692</v>
      </c>
      <c r="AW8" s="502">
        <f t="shared" si="15"/>
        <v>2</v>
      </c>
      <c r="AX8" s="502">
        <f t="shared" si="16"/>
        <v>0</v>
      </c>
      <c r="AY8" s="573">
        <f t="shared" ref="AY8:AY36" si="25">AW8*100+AX8*50</f>
        <v>200</v>
      </c>
      <c r="AZ8" s="573">
        <f t="shared" si="17"/>
        <v>3</v>
      </c>
      <c r="BA8" s="548">
        <f t="shared" si="18"/>
        <v>0</v>
      </c>
      <c r="BB8" s="548">
        <f t="shared" si="19"/>
        <v>0</v>
      </c>
      <c r="BC8" s="548">
        <f t="shared" si="20"/>
        <v>2</v>
      </c>
      <c r="BD8" s="548">
        <f t="shared" si="21"/>
        <v>0</v>
      </c>
      <c r="BE8" s="548">
        <f t="shared" si="22"/>
        <v>1</v>
      </c>
      <c r="BF8" s="549">
        <f t="shared" ref="BF8:BF36" si="26">AZ8*50000+BA8*10000+BB8*5000+BC8*1000+BD8*500+BE8*100</f>
        <v>152100</v>
      </c>
      <c r="BH8" s="1390" t="s">
        <v>800</v>
      </c>
      <c r="BI8" s="1390" t="s">
        <v>573</v>
      </c>
      <c r="BJ8" s="1163">
        <v>29009</v>
      </c>
      <c r="BK8" s="1673" t="s">
        <v>616</v>
      </c>
      <c r="BL8" s="1673">
        <v>30875180</v>
      </c>
    </row>
    <row r="9" spans="1:64" s="755" customFormat="1" ht="48" customHeight="1">
      <c r="A9" s="1369">
        <v>3</v>
      </c>
      <c r="B9" s="1414" t="s">
        <v>1188</v>
      </c>
      <c r="C9" s="1329" t="s">
        <v>295</v>
      </c>
      <c r="D9" s="1841">
        <v>42543</v>
      </c>
      <c r="E9" s="1637" t="s">
        <v>260</v>
      </c>
      <c r="F9" s="1649">
        <f>13+144+17+12+8+2+4+4</f>
        <v>204</v>
      </c>
      <c r="G9" s="617">
        <f>2</f>
        <v>2</v>
      </c>
      <c r="H9" s="1001">
        <v>22</v>
      </c>
      <c r="I9" s="1408">
        <f t="shared" si="0"/>
        <v>172.61538461538461</v>
      </c>
      <c r="J9" s="618">
        <f t="shared" si="1"/>
        <v>172.61538461538461</v>
      </c>
      <c r="K9" s="1001">
        <v>48</v>
      </c>
      <c r="L9" s="510">
        <f t="shared" si="2"/>
        <v>1.471153846153846</v>
      </c>
      <c r="M9" s="618">
        <f t="shared" si="3"/>
        <v>70.615384615384613</v>
      </c>
      <c r="N9" s="1001">
        <v>0</v>
      </c>
      <c r="O9" s="510">
        <f t="shared" si="4"/>
        <v>1.9615384615384615</v>
      </c>
      <c r="P9" s="503">
        <f t="shared" si="5"/>
        <v>0</v>
      </c>
      <c r="Q9" s="1001">
        <v>24</v>
      </c>
      <c r="R9" s="510">
        <f t="shared" si="6"/>
        <v>1.9615384615384615</v>
      </c>
      <c r="S9" s="618">
        <f t="shared" si="7"/>
        <v>47.076923076923073</v>
      </c>
      <c r="T9" s="1001">
        <v>5</v>
      </c>
      <c r="U9" s="510">
        <f t="shared" si="8"/>
        <v>7.8461538461538458</v>
      </c>
      <c r="V9" s="618">
        <f t="shared" si="9"/>
        <v>39.230769230769226</v>
      </c>
      <c r="W9" s="1001">
        <v>0</v>
      </c>
      <c r="X9" s="618">
        <f>'S4 Salary'!T10*'S4'!W9</f>
        <v>0</v>
      </c>
      <c r="Y9" s="1001">
        <v>0</v>
      </c>
      <c r="Z9" s="510">
        <f t="shared" si="10"/>
        <v>3.9230769230769229</v>
      </c>
      <c r="AA9" s="618">
        <f t="shared" si="11"/>
        <v>0</v>
      </c>
      <c r="AB9" s="1001">
        <v>0</v>
      </c>
      <c r="AC9" s="1467">
        <f t="shared" si="12"/>
        <v>27</v>
      </c>
      <c r="AD9" s="1408">
        <v>0</v>
      </c>
      <c r="AE9" s="1121">
        <v>0</v>
      </c>
      <c r="AF9" s="1412">
        <v>0</v>
      </c>
      <c r="AG9" s="511">
        <v>0</v>
      </c>
      <c r="AH9" s="618">
        <v>10</v>
      </c>
      <c r="AI9" s="618">
        <v>9</v>
      </c>
      <c r="AJ9" s="618">
        <v>10</v>
      </c>
      <c r="AK9" s="618">
        <v>10</v>
      </c>
      <c r="AL9" s="1148">
        <f t="shared" si="13"/>
        <v>370.53846153846155</v>
      </c>
      <c r="AM9" s="911">
        <v>0.5</v>
      </c>
      <c r="AN9" s="1018">
        <v>102</v>
      </c>
      <c r="AO9" s="1096">
        <f>'Tax Calulation   '!P9</f>
        <v>0</v>
      </c>
      <c r="AP9" s="1096">
        <f>'Tax Calulation   '!W9</f>
        <v>5.9084194977843429</v>
      </c>
      <c r="AQ9" s="1686">
        <f t="shared" si="14"/>
        <v>262.13004204067721</v>
      </c>
      <c r="AR9" s="1682">
        <f t="shared" si="23"/>
        <v>251000</v>
      </c>
      <c r="AS9" s="1683">
        <f t="shared" si="24"/>
        <v>200</v>
      </c>
      <c r="AT9" s="502"/>
      <c r="AU9" s="504"/>
      <c r="AV9" s="505">
        <f>(J9+M9+P9+S9+V9+AA9+AH9+AI9+AJ9+AK9)*4000</f>
        <v>1474153.8461538462</v>
      </c>
      <c r="AW9" s="502">
        <f t="shared" si="15"/>
        <v>2</v>
      </c>
      <c r="AX9" s="502">
        <f t="shared" si="16"/>
        <v>0</v>
      </c>
      <c r="AY9" s="573">
        <f t="shared" si="25"/>
        <v>200</v>
      </c>
      <c r="AZ9" s="573">
        <f t="shared" si="17"/>
        <v>5</v>
      </c>
      <c r="BA9" s="548">
        <f t="shared" si="18"/>
        <v>0</v>
      </c>
      <c r="BB9" s="548">
        <f t="shared" si="19"/>
        <v>0</v>
      </c>
      <c r="BC9" s="548">
        <f t="shared" si="20"/>
        <v>1</v>
      </c>
      <c r="BD9" s="548">
        <f t="shared" si="21"/>
        <v>0</v>
      </c>
      <c r="BE9" s="548">
        <f t="shared" si="22"/>
        <v>0</v>
      </c>
      <c r="BF9" s="549">
        <f t="shared" si="26"/>
        <v>251000</v>
      </c>
      <c r="BH9" s="1390" t="s">
        <v>802</v>
      </c>
      <c r="BI9" s="1390" t="s">
        <v>573</v>
      </c>
      <c r="BJ9" s="1163">
        <v>30177</v>
      </c>
      <c r="BK9" s="1673" t="s">
        <v>618</v>
      </c>
      <c r="BL9" s="1673">
        <v>30812361</v>
      </c>
    </row>
    <row r="10" spans="1:64" s="755" customFormat="1" ht="48" customHeight="1">
      <c r="A10" s="1369">
        <v>4</v>
      </c>
      <c r="B10" s="1414" t="s">
        <v>1189</v>
      </c>
      <c r="C10" s="1329" t="s">
        <v>970</v>
      </c>
      <c r="D10" s="1841">
        <v>43231</v>
      </c>
      <c r="E10" s="1637" t="s">
        <v>260</v>
      </c>
      <c r="F10" s="617">
        <f>206</f>
        <v>206</v>
      </c>
      <c r="G10" s="617">
        <f>2</f>
        <v>2</v>
      </c>
      <c r="H10" s="1001">
        <v>22</v>
      </c>
      <c r="I10" s="1408">
        <f t="shared" si="0"/>
        <v>174.30769230769232</v>
      </c>
      <c r="J10" s="618">
        <f t="shared" si="1"/>
        <v>174.30769230769232</v>
      </c>
      <c r="K10" s="1001">
        <v>68</v>
      </c>
      <c r="L10" s="510">
        <f t="shared" si="2"/>
        <v>1.4855769230769231</v>
      </c>
      <c r="M10" s="618">
        <f t="shared" si="3"/>
        <v>101.01923076923077</v>
      </c>
      <c r="N10" s="1001">
        <v>0</v>
      </c>
      <c r="O10" s="510">
        <f t="shared" si="4"/>
        <v>1.9807692307692308</v>
      </c>
      <c r="P10" s="503">
        <f t="shared" si="5"/>
        <v>0</v>
      </c>
      <c r="Q10" s="1001">
        <v>24</v>
      </c>
      <c r="R10" s="510">
        <f t="shared" si="6"/>
        <v>1.9807692307692308</v>
      </c>
      <c r="S10" s="618">
        <f t="shared" si="7"/>
        <v>47.53846153846154</v>
      </c>
      <c r="T10" s="1001">
        <v>5</v>
      </c>
      <c r="U10" s="510">
        <f t="shared" si="8"/>
        <v>7.9230769230769234</v>
      </c>
      <c r="V10" s="618">
        <f t="shared" si="9"/>
        <v>39.615384615384613</v>
      </c>
      <c r="W10" s="1001">
        <v>0</v>
      </c>
      <c r="X10" s="618">
        <f>'S4 Salary'!T11*'S4'!W10</f>
        <v>0</v>
      </c>
      <c r="Y10" s="1001">
        <v>0</v>
      </c>
      <c r="Z10" s="510">
        <f t="shared" si="10"/>
        <v>3.9615384615384617</v>
      </c>
      <c r="AA10" s="618">
        <f t="shared" si="11"/>
        <v>0</v>
      </c>
      <c r="AB10" s="1001">
        <v>0</v>
      </c>
      <c r="AC10" s="1467">
        <f t="shared" si="12"/>
        <v>27</v>
      </c>
      <c r="AD10" s="1408">
        <v>0</v>
      </c>
      <c r="AE10" s="1121">
        <v>0</v>
      </c>
      <c r="AF10" s="1412">
        <f>4+4</f>
        <v>8</v>
      </c>
      <c r="AG10" s="511">
        <v>0</v>
      </c>
      <c r="AH10" s="618">
        <v>10</v>
      </c>
      <c r="AI10" s="618">
        <v>7</v>
      </c>
      <c r="AJ10" s="618">
        <v>10</v>
      </c>
      <c r="AK10" s="618">
        <v>10</v>
      </c>
      <c r="AL10" s="1148">
        <f t="shared" si="13"/>
        <v>409.48076923076928</v>
      </c>
      <c r="AM10" s="911">
        <v>0</v>
      </c>
      <c r="AN10" s="1018">
        <v>102</v>
      </c>
      <c r="AO10" s="1096">
        <f>'Tax Calulation   '!P10</f>
        <v>0</v>
      </c>
      <c r="AP10" s="1096">
        <f>'Tax Calulation   '!W10</f>
        <v>5.9084194977843429</v>
      </c>
      <c r="AQ10" s="1686">
        <f t="shared" si="14"/>
        <v>301.57234973298495</v>
      </c>
      <c r="AR10" s="1682">
        <f t="shared" si="23"/>
        <v>6400</v>
      </c>
      <c r="AS10" s="1683">
        <f t="shared" ref="AS10" si="27">CEILING(AQ10,(100))-100</f>
        <v>300</v>
      </c>
      <c r="AT10" s="502"/>
      <c r="AU10" s="504"/>
      <c r="AV10" s="505">
        <f>(J10+M10+P10+S10+V10+AA10+AH10+AI10+AJ10+AK10)*4000</f>
        <v>1597923.0769230772</v>
      </c>
      <c r="AW10" s="502">
        <f t="shared" si="15"/>
        <v>3</v>
      </c>
      <c r="AX10" s="502">
        <f t="shared" si="16"/>
        <v>0</v>
      </c>
      <c r="AY10" s="573">
        <f t="shared" ref="AY10" si="28">AW10*100+AX10*50</f>
        <v>300</v>
      </c>
      <c r="AZ10" s="573">
        <f t="shared" si="17"/>
        <v>0</v>
      </c>
      <c r="BA10" s="548">
        <f t="shared" si="18"/>
        <v>0</v>
      </c>
      <c r="BB10" s="548">
        <f t="shared" si="19"/>
        <v>1</v>
      </c>
      <c r="BC10" s="548">
        <f t="shared" si="20"/>
        <v>1</v>
      </c>
      <c r="BD10" s="548">
        <f t="shared" si="21"/>
        <v>0</v>
      </c>
      <c r="BE10" s="548">
        <f t="shared" si="22"/>
        <v>4</v>
      </c>
      <c r="BF10" s="549">
        <f t="shared" ref="BF10" si="29">AZ10*50000+BA10*10000+BB10*5000+BC10*1000+BD10*500+BE10*100</f>
        <v>6400</v>
      </c>
      <c r="BH10" s="1390" t="s">
        <v>802</v>
      </c>
      <c r="BI10" s="1390" t="s">
        <v>573</v>
      </c>
      <c r="BJ10" s="1163">
        <v>32908</v>
      </c>
      <c r="BK10" s="1673" t="s">
        <v>976</v>
      </c>
      <c r="BL10" s="1673" t="s">
        <v>977</v>
      </c>
    </row>
    <row r="11" spans="1:64" s="755" customFormat="1" ht="48" customHeight="1">
      <c r="A11" s="1369">
        <v>5</v>
      </c>
      <c r="B11" s="1415" t="s">
        <v>2118</v>
      </c>
      <c r="C11" s="1329" t="s">
        <v>2119</v>
      </c>
      <c r="D11" s="1763">
        <v>43407</v>
      </c>
      <c r="E11" s="557" t="s">
        <v>260</v>
      </c>
      <c r="F11" s="617">
        <f>206</f>
        <v>206</v>
      </c>
      <c r="G11" s="617">
        <f>2</f>
        <v>2</v>
      </c>
      <c r="H11" s="1001">
        <v>22</v>
      </c>
      <c r="I11" s="1408">
        <f t="shared" si="0"/>
        <v>174.30769230769232</v>
      </c>
      <c r="J11" s="618">
        <f t="shared" si="1"/>
        <v>174.30769230769232</v>
      </c>
      <c r="K11" s="1001">
        <v>68</v>
      </c>
      <c r="L11" s="510">
        <f t="shared" ref="L11" si="30">F11/26/8*1.5</f>
        <v>1.4855769230769231</v>
      </c>
      <c r="M11" s="618">
        <f t="shared" si="3"/>
        <v>101.01923076923077</v>
      </c>
      <c r="N11" s="1001">
        <v>0</v>
      </c>
      <c r="O11" s="510">
        <f t="shared" ref="O11" si="31">F11/26/8*2</f>
        <v>1.9807692307692308</v>
      </c>
      <c r="P11" s="503">
        <f t="shared" ref="P11" si="32">N11*O11</f>
        <v>0</v>
      </c>
      <c r="Q11" s="1001">
        <v>24</v>
      </c>
      <c r="R11" s="510">
        <f t="shared" ref="R11" si="33">F11/26/8*2</f>
        <v>1.9807692307692308</v>
      </c>
      <c r="S11" s="618">
        <f t="shared" ref="S11" si="34">R11*Q11</f>
        <v>47.53846153846154</v>
      </c>
      <c r="T11" s="1001">
        <v>5</v>
      </c>
      <c r="U11" s="510">
        <f t="shared" ref="U11" si="35">F11/26</f>
        <v>7.9230769230769234</v>
      </c>
      <c r="V11" s="618">
        <f t="shared" si="9"/>
        <v>39.615384615384613</v>
      </c>
      <c r="W11" s="1001">
        <v>0</v>
      </c>
      <c r="X11" s="618">
        <f>'S4 Salary'!T12*'S4'!W11</f>
        <v>0</v>
      </c>
      <c r="Y11" s="1001">
        <v>0</v>
      </c>
      <c r="Z11" s="510">
        <f t="shared" ref="Z11" si="36">F11/26/2</f>
        <v>3.9615384615384617</v>
      </c>
      <c r="AA11" s="618">
        <f t="shared" si="11"/>
        <v>0</v>
      </c>
      <c r="AB11" s="1001">
        <v>0</v>
      </c>
      <c r="AC11" s="1467">
        <f t="shared" si="12"/>
        <v>27</v>
      </c>
      <c r="AD11" s="1408">
        <v>0</v>
      </c>
      <c r="AE11" s="1121">
        <v>0</v>
      </c>
      <c r="AF11" s="1412">
        <f>4+4</f>
        <v>8</v>
      </c>
      <c r="AG11" s="511">
        <v>0</v>
      </c>
      <c r="AH11" s="618">
        <v>10</v>
      </c>
      <c r="AI11" s="618">
        <v>6</v>
      </c>
      <c r="AJ11" s="618">
        <v>10</v>
      </c>
      <c r="AK11" s="618">
        <v>10</v>
      </c>
      <c r="AL11" s="1148">
        <f t="shared" si="13"/>
        <v>408.48076923076928</v>
      </c>
      <c r="AM11" s="911">
        <v>0</v>
      </c>
      <c r="AN11" s="1018">
        <v>102</v>
      </c>
      <c r="AO11" s="1096">
        <f>'Tax Calulation   '!P11</f>
        <v>0</v>
      </c>
      <c r="AP11" s="1096">
        <f>'Tax Calulation   '!W11</f>
        <v>5.9084194977843429</v>
      </c>
      <c r="AQ11" s="1686">
        <f t="shared" si="14"/>
        <v>300.57234973298495</v>
      </c>
      <c r="AR11" s="1682">
        <f t="shared" si="23"/>
        <v>2300</v>
      </c>
      <c r="AS11" s="1683">
        <f t="shared" ref="AS11" si="37">CEILING(AQ11,(100))-100</f>
        <v>300</v>
      </c>
      <c r="AT11" s="502"/>
      <c r="AU11" s="504"/>
      <c r="AV11" s="505"/>
      <c r="AW11" s="502">
        <f t="shared" ref="AW11" si="38">INT(AS11/100)</f>
        <v>3</v>
      </c>
      <c r="AX11" s="502">
        <f t="shared" ref="AX11" si="39">INT((AS11-AW11*100)/50)</f>
        <v>0</v>
      </c>
      <c r="AY11" s="1113">
        <f t="shared" ref="AY11" si="40">AW11*100+AX11*50</f>
        <v>300</v>
      </c>
      <c r="AZ11" s="1113">
        <f t="shared" ref="AZ11" si="41">INT((AR11/50000))</f>
        <v>0</v>
      </c>
      <c r="BA11" s="548">
        <f t="shared" ref="BA11" si="42">INT((AR11-AZ11*50000)/10000)</f>
        <v>0</v>
      </c>
      <c r="BB11" s="548">
        <f t="shared" ref="BB11" si="43">INT((AR11-AZ11*50000-BA11*10000)/5000)</f>
        <v>0</v>
      </c>
      <c r="BC11" s="548">
        <f t="shared" ref="BC11" si="44">INT((AR11-AZ11*50000-BA11*10000-BB11*5000)/1000)</f>
        <v>2</v>
      </c>
      <c r="BD11" s="548">
        <f t="shared" ref="BD11" si="45">INT((AR11-AZ11*50000-BA11*10000-BB11*5000-BC11*1000)/500)</f>
        <v>0</v>
      </c>
      <c r="BE11" s="548">
        <f t="shared" ref="BE11" si="46">INT((AR11-AZ11*50000-BA11*10000-BB11*5000-BC11*1000-BD11*500)/100)</f>
        <v>3</v>
      </c>
      <c r="BF11" s="549">
        <f t="shared" ref="BF11" si="47">AZ11*50000+BA11*10000+BB11*5000+BC11*1000+BD11*500+BE11*100</f>
        <v>2300</v>
      </c>
      <c r="BH11" s="1390" t="s">
        <v>2120</v>
      </c>
      <c r="BI11" s="1390" t="s">
        <v>573</v>
      </c>
      <c r="BJ11" s="1163">
        <v>30265</v>
      </c>
      <c r="BK11" s="1673" t="s">
        <v>2121</v>
      </c>
      <c r="BL11" s="1673">
        <v>51197350</v>
      </c>
    </row>
    <row r="12" spans="1:64" s="755" customFormat="1" ht="48" customHeight="1">
      <c r="A12" s="1369">
        <v>6</v>
      </c>
      <c r="B12" s="1415" t="s">
        <v>480</v>
      </c>
      <c r="C12" s="1329" t="s">
        <v>481</v>
      </c>
      <c r="D12" s="1841">
        <v>43657</v>
      </c>
      <c r="E12" s="1637" t="s">
        <v>260</v>
      </c>
      <c r="F12" s="617">
        <f>211+8+2</f>
        <v>221</v>
      </c>
      <c r="G12" s="617">
        <f>15+2</f>
        <v>17</v>
      </c>
      <c r="H12" s="1001">
        <v>21.5</v>
      </c>
      <c r="I12" s="1408">
        <f t="shared" si="0"/>
        <v>182.75</v>
      </c>
      <c r="J12" s="618">
        <f t="shared" si="1"/>
        <v>182.75</v>
      </c>
      <c r="K12" s="1001">
        <v>60</v>
      </c>
      <c r="L12" s="510">
        <f t="shared" si="2"/>
        <v>1.59375</v>
      </c>
      <c r="M12" s="618">
        <f t="shared" si="3"/>
        <v>95.625</v>
      </c>
      <c r="N12" s="1001">
        <v>0</v>
      </c>
      <c r="O12" s="510">
        <f t="shared" si="4"/>
        <v>2.125</v>
      </c>
      <c r="P12" s="503">
        <f t="shared" si="5"/>
        <v>0</v>
      </c>
      <c r="Q12" s="1001">
        <v>24</v>
      </c>
      <c r="R12" s="510">
        <f t="shared" si="6"/>
        <v>2.125</v>
      </c>
      <c r="S12" s="618">
        <f t="shared" si="7"/>
        <v>51</v>
      </c>
      <c r="T12" s="1001">
        <v>5</v>
      </c>
      <c r="U12" s="510">
        <f t="shared" si="8"/>
        <v>8.5</v>
      </c>
      <c r="V12" s="618">
        <f t="shared" si="9"/>
        <v>42.5</v>
      </c>
      <c r="W12" s="1001">
        <v>0.5</v>
      </c>
      <c r="X12" s="618">
        <f>'S4 Salary'!T13*'S4'!W12</f>
        <v>6.5280427867556918</v>
      </c>
      <c r="Y12" s="1001">
        <v>0</v>
      </c>
      <c r="Z12" s="510">
        <f t="shared" si="10"/>
        <v>4.25</v>
      </c>
      <c r="AA12" s="618">
        <f t="shared" si="11"/>
        <v>0</v>
      </c>
      <c r="AB12" s="1001">
        <v>0</v>
      </c>
      <c r="AC12" s="1467">
        <f t="shared" si="12"/>
        <v>27</v>
      </c>
      <c r="AD12" s="1408">
        <v>0</v>
      </c>
      <c r="AE12" s="1121">
        <v>0</v>
      </c>
      <c r="AF12" s="1412">
        <v>0</v>
      </c>
      <c r="AG12" s="511">
        <v>0</v>
      </c>
      <c r="AH12" s="618">
        <v>10</v>
      </c>
      <c r="AI12" s="618">
        <v>6</v>
      </c>
      <c r="AJ12" s="618">
        <v>10</v>
      </c>
      <c r="AK12" s="618">
        <v>10</v>
      </c>
      <c r="AL12" s="1148">
        <f t="shared" si="13"/>
        <v>431.40304278675569</v>
      </c>
      <c r="AM12" s="911">
        <v>0.5</v>
      </c>
      <c r="AN12" s="1018">
        <v>102</v>
      </c>
      <c r="AO12" s="1096">
        <f>'Tax Calulation   '!P12</f>
        <v>0</v>
      </c>
      <c r="AP12" s="1096">
        <f>'Tax Calulation   '!W12</f>
        <v>5.9084194977843429</v>
      </c>
      <c r="AQ12" s="1686">
        <f t="shared" si="14"/>
        <v>322.99462328897135</v>
      </c>
      <c r="AR12" s="1682">
        <f t="shared" si="23"/>
        <v>92900</v>
      </c>
      <c r="AS12" s="1683">
        <f t="shared" si="24"/>
        <v>300</v>
      </c>
      <c r="AT12" s="502"/>
      <c r="AU12" s="504"/>
      <c r="AV12" s="505">
        <f>(J12+M12+P12+S12+V12+AA12+AH12+AI12+AJ12+AK12)*4000</f>
        <v>1631500</v>
      </c>
      <c r="AW12" s="502">
        <f t="shared" si="15"/>
        <v>3</v>
      </c>
      <c r="AX12" s="502">
        <f t="shared" si="16"/>
        <v>0</v>
      </c>
      <c r="AY12" s="573">
        <f t="shared" si="25"/>
        <v>300</v>
      </c>
      <c r="AZ12" s="573">
        <f t="shared" si="17"/>
        <v>1</v>
      </c>
      <c r="BA12" s="548">
        <f t="shared" si="18"/>
        <v>4</v>
      </c>
      <c r="BB12" s="548">
        <f t="shared" si="19"/>
        <v>0</v>
      </c>
      <c r="BC12" s="548">
        <f t="shared" si="20"/>
        <v>2</v>
      </c>
      <c r="BD12" s="548">
        <f t="shared" si="21"/>
        <v>1</v>
      </c>
      <c r="BE12" s="548">
        <f t="shared" si="22"/>
        <v>4</v>
      </c>
      <c r="BF12" s="549">
        <f t="shared" si="26"/>
        <v>92900</v>
      </c>
      <c r="BH12" s="1390" t="s">
        <v>803</v>
      </c>
      <c r="BI12" s="1390" t="s">
        <v>571</v>
      </c>
      <c r="BJ12" s="1163">
        <v>32763</v>
      </c>
      <c r="BK12" s="1673" t="s">
        <v>619</v>
      </c>
      <c r="BL12" s="1673">
        <v>150719494</v>
      </c>
    </row>
    <row r="13" spans="1:64" s="755" customFormat="1" ht="48" customHeight="1">
      <c r="A13" s="1369">
        <v>7</v>
      </c>
      <c r="B13" s="1415" t="s">
        <v>532</v>
      </c>
      <c r="C13" s="1329" t="s">
        <v>533</v>
      </c>
      <c r="D13" s="1841">
        <v>43746</v>
      </c>
      <c r="E13" s="1637" t="s">
        <v>260</v>
      </c>
      <c r="F13" s="617">
        <f>201+3</f>
        <v>204</v>
      </c>
      <c r="G13" s="617">
        <f>2</f>
        <v>2</v>
      </c>
      <c r="H13" s="1001">
        <v>21</v>
      </c>
      <c r="I13" s="1408">
        <f t="shared" si="0"/>
        <v>164.76923076923077</v>
      </c>
      <c r="J13" s="618">
        <f t="shared" si="1"/>
        <v>164.76923076923077</v>
      </c>
      <c r="K13" s="1001">
        <v>57</v>
      </c>
      <c r="L13" s="510">
        <f t="shared" si="2"/>
        <v>1.471153846153846</v>
      </c>
      <c r="M13" s="618">
        <f t="shared" si="3"/>
        <v>83.855769230769226</v>
      </c>
      <c r="N13" s="1001">
        <v>0</v>
      </c>
      <c r="O13" s="510">
        <f t="shared" si="4"/>
        <v>1.9615384615384615</v>
      </c>
      <c r="P13" s="503">
        <f t="shared" si="5"/>
        <v>0</v>
      </c>
      <c r="Q13" s="1001">
        <v>12</v>
      </c>
      <c r="R13" s="510">
        <f t="shared" si="6"/>
        <v>1.9615384615384615</v>
      </c>
      <c r="S13" s="618">
        <f t="shared" si="7"/>
        <v>23.538461538461537</v>
      </c>
      <c r="T13" s="1001">
        <v>5</v>
      </c>
      <c r="U13" s="510">
        <f t="shared" si="8"/>
        <v>7.8461538461538458</v>
      </c>
      <c r="V13" s="618">
        <f t="shared" si="9"/>
        <v>39.230769230769226</v>
      </c>
      <c r="W13" s="1001">
        <v>0</v>
      </c>
      <c r="X13" s="618">
        <f>'S4 Salary'!T14*'S4'!W13</f>
        <v>0</v>
      </c>
      <c r="Y13" s="1001">
        <v>0</v>
      </c>
      <c r="Z13" s="510">
        <f t="shared" si="10"/>
        <v>3.9230769230769229</v>
      </c>
      <c r="AA13" s="618">
        <f t="shared" si="11"/>
        <v>0</v>
      </c>
      <c r="AB13" s="1001">
        <v>1</v>
      </c>
      <c r="AC13" s="1467">
        <f t="shared" si="12"/>
        <v>27</v>
      </c>
      <c r="AD13" s="1408">
        <v>0</v>
      </c>
      <c r="AE13" s="1121">
        <v>0</v>
      </c>
      <c r="AF13" s="1412">
        <f>4+1</f>
        <v>5</v>
      </c>
      <c r="AG13" s="511">
        <v>0</v>
      </c>
      <c r="AH13" s="618">
        <v>7</v>
      </c>
      <c r="AI13" s="618">
        <v>6</v>
      </c>
      <c r="AJ13" s="618">
        <v>10</v>
      </c>
      <c r="AK13" s="618">
        <v>10</v>
      </c>
      <c r="AL13" s="1148">
        <f t="shared" si="13"/>
        <v>351.39423076923077</v>
      </c>
      <c r="AM13" s="911">
        <v>0</v>
      </c>
      <c r="AN13" s="1018">
        <v>102</v>
      </c>
      <c r="AO13" s="1096">
        <f>'Tax Calulation   '!P13</f>
        <v>0</v>
      </c>
      <c r="AP13" s="1096">
        <f>'Tax Calulation   '!W13</f>
        <v>5.9084194977843429</v>
      </c>
      <c r="AQ13" s="1686">
        <f t="shared" si="14"/>
        <v>243.48581127144644</v>
      </c>
      <c r="AR13" s="1682">
        <f t="shared" si="23"/>
        <v>175700</v>
      </c>
      <c r="AS13" s="1683">
        <f t="shared" si="24"/>
        <v>200</v>
      </c>
      <c r="AT13" s="502"/>
      <c r="AU13" s="504"/>
      <c r="AV13" s="505">
        <f>(J13+M13+P13+S13+V13+AA13+AH13+AI13+AJ13+AK13)*4000</f>
        <v>1377576.923076923</v>
      </c>
      <c r="AW13" s="502">
        <f t="shared" si="15"/>
        <v>2</v>
      </c>
      <c r="AX13" s="502">
        <f t="shared" si="16"/>
        <v>0</v>
      </c>
      <c r="AY13" s="573">
        <f t="shared" si="25"/>
        <v>200</v>
      </c>
      <c r="AZ13" s="573">
        <f t="shared" si="17"/>
        <v>3</v>
      </c>
      <c r="BA13" s="548">
        <f t="shared" si="18"/>
        <v>2</v>
      </c>
      <c r="BB13" s="548">
        <f t="shared" si="19"/>
        <v>1</v>
      </c>
      <c r="BC13" s="548">
        <f t="shared" si="20"/>
        <v>0</v>
      </c>
      <c r="BD13" s="548">
        <f t="shared" si="21"/>
        <v>1</v>
      </c>
      <c r="BE13" s="548">
        <f t="shared" si="22"/>
        <v>2</v>
      </c>
      <c r="BF13" s="549">
        <f t="shared" si="26"/>
        <v>175700</v>
      </c>
      <c r="BH13" s="1390" t="s">
        <v>804</v>
      </c>
      <c r="BI13" s="1390" t="s">
        <v>573</v>
      </c>
      <c r="BJ13" s="1163">
        <v>35647</v>
      </c>
      <c r="BK13" s="1673" t="s">
        <v>620</v>
      </c>
      <c r="BL13" s="1673">
        <v>20926291</v>
      </c>
    </row>
    <row r="14" spans="1:64" s="755" customFormat="1" ht="48" customHeight="1">
      <c r="A14" s="1369">
        <v>8</v>
      </c>
      <c r="B14" s="1419" t="s">
        <v>2329</v>
      </c>
      <c r="C14" s="1330" t="s">
        <v>2330</v>
      </c>
      <c r="D14" s="1851">
        <v>44480</v>
      </c>
      <c r="E14" s="1151" t="s">
        <v>260</v>
      </c>
      <c r="F14" s="758">
        <f>187+14+3</f>
        <v>204</v>
      </c>
      <c r="G14" s="758">
        <f>2</f>
        <v>2</v>
      </c>
      <c r="H14" s="1001">
        <v>22</v>
      </c>
      <c r="I14" s="1408">
        <f t="shared" si="0"/>
        <v>172.61538461538461</v>
      </c>
      <c r="J14" s="618">
        <f t="shared" si="1"/>
        <v>172.61538461538461</v>
      </c>
      <c r="K14" s="1001">
        <v>67</v>
      </c>
      <c r="L14" s="510">
        <f t="shared" ref="L14" si="48">F14/26/8*1.5</f>
        <v>1.471153846153846</v>
      </c>
      <c r="M14" s="618">
        <f t="shared" si="3"/>
        <v>98.567307692307679</v>
      </c>
      <c r="N14" s="1001">
        <v>0</v>
      </c>
      <c r="O14" s="510">
        <f t="shared" ref="O14" si="49">F14/26/8*2</f>
        <v>1.9615384615384615</v>
      </c>
      <c r="P14" s="503">
        <f t="shared" ref="P14" si="50">N14*O14</f>
        <v>0</v>
      </c>
      <c r="Q14" s="1001">
        <v>24</v>
      </c>
      <c r="R14" s="510">
        <f t="shared" ref="R14" si="51">F14/26/8*2</f>
        <v>1.9615384615384615</v>
      </c>
      <c r="S14" s="618">
        <f t="shared" ref="S14" si="52">R14*Q14</f>
        <v>47.076923076923073</v>
      </c>
      <c r="T14" s="1001">
        <v>5</v>
      </c>
      <c r="U14" s="510">
        <f t="shared" ref="U14" si="53">F14/26</f>
        <v>7.8461538461538458</v>
      </c>
      <c r="V14" s="618">
        <f t="shared" si="9"/>
        <v>39.230769230769226</v>
      </c>
      <c r="W14" s="1001">
        <v>0</v>
      </c>
      <c r="X14" s="618">
        <f>'S4 Salary'!T15*'S4'!W14</f>
        <v>0</v>
      </c>
      <c r="Y14" s="1001">
        <v>0</v>
      </c>
      <c r="Z14" s="510">
        <f t="shared" ref="Z14" si="54">F14/26/2</f>
        <v>3.9230769230769229</v>
      </c>
      <c r="AA14" s="618">
        <f t="shared" ref="AA14" si="55">Y14*Z14</f>
        <v>0</v>
      </c>
      <c r="AB14" s="1001">
        <v>0</v>
      </c>
      <c r="AC14" s="1468">
        <f t="shared" ref="AC14" si="56">H14+T14+Y14+AB14+W14</f>
        <v>27</v>
      </c>
      <c r="AD14" s="1408">
        <v>0</v>
      </c>
      <c r="AE14" s="1121">
        <v>0</v>
      </c>
      <c r="AF14" s="1412">
        <f>4+1</f>
        <v>5</v>
      </c>
      <c r="AG14" s="511">
        <v>5</v>
      </c>
      <c r="AH14" s="618">
        <v>10</v>
      </c>
      <c r="AI14" s="618">
        <v>4</v>
      </c>
      <c r="AJ14" s="618">
        <v>10</v>
      </c>
      <c r="AK14" s="618">
        <v>10</v>
      </c>
      <c r="AL14" s="1148">
        <f t="shared" si="13"/>
        <v>403.49038461538458</v>
      </c>
      <c r="AM14" s="911">
        <v>0</v>
      </c>
      <c r="AN14" s="1018">
        <v>102</v>
      </c>
      <c r="AO14" s="1096">
        <f>'Tax Calulation   '!P14</f>
        <v>0</v>
      </c>
      <c r="AP14" s="1096">
        <f>'Tax Calulation   '!W14</f>
        <v>5.9084194977843429</v>
      </c>
      <c r="AQ14" s="1686">
        <f t="shared" si="14"/>
        <v>295.58196511760025</v>
      </c>
      <c r="AR14" s="1682">
        <f t="shared" si="23"/>
        <v>386200</v>
      </c>
      <c r="AS14" s="1683">
        <f t="shared" ref="AS14" si="57">CEILING(AQ14,(100))-100</f>
        <v>200</v>
      </c>
      <c r="AT14" s="502"/>
      <c r="AU14" s="504"/>
      <c r="AV14" s="505"/>
      <c r="AW14" s="502">
        <f t="shared" ref="AW14" si="58">INT(AS14/100)</f>
        <v>2</v>
      </c>
      <c r="AX14" s="502">
        <f t="shared" ref="AX14" si="59">INT((AS14-AW14*100)/50)</f>
        <v>0</v>
      </c>
      <c r="AY14" s="1113">
        <f t="shared" ref="AY14" si="60">AW14*100+AX14*50</f>
        <v>200</v>
      </c>
      <c r="AZ14" s="1113">
        <f t="shared" ref="AZ14" si="61">INT((AR14/50000))</f>
        <v>7</v>
      </c>
      <c r="BA14" s="548">
        <f t="shared" ref="BA14" si="62">INT((AR14-AZ14*50000)/10000)</f>
        <v>3</v>
      </c>
      <c r="BB14" s="548">
        <f t="shared" ref="BB14" si="63">INT((AR14-AZ14*50000-BA14*10000)/5000)</f>
        <v>1</v>
      </c>
      <c r="BC14" s="548">
        <f t="shared" ref="BC14" si="64">INT((AR14-AZ14*50000-BA14*10000-BB14*5000)/1000)</f>
        <v>1</v>
      </c>
      <c r="BD14" s="548">
        <f t="shared" ref="BD14" si="65">INT((AR14-AZ14*50000-BA14*10000-BB14*5000-BC14*1000)/500)</f>
        <v>0</v>
      </c>
      <c r="BE14" s="548">
        <f t="shared" ref="BE14" si="66">INT((AR14-AZ14*50000-BA14*10000-BB14*5000-BC14*1000-BD14*500)/100)</f>
        <v>2</v>
      </c>
      <c r="BF14" s="549">
        <f t="shared" ref="BF14" si="67">AZ14*50000+BA14*10000+BB14*5000+BC14*1000+BD14*500+BE14*100</f>
        <v>386200</v>
      </c>
      <c r="BH14" s="1390" t="s">
        <v>2331</v>
      </c>
      <c r="BI14" s="1390" t="s">
        <v>572</v>
      </c>
      <c r="BJ14" s="1811">
        <v>36342</v>
      </c>
      <c r="BK14" s="572" t="s">
        <v>2332</v>
      </c>
      <c r="BL14" s="1673" t="s">
        <v>2333</v>
      </c>
    </row>
    <row r="15" spans="1:64" s="768" customFormat="1" ht="48" customHeight="1">
      <c r="A15" s="1369">
        <v>9</v>
      </c>
      <c r="B15" s="1419" t="s">
        <v>1191</v>
      </c>
      <c r="C15" s="1330" t="s">
        <v>992</v>
      </c>
      <c r="D15" s="1851">
        <v>44533</v>
      </c>
      <c r="E15" s="1151" t="s">
        <v>260</v>
      </c>
      <c r="F15" s="758">
        <f>206</f>
        <v>206</v>
      </c>
      <c r="G15" s="758">
        <v>2</v>
      </c>
      <c r="H15" s="1001">
        <v>22</v>
      </c>
      <c r="I15" s="1408">
        <f t="shared" si="0"/>
        <v>174.30769230769232</v>
      </c>
      <c r="J15" s="618">
        <f t="shared" si="1"/>
        <v>174.30769230769232</v>
      </c>
      <c r="K15" s="1001">
        <v>62</v>
      </c>
      <c r="L15" s="510">
        <f t="shared" si="2"/>
        <v>1.4855769230769231</v>
      </c>
      <c r="M15" s="618">
        <f t="shared" si="3"/>
        <v>92.105769230769241</v>
      </c>
      <c r="N15" s="1001">
        <v>0</v>
      </c>
      <c r="O15" s="510">
        <f t="shared" si="4"/>
        <v>1.9807692307692308</v>
      </c>
      <c r="P15" s="503">
        <f t="shared" si="5"/>
        <v>0</v>
      </c>
      <c r="Q15" s="1001">
        <v>24</v>
      </c>
      <c r="R15" s="510">
        <f t="shared" si="6"/>
        <v>1.9807692307692308</v>
      </c>
      <c r="S15" s="618">
        <f t="shared" si="7"/>
        <v>47.53846153846154</v>
      </c>
      <c r="T15" s="1001">
        <v>5</v>
      </c>
      <c r="U15" s="510">
        <f t="shared" si="8"/>
        <v>7.9230769230769234</v>
      </c>
      <c r="V15" s="618">
        <f t="shared" si="9"/>
        <v>39.615384615384613</v>
      </c>
      <c r="W15" s="1001">
        <v>0</v>
      </c>
      <c r="X15" s="618">
        <f>'S4 Salary'!T16*'S4'!W15</f>
        <v>0</v>
      </c>
      <c r="Y15" s="1001">
        <v>0</v>
      </c>
      <c r="Z15" s="510">
        <f t="shared" si="10"/>
        <v>3.9615384615384617</v>
      </c>
      <c r="AA15" s="618">
        <f t="shared" si="11"/>
        <v>0</v>
      </c>
      <c r="AB15" s="1001">
        <v>0</v>
      </c>
      <c r="AC15" s="1467">
        <f t="shared" si="12"/>
        <v>27</v>
      </c>
      <c r="AD15" s="1408">
        <v>0</v>
      </c>
      <c r="AE15" s="1121">
        <v>0</v>
      </c>
      <c r="AF15" s="1412">
        <f>4+4</f>
        <v>8</v>
      </c>
      <c r="AG15" s="762">
        <v>0</v>
      </c>
      <c r="AH15" s="618">
        <v>10</v>
      </c>
      <c r="AI15" s="788">
        <v>3</v>
      </c>
      <c r="AJ15" s="618">
        <v>10</v>
      </c>
      <c r="AK15" s="618">
        <v>10</v>
      </c>
      <c r="AL15" s="1148">
        <f t="shared" si="13"/>
        <v>396.56730769230774</v>
      </c>
      <c r="AM15" s="1273">
        <v>0</v>
      </c>
      <c r="AN15" s="1018">
        <v>102</v>
      </c>
      <c r="AO15" s="1096">
        <f>'Tax Calulation   '!P15</f>
        <v>0</v>
      </c>
      <c r="AP15" s="1096">
        <f>'Tax Calulation   '!W15</f>
        <v>5.9084194977843429</v>
      </c>
      <c r="AQ15" s="1686">
        <f t="shared" si="14"/>
        <v>288.6588881945234</v>
      </c>
      <c r="AR15" s="1682">
        <f t="shared" si="23"/>
        <v>358200</v>
      </c>
      <c r="AS15" s="1684">
        <f t="shared" ref="AS15:AS17" si="68">CEILING(AQ15,(100))-100</f>
        <v>200</v>
      </c>
      <c r="AT15" s="612"/>
      <c r="AU15" s="763"/>
      <c r="AV15" s="764"/>
      <c r="AW15" s="502">
        <f t="shared" si="15"/>
        <v>2</v>
      </c>
      <c r="AX15" s="502">
        <f t="shared" si="16"/>
        <v>0</v>
      </c>
      <c r="AY15" s="573">
        <f t="shared" ref="AY15:AY17" si="69">AW15*100+AX15*50</f>
        <v>200</v>
      </c>
      <c r="AZ15" s="573">
        <f t="shared" si="17"/>
        <v>7</v>
      </c>
      <c r="BA15" s="548">
        <f t="shared" si="18"/>
        <v>0</v>
      </c>
      <c r="BB15" s="548">
        <f t="shared" si="19"/>
        <v>1</v>
      </c>
      <c r="BC15" s="548">
        <f t="shared" si="20"/>
        <v>3</v>
      </c>
      <c r="BD15" s="548">
        <f t="shared" si="21"/>
        <v>0</v>
      </c>
      <c r="BE15" s="548">
        <f t="shared" si="22"/>
        <v>2</v>
      </c>
      <c r="BF15" s="549">
        <f t="shared" ref="BF15:BF17" si="70">AZ15*50000+BA15*10000+BB15*5000+BC15*1000+BD15*500+BE15*100</f>
        <v>358200</v>
      </c>
      <c r="BH15" s="1674" t="s">
        <v>995</v>
      </c>
      <c r="BI15" s="1103" t="s">
        <v>572</v>
      </c>
      <c r="BJ15" s="1165">
        <v>32509</v>
      </c>
      <c r="BK15" s="785" t="s">
        <v>998</v>
      </c>
      <c r="BL15" s="1675" t="s">
        <v>1041</v>
      </c>
    </row>
    <row r="16" spans="1:64" s="768" customFormat="1" ht="48" customHeight="1">
      <c r="A16" s="1369">
        <v>10</v>
      </c>
      <c r="B16" s="1419" t="s">
        <v>1192</v>
      </c>
      <c r="C16" s="1330" t="s">
        <v>993</v>
      </c>
      <c r="D16" s="1851">
        <v>44539</v>
      </c>
      <c r="E16" s="1151" t="s">
        <v>260</v>
      </c>
      <c r="F16" s="1650">
        <f>196+4+4</f>
        <v>204</v>
      </c>
      <c r="G16" s="758">
        <v>2</v>
      </c>
      <c r="H16" s="1001">
        <v>22</v>
      </c>
      <c r="I16" s="1408">
        <f t="shared" si="0"/>
        <v>172.61538461538461</v>
      </c>
      <c r="J16" s="618">
        <f t="shared" si="1"/>
        <v>172.61538461538461</v>
      </c>
      <c r="K16" s="1001">
        <v>68</v>
      </c>
      <c r="L16" s="510">
        <f t="shared" si="2"/>
        <v>1.471153846153846</v>
      </c>
      <c r="M16" s="618">
        <f t="shared" si="3"/>
        <v>100.03846153846153</v>
      </c>
      <c r="N16" s="1001">
        <v>0</v>
      </c>
      <c r="O16" s="510">
        <f t="shared" si="4"/>
        <v>1.9615384615384615</v>
      </c>
      <c r="P16" s="503">
        <f t="shared" si="5"/>
        <v>0</v>
      </c>
      <c r="Q16" s="1001">
        <v>24</v>
      </c>
      <c r="R16" s="510">
        <f t="shared" si="6"/>
        <v>1.9615384615384615</v>
      </c>
      <c r="S16" s="618">
        <f t="shared" si="7"/>
        <v>47.076923076923073</v>
      </c>
      <c r="T16" s="1001">
        <v>5</v>
      </c>
      <c r="U16" s="510">
        <f t="shared" si="8"/>
        <v>7.8461538461538458</v>
      </c>
      <c r="V16" s="618">
        <f t="shared" si="9"/>
        <v>39.230769230769226</v>
      </c>
      <c r="W16" s="1001">
        <v>0</v>
      </c>
      <c r="X16" s="618">
        <f>'S4 Salary'!T17*'S4'!W16</f>
        <v>0</v>
      </c>
      <c r="Y16" s="1001">
        <v>0</v>
      </c>
      <c r="Z16" s="510">
        <f t="shared" si="10"/>
        <v>3.9230769230769229</v>
      </c>
      <c r="AA16" s="618">
        <f t="shared" si="11"/>
        <v>0</v>
      </c>
      <c r="AB16" s="1001">
        <v>0</v>
      </c>
      <c r="AC16" s="1467">
        <f t="shared" si="12"/>
        <v>27</v>
      </c>
      <c r="AD16" s="1408">
        <v>0</v>
      </c>
      <c r="AE16" s="1121">
        <v>0</v>
      </c>
      <c r="AF16" s="1412">
        <v>0</v>
      </c>
      <c r="AG16" s="762">
        <v>0</v>
      </c>
      <c r="AH16" s="618">
        <v>10</v>
      </c>
      <c r="AI16" s="788">
        <v>3</v>
      </c>
      <c r="AJ16" s="618">
        <v>10</v>
      </c>
      <c r="AK16" s="618">
        <v>10</v>
      </c>
      <c r="AL16" s="1148">
        <f t="shared" si="13"/>
        <v>393.96153846153845</v>
      </c>
      <c r="AM16" s="1273">
        <v>0</v>
      </c>
      <c r="AN16" s="1018">
        <v>102</v>
      </c>
      <c r="AO16" s="1096">
        <f>'Tax Calulation   '!P16</f>
        <v>0</v>
      </c>
      <c r="AP16" s="1096">
        <f>'Tax Calulation   '!W16</f>
        <v>5.9084194977843429</v>
      </c>
      <c r="AQ16" s="1686">
        <f t="shared" si="14"/>
        <v>286.05311896375412</v>
      </c>
      <c r="AR16" s="1682">
        <f t="shared" si="23"/>
        <v>347700</v>
      </c>
      <c r="AS16" s="1684">
        <f t="shared" si="68"/>
        <v>200</v>
      </c>
      <c r="AT16" s="612"/>
      <c r="AU16" s="763"/>
      <c r="AV16" s="764"/>
      <c r="AW16" s="502">
        <f t="shared" si="15"/>
        <v>2</v>
      </c>
      <c r="AX16" s="502">
        <f t="shared" si="16"/>
        <v>0</v>
      </c>
      <c r="AY16" s="573">
        <f t="shared" si="69"/>
        <v>200</v>
      </c>
      <c r="AZ16" s="573">
        <f t="shared" si="17"/>
        <v>6</v>
      </c>
      <c r="BA16" s="548">
        <f t="shared" si="18"/>
        <v>4</v>
      </c>
      <c r="BB16" s="548">
        <f t="shared" si="19"/>
        <v>1</v>
      </c>
      <c r="BC16" s="548">
        <f t="shared" si="20"/>
        <v>2</v>
      </c>
      <c r="BD16" s="548">
        <f t="shared" si="21"/>
        <v>1</v>
      </c>
      <c r="BE16" s="548">
        <f t="shared" si="22"/>
        <v>2</v>
      </c>
      <c r="BF16" s="549">
        <f t="shared" si="70"/>
        <v>347700</v>
      </c>
      <c r="BH16" s="1674" t="s">
        <v>996</v>
      </c>
      <c r="BI16" s="1103" t="s">
        <v>572</v>
      </c>
      <c r="BJ16" s="1165">
        <v>31346</v>
      </c>
      <c r="BK16" s="785" t="s">
        <v>999</v>
      </c>
      <c r="BL16" s="1676" t="s">
        <v>1800</v>
      </c>
    </row>
    <row r="17" spans="1:64" s="768" customFormat="1" ht="48" customHeight="1">
      <c r="A17" s="1369">
        <v>11</v>
      </c>
      <c r="B17" s="1419" t="s">
        <v>1194</v>
      </c>
      <c r="C17" s="1330" t="s">
        <v>994</v>
      </c>
      <c r="D17" s="1851">
        <v>44534</v>
      </c>
      <c r="E17" s="1151" t="s">
        <v>260</v>
      </c>
      <c r="F17" s="758">
        <f>206</f>
        <v>206</v>
      </c>
      <c r="G17" s="758">
        <v>2</v>
      </c>
      <c r="H17" s="1001">
        <v>20.5</v>
      </c>
      <c r="I17" s="1408">
        <f t="shared" si="0"/>
        <v>162.42307692307693</v>
      </c>
      <c r="J17" s="618">
        <f t="shared" si="1"/>
        <v>162.42307692307693</v>
      </c>
      <c r="K17" s="1001">
        <v>63</v>
      </c>
      <c r="L17" s="510">
        <f t="shared" si="2"/>
        <v>1.4855769230769231</v>
      </c>
      <c r="M17" s="618">
        <f t="shared" si="3"/>
        <v>93.59134615384616</v>
      </c>
      <c r="N17" s="1001">
        <v>0</v>
      </c>
      <c r="O17" s="510">
        <f t="shared" si="4"/>
        <v>1.9807692307692308</v>
      </c>
      <c r="P17" s="503">
        <f t="shared" si="5"/>
        <v>0</v>
      </c>
      <c r="Q17" s="1001">
        <v>16</v>
      </c>
      <c r="R17" s="510">
        <f t="shared" si="6"/>
        <v>1.9807692307692308</v>
      </c>
      <c r="S17" s="618">
        <f t="shared" si="7"/>
        <v>31.692307692307693</v>
      </c>
      <c r="T17" s="1001">
        <v>5.5</v>
      </c>
      <c r="U17" s="510">
        <f t="shared" si="8"/>
        <v>7.9230769230769234</v>
      </c>
      <c r="V17" s="618">
        <f t="shared" si="9"/>
        <v>43.57692307692308</v>
      </c>
      <c r="W17" s="1001">
        <v>0.5</v>
      </c>
      <c r="X17" s="618">
        <f>'S4 Salary'!T18*'S4'!W17</f>
        <v>5.7566659416910317</v>
      </c>
      <c r="Y17" s="1001">
        <v>0</v>
      </c>
      <c r="Z17" s="510">
        <f t="shared" si="10"/>
        <v>3.9615384615384617</v>
      </c>
      <c r="AA17" s="618">
        <f t="shared" si="11"/>
        <v>0</v>
      </c>
      <c r="AB17" s="1001">
        <v>0.5</v>
      </c>
      <c r="AC17" s="1467">
        <f t="shared" si="12"/>
        <v>27</v>
      </c>
      <c r="AD17" s="1408">
        <v>0</v>
      </c>
      <c r="AE17" s="1121">
        <v>0</v>
      </c>
      <c r="AF17" s="1412">
        <f>4+4</f>
        <v>8</v>
      </c>
      <c r="AG17" s="762">
        <v>0</v>
      </c>
      <c r="AH17" s="618">
        <v>8.5</v>
      </c>
      <c r="AI17" s="788">
        <v>3</v>
      </c>
      <c r="AJ17" s="618">
        <v>10</v>
      </c>
      <c r="AK17" s="618">
        <v>10</v>
      </c>
      <c r="AL17" s="1148">
        <f t="shared" si="13"/>
        <v>378.54031978784491</v>
      </c>
      <c r="AM17" s="1273">
        <v>0</v>
      </c>
      <c r="AN17" s="1018">
        <v>102</v>
      </c>
      <c r="AO17" s="1096">
        <f>'Tax Calulation   '!P17</f>
        <v>0</v>
      </c>
      <c r="AP17" s="1096">
        <f>'Tax Calulation   '!W17</f>
        <v>5.9084194977843429</v>
      </c>
      <c r="AQ17" s="1686">
        <f t="shared" si="14"/>
        <v>270.63190029006057</v>
      </c>
      <c r="AR17" s="1682">
        <f t="shared" si="23"/>
        <v>285400</v>
      </c>
      <c r="AS17" s="1684">
        <f t="shared" si="68"/>
        <v>200</v>
      </c>
      <c r="AT17" s="612"/>
      <c r="AU17" s="763"/>
      <c r="AV17" s="764"/>
      <c r="AW17" s="502">
        <f t="shared" si="15"/>
        <v>2</v>
      </c>
      <c r="AX17" s="502">
        <f t="shared" si="16"/>
        <v>0</v>
      </c>
      <c r="AY17" s="573">
        <f t="shared" si="69"/>
        <v>200</v>
      </c>
      <c r="AZ17" s="573">
        <f t="shared" si="17"/>
        <v>5</v>
      </c>
      <c r="BA17" s="548">
        <f t="shared" si="18"/>
        <v>3</v>
      </c>
      <c r="BB17" s="548">
        <f t="shared" si="19"/>
        <v>1</v>
      </c>
      <c r="BC17" s="548">
        <f t="shared" si="20"/>
        <v>0</v>
      </c>
      <c r="BD17" s="548">
        <f t="shared" si="21"/>
        <v>0</v>
      </c>
      <c r="BE17" s="548">
        <f t="shared" si="22"/>
        <v>4</v>
      </c>
      <c r="BF17" s="549">
        <f t="shared" si="70"/>
        <v>285400</v>
      </c>
      <c r="BH17" s="1674" t="s">
        <v>997</v>
      </c>
      <c r="BI17" s="1103" t="s">
        <v>572</v>
      </c>
      <c r="BJ17" s="1165">
        <v>36592</v>
      </c>
      <c r="BK17" s="785" t="s">
        <v>1000</v>
      </c>
      <c r="BL17" s="1675" t="s">
        <v>1043</v>
      </c>
    </row>
    <row r="18" spans="1:64" s="768" customFormat="1" ht="48" customHeight="1">
      <c r="A18" s="1369">
        <v>12</v>
      </c>
      <c r="B18" s="1595" t="s">
        <v>1195</v>
      </c>
      <c r="C18" s="1855" t="s">
        <v>499</v>
      </c>
      <c r="D18" s="1851">
        <v>41334</v>
      </c>
      <c r="E18" s="1151" t="s">
        <v>260</v>
      </c>
      <c r="F18" s="758">
        <f>13+154+17+12+8+2</f>
        <v>206</v>
      </c>
      <c r="G18" s="758">
        <f>2</f>
        <v>2</v>
      </c>
      <c r="H18" s="1001">
        <v>21</v>
      </c>
      <c r="I18" s="1408">
        <f t="shared" si="0"/>
        <v>166.38461538461539</v>
      </c>
      <c r="J18" s="618">
        <f t="shared" si="1"/>
        <v>166.38461538461539</v>
      </c>
      <c r="K18" s="1001">
        <v>28</v>
      </c>
      <c r="L18" s="510">
        <f t="shared" si="2"/>
        <v>1.4855769230769231</v>
      </c>
      <c r="M18" s="618">
        <f t="shared" si="3"/>
        <v>41.596153846153847</v>
      </c>
      <c r="N18" s="1001">
        <v>0</v>
      </c>
      <c r="O18" s="510">
        <f t="shared" si="4"/>
        <v>1.9807692307692308</v>
      </c>
      <c r="P18" s="503">
        <f t="shared" si="5"/>
        <v>0</v>
      </c>
      <c r="Q18" s="1001">
        <v>24</v>
      </c>
      <c r="R18" s="510">
        <f t="shared" si="6"/>
        <v>1.9807692307692308</v>
      </c>
      <c r="S18" s="618">
        <f t="shared" si="7"/>
        <v>47.53846153846154</v>
      </c>
      <c r="T18" s="1001">
        <v>5</v>
      </c>
      <c r="U18" s="510">
        <f t="shared" si="8"/>
        <v>7.9230769230769234</v>
      </c>
      <c r="V18" s="618">
        <f t="shared" si="9"/>
        <v>39.615384615384613</v>
      </c>
      <c r="W18" s="1001">
        <v>1</v>
      </c>
      <c r="X18" s="618">
        <f>'S4 Salary'!T19*'S4'!W18</f>
        <v>11.376253240726941</v>
      </c>
      <c r="Y18" s="1001">
        <v>0</v>
      </c>
      <c r="Z18" s="510">
        <f t="shared" si="10"/>
        <v>3.9615384615384617</v>
      </c>
      <c r="AA18" s="618">
        <f t="shared" si="11"/>
        <v>0</v>
      </c>
      <c r="AB18" s="1001">
        <v>0</v>
      </c>
      <c r="AC18" s="1467">
        <f t="shared" si="12"/>
        <v>27</v>
      </c>
      <c r="AD18" s="1408">
        <v>0</v>
      </c>
      <c r="AE18" s="1121">
        <v>0</v>
      </c>
      <c r="AF18" s="1412">
        <f>4+4</f>
        <v>8</v>
      </c>
      <c r="AG18" s="762">
        <v>0</v>
      </c>
      <c r="AH18" s="618">
        <v>10</v>
      </c>
      <c r="AI18" s="788">
        <v>11</v>
      </c>
      <c r="AJ18" s="618">
        <v>10</v>
      </c>
      <c r="AK18" s="618">
        <v>10</v>
      </c>
      <c r="AL18" s="1148">
        <f t="shared" si="13"/>
        <v>357.51086862534231</v>
      </c>
      <c r="AM18" s="1274">
        <v>0.5</v>
      </c>
      <c r="AN18" s="1018">
        <v>102</v>
      </c>
      <c r="AO18" s="1096">
        <f>'Tax Calulation   '!P18</f>
        <v>0</v>
      </c>
      <c r="AP18" s="1096">
        <f>'Tax Calulation   '!W18</f>
        <v>5.9084194977843429</v>
      </c>
      <c r="AQ18" s="1686">
        <f t="shared" si="14"/>
        <v>249.10244912755797</v>
      </c>
      <c r="AR18" s="1682">
        <f t="shared" si="23"/>
        <v>198400</v>
      </c>
      <c r="AS18" s="1684">
        <f t="shared" si="24"/>
        <v>200</v>
      </c>
      <c r="AT18" s="612"/>
      <c r="AU18" s="763"/>
      <c r="AV18" s="764">
        <f>(J18+M18+P18+S18+V18+AA18+AH18+AI18+AJ18+AK18)*4000</f>
        <v>1344538.4615384615</v>
      </c>
      <c r="AW18" s="612">
        <f t="shared" si="15"/>
        <v>2</v>
      </c>
      <c r="AX18" s="612">
        <f t="shared" si="16"/>
        <v>0</v>
      </c>
      <c r="AY18" s="765">
        <f t="shared" si="25"/>
        <v>200</v>
      </c>
      <c r="AZ18" s="765">
        <f t="shared" si="17"/>
        <v>3</v>
      </c>
      <c r="BA18" s="766">
        <f t="shared" si="18"/>
        <v>4</v>
      </c>
      <c r="BB18" s="766">
        <f t="shared" si="19"/>
        <v>1</v>
      </c>
      <c r="BC18" s="766">
        <f t="shared" si="20"/>
        <v>3</v>
      </c>
      <c r="BD18" s="766">
        <f t="shared" si="21"/>
        <v>0</v>
      </c>
      <c r="BE18" s="766">
        <f t="shared" si="22"/>
        <v>4</v>
      </c>
      <c r="BF18" s="767">
        <f t="shared" si="26"/>
        <v>198400</v>
      </c>
      <c r="BH18" s="1417" t="s">
        <v>806</v>
      </c>
      <c r="BI18" s="1417" t="s">
        <v>573</v>
      </c>
      <c r="BJ18" s="1165">
        <v>28800</v>
      </c>
      <c r="BK18" s="1676" t="s">
        <v>621</v>
      </c>
      <c r="BL18" s="1676" t="s">
        <v>1801</v>
      </c>
    </row>
    <row r="19" spans="1:64" s="768" customFormat="1" ht="48" customHeight="1">
      <c r="A19" s="1369">
        <v>13</v>
      </c>
      <c r="B19" s="1419" t="s">
        <v>1614</v>
      </c>
      <c r="C19" s="1330" t="s">
        <v>1054</v>
      </c>
      <c r="D19" s="1841">
        <v>44573</v>
      </c>
      <c r="E19" s="1151" t="s">
        <v>260</v>
      </c>
      <c r="F19" s="758">
        <f>206</f>
        <v>206</v>
      </c>
      <c r="G19" s="758">
        <v>2</v>
      </c>
      <c r="H19" s="1001">
        <v>22</v>
      </c>
      <c r="I19" s="1408">
        <f t="shared" si="0"/>
        <v>174.30769230769232</v>
      </c>
      <c r="J19" s="618">
        <f t="shared" si="1"/>
        <v>174.30769230769232</v>
      </c>
      <c r="K19" s="1001">
        <v>66</v>
      </c>
      <c r="L19" s="510">
        <f t="shared" si="2"/>
        <v>1.4855769230769231</v>
      </c>
      <c r="M19" s="618">
        <f t="shared" si="3"/>
        <v>98.04807692307692</v>
      </c>
      <c r="N19" s="1001">
        <v>0</v>
      </c>
      <c r="O19" s="510">
        <f t="shared" si="4"/>
        <v>1.9807692307692308</v>
      </c>
      <c r="P19" s="503">
        <f t="shared" si="5"/>
        <v>0</v>
      </c>
      <c r="Q19" s="1001">
        <v>24</v>
      </c>
      <c r="R19" s="510">
        <f t="shared" si="6"/>
        <v>1.9807692307692308</v>
      </c>
      <c r="S19" s="618">
        <f t="shared" si="7"/>
        <v>47.53846153846154</v>
      </c>
      <c r="T19" s="1001">
        <v>5</v>
      </c>
      <c r="U19" s="510">
        <f t="shared" si="8"/>
        <v>7.9230769230769234</v>
      </c>
      <c r="V19" s="618">
        <f t="shared" si="9"/>
        <v>39.615384615384613</v>
      </c>
      <c r="W19" s="1001">
        <v>0</v>
      </c>
      <c r="X19" s="618">
        <f>'S4 Salary'!T20*'S4'!W19</f>
        <v>0</v>
      </c>
      <c r="Y19" s="1001">
        <v>0</v>
      </c>
      <c r="Z19" s="510">
        <f t="shared" si="10"/>
        <v>3.9615384615384617</v>
      </c>
      <c r="AA19" s="618">
        <f t="shared" si="11"/>
        <v>0</v>
      </c>
      <c r="AB19" s="1001">
        <v>0</v>
      </c>
      <c r="AC19" s="1467">
        <f t="shared" si="12"/>
        <v>27</v>
      </c>
      <c r="AD19" s="1408">
        <v>0</v>
      </c>
      <c r="AE19" s="1121">
        <v>0</v>
      </c>
      <c r="AF19" s="1412">
        <f>4+4</f>
        <v>8</v>
      </c>
      <c r="AG19" s="762">
        <v>0</v>
      </c>
      <c r="AH19" s="618">
        <v>10</v>
      </c>
      <c r="AI19" s="788">
        <v>3</v>
      </c>
      <c r="AJ19" s="618">
        <v>10</v>
      </c>
      <c r="AK19" s="618">
        <v>10</v>
      </c>
      <c r="AL19" s="1148">
        <f t="shared" si="13"/>
        <v>402.50961538461536</v>
      </c>
      <c r="AM19" s="1273">
        <v>0</v>
      </c>
      <c r="AN19" s="1018">
        <v>102</v>
      </c>
      <c r="AO19" s="1096">
        <f>'Tax Calulation   '!P19</f>
        <v>0</v>
      </c>
      <c r="AP19" s="1096">
        <f>'Tax Calulation   '!W19</f>
        <v>5.9084194977843429</v>
      </c>
      <c r="AQ19" s="1686">
        <f t="shared" si="14"/>
        <v>294.60119588683102</v>
      </c>
      <c r="AR19" s="1682">
        <f t="shared" si="23"/>
        <v>382200</v>
      </c>
      <c r="AS19" s="1684">
        <f t="shared" ref="AS19" si="71">CEILING(AQ19,(100))-100</f>
        <v>200</v>
      </c>
      <c r="AT19" s="612"/>
      <c r="AU19" s="763"/>
      <c r="AV19" s="764"/>
      <c r="AW19" s="612">
        <f t="shared" si="15"/>
        <v>2</v>
      </c>
      <c r="AX19" s="612">
        <f t="shared" si="16"/>
        <v>0</v>
      </c>
      <c r="AY19" s="765">
        <f t="shared" ref="AY19" si="72">AW19*100+AX19*50</f>
        <v>200</v>
      </c>
      <c r="AZ19" s="765">
        <f t="shared" si="17"/>
        <v>7</v>
      </c>
      <c r="BA19" s="766">
        <f t="shared" si="18"/>
        <v>3</v>
      </c>
      <c r="BB19" s="766">
        <f t="shared" si="19"/>
        <v>0</v>
      </c>
      <c r="BC19" s="766">
        <f t="shared" si="20"/>
        <v>2</v>
      </c>
      <c r="BD19" s="766">
        <f t="shared" si="21"/>
        <v>0</v>
      </c>
      <c r="BE19" s="766">
        <f t="shared" si="22"/>
        <v>2</v>
      </c>
      <c r="BF19" s="767">
        <f t="shared" ref="BF19" si="73">AZ19*50000+BA19*10000+BB19*5000+BC19*1000+BD19*500+BE19*100</f>
        <v>382200</v>
      </c>
      <c r="BH19" s="1095" t="s">
        <v>1328</v>
      </c>
      <c r="BI19" s="1417" t="s">
        <v>572</v>
      </c>
      <c r="BJ19" s="1165">
        <v>29981</v>
      </c>
      <c r="BK19" s="1677" t="s">
        <v>1329</v>
      </c>
      <c r="BL19" s="1676" t="s">
        <v>1324</v>
      </c>
    </row>
    <row r="20" spans="1:64" s="768" customFormat="1" ht="48" customHeight="1">
      <c r="A20" s="1369">
        <v>14</v>
      </c>
      <c r="B20" s="1595" t="s">
        <v>1196</v>
      </c>
      <c r="C20" s="1855" t="s">
        <v>500</v>
      </c>
      <c r="D20" s="1851">
        <v>41334</v>
      </c>
      <c r="E20" s="1151" t="s">
        <v>1113</v>
      </c>
      <c r="F20" s="758">
        <f>13+210+17+12+8+2+10</f>
        <v>272</v>
      </c>
      <c r="G20" s="758">
        <f>50+20+2</f>
        <v>72</v>
      </c>
      <c r="H20" s="1001">
        <v>20</v>
      </c>
      <c r="I20" s="1408">
        <f t="shared" si="0"/>
        <v>209.23076923076923</v>
      </c>
      <c r="J20" s="618">
        <f t="shared" si="1"/>
        <v>209.23076923076923</v>
      </c>
      <c r="K20" s="1001">
        <v>55</v>
      </c>
      <c r="L20" s="510">
        <f t="shared" si="2"/>
        <v>1.9615384615384617</v>
      </c>
      <c r="M20" s="618">
        <f t="shared" si="3"/>
        <v>107.88461538461539</v>
      </c>
      <c r="N20" s="1001">
        <v>0</v>
      </c>
      <c r="O20" s="510">
        <f t="shared" si="4"/>
        <v>2.6153846153846154</v>
      </c>
      <c r="P20" s="503">
        <f t="shared" si="5"/>
        <v>0</v>
      </c>
      <c r="Q20" s="1001">
        <v>16</v>
      </c>
      <c r="R20" s="510">
        <f t="shared" si="6"/>
        <v>2.6153846153846154</v>
      </c>
      <c r="S20" s="618">
        <f t="shared" si="7"/>
        <v>41.846153846153847</v>
      </c>
      <c r="T20" s="1001">
        <v>5</v>
      </c>
      <c r="U20" s="510">
        <f t="shared" si="8"/>
        <v>10.461538461538462</v>
      </c>
      <c r="V20" s="618">
        <f t="shared" si="9"/>
        <v>52.307692307692307</v>
      </c>
      <c r="W20" s="1001">
        <v>2</v>
      </c>
      <c r="X20" s="618">
        <f>'S4 Salary'!T21*'S4'!W20</f>
        <v>33.771654354999825</v>
      </c>
      <c r="Y20" s="1001">
        <v>0</v>
      </c>
      <c r="Z20" s="510">
        <f t="shared" si="10"/>
        <v>5.2307692307692308</v>
      </c>
      <c r="AA20" s="618">
        <f t="shared" si="11"/>
        <v>0</v>
      </c>
      <c r="AB20" s="1001">
        <v>0</v>
      </c>
      <c r="AC20" s="1467">
        <f t="shared" si="12"/>
        <v>27</v>
      </c>
      <c r="AD20" s="1408">
        <v>0</v>
      </c>
      <c r="AE20" s="1121">
        <v>0</v>
      </c>
      <c r="AF20" s="1412">
        <v>4</v>
      </c>
      <c r="AG20" s="762">
        <v>0</v>
      </c>
      <c r="AH20" s="618">
        <v>10</v>
      </c>
      <c r="AI20" s="788">
        <v>11</v>
      </c>
      <c r="AJ20" s="618">
        <v>10</v>
      </c>
      <c r="AK20" s="618">
        <v>10</v>
      </c>
      <c r="AL20" s="1148">
        <f t="shared" si="13"/>
        <v>562.04088512423061</v>
      </c>
      <c r="AM20" s="1273">
        <v>0</v>
      </c>
      <c r="AN20" s="1018">
        <v>102</v>
      </c>
      <c r="AO20" s="1096">
        <f>'Tax Calulation   '!P20</f>
        <v>6.8382588718519166</v>
      </c>
      <c r="AP20" s="1096">
        <f>'Tax Calulation   '!W20</f>
        <v>5.9084194977843429</v>
      </c>
      <c r="AQ20" s="1686">
        <f t="shared" si="14"/>
        <v>447.29420675459431</v>
      </c>
      <c r="AR20" s="1682">
        <f t="shared" si="23"/>
        <v>191100</v>
      </c>
      <c r="AS20" s="1684">
        <f t="shared" si="24"/>
        <v>400</v>
      </c>
      <c r="AT20" s="612"/>
      <c r="AU20" s="763"/>
      <c r="AV20" s="764">
        <f>(J20+M20+P20+S20+V20+AA20+AH20+AI20+AJ20+AK20)*4000</f>
        <v>1809076.9230769232</v>
      </c>
      <c r="AW20" s="612">
        <f t="shared" si="15"/>
        <v>4</v>
      </c>
      <c r="AX20" s="612">
        <f t="shared" si="16"/>
        <v>0</v>
      </c>
      <c r="AY20" s="765">
        <f t="shared" si="25"/>
        <v>400</v>
      </c>
      <c r="AZ20" s="765">
        <f t="shared" si="17"/>
        <v>3</v>
      </c>
      <c r="BA20" s="766">
        <f t="shared" si="18"/>
        <v>4</v>
      </c>
      <c r="BB20" s="766">
        <f t="shared" si="19"/>
        <v>0</v>
      </c>
      <c r="BC20" s="766">
        <f t="shared" si="20"/>
        <v>1</v>
      </c>
      <c r="BD20" s="766">
        <f t="shared" si="21"/>
        <v>0</v>
      </c>
      <c r="BE20" s="766">
        <f t="shared" si="22"/>
        <v>1</v>
      </c>
      <c r="BF20" s="767">
        <f t="shared" si="26"/>
        <v>191100</v>
      </c>
      <c r="BH20" s="1417" t="s">
        <v>807</v>
      </c>
      <c r="BI20" s="1417" t="s">
        <v>573</v>
      </c>
      <c r="BJ20" s="1165">
        <v>30011</v>
      </c>
      <c r="BK20" s="1676" t="s">
        <v>622</v>
      </c>
      <c r="BL20" s="1676">
        <v>20440991</v>
      </c>
    </row>
    <row r="21" spans="1:64" s="768" customFormat="1" ht="48" customHeight="1">
      <c r="A21" s="1369">
        <v>15</v>
      </c>
      <c r="B21" s="1595" t="s">
        <v>1197</v>
      </c>
      <c r="C21" s="1855" t="s">
        <v>808</v>
      </c>
      <c r="D21" s="1851">
        <v>42600</v>
      </c>
      <c r="E21" s="1151" t="s">
        <v>741</v>
      </c>
      <c r="F21" s="758">
        <f>196+8+2</f>
        <v>206</v>
      </c>
      <c r="G21" s="758">
        <f>2</f>
        <v>2</v>
      </c>
      <c r="H21" s="1001">
        <v>21</v>
      </c>
      <c r="I21" s="1408">
        <f t="shared" si="0"/>
        <v>166.38461538461539</v>
      </c>
      <c r="J21" s="618">
        <f t="shared" si="1"/>
        <v>166.38461538461539</v>
      </c>
      <c r="K21" s="1001">
        <v>60</v>
      </c>
      <c r="L21" s="510">
        <f t="shared" si="2"/>
        <v>1.4855769230769231</v>
      </c>
      <c r="M21" s="618">
        <f t="shared" si="3"/>
        <v>89.134615384615387</v>
      </c>
      <c r="N21" s="1001">
        <v>0</v>
      </c>
      <c r="O21" s="510">
        <f t="shared" si="4"/>
        <v>1.9807692307692308</v>
      </c>
      <c r="P21" s="503">
        <f t="shared" si="5"/>
        <v>0</v>
      </c>
      <c r="Q21" s="1001">
        <v>24</v>
      </c>
      <c r="R21" s="510">
        <f t="shared" si="6"/>
        <v>1.9807692307692308</v>
      </c>
      <c r="S21" s="618">
        <f t="shared" si="7"/>
        <v>47.53846153846154</v>
      </c>
      <c r="T21" s="1001">
        <v>6</v>
      </c>
      <c r="U21" s="510">
        <f t="shared" si="8"/>
        <v>7.9230769230769234</v>
      </c>
      <c r="V21" s="618">
        <f t="shared" si="9"/>
        <v>47.53846153846154</v>
      </c>
      <c r="W21" s="1001">
        <v>0</v>
      </c>
      <c r="X21" s="618">
        <f>'S4 Salary'!T22*'S4'!W21</f>
        <v>0</v>
      </c>
      <c r="Y21" s="1001">
        <v>0</v>
      </c>
      <c r="Z21" s="510">
        <f t="shared" si="10"/>
        <v>3.9615384615384617</v>
      </c>
      <c r="AA21" s="618">
        <f t="shared" si="11"/>
        <v>0</v>
      </c>
      <c r="AB21" s="1001">
        <v>0</v>
      </c>
      <c r="AC21" s="1467">
        <f t="shared" si="12"/>
        <v>27</v>
      </c>
      <c r="AD21" s="1408">
        <v>0</v>
      </c>
      <c r="AE21" s="1121">
        <v>0</v>
      </c>
      <c r="AF21" s="1412">
        <f>4+4</f>
        <v>8</v>
      </c>
      <c r="AG21" s="762">
        <v>0</v>
      </c>
      <c r="AH21" s="618">
        <v>10</v>
      </c>
      <c r="AI21" s="788">
        <v>9</v>
      </c>
      <c r="AJ21" s="618">
        <v>10</v>
      </c>
      <c r="AK21" s="618">
        <v>10</v>
      </c>
      <c r="AL21" s="1148">
        <f t="shared" si="13"/>
        <v>399.59615384615387</v>
      </c>
      <c r="AM21" s="1273">
        <v>0</v>
      </c>
      <c r="AN21" s="1018">
        <v>102</v>
      </c>
      <c r="AO21" s="1096">
        <f>'Tax Calulation   '!P21</f>
        <v>0</v>
      </c>
      <c r="AP21" s="1096">
        <f>'Tax Calulation   '!W21</f>
        <v>5.9084194977843429</v>
      </c>
      <c r="AQ21" s="1686">
        <f t="shared" si="14"/>
        <v>291.68773434836953</v>
      </c>
      <c r="AR21" s="1682">
        <f t="shared" si="23"/>
        <v>370400</v>
      </c>
      <c r="AS21" s="1684">
        <f t="shared" si="24"/>
        <v>200</v>
      </c>
      <c r="AT21" s="612"/>
      <c r="AU21" s="763"/>
      <c r="AV21" s="764">
        <f>(J21+M21+P21+S21+V21+AA21+AH21+AI21+AJ21+AK21)*4000</f>
        <v>1558384.6153846155</v>
      </c>
      <c r="AW21" s="612">
        <f t="shared" si="15"/>
        <v>2</v>
      </c>
      <c r="AX21" s="612">
        <f t="shared" si="16"/>
        <v>0</v>
      </c>
      <c r="AY21" s="765">
        <f t="shared" si="25"/>
        <v>200</v>
      </c>
      <c r="AZ21" s="765">
        <f t="shared" si="17"/>
        <v>7</v>
      </c>
      <c r="BA21" s="766">
        <f t="shared" si="18"/>
        <v>2</v>
      </c>
      <c r="BB21" s="766">
        <f t="shared" si="19"/>
        <v>0</v>
      </c>
      <c r="BC21" s="766">
        <f t="shared" si="20"/>
        <v>0</v>
      </c>
      <c r="BD21" s="766">
        <f t="shared" si="21"/>
        <v>0</v>
      </c>
      <c r="BE21" s="766">
        <f t="shared" si="22"/>
        <v>4</v>
      </c>
      <c r="BF21" s="767">
        <f t="shared" si="26"/>
        <v>370400</v>
      </c>
      <c r="BH21" s="1417" t="s">
        <v>809</v>
      </c>
      <c r="BI21" s="1417" t="s">
        <v>573</v>
      </c>
      <c r="BJ21" s="1165">
        <v>34711</v>
      </c>
      <c r="BK21" s="1676" t="s">
        <v>623</v>
      </c>
      <c r="BL21" s="1676">
        <v>20926183</v>
      </c>
    </row>
    <row r="22" spans="1:64" s="768" customFormat="1" ht="48" customHeight="1">
      <c r="A22" s="1369">
        <v>16</v>
      </c>
      <c r="B22" s="1419" t="s">
        <v>1345</v>
      </c>
      <c r="C22" s="1448" t="s">
        <v>1349</v>
      </c>
      <c r="D22" s="1851">
        <v>44594</v>
      </c>
      <c r="E22" s="1151" t="s">
        <v>741</v>
      </c>
      <c r="F22" s="758">
        <f>206</f>
        <v>206</v>
      </c>
      <c r="G22" s="758">
        <v>2</v>
      </c>
      <c r="H22" s="1001">
        <v>14</v>
      </c>
      <c r="I22" s="1408">
        <f t="shared" si="0"/>
        <v>110.92307692307693</v>
      </c>
      <c r="J22" s="618">
        <f t="shared" si="1"/>
        <v>110.92307692307693</v>
      </c>
      <c r="K22" s="1001">
        <v>16</v>
      </c>
      <c r="L22" s="510">
        <f t="shared" si="2"/>
        <v>1.4855769230769231</v>
      </c>
      <c r="M22" s="618">
        <f t="shared" si="3"/>
        <v>23.76923076923077</v>
      </c>
      <c r="N22" s="1001">
        <v>0</v>
      </c>
      <c r="O22" s="510">
        <f t="shared" si="4"/>
        <v>1.9807692307692308</v>
      </c>
      <c r="P22" s="503">
        <f t="shared" si="5"/>
        <v>0</v>
      </c>
      <c r="Q22" s="1001">
        <v>4</v>
      </c>
      <c r="R22" s="510">
        <f t="shared" si="6"/>
        <v>1.9807692307692308</v>
      </c>
      <c r="S22" s="618">
        <f t="shared" si="7"/>
        <v>7.9230769230769234</v>
      </c>
      <c r="T22" s="1001">
        <v>6.5</v>
      </c>
      <c r="U22" s="510">
        <f t="shared" si="8"/>
        <v>7.9230769230769234</v>
      </c>
      <c r="V22" s="618">
        <f t="shared" si="9"/>
        <v>51.5</v>
      </c>
      <c r="W22" s="1001">
        <v>0</v>
      </c>
      <c r="X22" s="618">
        <f>'S4 Salary'!T23*'S4'!W22</f>
        <v>0</v>
      </c>
      <c r="Y22" s="1001">
        <v>0</v>
      </c>
      <c r="Z22" s="510">
        <f t="shared" si="10"/>
        <v>3.9615384615384617</v>
      </c>
      <c r="AA22" s="618">
        <f t="shared" si="11"/>
        <v>0</v>
      </c>
      <c r="AB22" s="1001">
        <v>6.5</v>
      </c>
      <c r="AC22" s="1467">
        <f t="shared" si="12"/>
        <v>27</v>
      </c>
      <c r="AD22" s="1408">
        <v>0</v>
      </c>
      <c r="AE22" s="1121">
        <v>0</v>
      </c>
      <c r="AF22" s="1412">
        <v>8</v>
      </c>
      <c r="AG22" s="762">
        <v>0</v>
      </c>
      <c r="AH22" s="618">
        <v>0</v>
      </c>
      <c r="AI22" s="788">
        <v>3</v>
      </c>
      <c r="AJ22" s="618">
        <v>10</v>
      </c>
      <c r="AK22" s="618">
        <v>10</v>
      </c>
      <c r="AL22" s="1148">
        <f t="shared" si="13"/>
        <v>227.11538461538464</v>
      </c>
      <c r="AM22" s="1273">
        <v>0</v>
      </c>
      <c r="AN22" s="1018">
        <v>102</v>
      </c>
      <c r="AO22" s="1096">
        <f>'Tax Calulation   '!P22</f>
        <v>0</v>
      </c>
      <c r="AP22" s="1096">
        <f>'Tax Calulation   '!W22</f>
        <v>4.542307692307693</v>
      </c>
      <c r="AQ22" s="1686">
        <f t="shared" si="14"/>
        <v>120.57307692307695</v>
      </c>
      <c r="AR22" s="1682">
        <f t="shared" si="23"/>
        <v>83100</v>
      </c>
      <c r="AS22" s="1684">
        <f t="shared" ref="AS22:AS24" si="74">CEILING(AQ22,(100))-100</f>
        <v>100</v>
      </c>
      <c r="AT22" s="612"/>
      <c r="AU22" s="763"/>
      <c r="AV22" s="764"/>
      <c r="AW22" s="612">
        <f t="shared" si="15"/>
        <v>1</v>
      </c>
      <c r="AX22" s="612">
        <f t="shared" si="16"/>
        <v>0</v>
      </c>
      <c r="AY22" s="765">
        <f t="shared" ref="AY22:AY25" si="75">AW22*100+AX22*50</f>
        <v>100</v>
      </c>
      <c r="AZ22" s="765">
        <f t="shared" si="17"/>
        <v>1</v>
      </c>
      <c r="BA22" s="766">
        <f t="shared" si="18"/>
        <v>3</v>
      </c>
      <c r="BB22" s="766">
        <f t="shared" si="19"/>
        <v>0</v>
      </c>
      <c r="BC22" s="766">
        <f t="shared" si="20"/>
        <v>3</v>
      </c>
      <c r="BD22" s="766">
        <f t="shared" si="21"/>
        <v>0</v>
      </c>
      <c r="BE22" s="766">
        <f t="shared" si="22"/>
        <v>1</v>
      </c>
      <c r="BF22" s="767">
        <f t="shared" ref="BF22:BF25" si="76">AZ22*50000+BA22*10000+BB22*5000+BC22*1000+BD22*500+BE22*100</f>
        <v>83100</v>
      </c>
      <c r="BH22" s="1676" t="s">
        <v>1387</v>
      </c>
      <c r="BI22" s="1417" t="s">
        <v>572</v>
      </c>
      <c r="BJ22" s="1165">
        <v>31411</v>
      </c>
      <c r="BK22" s="1675" t="s">
        <v>1388</v>
      </c>
      <c r="BL22" s="1676" t="s">
        <v>1389</v>
      </c>
    </row>
    <row r="23" spans="1:64" s="768" customFormat="1" ht="48" customHeight="1">
      <c r="A23" s="1369">
        <v>17</v>
      </c>
      <c r="B23" s="1419" t="s">
        <v>1346</v>
      </c>
      <c r="C23" s="1448" t="s">
        <v>1348</v>
      </c>
      <c r="D23" s="1851">
        <v>44595</v>
      </c>
      <c r="E23" s="1151" t="s">
        <v>741</v>
      </c>
      <c r="F23" s="758">
        <f>201+3</f>
        <v>204</v>
      </c>
      <c r="G23" s="758">
        <v>2</v>
      </c>
      <c r="H23" s="1001">
        <v>22</v>
      </c>
      <c r="I23" s="1408">
        <f t="shared" si="0"/>
        <v>172.61538461538461</v>
      </c>
      <c r="J23" s="618">
        <f t="shared" si="1"/>
        <v>172.61538461538461</v>
      </c>
      <c r="K23" s="1001">
        <v>53</v>
      </c>
      <c r="L23" s="510">
        <f t="shared" si="2"/>
        <v>1.471153846153846</v>
      </c>
      <c r="M23" s="618">
        <f t="shared" si="3"/>
        <v>77.97115384615384</v>
      </c>
      <c r="N23" s="1001">
        <v>0</v>
      </c>
      <c r="O23" s="510">
        <f t="shared" si="4"/>
        <v>1.9615384615384615</v>
      </c>
      <c r="P23" s="503">
        <f t="shared" si="5"/>
        <v>0</v>
      </c>
      <c r="Q23" s="1001">
        <v>24</v>
      </c>
      <c r="R23" s="510">
        <f t="shared" si="6"/>
        <v>1.9615384615384615</v>
      </c>
      <c r="S23" s="618">
        <f t="shared" si="7"/>
        <v>47.076923076923073</v>
      </c>
      <c r="T23" s="1001">
        <v>5</v>
      </c>
      <c r="U23" s="510">
        <f t="shared" si="8"/>
        <v>7.8461538461538458</v>
      </c>
      <c r="V23" s="618">
        <f t="shared" si="9"/>
        <v>39.230769230769226</v>
      </c>
      <c r="W23" s="1001">
        <v>0</v>
      </c>
      <c r="X23" s="618">
        <f>'S4 Salary'!T24*'S4'!W23</f>
        <v>0</v>
      </c>
      <c r="Y23" s="1001">
        <v>0</v>
      </c>
      <c r="Z23" s="510">
        <f t="shared" si="10"/>
        <v>3.9230769230769229</v>
      </c>
      <c r="AA23" s="618">
        <f t="shared" si="11"/>
        <v>0</v>
      </c>
      <c r="AB23" s="1001">
        <v>0</v>
      </c>
      <c r="AC23" s="1467">
        <f t="shared" si="12"/>
        <v>27</v>
      </c>
      <c r="AD23" s="1408">
        <v>0</v>
      </c>
      <c r="AE23" s="1121">
        <v>0</v>
      </c>
      <c r="AF23" s="1412">
        <f>4+1</f>
        <v>5</v>
      </c>
      <c r="AG23" s="762">
        <v>0</v>
      </c>
      <c r="AH23" s="618">
        <v>10</v>
      </c>
      <c r="AI23" s="788">
        <v>3</v>
      </c>
      <c r="AJ23" s="618">
        <v>10</v>
      </c>
      <c r="AK23" s="618">
        <v>10</v>
      </c>
      <c r="AL23" s="1148">
        <f t="shared" si="13"/>
        <v>376.89423076923077</v>
      </c>
      <c r="AM23" s="1273">
        <v>0</v>
      </c>
      <c r="AN23" s="1018">
        <v>102</v>
      </c>
      <c r="AO23" s="1096">
        <f>'Tax Calulation   '!P23</f>
        <v>0</v>
      </c>
      <c r="AP23" s="1096">
        <f>'Tax Calulation   '!W23</f>
        <v>5.9084194977843429</v>
      </c>
      <c r="AQ23" s="1686">
        <f t="shared" si="14"/>
        <v>268.98581127144644</v>
      </c>
      <c r="AR23" s="1682">
        <f t="shared" si="23"/>
        <v>278700</v>
      </c>
      <c r="AS23" s="1684">
        <f t="shared" si="74"/>
        <v>200</v>
      </c>
      <c r="AT23" s="612"/>
      <c r="AU23" s="763"/>
      <c r="AV23" s="764"/>
      <c r="AW23" s="612">
        <f t="shared" si="15"/>
        <v>2</v>
      </c>
      <c r="AX23" s="612">
        <f t="shared" si="16"/>
        <v>0</v>
      </c>
      <c r="AY23" s="765">
        <f t="shared" si="75"/>
        <v>200</v>
      </c>
      <c r="AZ23" s="765">
        <f t="shared" si="17"/>
        <v>5</v>
      </c>
      <c r="BA23" s="766">
        <f t="shared" si="18"/>
        <v>2</v>
      </c>
      <c r="BB23" s="766">
        <f t="shared" si="19"/>
        <v>1</v>
      </c>
      <c r="BC23" s="766">
        <f t="shared" si="20"/>
        <v>3</v>
      </c>
      <c r="BD23" s="766">
        <f t="shared" si="21"/>
        <v>1</v>
      </c>
      <c r="BE23" s="766">
        <f t="shared" si="22"/>
        <v>2</v>
      </c>
      <c r="BF23" s="767">
        <f t="shared" si="76"/>
        <v>278700</v>
      </c>
      <c r="BH23" s="1676" t="s">
        <v>1392</v>
      </c>
      <c r="BI23" s="1417" t="s">
        <v>572</v>
      </c>
      <c r="BJ23" s="1165">
        <v>35956</v>
      </c>
      <c r="BK23" s="1675" t="s">
        <v>1390</v>
      </c>
      <c r="BL23" s="1675" t="s">
        <v>1391</v>
      </c>
    </row>
    <row r="24" spans="1:64" s="768" customFormat="1" ht="48" customHeight="1">
      <c r="A24" s="1369">
        <v>18</v>
      </c>
      <c r="B24" s="1419" t="s">
        <v>1347</v>
      </c>
      <c r="C24" s="1448" t="s">
        <v>1350</v>
      </c>
      <c r="D24" s="1851">
        <v>44604</v>
      </c>
      <c r="E24" s="1151" t="s">
        <v>741</v>
      </c>
      <c r="F24" s="758">
        <f>201+3</f>
        <v>204</v>
      </c>
      <c r="G24" s="758">
        <v>2</v>
      </c>
      <c r="H24" s="1001">
        <v>22</v>
      </c>
      <c r="I24" s="1408">
        <f t="shared" si="0"/>
        <v>172.61538461538461</v>
      </c>
      <c r="J24" s="618">
        <f t="shared" si="1"/>
        <v>172.61538461538461</v>
      </c>
      <c r="K24" s="1001">
        <v>60</v>
      </c>
      <c r="L24" s="510">
        <f t="shared" si="2"/>
        <v>1.471153846153846</v>
      </c>
      <c r="M24" s="618">
        <f t="shared" si="3"/>
        <v>88.269230769230759</v>
      </c>
      <c r="N24" s="1001">
        <v>0</v>
      </c>
      <c r="O24" s="510">
        <f t="shared" si="4"/>
        <v>1.9615384615384615</v>
      </c>
      <c r="P24" s="503">
        <f t="shared" si="5"/>
        <v>0</v>
      </c>
      <c r="Q24" s="1001">
        <v>24</v>
      </c>
      <c r="R24" s="510">
        <f t="shared" si="6"/>
        <v>1.9615384615384615</v>
      </c>
      <c r="S24" s="618">
        <f t="shared" si="7"/>
        <v>47.076923076923073</v>
      </c>
      <c r="T24" s="1001">
        <v>5</v>
      </c>
      <c r="U24" s="510">
        <f t="shared" si="8"/>
        <v>7.8461538461538458</v>
      </c>
      <c r="V24" s="618">
        <f t="shared" si="9"/>
        <v>39.230769230769226</v>
      </c>
      <c r="W24" s="1001">
        <v>0</v>
      </c>
      <c r="X24" s="618">
        <f>'S4 Salary'!T25*'S4'!W24</f>
        <v>0</v>
      </c>
      <c r="Y24" s="1001">
        <v>0</v>
      </c>
      <c r="Z24" s="510">
        <f t="shared" si="10"/>
        <v>3.9230769230769229</v>
      </c>
      <c r="AA24" s="618">
        <f t="shared" si="11"/>
        <v>0</v>
      </c>
      <c r="AB24" s="1001">
        <v>0</v>
      </c>
      <c r="AC24" s="1467">
        <f t="shared" si="12"/>
        <v>27</v>
      </c>
      <c r="AD24" s="1408">
        <v>0</v>
      </c>
      <c r="AE24" s="1121">
        <v>0</v>
      </c>
      <c r="AF24" s="1412">
        <f>4+1</f>
        <v>5</v>
      </c>
      <c r="AG24" s="762">
        <v>0</v>
      </c>
      <c r="AH24" s="618">
        <v>10</v>
      </c>
      <c r="AI24" s="788">
        <v>3</v>
      </c>
      <c r="AJ24" s="618">
        <v>10</v>
      </c>
      <c r="AK24" s="618">
        <v>10</v>
      </c>
      <c r="AL24" s="1148">
        <f t="shared" si="13"/>
        <v>387.19230769230768</v>
      </c>
      <c r="AM24" s="1273">
        <v>0</v>
      </c>
      <c r="AN24" s="1018">
        <v>102</v>
      </c>
      <c r="AO24" s="1096">
        <f>'Tax Calulation   '!P24</f>
        <v>0</v>
      </c>
      <c r="AP24" s="1096">
        <f>'Tax Calulation   '!W24</f>
        <v>5.9084194977843429</v>
      </c>
      <c r="AQ24" s="1686">
        <f t="shared" si="14"/>
        <v>279.28388819452334</v>
      </c>
      <c r="AR24" s="1682">
        <f t="shared" si="23"/>
        <v>320300</v>
      </c>
      <c r="AS24" s="1684">
        <f t="shared" si="74"/>
        <v>200</v>
      </c>
      <c r="AT24" s="612"/>
      <c r="AU24" s="763"/>
      <c r="AV24" s="764"/>
      <c r="AW24" s="612">
        <f t="shared" si="15"/>
        <v>2</v>
      </c>
      <c r="AX24" s="612">
        <f t="shared" si="16"/>
        <v>0</v>
      </c>
      <c r="AY24" s="765">
        <f t="shared" si="75"/>
        <v>200</v>
      </c>
      <c r="AZ24" s="765">
        <f t="shared" si="17"/>
        <v>6</v>
      </c>
      <c r="BA24" s="766">
        <f t="shared" si="18"/>
        <v>2</v>
      </c>
      <c r="BB24" s="766">
        <f t="shared" si="19"/>
        <v>0</v>
      </c>
      <c r="BC24" s="766">
        <f t="shared" si="20"/>
        <v>0</v>
      </c>
      <c r="BD24" s="766">
        <f t="shared" si="21"/>
        <v>0</v>
      </c>
      <c r="BE24" s="766">
        <f t="shared" si="22"/>
        <v>3</v>
      </c>
      <c r="BF24" s="767">
        <f t="shared" si="76"/>
        <v>320300</v>
      </c>
      <c r="BH24" s="1417" t="s">
        <v>1393</v>
      </c>
      <c r="BI24" s="1417" t="s">
        <v>572</v>
      </c>
      <c r="BJ24" s="1165">
        <v>36895</v>
      </c>
      <c r="BK24" s="1675" t="s">
        <v>1394</v>
      </c>
      <c r="BL24" s="1676" t="s">
        <v>1395</v>
      </c>
    </row>
    <row r="25" spans="1:64" s="768" customFormat="1" ht="48" customHeight="1">
      <c r="A25" s="1369">
        <v>19</v>
      </c>
      <c r="B25" s="1419" t="s">
        <v>2177</v>
      </c>
      <c r="C25" s="1448" t="s">
        <v>2178</v>
      </c>
      <c r="D25" s="1851">
        <v>44621</v>
      </c>
      <c r="E25" s="614" t="s">
        <v>2179</v>
      </c>
      <c r="F25" s="758">
        <f>206</f>
        <v>206</v>
      </c>
      <c r="G25" s="758">
        <v>2</v>
      </c>
      <c r="H25" s="1001">
        <v>21</v>
      </c>
      <c r="I25" s="1408">
        <f t="shared" si="0"/>
        <v>166.38461538461539</v>
      </c>
      <c r="J25" s="618">
        <f t="shared" si="1"/>
        <v>166.38461538461539</v>
      </c>
      <c r="K25" s="1001">
        <v>55</v>
      </c>
      <c r="L25" s="510">
        <f t="shared" ref="L25" si="77">F25/26/8*1.5</f>
        <v>1.4855769230769231</v>
      </c>
      <c r="M25" s="618">
        <f t="shared" si="3"/>
        <v>81.706730769230774</v>
      </c>
      <c r="N25" s="1001">
        <v>0</v>
      </c>
      <c r="O25" s="510">
        <f t="shared" ref="O25" si="78">F25/26/8*2</f>
        <v>1.9807692307692308</v>
      </c>
      <c r="P25" s="503">
        <f t="shared" ref="P25" si="79">N25*O25</f>
        <v>0</v>
      </c>
      <c r="Q25" s="1001">
        <v>20</v>
      </c>
      <c r="R25" s="510">
        <f t="shared" ref="R25" si="80">F25/26/8*2</f>
        <v>1.9807692307692308</v>
      </c>
      <c r="S25" s="618">
        <f t="shared" ref="S25" si="81">R25*Q25</f>
        <v>39.615384615384613</v>
      </c>
      <c r="T25" s="1001">
        <v>5.5</v>
      </c>
      <c r="U25" s="510">
        <f t="shared" ref="U25" si="82">F25/26</f>
        <v>7.9230769230769234</v>
      </c>
      <c r="V25" s="618">
        <f t="shared" si="9"/>
        <v>43.57692307692308</v>
      </c>
      <c r="W25" s="1001">
        <v>0.5</v>
      </c>
      <c r="X25" s="618">
        <f>'S4 Salary'!T26*'S4'!W25</f>
        <v>6.8680951332503355</v>
      </c>
      <c r="Y25" s="1001">
        <v>0</v>
      </c>
      <c r="Z25" s="510">
        <f t="shared" ref="Z25" si="83">F25/26/2</f>
        <v>3.9615384615384617</v>
      </c>
      <c r="AA25" s="618">
        <f t="shared" si="11"/>
        <v>0</v>
      </c>
      <c r="AB25" s="1001">
        <v>0</v>
      </c>
      <c r="AC25" s="1467">
        <f t="shared" si="12"/>
        <v>27</v>
      </c>
      <c r="AD25" s="1408">
        <v>0</v>
      </c>
      <c r="AE25" s="1121">
        <v>0</v>
      </c>
      <c r="AF25" s="1412">
        <v>8</v>
      </c>
      <c r="AG25" s="762">
        <v>0</v>
      </c>
      <c r="AH25" s="618">
        <v>10</v>
      </c>
      <c r="AI25" s="788">
        <v>3</v>
      </c>
      <c r="AJ25" s="618">
        <v>10</v>
      </c>
      <c r="AK25" s="618">
        <v>10</v>
      </c>
      <c r="AL25" s="1148">
        <f t="shared" si="13"/>
        <v>381.1517489794042</v>
      </c>
      <c r="AM25" s="1273">
        <v>0</v>
      </c>
      <c r="AN25" s="1018">
        <v>102</v>
      </c>
      <c r="AO25" s="1096">
        <f>'Tax Calulation   '!P25</f>
        <v>0</v>
      </c>
      <c r="AP25" s="1096">
        <f>'Tax Calulation   '!W25</f>
        <v>5.9084194977843429</v>
      </c>
      <c r="AQ25" s="1686">
        <f t="shared" si="14"/>
        <v>273.24332948161987</v>
      </c>
      <c r="AR25" s="1682">
        <f t="shared" si="23"/>
        <v>295900</v>
      </c>
      <c r="AS25" s="1684">
        <f t="shared" ref="AS25" si="84">CEILING(AQ25,(100))-100</f>
        <v>200</v>
      </c>
      <c r="AT25" s="612"/>
      <c r="AU25" s="763"/>
      <c r="AV25" s="764"/>
      <c r="AW25" s="612">
        <f t="shared" ref="AW25" si="85">INT(AS25/100)</f>
        <v>2</v>
      </c>
      <c r="AX25" s="612">
        <f t="shared" ref="AX25" si="86">INT((AS25-AW25*100)/50)</f>
        <v>0</v>
      </c>
      <c r="AY25" s="765">
        <f t="shared" si="75"/>
        <v>200</v>
      </c>
      <c r="AZ25" s="765">
        <f t="shared" ref="AZ25" si="87">INT((AR25/50000))</f>
        <v>5</v>
      </c>
      <c r="BA25" s="766">
        <f t="shared" ref="BA25" si="88">INT((AR25-AZ25*50000)/10000)</f>
        <v>4</v>
      </c>
      <c r="BB25" s="766">
        <f t="shared" ref="BB25" si="89">INT((AR25-AZ25*50000-BA25*10000)/5000)</f>
        <v>1</v>
      </c>
      <c r="BC25" s="766">
        <f t="shared" ref="BC25" si="90">INT((AR25-AZ25*50000-BA25*10000-BB25*5000)/1000)</f>
        <v>0</v>
      </c>
      <c r="BD25" s="766">
        <f t="shared" ref="BD25" si="91">INT((AR25-AZ25*50000-BA25*10000-BB25*5000-BC25*1000)/500)</f>
        <v>1</v>
      </c>
      <c r="BE25" s="766">
        <f t="shared" ref="BE25" si="92">INT((AR25-AZ25*50000-BA25*10000-BB25*5000-BC25*1000-BD25*500)/100)</f>
        <v>4</v>
      </c>
      <c r="BF25" s="767">
        <f t="shared" si="76"/>
        <v>295900</v>
      </c>
      <c r="BH25" s="625" t="s">
        <v>2180</v>
      </c>
      <c r="BI25" s="625" t="s">
        <v>572</v>
      </c>
      <c r="BJ25" s="1155">
        <v>35615</v>
      </c>
      <c r="BK25" s="971" t="s">
        <v>2181</v>
      </c>
      <c r="BL25" s="757" t="s">
        <v>2182</v>
      </c>
    </row>
    <row r="26" spans="1:64" s="768" customFormat="1" ht="48" customHeight="1">
      <c r="A26" s="1369">
        <v>20</v>
      </c>
      <c r="B26" s="1419" t="s">
        <v>1517</v>
      </c>
      <c r="C26" s="1448" t="s">
        <v>1518</v>
      </c>
      <c r="D26" s="1851">
        <v>44673</v>
      </c>
      <c r="E26" s="1151" t="s">
        <v>544</v>
      </c>
      <c r="F26" s="758">
        <f>206</f>
        <v>206</v>
      </c>
      <c r="G26" s="758">
        <v>2</v>
      </c>
      <c r="H26" s="1001">
        <v>21</v>
      </c>
      <c r="I26" s="1408">
        <f t="shared" si="0"/>
        <v>166.38461538461539</v>
      </c>
      <c r="J26" s="618">
        <f t="shared" si="1"/>
        <v>166.38461538461539</v>
      </c>
      <c r="K26" s="1001">
        <v>28</v>
      </c>
      <c r="L26" s="510">
        <f t="shared" si="2"/>
        <v>1.4855769230769231</v>
      </c>
      <c r="M26" s="618">
        <f t="shared" si="3"/>
        <v>41.596153846153847</v>
      </c>
      <c r="N26" s="1001">
        <v>0</v>
      </c>
      <c r="O26" s="510">
        <f t="shared" si="4"/>
        <v>1.9807692307692308</v>
      </c>
      <c r="P26" s="503">
        <f t="shared" si="5"/>
        <v>0</v>
      </c>
      <c r="Q26" s="1001">
        <v>16</v>
      </c>
      <c r="R26" s="510">
        <f t="shared" si="6"/>
        <v>1.9807692307692308</v>
      </c>
      <c r="S26" s="618">
        <f t="shared" si="7"/>
        <v>31.692307692307693</v>
      </c>
      <c r="T26" s="1001">
        <v>6</v>
      </c>
      <c r="U26" s="510">
        <f t="shared" si="8"/>
        <v>7.9230769230769234</v>
      </c>
      <c r="V26" s="618">
        <f t="shared" si="9"/>
        <v>47.53846153846154</v>
      </c>
      <c r="W26" s="1001">
        <v>0</v>
      </c>
      <c r="X26" s="618">
        <f>'S4 Salary'!T27*'S4'!W26</f>
        <v>0</v>
      </c>
      <c r="Y26" s="1001">
        <v>0</v>
      </c>
      <c r="Z26" s="510">
        <f t="shared" si="10"/>
        <v>3.9615384615384617</v>
      </c>
      <c r="AA26" s="618">
        <f t="shared" si="11"/>
        <v>0</v>
      </c>
      <c r="AB26" s="1001">
        <v>0</v>
      </c>
      <c r="AC26" s="1467">
        <f t="shared" si="12"/>
        <v>27</v>
      </c>
      <c r="AD26" s="1408">
        <v>0</v>
      </c>
      <c r="AE26" s="1121">
        <v>0</v>
      </c>
      <c r="AF26" s="1412">
        <f>4+4</f>
        <v>8</v>
      </c>
      <c r="AG26" s="762">
        <v>5</v>
      </c>
      <c r="AH26" s="618">
        <v>10</v>
      </c>
      <c r="AI26" s="788">
        <v>3</v>
      </c>
      <c r="AJ26" s="618">
        <v>10</v>
      </c>
      <c r="AK26" s="618">
        <v>10</v>
      </c>
      <c r="AL26" s="1148">
        <f t="shared" si="13"/>
        <v>335.21153846153845</v>
      </c>
      <c r="AM26" s="1273">
        <v>0</v>
      </c>
      <c r="AN26" s="1018">
        <v>102</v>
      </c>
      <c r="AO26" s="1096">
        <f>'Tax Calulation   '!P26</f>
        <v>0</v>
      </c>
      <c r="AP26" s="1096">
        <f>'Tax Calulation   '!W26</f>
        <v>5.9084194977843429</v>
      </c>
      <c r="AQ26" s="1686">
        <f t="shared" si="14"/>
        <v>227.30311896375412</v>
      </c>
      <c r="AR26" s="1682">
        <f t="shared" si="23"/>
        <v>110300</v>
      </c>
      <c r="AS26" s="1684">
        <f t="shared" ref="AS26" si="93">CEILING(AQ26,(100))-100</f>
        <v>200</v>
      </c>
      <c r="AT26" s="612"/>
      <c r="AU26" s="763"/>
      <c r="AV26" s="764"/>
      <c r="AW26" s="612">
        <f t="shared" si="15"/>
        <v>2</v>
      </c>
      <c r="AX26" s="612">
        <f t="shared" si="16"/>
        <v>0</v>
      </c>
      <c r="AY26" s="765">
        <f t="shared" ref="AY26" si="94">AW26*100+AX26*50</f>
        <v>200</v>
      </c>
      <c r="AZ26" s="765">
        <f t="shared" si="17"/>
        <v>2</v>
      </c>
      <c r="BA26" s="766">
        <f t="shared" si="18"/>
        <v>1</v>
      </c>
      <c r="BB26" s="766">
        <f t="shared" si="19"/>
        <v>0</v>
      </c>
      <c r="BC26" s="766">
        <f t="shared" si="20"/>
        <v>0</v>
      </c>
      <c r="BD26" s="766">
        <f t="shared" si="21"/>
        <v>0</v>
      </c>
      <c r="BE26" s="766">
        <f t="shared" si="22"/>
        <v>3</v>
      </c>
      <c r="BF26" s="767">
        <f t="shared" ref="BF26" si="95">AZ26*50000+BA26*10000+BB26*5000+BC26*1000+BD26*500+BE26*100</f>
        <v>110300</v>
      </c>
      <c r="BH26" s="1079" t="s">
        <v>1562</v>
      </c>
      <c r="BI26" s="1417" t="s">
        <v>572</v>
      </c>
      <c r="BJ26" s="1163">
        <v>34185</v>
      </c>
      <c r="BK26" s="1675"/>
      <c r="BL26" s="1678" t="s">
        <v>1561</v>
      </c>
    </row>
    <row r="27" spans="1:64" s="768" customFormat="1" ht="48" customHeight="1">
      <c r="A27" s="1369">
        <v>21</v>
      </c>
      <c r="B27" s="1398" t="s">
        <v>2133</v>
      </c>
      <c r="C27" s="1448" t="s">
        <v>2134</v>
      </c>
      <c r="D27" s="1852">
        <v>45314</v>
      </c>
      <c r="E27" s="1151" t="s">
        <v>544</v>
      </c>
      <c r="F27" s="758">
        <f t="shared" ref="F27:F30" si="96">202+2</f>
        <v>204</v>
      </c>
      <c r="G27" s="758">
        <v>0</v>
      </c>
      <c r="H27" s="1001">
        <v>22</v>
      </c>
      <c r="I27" s="1408">
        <f t="shared" si="0"/>
        <v>172.61538461538461</v>
      </c>
      <c r="J27" s="618">
        <f t="shared" si="1"/>
        <v>172.61538461538461</v>
      </c>
      <c r="K27" s="1001">
        <v>68</v>
      </c>
      <c r="L27" s="510">
        <f t="shared" ref="L27:L30" si="97">F27/26/8*1.5</f>
        <v>1.471153846153846</v>
      </c>
      <c r="M27" s="618">
        <f t="shared" si="3"/>
        <v>100.03846153846153</v>
      </c>
      <c r="N27" s="1001">
        <v>0</v>
      </c>
      <c r="O27" s="510">
        <f t="shared" ref="O27:O30" si="98">F27/26/8*2</f>
        <v>1.9615384615384615</v>
      </c>
      <c r="P27" s="503">
        <f t="shared" ref="P27:P30" si="99">N27*O27</f>
        <v>0</v>
      </c>
      <c r="Q27" s="1001">
        <v>24</v>
      </c>
      <c r="R27" s="510">
        <f t="shared" ref="R27:R30" si="100">F27/26/8*2</f>
        <v>1.9615384615384615</v>
      </c>
      <c r="S27" s="618">
        <f t="shared" ref="S27:S30" si="101">R27*Q27</f>
        <v>47.076923076923073</v>
      </c>
      <c r="T27" s="1001">
        <v>5</v>
      </c>
      <c r="U27" s="510">
        <f t="shared" ref="U27:U30" si="102">F27/26</f>
        <v>7.8461538461538458</v>
      </c>
      <c r="V27" s="618">
        <f t="shared" si="9"/>
        <v>39.230769230769226</v>
      </c>
      <c r="W27" s="1001">
        <v>0</v>
      </c>
      <c r="X27" s="618">
        <f>'S4 Salary'!T28*'S4'!W27</f>
        <v>0</v>
      </c>
      <c r="Y27" s="1001">
        <v>0</v>
      </c>
      <c r="Z27" s="510">
        <f t="shared" ref="Z27:Z30" si="103">F27/26/2</f>
        <v>3.9230769230769229</v>
      </c>
      <c r="AA27" s="618">
        <f t="shared" si="11"/>
        <v>0</v>
      </c>
      <c r="AB27" s="1001">
        <v>0</v>
      </c>
      <c r="AC27" s="1467">
        <f t="shared" si="12"/>
        <v>27</v>
      </c>
      <c r="AD27" s="1408">
        <v>0</v>
      </c>
      <c r="AE27" s="1121">
        <v>0</v>
      </c>
      <c r="AF27" s="1412">
        <v>10</v>
      </c>
      <c r="AG27" s="762">
        <v>0</v>
      </c>
      <c r="AH27" s="618">
        <v>10</v>
      </c>
      <c r="AI27" s="788">
        <v>0</v>
      </c>
      <c r="AJ27" s="618">
        <v>10</v>
      </c>
      <c r="AK27" s="618">
        <v>10</v>
      </c>
      <c r="AL27" s="1148">
        <f t="shared" si="13"/>
        <v>398.96153846153845</v>
      </c>
      <c r="AM27" s="1273">
        <v>0</v>
      </c>
      <c r="AN27" s="1018">
        <v>102</v>
      </c>
      <c r="AO27" s="1096">
        <f>'Tax Calulation   '!P27</f>
        <v>0</v>
      </c>
      <c r="AP27" s="1096">
        <f>'Tax Calulation   '!W27</f>
        <v>5.9084194977843429</v>
      </c>
      <c r="AQ27" s="1686">
        <f t="shared" si="14"/>
        <v>291.05311896375412</v>
      </c>
      <c r="AR27" s="1682">
        <f t="shared" si="23"/>
        <v>367900</v>
      </c>
      <c r="AS27" s="1684">
        <f t="shared" ref="AS27:AS30" si="104">CEILING(AQ27,(100))-100</f>
        <v>200</v>
      </c>
      <c r="AT27" s="612"/>
      <c r="AU27" s="763"/>
      <c r="AV27" s="764"/>
      <c r="AW27" s="612">
        <f t="shared" ref="AW27:AW30" si="105">INT(AS27/100)</f>
        <v>2</v>
      </c>
      <c r="AX27" s="612">
        <f t="shared" ref="AX27:AX30" si="106">INT((AS27-AW27*100)/50)</f>
        <v>0</v>
      </c>
      <c r="AY27" s="765">
        <f t="shared" ref="AY27:AY30" si="107">AW27*100+AX27*50</f>
        <v>200</v>
      </c>
      <c r="AZ27" s="765">
        <f t="shared" ref="AZ27:AZ30" si="108">INT((AR27/50000))</f>
        <v>7</v>
      </c>
      <c r="BA27" s="766">
        <f t="shared" ref="BA27:BA30" si="109">INT((AR27-AZ27*50000)/10000)</f>
        <v>1</v>
      </c>
      <c r="BB27" s="766">
        <f t="shared" ref="BB27:BB30" si="110">INT((AR27-AZ27*50000-BA27*10000)/5000)</f>
        <v>1</v>
      </c>
      <c r="BC27" s="766">
        <f t="shared" ref="BC27:BC30" si="111">INT((AR27-AZ27*50000-BA27*10000-BB27*5000)/1000)</f>
        <v>2</v>
      </c>
      <c r="BD27" s="766">
        <f t="shared" ref="BD27:BD30" si="112">INT((AR27-AZ27*50000-BA27*10000-BB27*5000-BC27*1000)/500)</f>
        <v>1</v>
      </c>
      <c r="BE27" s="766">
        <f t="shared" ref="BE27:BE30" si="113">INT((AR27-AZ27*50000-BA27*10000-BB27*5000-BC27*1000-BD27*500)/100)</f>
        <v>4</v>
      </c>
      <c r="BF27" s="767">
        <f t="shared" ref="BF27:BF30" si="114">AZ27*50000+BA27*10000+BB27*5000+BC27*1000+BD27*500+BE27*100</f>
        <v>367900</v>
      </c>
      <c r="BH27" s="1079" t="s">
        <v>2135</v>
      </c>
      <c r="BI27" s="1417" t="s">
        <v>572</v>
      </c>
      <c r="BJ27" s="1382">
        <v>28646</v>
      </c>
      <c r="BK27" s="1672" t="s">
        <v>2136</v>
      </c>
      <c r="BL27" s="1452" t="s">
        <v>2137</v>
      </c>
    </row>
    <row r="28" spans="1:64" s="768" customFormat="1" ht="48" customHeight="1">
      <c r="A28" s="1369">
        <v>22</v>
      </c>
      <c r="B28" s="1398" t="s">
        <v>2138</v>
      </c>
      <c r="C28" s="1448" t="s">
        <v>2139</v>
      </c>
      <c r="D28" s="1852">
        <v>45314</v>
      </c>
      <c r="E28" s="1151" t="s">
        <v>544</v>
      </c>
      <c r="F28" s="758">
        <f t="shared" si="96"/>
        <v>204</v>
      </c>
      <c r="G28" s="758">
        <v>0</v>
      </c>
      <c r="H28" s="1001">
        <v>18.5</v>
      </c>
      <c r="I28" s="1408">
        <f t="shared" si="0"/>
        <v>145.15384615384616</v>
      </c>
      <c r="J28" s="618">
        <f t="shared" si="1"/>
        <v>145.15384615384616</v>
      </c>
      <c r="K28" s="1001">
        <v>50</v>
      </c>
      <c r="L28" s="510">
        <f t="shared" si="97"/>
        <v>1.471153846153846</v>
      </c>
      <c r="M28" s="618">
        <f t="shared" si="3"/>
        <v>73.557692307692307</v>
      </c>
      <c r="N28" s="1001">
        <v>0</v>
      </c>
      <c r="O28" s="510">
        <f t="shared" si="98"/>
        <v>1.9615384615384615</v>
      </c>
      <c r="P28" s="503">
        <f t="shared" si="99"/>
        <v>0</v>
      </c>
      <c r="Q28" s="1001">
        <v>12</v>
      </c>
      <c r="R28" s="510">
        <f t="shared" si="100"/>
        <v>1.9615384615384615</v>
      </c>
      <c r="S28" s="618">
        <f t="shared" si="101"/>
        <v>23.538461538461537</v>
      </c>
      <c r="T28" s="1001">
        <v>5</v>
      </c>
      <c r="U28" s="510">
        <f t="shared" si="102"/>
        <v>7.8461538461538458</v>
      </c>
      <c r="V28" s="618">
        <f t="shared" si="9"/>
        <v>39.230769230769226</v>
      </c>
      <c r="W28" s="1001">
        <v>0</v>
      </c>
      <c r="X28" s="618">
        <f>'S4 Salary'!T29*'S4'!W28</f>
        <v>0</v>
      </c>
      <c r="Y28" s="1001">
        <v>0</v>
      </c>
      <c r="Z28" s="510">
        <f t="shared" si="103"/>
        <v>3.9230769230769229</v>
      </c>
      <c r="AA28" s="618">
        <f t="shared" si="11"/>
        <v>0</v>
      </c>
      <c r="AB28" s="1001">
        <v>3.5</v>
      </c>
      <c r="AC28" s="1467">
        <f t="shared" si="12"/>
        <v>27</v>
      </c>
      <c r="AD28" s="1408">
        <v>0</v>
      </c>
      <c r="AE28" s="1121">
        <v>0</v>
      </c>
      <c r="AF28" s="1412">
        <v>10</v>
      </c>
      <c r="AG28" s="762">
        <v>0</v>
      </c>
      <c r="AH28" s="618">
        <v>0</v>
      </c>
      <c r="AI28" s="788">
        <v>0</v>
      </c>
      <c r="AJ28" s="618">
        <v>10</v>
      </c>
      <c r="AK28" s="618">
        <v>10</v>
      </c>
      <c r="AL28" s="1148">
        <f t="shared" si="13"/>
        <v>311.48076923076923</v>
      </c>
      <c r="AM28" s="1273">
        <v>0</v>
      </c>
      <c r="AN28" s="1018">
        <v>102</v>
      </c>
      <c r="AO28" s="1096">
        <f>'Tax Calulation   '!P28</f>
        <v>0</v>
      </c>
      <c r="AP28" s="1096">
        <f>'Tax Calulation   '!W28</f>
        <v>5.9084194977843429</v>
      </c>
      <c r="AQ28" s="1686">
        <f t="shared" si="14"/>
        <v>203.57234973298489</v>
      </c>
      <c r="AR28" s="1682">
        <f t="shared" si="23"/>
        <v>14400</v>
      </c>
      <c r="AS28" s="1684">
        <f t="shared" si="104"/>
        <v>200</v>
      </c>
      <c r="AT28" s="612"/>
      <c r="AU28" s="763"/>
      <c r="AV28" s="764"/>
      <c r="AW28" s="612">
        <f t="shared" si="105"/>
        <v>2</v>
      </c>
      <c r="AX28" s="612">
        <f t="shared" si="106"/>
        <v>0</v>
      </c>
      <c r="AY28" s="765">
        <f t="shared" si="107"/>
        <v>200</v>
      </c>
      <c r="AZ28" s="765">
        <f t="shared" si="108"/>
        <v>0</v>
      </c>
      <c r="BA28" s="766">
        <f t="shared" si="109"/>
        <v>1</v>
      </c>
      <c r="BB28" s="766">
        <f t="shared" si="110"/>
        <v>0</v>
      </c>
      <c r="BC28" s="766">
        <f t="shared" si="111"/>
        <v>4</v>
      </c>
      <c r="BD28" s="766">
        <f t="shared" si="112"/>
        <v>0</v>
      </c>
      <c r="BE28" s="766">
        <f t="shared" si="113"/>
        <v>4</v>
      </c>
      <c r="BF28" s="767">
        <f t="shared" si="114"/>
        <v>14400</v>
      </c>
      <c r="BH28" s="1079" t="s">
        <v>2140</v>
      </c>
      <c r="BI28" s="1417" t="s">
        <v>572</v>
      </c>
      <c r="BJ28" s="1382">
        <v>36734</v>
      </c>
      <c r="BK28" s="1672" t="s">
        <v>2142</v>
      </c>
      <c r="BL28" s="1452" t="s">
        <v>2141</v>
      </c>
    </row>
    <row r="29" spans="1:64" s="768" customFormat="1" ht="48" customHeight="1">
      <c r="A29" s="1369">
        <v>23</v>
      </c>
      <c r="B29" s="1398" t="s">
        <v>2148</v>
      </c>
      <c r="C29" s="1448" t="s">
        <v>2149</v>
      </c>
      <c r="D29" s="1852">
        <v>45316</v>
      </c>
      <c r="E29" s="1151" t="s">
        <v>544</v>
      </c>
      <c r="F29" s="758">
        <f t="shared" si="96"/>
        <v>204</v>
      </c>
      <c r="G29" s="758">
        <v>0</v>
      </c>
      <c r="H29" s="1001">
        <v>22</v>
      </c>
      <c r="I29" s="1408">
        <f t="shared" si="0"/>
        <v>172.61538461538461</v>
      </c>
      <c r="J29" s="618">
        <f t="shared" si="1"/>
        <v>172.61538461538461</v>
      </c>
      <c r="K29" s="1001">
        <v>52</v>
      </c>
      <c r="L29" s="510">
        <f t="shared" si="97"/>
        <v>1.471153846153846</v>
      </c>
      <c r="M29" s="618">
        <f t="shared" si="3"/>
        <v>76.5</v>
      </c>
      <c r="N29" s="1001">
        <v>0</v>
      </c>
      <c r="O29" s="510">
        <f t="shared" si="98"/>
        <v>1.9615384615384615</v>
      </c>
      <c r="P29" s="503">
        <f t="shared" si="99"/>
        <v>0</v>
      </c>
      <c r="Q29" s="1001">
        <v>8</v>
      </c>
      <c r="R29" s="510">
        <f t="shared" si="100"/>
        <v>1.9615384615384615</v>
      </c>
      <c r="S29" s="618">
        <f t="shared" si="101"/>
        <v>15.692307692307692</v>
      </c>
      <c r="T29" s="1001">
        <v>5</v>
      </c>
      <c r="U29" s="510">
        <f t="shared" si="102"/>
        <v>7.8461538461538458</v>
      </c>
      <c r="V29" s="618">
        <f t="shared" si="9"/>
        <v>39.230769230769226</v>
      </c>
      <c r="W29" s="1001">
        <v>0</v>
      </c>
      <c r="X29" s="618">
        <f>'S4 Salary'!T30*'S4'!W29</f>
        <v>0</v>
      </c>
      <c r="Y29" s="1001">
        <v>0</v>
      </c>
      <c r="Z29" s="510">
        <f t="shared" si="103"/>
        <v>3.9230769230769229</v>
      </c>
      <c r="AA29" s="618">
        <f t="shared" si="11"/>
        <v>0</v>
      </c>
      <c r="AB29" s="1001">
        <v>0</v>
      </c>
      <c r="AC29" s="1467">
        <f t="shared" si="12"/>
        <v>27</v>
      </c>
      <c r="AD29" s="1408">
        <v>0</v>
      </c>
      <c r="AE29" s="1121">
        <v>0</v>
      </c>
      <c r="AF29" s="1412">
        <v>10</v>
      </c>
      <c r="AG29" s="762">
        <v>5</v>
      </c>
      <c r="AH29" s="618">
        <v>10</v>
      </c>
      <c r="AI29" s="788">
        <v>0</v>
      </c>
      <c r="AJ29" s="618">
        <v>10</v>
      </c>
      <c r="AK29" s="618">
        <v>10</v>
      </c>
      <c r="AL29" s="1148">
        <f t="shared" si="13"/>
        <v>349.03846153846155</v>
      </c>
      <c r="AM29" s="1273">
        <v>0</v>
      </c>
      <c r="AN29" s="1018">
        <v>102</v>
      </c>
      <c r="AO29" s="1096">
        <f>'Tax Calulation   '!P29</f>
        <v>0</v>
      </c>
      <c r="AP29" s="1096">
        <f>'Tax Calulation   '!W29</f>
        <v>5.9084194977843429</v>
      </c>
      <c r="AQ29" s="1686">
        <f t="shared" si="14"/>
        <v>241.13004204067721</v>
      </c>
      <c r="AR29" s="1682">
        <f t="shared" si="23"/>
        <v>166200</v>
      </c>
      <c r="AS29" s="1684">
        <f t="shared" si="104"/>
        <v>200</v>
      </c>
      <c r="AT29" s="612"/>
      <c r="AU29" s="763"/>
      <c r="AV29" s="764"/>
      <c r="AW29" s="612">
        <f t="shared" si="105"/>
        <v>2</v>
      </c>
      <c r="AX29" s="612">
        <f t="shared" si="106"/>
        <v>0</v>
      </c>
      <c r="AY29" s="765">
        <f t="shared" si="107"/>
        <v>200</v>
      </c>
      <c r="AZ29" s="765">
        <f t="shared" si="108"/>
        <v>3</v>
      </c>
      <c r="BA29" s="766">
        <f t="shared" si="109"/>
        <v>1</v>
      </c>
      <c r="BB29" s="766">
        <f t="shared" si="110"/>
        <v>1</v>
      </c>
      <c r="BC29" s="766">
        <f t="shared" si="111"/>
        <v>1</v>
      </c>
      <c r="BD29" s="766">
        <f t="shared" si="112"/>
        <v>0</v>
      </c>
      <c r="BE29" s="766">
        <f t="shared" si="113"/>
        <v>2</v>
      </c>
      <c r="BF29" s="767">
        <f t="shared" si="114"/>
        <v>166200</v>
      </c>
      <c r="BH29" s="1079" t="s">
        <v>2150</v>
      </c>
      <c r="BI29" s="1417" t="s">
        <v>572</v>
      </c>
      <c r="BJ29" s="1382">
        <v>35431</v>
      </c>
      <c r="BK29" s="1672" t="s">
        <v>2151</v>
      </c>
      <c r="BL29" s="1452" t="s">
        <v>2152</v>
      </c>
    </row>
    <row r="30" spans="1:64" s="768" customFormat="1" ht="48" customHeight="1">
      <c r="A30" s="1369">
        <v>24</v>
      </c>
      <c r="B30" s="1398" t="s">
        <v>2153</v>
      </c>
      <c r="C30" s="1448" t="s">
        <v>2154</v>
      </c>
      <c r="D30" s="1852">
        <v>45316</v>
      </c>
      <c r="E30" s="1151" t="s">
        <v>544</v>
      </c>
      <c r="F30" s="758">
        <f t="shared" si="96"/>
        <v>204</v>
      </c>
      <c r="G30" s="758">
        <v>0</v>
      </c>
      <c r="H30" s="1001">
        <v>22</v>
      </c>
      <c r="I30" s="1408">
        <f t="shared" si="0"/>
        <v>172.61538461538461</v>
      </c>
      <c r="J30" s="618">
        <f t="shared" si="1"/>
        <v>172.61538461538461</v>
      </c>
      <c r="K30" s="1001">
        <v>68</v>
      </c>
      <c r="L30" s="510">
        <f t="shared" si="97"/>
        <v>1.471153846153846</v>
      </c>
      <c r="M30" s="618">
        <f t="shared" si="3"/>
        <v>100.03846153846153</v>
      </c>
      <c r="N30" s="1001">
        <v>0</v>
      </c>
      <c r="O30" s="510">
        <f t="shared" si="98"/>
        <v>1.9615384615384615</v>
      </c>
      <c r="P30" s="503">
        <f t="shared" si="99"/>
        <v>0</v>
      </c>
      <c r="Q30" s="1001">
        <v>24</v>
      </c>
      <c r="R30" s="510">
        <f t="shared" si="100"/>
        <v>1.9615384615384615</v>
      </c>
      <c r="S30" s="618">
        <f t="shared" si="101"/>
        <v>47.076923076923073</v>
      </c>
      <c r="T30" s="1001">
        <v>5</v>
      </c>
      <c r="U30" s="510">
        <f t="shared" si="102"/>
        <v>7.8461538461538458</v>
      </c>
      <c r="V30" s="618">
        <f t="shared" si="9"/>
        <v>39.230769230769226</v>
      </c>
      <c r="W30" s="1001">
        <v>0</v>
      </c>
      <c r="X30" s="618">
        <f>'S4 Salary'!T31*'S4'!W30</f>
        <v>0</v>
      </c>
      <c r="Y30" s="1001">
        <v>0</v>
      </c>
      <c r="Z30" s="510">
        <f t="shared" si="103"/>
        <v>3.9230769230769229</v>
      </c>
      <c r="AA30" s="618">
        <f t="shared" si="11"/>
        <v>0</v>
      </c>
      <c r="AB30" s="1001">
        <v>0</v>
      </c>
      <c r="AC30" s="1467">
        <f t="shared" si="12"/>
        <v>27</v>
      </c>
      <c r="AD30" s="1408">
        <v>0</v>
      </c>
      <c r="AE30" s="1121">
        <v>0</v>
      </c>
      <c r="AF30" s="1412">
        <v>10</v>
      </c>
      <c r="AG30" s="762">
        <v>0</v>
      </c>
      <c r="AH30" s="618">
        <v>10</v>
      </c>
      <c r="AI30" s="788">
        <v>0</v>
      </c>
      <c r="AJ30" s="618">
        <v>10</v>
      </c>
      <c r="AK30" s="618">
        <v>10</v>
      </c>
      <c r="AL30" s="1148">
        <f t="shared" si="13"/>
        <v>398.96153846153845</v>
      </c>
      <c r="AM30" s="1274">
        <v>0.5</v>
      </c>
      <c r="AN30" s="1018">
        <v>102</v>
      </c>
      <c r="AO30" s="1096">
        <f>'Tax Calulation   '!P30</f>
        <v>0</v>
      </c>
      <c r="AP30" s="1096">
        <f>'Tax Calulation   '!W30</f>
        <v>5.9084194977843429</v>
      </c>
      <c r="AQ30" s="1686">
        <f t="shared" si="14"/>
        <v>290.55311896375412</v>
      </c>
      <c r="AR30" s="1682">
        <f t="shared" si="23"/>
        <v>365800</v>
      </c>
      <c r="AS30" s="1684">
        <f t="shared" si="104"/>
        <v>200</v>
      </c>
      <c r="AT30" s="612"/>
      <c r="AU30" s="763"/>
      <c r="AV30" s="764"/>
      <c r="AW30" s="612">
        <f t="shared" si="105"/>
        <v>2</v>
      </c>
      <c r="AX30" s="612">
        <f t="shared" si="106"/>
        <v>0</v>
      </c>
      <c r="AY30" s="765">
        <f t="shared" si="107"/>
        <v>200</v>
      </c>
      <c r="AZ30" s="765">
        <f t="shared" si="108"/>
        <v>7</v>
      </c>
      <c r="BA30" s="766">
        <f t="shared" si="109"/>
        <v>1</v>
      </c>
      <c r="BB30" s="766">
        <f t="shared" si="110"/>
        <v>1</v>
      </c>
      <c r="BC30" s="766">
        <f t="shared" si="111"/>
        <v>0</v>
      </c>
      <c r="BD30" s="766">
        <f t="shared" si="112"/>
        <v>1</v>
      </c>
      <c r="BE30" s="766">
        <f t="shared" si="113"/>
        <v>3</v>
      </c>
      <c r="BF30" s="767">
        <f t="shared" si="114"/>
        <v>365800</v>
      </c>
      <c r="BH30" s="1079" t="s">
        <v>2155</v>
      </c>
      <c r="BI30" s="1417" t="s">
        <v>572</v>
      </c>
      <c r="BJ30" s="1382">
        <v>34437</v>
      </c>
      <c r="BK30" s="1672" t="s">
        <v>2156</v>
      </c>
      <c r="BL30" s="1452" t="s">
        <v>2157</v>
      </c>
    </row>
    <row r="31" spans="1:64" s="768" customFormat="1" ht="48" customHeight="1">
      <c r="A31" s="1369">
        <v>25</v>
      </c>
      <c r="B31" s="1398" t="s">
        <v>2277</v>
      </c>
      <c r="C31" s="1399" t="s">
        <v>2280</v>
      </c>
      <c r="D31" s="1852">
        <v>45474</v>
      </c>
      <c r="E31" s="1151" t="s">
        <v>544</v>
      </c>
      <c r="F31" s="758">
        <f>202+2</f>
        <v>204</v>
      </c>
      <c r="G31" s="758">
        <v>0</v>
      </c>
      <c r="H31" s="1001">
        <v>21</v>
      </c>
      <c r="I31" s="1408">
        <f t="shared" si="0"/>
        <v>164.76923076923077</v>
      </c>
      <c r="J31" s="618">
        <f t="shared" si="1"/>
        <v>164.76923076923077</v>
      </c>
      <c r="K31" s="1001">
        <v>67</v>
      </c>
      <c r="L31" s="510">
        <f t="shared" ref="L31:L33" si="115">F31/26/8*1.5</f>
        <v>1.471153846153846</v>
      </c>
      <c r="M31" s="618">
        <f t="shared" si="3"/>
        <v>98.567307692307679</v>
      </c>
      <c r="N31" s="1001">
        <v>0</v>
      </c>
      <c r="O31" s="510">
        <f t="shared" ref="O31:O33" si="116">F31/26/8*2</f>
        <v>1.9615384615384615</v>
      </c>
      <c r="P31" s="503">
        <f t="shared" ref="P31:P33" si="117">N31*O31</f>
        <v>0</v>
      </c>
      <c r="Q31" s="1001">
        <v>24</v>
      </c>
      <c r="R31" s="510">
        <f t="shared" ref="R31:R33" si="118">F31/26/8*2</f>
        <v>1.9615384615384615</v>
      </c>
      <c r="S31" s="618">
        <f t="shared" ref="S31:S36" si="119">R31*Q31</f>
        <v>47.076923076923073</v>
      </c>
      <c r="T31" s="1001">
        <v>5</v>
      </c>
      <c r="U31" s="510">
        <f t="shared" ref="U31:U33" si="120">F31/26</f>
        <v>7.8461538461538458</v>
      </c>
      <c r="V31" s="618">
        <f t="shared" si="9"/>
        <v>39.230769230769226</v>
      </c>
      <c r="W31" s="1001">
        <v>1</v>
      </c>
      <c r="X31" s="618">
        <f>'S4 Salary'!T32*'S4'!W31</f>
        <v>13.369494443768572</v>
      </c>
      <c r="Y31" s="1001">
        <v>0</v>
      </c>
      <c r="Z31" s="510">
        <f t="shared" ref="Z31:Z33" si="121">F31/26/2</f>
        <v>3.9230769230769229</v>
      </c>
      <c r="AA31" s="618">
        <f t="shared" ref="AA31:AA33" si="122">Y31*Z31</f>
        <v>0</v>
      </c>
      <c r="AB31" s="1001">
        <v>0</v>
      </c>
      <c r="AC31" s="1467">
        <f t="shared" ref="AC31:AC33" si="123">H31+T31+Y31+AB31+W31</f>
        <v>27</v>
      </c>
      <c r="AD31" s="1408">
        <v>0</v>
      </c>
      <c r="AE31" s="1121">
        <v>0</v>
      </c>
      <c r="AF31" s="1412">
        <v>10</v>
      </c>
      <c r="AG31" s="762">
        <v>0</v>
      </c>
      <c r="AH31" s="618">
        <v>10</v>
      </c>
      <c r="AI31" s="788">
        <v>0</v>
      </c>
      <c r="AJ31" s="618">
        <v>10</v>
      </c>
      <c r="AK31" s="618">
        <v>10</v>
      </c>
      <c r="AL31" s="1148">
        <f t="shared" si="13"/>
        <v>403.01372521299936</v>
      </c>
      <c r="AM31" s="1273">
        <v>0</v>
      </c>
      <c r="AN31" s="1018">
        <v>102</v>
      </c>
      <c r="AO31" s="1096">
        <f>'Tax Calulation   '!P31</f>
        <v>0</v>
      </c>
      <c r="AP31" s="1096">
        <f>'Tax Calulation   '!W31</f>
        <v>5.9084194977843429</v>
      </c>
      <c r="AQ31" s="1686">
        <f t="shared" si="14"/>
        <v>295.10530571521502</v>
      </c>
      <c r="AR31" s="1682">
        <f t="shared" si="23"/>
        <v>384200</v>
      </c>
      <c r="AS31" s="1684">
        <f t="shared" ref="AS31:AS33" si="124">CEILING(AQ31,(100))-100</f>
        <v>200</v>
      </c>
      <c r="AT31" s="612"/>
      <c r="AU31" s="763"/>
      <c r="AV31" s="764"/>
      <c r="AW31" s="612">
        <f t="shared" ref="AW31:AW33" si="125">INT(AS31/100)</f>
        <v>2</v>
      </c>
      <c r="AX31" s="612">
        <f t="shared" ref="AX31:AX33" si="126">INT((AS31-AW31*100)/50)</f>
        <v>0</v>
      </c>
      <c r="AY31" s="765">
        <f t="shared" ref="AY31:AY33" si="127">AW31*100+AX31*50</f>
        <v>200</v>
      </c>
      <c r="AZ31" s="765">
        <f t="shared" ref="AZ31:AZ33" si="128">INT((AR31/50000))</f>
        <v>7</v>
      </c>
      <c r="BA31" s="766">
        <f t="shared" ref="BA31:BA33" si="129">INT((AR31-AZ31*50000)/10000)</f>
        <v>3</v>
      </c>
      <c r="BB31" s="766">
        <f t="shared" ref="BB31:BB33" si="130">INT((AR31-AZ31*50000-BA31*10000)/5000)</f>
        <v>0</v>
      </c>
      <c r="BC31" s="766">
        <f t="shared" ref="BC31:BC33" si="131">INT((AR31-AZ31*50000-BA31*10000-BB31*5000)/1000)</f>
        <v>4</v>
      </c>
      <c r="BD31" s="766">
        <f t="shared" ref="BD31:BD33" si="132">INT((AR31-AZ31*50000-BA31*10000-BB31*5000-BC31*1000)/500)</f>
        <v>0</v>
      </c>
      <c r="BE31" s="766">
        <f t="shared" ref="BE31:BE33" si="133">INT((AR31-AZ31*50000-BA31*10000-BB31*5000-BC31*1000-BD31*500)/100)</f>
        <v>2</v>
      </c>
      <c r="BF31" s="767">
        <f t="shared" ref="BF31:BF33" si="134">AZ31*50000+BA31*10000+BB31*5000+BC31*1000+BD31*500+BE31*100</f>
        <v>384200</v>
      </c>
      <c r="BH31" s="1895" t="s">
        <v>2283</v>
      </c>
      <c r="BI31" s="1896" t="s">
        <v>572</v>
      </c>
      <c r="BJ31" s="1885">
        <v>29800</v>
      </c>
      <c r="BK31" s="1893" t="s">
        <v>2286</v>
      </c>
      <c r="BL31" s="1903" t="s">
        <v>2287</v>
      </c>
    </row>
    <row r="32" spans="1:64" s="768" customFormat="1" ht="48" customHeight="1">
      <c r="A32" s="1369">
        <v>26</v>
      </c>
      <c r="B32" s="1398" t="s">
        <v>2278</v>
      </c>
      <c r="C32" s="1399" t="s">
        <v>2281</v>
      </c>
      <c r="D32" s="1852">
        <v>45496</v>
      </c>
      <c r="E32" s="1151" t="s">
        <v>260</v>
      </c>
      <c r="F32" s="758">
        <f>202+2</f>
        <v>204</v>
      </c>
      <c r="G32" s="758">
        <v>0</v>
      </c>
      <c r="H32" s="1001">
        <v>21</v>
      </c>
      <c r="I32" s="1408">
        <f t="shared" si="0"/>
        <v>164.76923076923077</v>
      </c>
      <c r="J32" s="618">
        <f t="shared" si="1"/>
        <v>164.76923076923077</v>
      </c>
      <c r="K32" s="1001">
        <v>59</v>
      </c>
      <c r="L32" s="510">
        <f t="shared" si="115"/>
        <v>1.471153846153846</v>
      </c>
      <c r="M32" s="618">
        <f t="shared" si="3"/>
        <v>86.79807692307692</v>
      </c>
      <c r="N32" s="1001">
        <v>0</v>
      </c>
      <c r="O32" s="510">
        <f t="shared" si="116"/>
        <v>1.9615384615384615</v>
      </c>
      <c r="P32" s="503">
        <f t="shared" si="117"/>
        <v>0</v>
      </c>
      <c r="Q32" s="1001">
        <v>24</v>
      </c>
      <c r="R32" s="510">
        <f t="shared" si="118"/>
        <v>1.9615384615384615</v>
      </c>
      <c r="S32" s="618">
        <f t="shared" si="119"/>
        <v>47.076923076923073</v>
      </c>
      <c r="T32" s="1001">
        <v>5</v>
      </c>
      <c r="U32" s="510">
        <f t="shared" si="120"/>
        <v>7.8461538461538458</v>
      </c>
      <c r="V32" s="618">
        <f t="shared" si="9"/>
        <v>39.230769230769226</v>
      </c>
      <c r="W32" s="1001">
        <v>0</v>
      </c>
      <c r="X32" s="618">
        <f>'S4 Salary'!T33*'S4'!W32</f>
        <v>0</v>
      </c>
      <c r="Y32" s="1001">
        <v>0</v>
      </c>
      <c r="Z32" s="510">
        <f t="shared" si="121"/>
        <v>3.9230769230769229</v>
      </c>
      <c r="AA32" s="618">
        <f t="shared" si="122"/>
        <v>0</v>
      </c>
      <c r="AB32" s="1001">
        <v>1</v>
      </c>
      <c r="AC32" s="1468">
        <f t="shared" si="123"/>
        <v>27</v>
      </c>
      <c r="AD32" s="1408">
        <v>0</v>
      </c>
      <c r="AE32" s="1121">
        <v>0</v>
      </c>
      <c r="AF32" s="1412">
        <v>10</v>
      </c>
      <c r="AG32" s="762">
        <v>0</v>
      </c>
      <c r="AH32" s="618">
        <v>0</v>
      </c>
      <c r="AI32" s="788">
        <v>0</v>
      </c>
      <c r="AJ32" s="618">
        <v>10</v>
      </c>
      <c r="AK32" s="618">
        <v>10</v>
      </c>
      <c r="AL32" s="1148">
        <f t="shared" si="13"/>
        <v>367.875</v>
      </c>
      <c r="AM32" s="1273">
        <v>0</v>
      </c>
      <c r="AN32" s="1018">
        <v>102</v>
      </c>
      <c r="AO32" s="1096">
        <f>'Tax Calulation   '!P32</f>
        <v>0</v>
      </c>
      <c r="AP32" s="1096">
        <f>'Tax Calulation   '!W32</f>
        <v>5.9084194977843429</v>
      </c>
      <c r="AQ32" s="1686">
        <f t="shared" si="14"/>
        <v>259.96658050221566</v>
      </c>
      <c r="AR32" s="1682">
        <f t="shared" si="23"/>
        <v>242300</v>
      </c>
      <c r="AS32" s="1684">
        <f t="shared" si="124"/>
        <v>200</v>
      </c>
      <c r="AT32" s="612"/>
      <c r="AU32" s="763"/>
      <c r="AV32" s="764"/>
      <c r="AW32" s="612">
        <f t="shared" si="125"/>
        <v>2</v>
      </c>
      <c r="AX32" s="612">
        <f t="shared" si="126"/>
        <v>0</v>
      </c>
      <c r="AY32" s="765">
        <f t="shared" si="127"/>
        <v>200</v>
      </c>
      <c r="AZ32" s="765">
        <f t="shared" si="128"/>
        <v>4</v>
      </c>
      <c r="BA32" s="766">
        <f t="shared" si="129"/>
        <v>4</v>
      </c>
      <c r="BB32" s="766">
        <f t="shared" si="130"/>
        <v>0</v>
      </c>
      <c r="BC32" s="766">
        <f t="shared" si="131"/>
        <v>2</v>
      </c>
      <c r="BD32" s="766">
        <f t="shared" si="132"/>
        <v>0</v>
      </c>
      <c r="BE32" s="766">
        <f t="shared" si="133"/>
        <v>3</v>
      </c>
      <c r="BF32" s="767">
        <f t="shared" si="134"/>
        <v>242300</v>
      </c>
      <c r="BH32" s="1895" t="s">
        <v>2284</v>
      </c>
      <c r="BI32" s="1896" t="s">
        <v>572</v>
      </c>
      <c r="BJ32" s="1885">
        <v>33637</v>
      </c>
      <c r="BK32" s="1893" t="s">
        <v>2288</v>
      </c>
      <c r="BL32" s="1903" t="s">
        <v>2289</v>
      </c>
    </row>
    <row r="33" spans="1:64" s="768" customFormat="1" ht="48" customHeight="1">
      <c r="A33" s="1369">
        <v>27</v>
      </c>
      <c r="B33" s="1398" t="s">
        <v>2279</v>
      </c>
      <c r="C33" s="1399" t="s">
        <v>2282</v>
      </c>
      <c r="D33" s="1852">
        <v>45496</v>
      </c>
      <c r="E33" s="1151" t="s">
        <v>544</v>
      </c>
      <c r="F33" s="758">
        <f>202+2</f>
        <v>204</v>
      </c>
      <c r="G33" s="758">
        <v>0</v>
      </c>
      <c r="H33" s="1001">
        <v>21</v>
      </c>
      <c r="I33" s="1408">
        <f t="shared" si="0"/>
        <v>164.76923076923077</v>
      </c>
      <c r="J33" s="618">
        <f t="shared" si="1"/>
        <v>164.76923076923077</v>
      </c>
      <c r="K33" s="1001">
        <v>64</v>
      </c>
      <c r="L33" s="510">
        <f t="shared" si="115"/>
        <v>1.471153846153846</v>
      </c>
      <c r="M33" s="618">
        <f t="shared" si="3"/>
        <v>94.153846153846146</v>
      </c>
      <c r="N33" s="1001">
        <v>0</v>
      </c>
      <c r="O33" s="510">
        <f t="shared" si="116"/>
        <v>1.9615384615384615</v>
      </c>
      <c r="P33" s="503">
        <f t="shared" si="117"/>
        <v>0</v>
      </c>
      <c r="Q33" s="1001">
        <v>24</v>
      </c>
      <c r="R33" s="510">
        <f t="shared" si="118"/>
        <v>1.9615384615384615</v>
      </c>
      <c r="S33" s="618">
        <f t="shared" si="119"/>
        <v>47.076923076923073</v>
      </c>
      <c r="T33" s="1001">
        <v>5.5</v>
      </c>
      <c r="U33" s="510">
        <f t="shared" si="120"/>
        <v>7.8461538461538458</v>
      </c>
      <c r="V33" s="618">
        <f t="shared" si="9"/>
        <v>43.153846153846153</v>
      </c>
      <c r="W33" s="1001">
        <v>0</v>
      </c>
      <c r="X33" s="618">
        <f>'S4 Salary'!T34*'S4'!W33</f>
        <v>0</v>
      </c>
      <c r="Y33" s="1001">
        <v>0</v>
      </c>
      <c r="Z33" s="510">
        <f t="shared" si="121"/>
        <v>3.9230769230769229</v>
      </c>
      <c r="AA33" s="618">
        <f t="shared" si="122"/>
        <v>0</v>
      </c>
      <c r="AB33" s="1001">
        <v>0.5</v>
      </c>
      <c r="AC33" s="1468">
        <f t="shared" si="123"/>
        <v>27</v>
      </c>
      <c r="AD33" s="1408">
        <v>0</v>
      </c>
      <c r="AE33" s="1121">
        <v>0</v>
      </c>
      <c r="AF33" s="1412">
        <v>10</v>
      </c>
      <c r="AG33" s="762">
        <v>0</v>
      </c>
      <c r="AH33" s="618">
        <v>8.5</v>
      </c>
      <c r="AI33" s="788">
        <v>0</v>
      </c>
      <c r="AJ33" s="618">
        <v>10</v>
      </c>
      <c r="AK33" s="618">
        <v>10</v>
      </c>
      <c r="AL33" s="1148">
        <f t="shared" si="13"/>
        <v>387.65384615384613</v>
      </c>
      <c r="AM33" s="1273">
        <v>0</v>
      </c>
      <c r="AN33" s="1018">
        <v>102</v>
      </c>
      <c r="AO33" s="1096">
        <f>'Tax Calulation   '!P33</f>
        <v>0</v>
      </c>
      <c r="AP33" s="1096">
        <f>'Tax Calulation   '!W33</f>
        <v>5.9084194977843429</v>
      </c>
      <c r="AQ33" s="1686">
        <f t="shared" si="14"/>
        <v>279.7454266560618</v>
      </c>
      <c r="AR33" s="1682">
        <f t="shared" si="23"/>
        <v>322200</v>
      </c>
      <c r="AS33" s="1684">
        <f t="shared" si="124"/>
        <v>200</v>
      </c>
      <c r="AT33" s="612"/>
      <c r="AU33" s="763"/>
      <c r="AV33" s="764"/>
      <c r="AW33" s="612">
        <f t="shared" si="125"/>
        <v>2</v>
      </c>
      <c r="AX33" s="612">
        <f t="shared" si="126"/>
        <v>0</v>
      </c>
      <c r="AY33" s="765">
        <f t="shared" si="127"/>
        <v>200</v>
      </c>
      <c r="AZ33" s="765">
        <f t="shared" si="128"/>
        <v>6</v>
      </c>
      <c r="BA33" s="766">
        <f t="shared" si="129"/>
        <v>2</v>
      </c>
      <c r="BB33" s="766">
        <f t="shared" si="130"/>
        <v>0</v>
      </c>
      <c r="BC33" s="766">
        <f t="shared" si="131"/>
        <v>2</v>
      </c>
      <c r="BD33" s="766">
        <f t="shared" si="132"/>
        <v>0</v>
      </c>
      <c r="BE33" s="766">
        <f t="shared" si="133"/>
        <v>2</v>
      </c>
      <c r="BF33" s="767">
        <f t="shared" si="134"/>
        <v>322200</v>
      </c>
      <c r="BH33" s="1895" t="s">
        <v>2285</v>
      </c>
      <c r="BI33" s="1896" t="s">
        <v>572</v>
      </c>
      <c r="BJ33" s="1885">
        <v>32971</v>
      </c>
      <c r="BK33" s="1893" t="s">
        <v>2290</v>
      </c>
      <c r="BL33" s="1903" t="s">
        <v>2291</v>
      </c>
    </row>
    <row r="34" spans="1:64" s="768" customFormat="1" ht="48" customHeight="1">
      <c r="A34" s="1369">
        <v>28</v>
      </c>
      <c r="B34" s="1899" t="s">
        <v>2378</v>
      </c>
      <c r="C34" s="1891" t="s">
        <v>2379</v>
      </c>
      <c r="D34" s="1892">
        <v>45573</v>
      </c>
      <c r="E34" s="1151" t="s">
        <v>2380</v>
      </c>
      <c r="F34" s="758">
        <v>202</v>
      </c>
      <c r="G34" s="758">
        <v>0</v>
      </c>
      <c r="H34" s="1001">
        <v>19</v>
      </c>
      <c r="I34" s="1408">
        <f t="shared" ref="I34" si="135">F34/26*H34</f>
        <v>147.61538461538461</v>
      </c>
      <c r="J34" s="618">
        <f t="shared" ref="J34" si="136">F34/26*H34</f>
        <v>147.61538461538461</v>
      </c>
      <c r="K34" s="1001">
        <v>64</v>
      </c>
      <c r="L34" s="510">
        <f t="shared" ref="L34" si="137">F34/26/8*1.5</f>
        <v>1.4567307692307692</v>
      </c>
      <c r="M34" s="618">
        <f t="shared" ref="M34" si="138">K34*L34</f>
        <v>93.230769230769226</v>
      </c>
      <c r="N34" s="1001">
        <v>0</v>
      </c>
      <c r="O34" s="510">
        <f t="shared" ref="O34" si="139">F34/26/8*2</f>
        <v>1.9423076923076923</v>
      </c>
      <c r="P34" s="503">
        <f t="shared" ref="P34" si="140">N34*O34</f>
        <v>0</v>
      </c>
      <c r="Q34" s="1001">
        <v>24</v>
      </c>
      <c r="R34" s="510">
        <f t="shared" ref="R34" si="141">F34/26/8*2</f>
        <v>1.9423076923076923</v>
      </c>
      <c r="S34" s="618">
        <f t="shared" ref="S34" si="142">R34*Q34</f>
        <v>46.615384615384613</v>
      </c>
      <c r="T34" s="1001">
        <v>2</v>
      </c>
      <c r="U34" s="510">
        <f t="shared" ref="U34" si="143">F34/26</f>
        <v>7.7692307692307692</v>
      </c>
      <c r="V34" s="618">
        <f t="shared" si="9"/>
        <v>15.538461538461538</v>
      </c>
      <c r="W34" s="1001">
        <v>0</v>
      </c>
      <c r="X34" s="618">
        <f>'S4 Salary'!T35*'S4'!W34</f>
        <v>0</v>
      </c>
      <c r="Y34" s="1001">
        <v>0</v>
      </c>
      <c r="Z34" s="510">
        <f t="shared" ref="Z34" si="144">F34/26/2</f>
        <v>3.8846153846153846</v>
      </c>
      <c r="AA34" s="618">
        <f t="shared" ref="AA34" si="145">Y34*Z34</f>
        <v>0</v>
      </c>
      <c r="AB34" s="1001">
        <v>0</v>
      </c>
      <c r="AC34" s="1915">
        <f t="shared" ref="AC34" si="146">H34+T34+Y34+AB34+W34</f>
        <v>21</v>
      </c>
      <c r="AD34" s="1408">
        <v>0</v>
      </c>
      <c r="AE34" s="1121">
        <v>0</v>
      </c>
      <c r="AF34" s="1412">
        <v>0</v>
      </c>
      <c r="AG34" s="762">
        <v>0</v>
      </c>
      <c r="AH34" s="618">
        <v>8.07</v>
      </c>
      <c r="AI34" s="788">
        <v>0</v>
      </c>
      <c r="AJ34" s="618">
        <v>8.07</v>
      </c>
      <c r="AK34" s="618">
        <v>10</v>
      </c>
      <c r="AL34" s="1148">
        <f t="shared" ref="AL34" si="147">G34+J34+M34+P34+S34+V34+AA34+AD34+AF34+AH34+AI34+AJ34+AK34+X34+AE34+AG34</f>
        <v>329.14</v>
      </c>
      <c r="AM34" s="1273">
        <v>0</v>
      </c>
      <c r="AN34" s="1018">
        <v>55</v>
      </c>
      <c r="AO34" s="1096">
        <f>'Tax Calulation   '!P34</f>
        <v>0</v>
      </c>
      <c r="AP34" s="1096">
        <f>'Tax Calulation   '!W34</f>
        <v>5.9084194977843429</v>
      </c>
      <c r="AQ34" s="1686">
        <f t="shared" ref="AQ34" si="148">AL34-AO34-AN34-AP34-AM34</f>
        <v>268.23158050221565</v>
      </c>
      <c r="AR34" s="1682">
        <f t="shared" ref="AR34" si="149">ROUND((AQ34-AS34)*4040,-2)</f>
        <v>275700</v>
      </c>
      <c r="AS34" s="1684">
        <f t="shared" ref="AS34" si="150">CEILING(AQ34,(100))-100</f>
        <v>200</v>
      </c>
      <c r="AT34" s="612"/>
      <c r="AU34" s="763"/>
      <c r="AV34" s="764"/>
      <c r="AW34" s="612">
        <f t="shared" ref="AW34" si="151">INT(AS34/100)</f>
        <v>2</v>
      </c>
      <c r="AX34" s="612">
        <f t="shared" ref="AX34" si="152">INT((AS34-AW34*100)/50)</f>
        <v>0</v>
      </c>
      <c r="AY34" s="765">
        <f t="shared" ref="AY34" si="153">AW34*100+AX34*50</f>
        <v>200</v>
      </c>
      <c r="AZ34" s="765">
        <f t="shared" ref="AZ34" si="154">INT((AR34/50000))</f>
        <v>5</v>
      </c>
      <c r="BA34" s="766">
        <f t="shared" ref="BA34" si="155">INT((AR34-AZ34*50000)/10000)</f>
        <v>2</v>
      </c>
      <c r="BB34" s="766">
        <f t="shared" ref="BB34" si="156">INT((AR34-AZ34*50000-BA34*10000)/5000)</f>
        <v>1</v>
      </c>
      <c r="BC34" s="766">
        <f t="shared" ref="BC34" si="157">INT((AR34-AZ34*50000-BA34*10000-BB34*5000)/1000)</f>
        <v>0</v>
      </c>
      <c r="BD34" s="766">
        <f t="shared" ref="BD34" si="158">INT((AR34-AZ34*50000-BA34*10000-BB34*5000-BC34*1000)/500)</f>
        <v>1</v>
      </c>
      <c r="BE34" s="766">
        <f t="shared" ref="BE34" si="159">INT((AR34-AZ34*50000-BA34*10000-BB34*5000-BC34*1000-BD34*500)/100)</f>
        <v>2</v>
      </c>
      <c r="BF34" s="767">
        <f t="shared" ref="BF34" si="160">AZ34*50000+BA34*10000+BB34*5000+BC34*1000+BD34*500+BE34*100</f>
        <v>275700</v>
      </c>
      <c r="BH34" s="1907" t="s">
        <v>2381</v>
      </c>
      <c r="BI34" s="1894" t="s">
        <v>943</v>
      </c>
      <c r="BJ34" s="1908">
        <v>37263</v>
      </c>
      <c r="BK34" s="1905" t="s">
        <v>2382</v>
      </c>
      <c r="BL34" s="1883">
        <v>51615481</v>
      </c>
    </row>
    <row r="35" spans="1:64" s="768" customFormat="1" ht="48" customHeight="1">
      <c r="A35" s="1369">
        <v>29</v>
      </c>
      <c r="B35" s="1414" t="s">
        <v>2075</v>
      </c>
      <c r="C35" s="1329" t="s">
        <v>1199</v>
      </c>
      <c r="D35" s="1841">
        <v>42597</v>
      </c>
      <c r="E35" s="1637" t="s">
        <v>260</v>
      </c>
      <c r="F35" s="617">
        <f>13+154+17+12+8+2</f>
        <v>206</v>
      </c>
      <c r="G35" s="758">
        <f>2</f>
        <v>2</v>
      </c>
      <c r="H35" s="1001">
        <v>21.5</v>
      </c>
      <c r="I35" s="1408">
        <f t="shared" si="0"/>
        <v>170.34615384615384</v>
      </c>
      <c r="J35" s="618">
        <f t="shared" si="1"/>
        <v>170.34615384615384</v>
      </c>
      <c r="K35" s="1001">
        <v>26</v>
      </c>
      <c r="L35" s="510">
        <f t="shared" si="2"/>
        <v>1.4855769230769231</v>
      </c>
      <c r="M35" s="618">
        <f t="shared" si="3"/>
        <v>38.625</v>
      </c>
      <c r="N35" s="1001">
        <v>0</v>
      </c>
      <c r="O35" s="510">
        <f t="shared" si="4"/>
        <v>1.9807692307692308</v>
      </c>
      <c r="P35" s="503">
        <f t="shared" si="5"/>
        <v>0</v>
      </c>
      <c r="Q35" s="1001">
        <v>24</v>
      </c>
      <c r="R35" s="510">
        <f t="shared" si="6"/>
        <v>1.9807692307692308</v>
      </c>
      <c r="S35" s="618">
        <f t="shared" si="119"/>
        <v>47.53846153846154</v>
      </c>
      <c r="T35" s="1001">
        <v>5</v>
      </c>
      <c r="U35" s="510">
        <f t="shared" si="8"/>
        <v>7.9230769230769234</v>
      </c>
      <c r="V35" s="618">
        <f t="shared" si="9"/>
        <v>39.615384615384613</v>
      </c>
      <c r="W35" s="1001">
        <v>0.5</v>
      </c>
      <c r="X35" s="618">
        <f>'S4 Salary'!T36*'S4'!W35</f>
        <v>6.1082221852107841</v>
      </c>
      <c r="Y35" s="1001">
        <v>0</v>
      </c>
      <c r="Z35" s="510">
        <f t="shared" si="10"/>
        <v>3.9615384615384617</v>
      </c>
      <c r="AA35" s="618">
        <f t="shared" si="11"/>
        <v>0</v>
      </c>
      <c r="AB35" s="1001">
        <v>0</v>
      </c>
      <c r="AC35" s="1467">
        <f t="shared" si="12"/>
        <v>27</v>
      </c>
      <c r="AD35" s="1408">
        <v>0</v>
      </c>
      <c r="AE35" s="1121">
        <v>0</v>
      </c>
      <c r="AF35" s="1412">
        <f>4+4</f>
        <v>8</v>
      </c>
      <c r="AG35" s="762">
        <v>0</v>
      </c>
      <c r="AH35" s="618">
        <v>10</v>
      </c>
      <c r="AI35" s="788">
        <v>9</v>
      </c>
      <c r="AJ35" s="618">
        <v>10</v>
      </c>
      <c r="AK35" s="618">
        <v>10</v>
      </c>
      <c r="AL35" s="1148">
        <f t="shared" si="13"/>
        <v>351.23322218521076</v>
      </c>
      <c r="AM35" s="1273">
        <v>0</v>
      </c>
      <c r="AN35" s="1018">
        <v>102</v>
      </c>
      <c r="AO35" s="1096">
        <f>'Tax Calulation   '!P35</f>
        <v>0</v>
      </c>
      <c r="AP35" s="1096">
        <f>'Tax Calulation   '!W35</f>
        <v>5.9084194977843429</v>
      </c>
      <c r="AQ35" s="1686">
        <f t="shared" si="14"/>
        <v>243.32480268742643</v>
      </c>
      <c r="AR35" s="1682">
        <f t="shared" si="23"/>
        <v>175000</v>
      </c>
      <c r="AS35" s="1684">
        <f t="shared" ref="AS35" si="161">CEILING(AQ35,(100))-100</f>
        <v>200</v>
      </c>
      <c r="AT35" s="612"/>
      <c r="AU35" s="763"/>
      <c r="AV35" s="764"/>
      <c r="AW35" s="502">
        <f t="shared" si="15"/>
        <v>2</v>
      </c>
      <c r="AX35" s="502">
        <f t="shared" si="16"/>
        <v>0</v>
      </c>
      <c r="AY35" s="573">
        <f t="shared" si="25"/>
        <v>200</v>
      </c>
      <c r="AZ35" s="573">
        <f t="shared" si="17"/>
        <v>3</v>
      </c>
      <c r="BA35" s="548">
        <f t="shared" si="18"/>
        <v>2</v>
      </c>
      <c r="BB35" s="548">
        <f t="shared" si="19"/>
        <v>1</v>
      </c>
      <c r="BC35" s="548">
        <f t="shared" si="20"/>
        <v>0</v>
      </c>
      <c r="BD35" s="548">
        <f t="shared" si="21"/>
        <v>0</v>
      </c>
      <c r="BE35" s="548">
        <f t="shared" si="22"/>
        <v>0</v>
      </c>
      <c r="BF35" s="549">
        <f t="shared" si="26"/>
        <v>175000</v>
      </c>
      <c r="BH35" s="1390" t="s">
        <v>1035</v>
      </c>
      <c r="BI35" s="1390" t="s">
        <v>1033</v>
      </c>
      <c r="BJ35" s="1163">
        <v>32875</v>
      </c>
      <c r="BK35" s="1390" t="s">
        <v>1034</v>
      </c>
      <c r="BL35" s="1390">
        <v>11008177</v>
      </c>
    </row>
    <row r="36" spans="1:64" s="768" customFormat="1" ht="48" customHeight="1">
      <c r="A36" s="1369">
        <v>30</v>
      </c>
      <c r="B36" s="1418" t="s">
        <v>1201</v>
      </c>
      <c r="C36" s="1855" t="s">
        <v>483</v>
      </c>
      <c r="D36" s="1851">
        <v>41850</v>
      </c>
      <c r="E36" s="1638" t="s">
        <v>260</v>
      </c>
      <c r="F36" s="758">
        <f>13+154+17+12+8+2</f>
        <v>206</v>
      </c>
      <c r="G36" s="758">
        <f>2</f>
        <v>2</v>
      </c>
      <c r="H36" s="1001">
        <v>21</v>
      </c>
      <c r="I36" s="1408">
        <f t="shared" si="0"/>
        <v>166.38461538461539</v>
      </c>
      <c r="J36" s="618">
        <f t="shared" si="1"/>
        <v>166.38461538461539</v>
      </c>
      <c r="K36" s="1001">
        <v>28</v>
      </c>
      <c r="L36" s="510">
        <f t="shared" si="2"/>
        <v>1.4855769230769231</v>
      </c>
      <c r="M36" s="618">
        <f t="shared" si="3"/>
        <v>41.596153846153847</v>
      </c>
      <c r="N36" s="1001">
        <v>0</v>
      </c>
      <c r="O36" s="510">
        <f t="shared" si="4"/>
        <v>1.9807692307692308</v>
      </c>
      <c r="P36" s="503">
        <f t="shared" si="5"/>
        <v>0</v>
      </c>
      <c r="Q36" s="1001">
        <v>16</v>
      </c>
      <c r="R36" s="510">
        <f t="shared" si="6"/>
        <v>1.9807692307692308</v>
      </c>
      <c r="S36" s="618">
        <f t="shared" si="119"/>
        <v>31.692307692307693</v>
      </c>
      <c r="T36" s="1001">
        <v>6</v>
      </c>
      <c r="U36" s="510">
        <f t="shared" si="8"/>
        <v>7.9230769230769234</v>
      </c>
      <c r="V36" s="618">
        <f t="shared" si="9"/>
        <v>47.53846153846154</v>
      </c>
      <c r="W36" s="1001">
        <v>0</v>
      </c>
      <c r="X36" s="618">
        <f>'S4 Salary'!T37*'S4'!W36</f>
        <v>0</v>
      </c>
      <c r="Y36" s="1001">
        <v>0</v>
      </c>
      <c r="Z36" s="510">
        <f t="shared" si="10"/>
        <v>3.9615384615384617</v>
      </c>
      <c r="AA36" s="618">
        <f t="shared" si="11"/>
        <v>0</v>
      </c>
      <c r="AB36" s="1001">
        <v>0</v>
      </c>
      <c r="AC36" s="1467">
        <f t="shared" si="12"/>
        <v>27</v>
      </c>
      <c r="AD36" s="1408">
        <v>0</v>
      </c>
      <c r="AE36" s="1121">
        <v>0</v>
      </c>
      <c r="AF36" s="1412">
        <f>4+4</f>
        <v>8</v>
      </c>
      <c r="AG36" s="762">
        <v>0</v>
      </c>
      <c r="AH36" s="618">
        <v>10</v>
      </c>
      <c r="AI36" s="788">
        <v>11</v>
      </c>
      <c r="AJ36" s="618">
        <v>10</v>
      </c>
      <c r="AK36" s="618">
        <v>10</v>
      </c>
      <c r="AL36" s="1148">
        <f t="shared" si="13"/>
        <v>338.21153846153845</v>
      </c>
      <c r="AM36" s="1273">
        <v>0</v>
      </c>
      <c r="AN36" s="1018">
        <v>102</v>
      </c>
      <c r="AO36" s="1096">
        <f>'Tax Calulation   '!P36</f>
        <v>0</v>
      </c>
      <c r="AP36" s="1096">
        <f>'Tax Calulation   '!W36</f>
        <v>5.9084194977843429</v>
      </c>
      <c r="AQ36" s="1686">
        <f t="shared" si="14"/>
        <v>230.30311896375412</v>
      </c>
      <c r="AR36" s="1682">
        <f t="shared" si="23"/>
        <v>122400</v>
      </c>
      <c r="AS36" s="1684">
        <f t="shared" si="24"/>
        <v>200</v>
      </c>
      <c r="AT36" s="612"/>
      <c r="AU36" s="776"/>
      <c r="AV36" s="764">
        <f>(J36+M36+P36+S36+V36+AA36+AH36+AI36+AJ36+AK36)*4000</f>
        <v>1312846.1538461538</v>
      </c>
      <c r="AW36" s="612">
        <f t="shared" si="15"/>
        <v>2</v>
      </c>
      <c r="AX36" s="612">
        <f t="shared" si="16"/>
        <v>0</v>
      </c>
      <c r="AY36" s="765">
        <f t="shared" si="25"/>
        <v>200</v>
      </c>
      <c r="AZ36" s="765">
        <f t="shared" si="17"/>
        <v>2</v>
      </c>
      <c r="BA36" s="766">
        <f t="shared" si="18"/>
        <v>2</v>
      </c>
      <c r="BB36" s="766">
        <f t="shared" si="19"/>
        <v>0</v>
      </c>
      <c r="BC36" s="766">
        <f t="shared" si="20"/>
        <v>2</v>
      </c>
      <c r="BD36" s="766">
        <f t="shared" si="21"/>
        <v>0</v>
      </c>
      <c r="BE36" s="766">
        <f t="shared" si="22"/>
        <v>4</v>
      </c>
      <c r="BF36" s="767">
        <f t="shared" si="26"/>
        <v>122400</v>
      </c>
      <c r="BH36" s="1417" t="s">
        <v>810</v>
      </c>
      <c r="BI36" s="1417" t="s">
        <v>573</v>
      </c>
      <c r="BJ36" s="1165">
        <v>29618</v>
      </c>
      <c r="BK36" s="1676" t="s">
        <v>624</v>
      </c>
      <c r="BL36" s="1676">
        <v>100740904</v>
      </c>
    </row>
    <row r="37" spans="1:64" s="780" customFormat="1" ht="48" customHeight="1">
      <c r="A37" s="770" t="s">
        <v>214</v>
      </c>
      <c r="B37" s="771"/>
      <c r="C37" s="772"/>
      <c r="D37" s="771"/>
      <c r="E37" s="771"/>
      <c r="F37" s="771"/>
      <c r="G37" s="771"/>
      <c r="H37" s="771"/>
      <c r="I37" s="771"/>
      <c r="J37" s="771"/>
      <c r="K37" s="771"/>
      <c r="L37" s="771"/>
      <c r="M37" s="771"/>
      <c r="N37" s="771"/>
      <c r="O37" s="771"/>
      <c r="P37" s="771"/>
      <c r="Q37" s="771"/>
      <c r="R37" s="771"/>
      <c r="S37" s="771"/>
      <c r="T37" s="771"/>
      <c r="U37" s="771"/>
      <c r="V37" s="771"/>
      <c r="W37" s="771"/>
      <c r="X37" s="945">
        <f>SUM(X7:X36)</f>
        <v>83.778428086403181</v>
      </c>
      <c r="Y37" s="771"/>
      <c r="Z37" s="771"/>
      <c r="AA37" s="771"/>
      <c r="AB37" s="771"/>
      <c r="AC37" s="771"/>
      <c r="AD37" s="773">
        <f>SUM(AD7:AD36)</f>
        <v>0</v>
      </c>
      <c r="AE37" s="1115">
        <f>SUM(AE7:AE36)</f>
        <v>0</v>
      </c>
      <c r="AF37" s="771"/>
      <c r="AG37" s="1292">
        <f>SUM(AG7:AG36)</f>
        <v>15</v>
      </c>
      <c r="AH37" s="771"/>
      <c r="AI37" s="771"/>
      <c r="AJ37" s="773">
        <f t="shared" ref="AJ37:AS37" si="162">SUM(AJ7:AJ36)</f>
        <v>298.07</v>
      </c>
      <c r="AK37" s="773">
        <f t="shared" si="162"/>
        <v>300</v>
      </c>
      <c r="AL37" s="774">
        <f t="shared" si="162"/>
        <v>11358.668428086401</v>
      </c>
      <c r="AM37" s="1272">
        <f t="shared" si="162"/>
        <v>2.5</v>
      </c>
      <c r="AN37" s="810">
        <f t="shared" si="162"/>
        <v>3013</v>
      </c>
      <c r="AO37" s="774">
        <f t="shared" si="162"/>
        <v>6.8382588718519166</v>
      </c>
      <c r="AP37" s="774">
        <f t="shared" si="162"/>
        <v>175.88647312805352</v>
      </c>
      <c r="AQ37" s="1617">
        <f t="shared" si="162"/>
        <v>8160.4436960864969</v>
      </c>
      <c r="AR37" s="1616">
        <f t="shared" si="162"/>
        <v>7112500</v>
      </c>
      <c r="AS37" s="1615">
        <f t="shared" si="162"/>
        <v>6400</v>
      </c>
      <c r="AT37" s="775"/>
      <c r="AU37" s="777"/>
      <c r="AV37" s="777"/>
      <c r="AW37" s="765">
        <f t="shared" ref="AW37:BF37" si="163">SUM(AW7:AW36)</f>
        <v>64</v>
      </c>
      <c r="AX37" s="765">
        <f t="shared" si="163"/>
        <v>0</v>
      </c>
      <c r="AY37" s="778">
        <f t="shared" si="163"/>
        <v>6400</v>
      </c>
      <c r="AZ37" s="765">
        <f t="shared" si="163"/>
        <v>127</v>
      </c>
      <c r="BA37" s="765">
        <f t="shared" si="163"/>
        <v>63</v>
      </c>
      <c r="BB37" s="765">
        <f t="shared" si="163"/>
        <v>15</v>
      </c>
      <c r="BC37" s="765">
        <f t="shared" si="163"/>
        <v>46</v>
      </c>
      <c r="BD37" s="765">
        <f t="shared" si="163"/>
        <v>8</v>
      </c>
      <c r="BE37" s="765">
        <f t="shared" si="163"/>
        <v>75</v>
      </c>
      <c r="BF37" s="779">
        <f t="shared" si="163"/>
        <v>7112500</v>
      </c>
    </row>
    <row r="38" spans="1:64" s="780" customFormat="1">
      <c r="A38" s="777"/>
      <c r="B38" s="777"/>
      <c r="C38" s="781"/>
      <c r="D38" s="782"/>
      <c r="E38" s="777"/>
      <c r="F38" s="783"/>
      <c r="G38" s="777"/>
      <c r="H38" s="777"/>
      <c r="I38" s="777"/>
      <c r="J38" s="777"/>
      <c r="K38" s="777"/>
      <c r="L38" s="777"/>
      <c r="M38" s="777"/>
      <c r="N38" s="777"/>
      <c r="O38" s="777"/>
      <c r="P38" s="777"/>
      <c r="Q38" s="777"/>
      <c r="R38" s="777"/>
      <c r="S38" s="777"/>
      <c r="T38" s="777"/>
      <c r="U38" s="777"/>
      <c r="V38" s="777"/>
      <c r="W38" s="777"/>
      <c r="X38" s="777"/>
      <c r="Y38" s="777"/>
      <c r="Z38" s="777"/>
      <c r="AA38" s="777"/>
      <c r="AB38" s="777"/>
      <c r="AC38" s="777"/>
      <c r="AD38" s="777"/>
      <c r="AE38" s="777"/>
      <c r="AF38" s="777"/>
      <c r="AG38" s="777"/>
      <c r="AH38" s="777"/>
      <c r="AI38" s="777"/>
      <c r="AJ38" s="777"/>
      <c r="AK38" s="777"/>
      <c r="AL38" s="777"/>
      <c r="AM38" s="777"/>
      <c r="AN38" s="777"/>
      <c r="AO38" s="777"/>
      <c r="AP38" s="777"/>
      <c r="AQ38" s="777"/>
      <c r="AR38" s="777"/>
      <c r="AS38" s="777"/>
      <c r="AT38" s="777"/>
      <c r="AU38" s="784"/>
      <c r="AV38" s="777"/>
      <c r="AW38" s="777"/>
      <c r="AX38" s="777"/>
      <c r="AY38" s="777"/>
      <c r="AZ38" s="777"/>
      <c r="BA38" s="777"/>
    </row>
    <row r="39" spans="1:64" s="1361" customFormat="1" ht="27" customHeight="1">
      <c r="A39" s="1361" t="s">
        <v>213</v>
      </c>
      <c r="C39" s="1362"/>
      <c r="F39" s="1363"/>
      <c r="L39" s="1355" t="s">
        <v>2168</v>
      </c>
      <c r="AF39" s="1364" t="s">
        <v>445</v>
      </c>
      <c r="AG39" s="1364"/>
      <c r="AS39" s="1361" t="s">
        <v>212</v>
      </c>
      <c r="AU39" s="1365"/>
    </row>
    <row r="40" spans="1:64">
      <c r="A40" s="552"/>
      <c r="B40" s="552"/>
      <c r="C40" s="567"/>
      <c r="D40" s="508"/>
      <c r="E40" s="552"/>
      <c r="F40" s="554"/>
      <c r="G40" s="552"/>
      <c r="H40" s="552"/>
      <c r="I40" s="552"/>
      <c r="J40" s="552"/>
      <c r="K40" s="552"/>
      <c r="L40" s="552"/>
      <c r="M40" s="552"/>
      <c r="N40" s="552"/>
      <c r="O40" s="552"/>
      <c r="P40" s="552"/>
      <c r="Q40" s="552"/>
      <c r="R40" s="552"/>
      <c r="S40" s="552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2"/>
      <c r="AE40" s="552"/>
      <c r="AF40" s="552"/>
      <c r="AG40" s="552"/>
      <c r="AH40" s="552"/>
      <c r="AI40" s="552"/>
      <c r="AJ40" s="552"/>
      <c r="AK40" s="552"/>
      <c r="AL40" s="552"/>
      <c r="AM40" s="552"/>
      <c r="AN40" s="552"/>
      <c r="AO40" s="552"/>
      <c r="AP40" s="552"/>
      <c r="AQ40" s="552"/>
      <c r="AR40" s="552"/>
      <c r="AS40" s="552"/>
      <c r="AT40" s="552"/>
      <c r="AV40" s="552"/>
      <c r="AW40" s="552"/>
      <c r="AX40" s="552"/>
      <c r="AY40" s="552"/>
      <c r="AZ40" s="552"/>
      <c r="BA40" s="552"/>
    </row>
    <row r="42" spans="1:64" ht="25.5" customHeight="1">
      <c r="D42" s="755"/>
    </row>
    <row r="43" spans="1:64" ht="25.5" customHeight="1">
      <c r="D43" s="755"/>
    </row>
    <row r="44" spans="1:64" ht="25.5" customHeight="1">
      <c r="D44" s="755"/>
    </row>
    <row r="49" spans="3:3">
      <c r="C49" s="727"/>
    </row>
    <row r="53" spans="3:3">
      <c r="C53" s="611"/>
    </row>
  </sheetData>
  <mergeCells count="32">
    <mergeCell ref="BI5:BI6"/>
    <mergeCell ref="BJ5:BJ6"/>
    <mergeCell ref="BK5:BK6"/>
    <mergeCell ref="BL5:BL6"/>
    <mergeCell ref="AI5:AI6"/>
    <mergeCell ref="AP5:AP6"/>
    <mergeCell ref="Y5:AA5"/>
    <mergeCell ref="AB5:AB6"/>
    <mergeCell ref="AD5:AD6"/>
    <mergeCell ref="AF5:AF6"/>
    <mergeCell ref="AH5:AH6"/>
    <mergeCell ref="H5:J5"/>
    <mergeCell ref="K5:M5"/>
    <mergeCell ref="N5:P5"/>
    <mergeCell ref="Q5:S5"/>
    <mergeCell ref="T5:V5"/>
    <mergeCell ref="W5:X5"/>
    <mergeCell ref="A1:AT1"/>
    <mergeCell ref="A2:AT2"/>
    <mergeCell ref="A3:AT3"/>
    <mergeCell ref="AW4:BF4"/>
    <mergeCell ref="C4:F4"/>
    <mergeCell ref="AT5:AT6"/>
    <mergeCell ref="AW5:AY5"/>
    <mergeCell ref="BB5:BF5"/>
    <mergeCell ref="AJ5:AJ6"/>
    <mergeCell ref="AK5:AK6"/>
    <mergeCell ref="AL5:AL6"/>
    <mergeCell ref="AM5:AM6"/>
    <mergeCell ref="AO5:AO6"/>
    <mergeCell ref="AQ5:AS5"/>
    <mergeCell ref="AN5:AN6"/>
  </mergeCells>
  <phoneticPr fontId="171" type="noConversion"/>
  <pageMargins left="0" right="0" top="0" bottom="0" header="0" footer="0"/>
  <pageSetup paperSize="9" scale="34" orientation="landscape" horizontalDpi="4294967293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"/>
  <sheetViews>
    <sheetView workbookViewId="0">
      <pane xSplit="4" ySplit="6" topLeftCell="E33" activePane="bottomRight" state="frozen"/>
      <selection pane="topRight" activeCell="E1" sqref="E1"/>
      <selection pane="bottomLeft" activeCell="A7" sqref="A7"/>
      <selection pane="bottomRight" activeCell="T36" sqref="T36"/>
    </sheetView>
  </sheetViews>
  <sheetFormatPr defaultRowHeight="15.75"/>
  <cols>
    <col min="1" max="1" width="4.75" style="474" customWidth="1"/>
    <col min="2" max="2" width="9.75" style="474" customWidth="1"/>
    <col min="3" max="3" width="11.625" style="476" customWidth="1"/>
    <col min="4" max="4" width="9.625" style="475" customWidth="1"/>
    <col min="5" max="5" width="6.375" style="500" customWidth="1"/>
    <col min="6" max="6" width="13.125" style="474" customWidth="1"/>
    <col min="7" max="7" width="9.125" style="474" bestFit="1" customWidth="1"/>
    <col min="8" max="8" width="13.75" style="474" bestFit="1" customWidth="1"/>
    <col min="9" max="10" width="7.375" style="474" customWidth="1"/>
    <col min="11" max="11" width="9" style="474"/>
    <col min="12" max="12" width="10.875" style="474" customWidth="1"/>
    <col min="13" max="13" width="9" style="474"/>
    <col min="14" max="14" width="11.875" style="474" customWidth="1"/>
    <col min="15" max="15" width="12.125" style="474" customWidth="1"/>
    <col min="16" max="16" width="15.125" style="474" customWidth="1"/>
    <col min="17" max="17" width="9" style="474"/>
    <col min="18" max="18" width="16.375" style="474" customWidth="1"/>
    <col min="19" max="19" width="16.625" style="474" customWidth="1"/>
    <col min="20" max="21" width="14" style="474" customWidth="1"/>
    <col min="22" max="23" width="14.625" style="474" customWidth="1"/>
    <col min="24" max="16384" width="9" style="474"/>
  </cols>
  <sheetData>
    <row r="1" spans="1:39" s="479" customFormat="1" ht="29.25" customHeight="1">
      <c r="A1" s="2127" t="s">
        <v>222</v>
      </c>
      <c r="B1" s="2127"/>
      <c r="C1" s="2127"/>
      <c r="D1" s="2127"/>
      <c r="E1" s="2127"/>
      <c r="F1" s="2127"/>
      <c r="G1" s="2127"/>
      <c r="H1" s="2127"/>
      <c r="I1" s="2127"/>
      <c r="J1" s="2127"/>
      <c r="K1" s="2127"/>
      <c r="L1" s="2127"/>
      <c r="M1" s="2127"/>
      <c r="N1" s="2127"/>
      <c r="O1" s="2127"/>
      <c r="P1" s="2127"/>
      <c r="R1" s="2126" t="s">
        <v>222</v>
      </c>
      <c r="S1" s="2126"/>
      <c r="T1" s="2126"/>
      <c r="U1" s="2126"/>
      <c r="V1" s="2126"/>
      <c r="W1" s="2126"/>
    </row>
    <row r="2" spans="1:39" s="479" customFormat="1" ht="20.25" customHeight="1">
      <c r="A2" s="2127" t="s">
        <v>221</v>
      </c>
      <c r="B2" s="2127"/>
      <c r="C2" s="2127"/>
      <c r="D2" s="2127"/>
      <c r="E2" s="2127"/>
      <c r="F2" s="2127"/>
      <c r="G2" s="2127"/>
      <c r="H2" s="2127"/>
      <c r="I2" s="2127"/>
      <c r="J2" s="2127"/>
      <c r="K2" s="2127"/>
      <c r="L2" s="2127"/>
      <c r="M2" s="2127"/>
      <c r="N2" s="2127"/>
      <c r="O2" s="2127"/>
      <c r="P2" s="2127"/>
      <c r="R2" s="2126" t="s">
        <v>1807</v>
      </c>
      <c r="S2" s="2126"/>
      <c r="T2" s="2126"/>
      <c r="U2" s="2126"/>
      <c r="V2" s="2126"/>
      <c r="W2" s="2126"/>
    </row>
    <row r="3" spans="1:39" s="479" customFormat="1" ht="19.5" customHeight="1">
      <c r="A3" s="2126" t="s">
        <v>2354</v>
      </c>
      <c r="B3" s="2126"/>
      <c r="C3" s="2126"/>
      <c r="D3" s="2126"/>
      <c r="E3" s="2126"/>
      <c r="F3" s="2126"/>
      <c r="G3" s="2126"/>
      <c r="H3" s="2126"/>
      <c r="I3" s="2126"/>
      <c r="J3" s="2126"/>
      <c r="K3" s="2126"/>
      <c r="L3" s="2126"/>
      <c r="M3" s="2126"/>
      <c r="N3" s="2126"/>
      <c r="O3" s="2126"/>
      <c r="P3" s="2126"/>
      <c r="R3" s="2126" t="s">
        <v>2357</v>
      </c>
      <c r="S3" s="2126"/>
      <c r="T3" s="2126"/>
      <c r="U3" s="2126"/>
      <c r="V3" s="2126"/>
      <c r="W3" s="2126"/>
    </row>
    <row r="4" spans="1:39" s="479" customFormat="1" ht="20.25" customHeight="1" thickBot="1">
      <c r="A4" s="2128" t="s">
        <v>299</v>
      </c>
      <c r="B4" s="2128"/>
      <c r="C4" s="2128"/>
      <c r="D4" s="2128"/>
      <c r="E4" s="2128"/>
    </row>
    <row r="5" spans="1:39" s="473" customFormat="1" ht="63" customHeight="1" thickTop="1">
      <c r="A5" s="482" t="s">
        <v>223</v>
      </c>
      <c r="B5" s="482" t="s">
        <v>224</v>
      </c>
      <c r="C5" s="482" t="s">
        <v>225</v>
      </c>
      <c r="D5" s="482" t="s">
        <v>226</v>
      </c>
      <c r="E5" s="498" t="s">
        <v>227</v>
      </c>
      <c r="F5" s="482" t="s">
        <v>228</v>
      </c>
      <c r="G5" s="482" t="s">
        <v>229</v>
      </c>
      <c r="H5" s="482" t="s">
        <v>230</v>
      </c>
      <c r="I5" s="482" t="s">
        <v>231</v>
      </c>
      <c r="J5" s="482" t="s">
        <v>232</v>
      </c>
      <c r="K5" s="482" t="s">
        <v>233</v>
      </c>
      <c r="L5" s="482" t="s">
        <v>234</v>
      </c>
      <c r="M5" s="482" t="s">
        <v>235</v>
      </c>
      <c r="N5" s="482" t="s">
        <v>236</v>
      </c>
      <c r="O5" s="482" t="s">
        <v>237</v>
      </c>
      <c r="P5" s="482" t="s">
        <v>238</v>
      </c>
      <c r="Q5" s="483"/>
      <c r="R5" s="1203" t="s">
        <v>1810</v>
      </c>
      <c r="S5" s="1203" t="s">
        <v>1811</v>
      </c>
      <c r="T5" s="498" t="s">
        <v>1812</v>
      </c>
      <c r="U5" s="498" t="s">
        <v>1809</v>
      </c>
      <c r="V5" s="498" t="s">
        <v>1813</v>
      </c>
      <c r="W5" s="498" t="s">
        <v>1814</v>
      </c>
      <c r="X5" s="483"/>
      <c r="Y5" s="483"/>
      <c r="Z5" s="483"/>
      <c r="AA5" s="484"/>
      <c r="AB5" s="484"/>
      <c r="AC5" s="484"/>
      <c r="AD5" s="484"/>
      <c r="AE5" s="484"/>
      <c r="AF5" s="484"/>
      <c r="AG5" s="484"/>
      <c r="AH5" s="484"/>
      <c r="AI5" s="484"/>
      <c r="AJ5" s="484"/>
      <c r="AK5" s="484"/>
      <c r="AL5" s="484"/>
      <c r="AM5" s="484"/>
    </row>
    <row r="6" spans="1:39" s="473" customFormat="1" ht="33" customHeight="1">
      <c r="A6" s="485" t="s">
        <v>111</v>
      </c>
      <c r="B6" s="485" t="s">
        <v>239</v>
      </c>
      <c r="C6" s="485" t="s">
        <v>87</v>
      </c>
      <c r="D6" s="486" t="s">
        <v>240</v>
      </c>
      <c r="E6" s="499" t="s">
        <v>218</v>
      </c>
      <c r="F6" s="492" t="s">
        <v>241</v>
      </c>
      <c r="G6" s="492" t="s">
        <v>242</v>
      </c>
      <c r="H6" s="492" t="s">
        <v>243</v>
      </c>
      <c r="I6" s="492" t="s">
        <v>244</v>
      </c>
      <c r="J6" s="493" t="s">
        <v>245</v>
      </c>
      <c r="K6" s="492" t="s">
        <v>246</v>
      </c>
      <c r="L6" s="493" t="s">
        <v>247</v>
      </c>
      <c r="M6" s="492" t="s">
        <v>248</v>
      </c>
      <c r="N6" s="492"/>
      <c r="O6" s="492" t="s">
        <v>249</v>
      </c>
      <c r="P6" s="492" t="s">
        <v>250</v>
      </c>
      <c r="Q6" s="487"/>
      <c r="R6" s="1154"/>
      <c r="S6" s="1169"/>
      <c r="T6" s="1169" t="s">
        <v>1806</v>
      </c>
      <c r="U6" s="488">
        <v>4062</v>
      </c>
      <c r="V6" s="1183">
        <v>0.02</v>
      </c>
      <c r="W6" s="488">
        <v>4062</v>
      </c>
      <c r="X6" s="487"/>
      <c r="Y6" s="487"/>
      <c r="Z6" s="487"/>
      <c r="AA6" s="481"/>
      <c r="AB6" s="481"/>
      <c r="AC6" s="481"/>
      <c r="AD6" s="481"/>
      <c r="AE6" s="481"/>
      <c r="AF6" s="481"/>
      <c r="AG6" s="484"/>
      <c r="AH6" s="484"/>
      <c r="AI6" s="484"/>
      <c r="AJ6" s="484"/>
      <c r="AK6" s="484"/>
      <c r="AL6" s="484"/>
      <c r="AM6" s="484"/>
    </row>
    <row r="7" spans="1:39" s="477" customFormat="1" ht="31.5" customHeight="1">
      <c r="A7" s="478">
        <v>1</v>
      </c>
      <c r="B7" s="515" t="s">
        <v>409</v>
      </c>
      <c r="C7" s="581" t="s">
        <v>453</v>
      </c>
      <c r="D7" s="1474">
        <v>42845</v>
      </c>
      <c r="E7" s="513" t="s">
        <v>260</v>
      </c>
      <c r="F7" s="494">
        <f>'S4'!AL7-'S4'!AD7-'S4'!AJ7-'S4'!AK7-'S4'!AE7-'S4'!AG7-W7</f>
        <v>378.05311896375412</v>
      </c>
      <c r="G7" s="495">
        <v>4062</v>
      </c>
      <c r="H7" s="488">
        <f t="shared" ref="H7:H36" si="0">F7*G7</f>
        <v>1535651.7692307692</v>
      </c>
      <c r="I7" s="480"/>
      <c r="J7" s="532">
        <v>3</v>
      </c>
      <c r="K7" s="488">
        <f t="shared" ref="K7:K36" si="1">150000*(J7+I7)</f>
        <v>450000</v>
      </c>
      <c r="L7" s="488">
        <f t="shared" ref="L7:L36" si="2">H7-K7</f>
        <v>1085651.7692307692</v>
      </c>
      <c r="M7" s="489">
        <f>IF(L7&gt;=12500000,20%,IF(L7&gt;=8500001,15%,IF(L7&gt;=2000001,10%,IF(L7&gt;=1500001,5%,0%))))</f>
        <v>0</v>
      </c>
      <c r="N7" s="488">
        <f>IF(M7=5%,75000,IF(M7=10%,175000,0))</f>
        <v>0</v>
      </c>
      <c r="O7" s="490">
        <f t="shared" ref="O7:O36" si="3">L7*M7-N7</f>
        <v>0</v>
      </c>
      <c r="P7" s="491">
        <f>O7/4062</f>
        <v>0</v>
      </c>
      <c r="R7" s="1186">
        <v>29438</v>
      </c>
      <c r="S7" s="1170">
        <v>44835</v>
      </c>
      <c r="T7" s="1174">
        <f>'S4'!AL7-'S4'!AE7</f>
        <v>403.96153846153845</v>
      </c>
      <c r="U7" s="1195">
        <f>T7*4062</f>
        <v>1640891.7692307692</v>
      </c>
      <c r="V7" s="1181">
        <f>IF(YEARFRAC(R7,S7)&gt;=60,"0",IF(U7&lt;400000,400000*2%,IF(U7&gt;1200000,1200000*2%,U7*2%)))</f>
        <v>24000</v>
      </c>
      <c r="W7" s="1194">
        <f>V7/4062</f>
        <v>5.9084194977843429</v>
      </c>
    </row>
    <row r="8" spans="1:39" s="477" customFormat="1" ht="31.5" customHeight="1">
      <c r="A8" s="478">
        <v>2</v>
      </c>
      <c r="B8" s="518" t="s">
        <v>291</v>
      </c>
      <c r="C8" s="578" t="s">
        <v>292</v>
      </c>
      <c r="D8" s="1474">
        <v>41921</v>
      </c>
      <c r="E8" s="513" t="s">
        <v>260</v>
      </c>
      <c r="F8" s="494">
        <f>'S4'!AL8-'S4'!AD8-'S4'!AJ8-'S4'!AK8-'S4'!AE8-'S4'!AG8-W8</f>
        <v>320.14927280990798</v>
      </c>
      <c r="G8" s="495">
        <v>4062</v>
      </c>
      <c r="H8" s="488">
        <f t="shared" si="0"/>
        <v>1300446.3461538462</v>
      </c>
      <c r="I8" s="480"/>
      <c r="J8" s="519">
        <v>3</v>
      </c>
      <c r="K8" s="488">
        <f t="shared" si="1"/>
        <v>450000</v>
      </c>
      <c r="L8" s="488">
        <f t="shared" si="2"/>
        <v>850446.34615384624</v>
      </c>
      <c r="M8" s="489">
        <f t="shared" ref="M8:M36" si="4">IF(L8&gt;=12500000,20%,IF(L8&gt;=8500001,15%,IF(L8&gt;=2000001,10%,IF(L8&gt;=1500001,5%,0%))))</f>
        <v>0</v>
      </c>
      <c r="N8" s="488">
        <f t="shared" ref="N8:N36" si="5">IF(M8=5%,75000,IF(M8=10%,175000,0))</f>
        <v>0</v>
      </c>
      <c r="O8" s="490">
        <f t="shared" si="3"/>
        <v>0</v>
      </c>
      <c r="P8" s="491">
        <f t="shared" ref="P8:P36" si="6">O8/4062</f>
        <v>0</v>
      </c>
      <c r="R8" s="1186">
        <v>29009</v>
      </c>
      <c r="S8" s="1170">
        <v>44835</v>
      </c>
      <c r="T8" s="1174">
        <f>'S4'!AL8-'S4'!AE8</f>
        <v>346.05769230769232</v>
      </c>
      <c r="U8" s="1195">
        <f t="shared" ref="U8:U36" si="7">T8*4062</f>
        <v>1405686.3461538462</v>
      </c>
      <c r="V8" s="1181">
        <f t="shared" ref="V8:V36" si="8">IF(YEARFRAC(R8,S8)&gt;=60,"0",IF(U8&lt;400000,400000*2%,IF(U8&gt;1200000,1200000*2%,U8*2%)))</f>
        <v>24000</v>
      </c>
      <c r="W8" s="1194">
        <f t="shared" ref="W8:W36" si="9">V8/4062</f>
        <v>5.9084194977843429</v>
      </c>
    </row>
    <row r="9" spans="1:39" s="477" customFormat="1" ht="31.5" customHeight="1">
      <c r="A9" s="478">
        <v>3</v>
      </c>
      <c r="B9" s="518" t="s">
        <v>294</v>
      </c>
      <c r="C9" s="578" t="s">
        <v>295</v>
      </c>
      <c r="D9" s="1474">
        <v>42543</v>
      </c>
      <c r="E9" s="513" t="s">
        <v>260</v>
      </c>
      <c r="F9" s="494">
        <f>'S4'!AL9-'S4'!AD9-'S4'!AJ9-'S4'!AK9-'S4'!AE9-'S4'!AG9-W9</f>
        <v>344.63004204067721</v>
      </c>
      <c r="G9" s="495">
        <v>4062</v>
      </c>
      <c r="H9" s="488">
        <f t="shared" si="0"/>
        <v>1399887.2307692308</v>
      </c>
      <c r="I9" s="480"/>
      <c r="J9" s="519">
        <v>3</v>
      </c>
      <c r="K9" s="488">
        <f t="shared" si="1"/>
        <v>450000</v>
      </c>
      <c r="L9" s="488">
        <f t="shared" si="2"/>
        <v>949887.23076923075</v>
      </c>
      <c r="M9" s="489">
        <f t="shared" si="4"/>
        <v>0</v>
      </c>
      <c r="N9" s="488">
        <f t="shared" si="5"/>
        <v>0</v>
      </c>
      <c r="O9" s="490">
        <f t="shared" si="3"/>
        <v>0</v>
      </c>
      <c r="P9" s="491">
        <f t="shared" si="6"/>
        <v>0</v>
      </c>
      <c r="R9" s="1186">
        <v>30177</v>
      </c>
      <c r="S9" s="1170">
        <v>44835</v>
      </c>
      <c r="T9" s="1174">
        <f>'S4'!AL9-'S4'!AE9</f>
        <v>370.53846153846155</v>
      </c>
      <c r="U9" s="1195">
        <f t="shared" si="7"/>
        <v>1505127.2307692308</v>
      </c>
      <c r="V9" s="1181">
        <f t="shared" si="8"/>
        <v>24000</v>
      </c>
      <c r="W9" s="1194">
        <f t="shared" si="9"/>
        <v>5.9084194977843429</v>
      </c>
    </row>
    <row r="10" spans="1:39" s="477" customFormat="1" ht="31.5" customHeight="1">
      <c r="A10" s="478">
        <v>4</v>
      </c>
      <c r="B10" s="518" t="s">
        <v>969</v>
      </c>
      <c r="C10" s="578" t="s">
        <v>970</v>
      </c>
      <c r="D10" s="1474">
        <v>39579</v>
      </c>
      <c r="E10" s="513" t="s">
        <v>260</v>
      </c>
      <c r="F10" s="494">
        <f>'S4'!AL10-'S4'!AD10-'S4'!AJ10-'S4'!AK10-'S4'!AE10-'S4'!AG10-W10</f>
        <v>383.57234973298495</v>
      </c>
      <c r="G10" s="495">
        <v>4062</v>
      </c>
      <c r="H10" s="488">
        <f t="shared" si="0"/>
        <v>1558070.8846153847</v>
      </c>
      <c r="I10" s="480"/>
      <c r="J10" s="519">
        <v>2</v>
      </c>
      <c r="K10" s="488">
        <f t="shared" si="1"/>
        <v>300000</v>
      </c>
      <c r="L10" s="488">
        <f t="shared" si="2"/>
        <v>1258070.8846153847</v>
      </c>
      <c r="M10" s="489">
        <f t="shared" si="4"/>
        <v>0</v>
      </c>
      <c r="N10" s="488">
        <f t="shared" si="5"/>
        <v>0</v>
      </c>
      <c r="O10" s="490">
        <f t="shared" si="3"/>
        <v>0</v>
      </c>
      <c r="P10" s="491">
        <f t="shared" si="6"/>
        <v>0</v>
      </c>
      <c r="R10" s="1186">
        <v>32908</v>
      </c>
      <c r="S10" s="1170">
        <v>44835</v>
      </c>
      <c r="T10" s="1174">
        <f>'S4'!AL10-'S4'!AE10</f>
        <v>409.48076923076928</v>
      </c>
      <c r="U10" s="1195">
        <f t="shared" si="7"/>
        <v>1663310.8846153847</v>
      </c>
      <c r="V10" s="1181">
        <f t="shared" si="8"/>
        <v>24000</v>
      </c>
      <c r="W10" s="1194">
        <f t="shared" si="9"/>
        <v>5.9084194977843429</v>
      </c>
    </row>
    <row r="11" spans="1:39" s="477" customFormat="1" ht="31.5" customHeight="1">
      <c r="A11" s="478">
        <v>5</v>
      </c>
      <c r="B11" s="559" t="s">
        <v>2118</v>
      </c>
      <c r="C11" s="578" t="s">
        <v>2119</v>
      </c>
      <c r="D11" s="728">
        <v>43407</v>
      </c>
      <c r="E11" s="557" t="s">
        <v>260</v>
      </c>
      <c r="F11" s="494">
        <f>'S4'!AL11-'S4'!AD11-'S4'!AJ11-'S4'!AK11-'S4'!AE11-'S4'!AG11-W11</f>
        <v>382.57234973298495</v>
      </c>
      <c r="G11" s="495">
        <v>4062</v>
      </c>
      <c r="H11" s="488">
        <f t="shared" ref="H11" si="10">F11*G11</f>
        <v>1554008.8846153847</v>
      </c>
      <c r="I11" s="480"/>
      <c r="J11" s="519">
        <v>4</v>
      </c>
      <c r="K11" s="488">
        <f t="shared" ref="K11" si="11">150000*(J11+I11)</f>
        <v>600000</v>
      </c>
      <c r="L11" s="488">
        <f t="shared" ref="L11" si="12">H11-K11</f>
        <v>954008.88461538474</v>
      </c>
      <c r="M11" s="489">
        <f t="shared" ref="M11" si="13">IF(L11&gt;=12500000,20%,IF(L11&gt;=8500001,15%,IF(L11&gt;=2000001,10%,IF(L11&gt;=1500001,5%,0%))))</f>
        <v>0</v>
      </c>
      <c r="N11" s="488">
        <f t="shared" si="5"/>
        <v>0</v>
      </c>
      <c r="O11" s="490">
        <f t="shared" ref="O11" si="14">L11*M11-N11</f>
        <v>0</v>
      </c>
      <c r="P11" s="491">
        <f t="shared" si="6"/>
        <v>0</v>
      </c>
      <c r="R11" s="1172">
        <v>30265</v>
      </c>
      <c r="S11" s="1170">
        <v>44835</v>
      </c>
      <c r="T11" s="1174">
        <f>'S4'!AL11-'S4'!AE11</f>
        <v>408.48076923076928</v>
      </c>
      <c r="U11" s="1195">
        <f t="shared" si="7"/>
        <v>1659248.8846153847</v>
      </c>
      <c r="V11" s="1181">
        <f t="shared" si="8"/>
        <v>24000</v>
      </c>
      <c r="W11" s="1194">
        <f t="shared" si="9"/>
        <v>5.9084194977843429</v>
      </c>
    </row>
    <row r="12" spans="1:39" s="477" customFormat="1" ht="31.5" customHeight="1">
      <c r="A12" s="478">
        <v>6</v>
      </c>
      <c r="B12" s="785" t="s">
        <v>2044</v>
      </c>
      <c r="C12" s="628" t="s">
        <v>481</v>
      </c>
      <c r="D12" s="1474">
        <v>43657</v>
      </c>
      <c r="E12" s="557" t="s">
        <v>260</v>
      </c>
      <c r="F12" s="494">
        <f>'S4'!AL12-'S4'!AD12-'S4'!AJ12-'S4'!AK12-'S4'!AE12-'S4'!AG12-W12</f>
        <v>405.49462328897135</v>
      </c>
      <c r="G12" s="495">
        <v>4062</v>
      </c>
      <c r="H12" s="488">
        <f t="shared" si="0"/>
        <v>1647119.1597998017</v>
      </c>
      <c r="I12" s="480">
        <v>1</v>
      </c>
      <c r="J12" s="519">
        <v>1</v>
      </c>
      <c r="K12" s="488">
        <f t="shared" si="1"/>
        <v>300000</v>
      </c>
      <c r="L12" s="488">
        <f t="shared" si="2"/>
        <v>1347119.1597998017</v>
      </c>
      <c r="M12" s="489">
        <f t="shared" si="4"/>
        <v>0</v>
      </c>
      <c r="N12" s="488">
        <f t="shared" si="5"/>
        <v>0</v>
      </c>
      <c r="O12" s="490">
        <f t="shared" si="3"/>
        <v>0</v>
      </c>
      <c r="P12" s="491">
        <f t="shared" si="6"/>
        <v>0</v>
      </c>
      <c r="R12" s="1186">
        <v>32763</v>
      </c>
      <c r="S12" s="1170">
        <v>44835</v>
      </c>
      <c r="T12" s="1174">
        <f>'S4'!AL12-'S4'!AE12</f>
        <v>431.40304278675569</v>
      </c>
      <c r="U12" s="1195">
        <f t="shared" si="7"/>
        <v>1752359.1597998017</v>
      </c>
      <c r="V12" s="1181">
        <f t="shared" si="8"/>
        <v>24000</v>
      </c>
      <c r="W12" s="1194">
        <f t="shared" si="9"/>
        <v>5.9084194977843429</v>
      </c>
    </row>
    <row r="13" spans="1:39" s="477" customFormat="1" ht="31.5" customHeight="1">
      <c r="A13" s="478">
        <v>7</v>
      </c>
      <c r="B13" s="785" t="s">
        <v>2045</v>
      </c>
      <c r="C13" s="628" t="s">
        <v>533</v>
      </c>
      <c r="D13" s="1474">
        <v>43746</v>
      </c>
      <c r="E13" s="557" t="s">
        <v>260</v>
      </c>
      <c r="F13" s="494">
        <f>'S4'!AL13-'S4'!AD13-'S4'!AJ13-'S4'!AK13-'S4'!AE13-'S4'!AG13-W13</f>
        <v>325.48581127144644</v>
      </c>
      <c r="G13" s="495">
        <v>4062</v>
      </c>
      <c r="H13" s="488">
        <f t="shared" si="0"/>
        <v>1322123.3653846155</v>
      </c>
      <c r="I13" s="480"/>
      <c r="J13" s="519">
        <v>0</v>
      </c>
      <c r="K13" s="488">
        <f t="shared" si="1"/>
        <v>0</v>
      </c>
      <c r="L13" s="488">
        <f t="shared" si="2"/>
        <v>1322123.3653846155</v>
      </c>
      <c r="M13" s="489">
        <f t="shared" si="4"/>
        <v>0</v>
      </c>
      <c r="N13" s="488">
        <f t="shared" si="5"/>
        <v>0</v>
      </c>
      <c r="O13" s="490">
        <f t="shared" si="3"/>
        <v>0</v>
      </c>
      <c r="P13" s="491">
        <f t="shared" si="6"/>
        <v>0</v>
      </c>
      <c r="R13" s="1186">
        <v>35647</v>
      </c>
      <c r="S13" s="1170">
        <v>44835</v>
      </c>
      <c r="T13" s="1174">
        <f>'S4'!AL13-'S4'!AE13</f>
        <v>351.39423076923077</v>
      </c>
      <c r="U13" s="1195">
        <f t="shared" si="7"/>
        <v>1427363.3653846155</v>
      </c>
      <c r="V13" s="1181">
        <f t="shared" si="8"/>
        <v>24000</v>
      </c>
      <c r="W13" s="1194">
        <f t="shared" si="9"/>
        <v>5.9084194977843429</v>
      </c>
    </row>
    <row r="14" spans="1:39" s="477" customFormat="1" ht="31.5" customHeight="1">
      <c r="A14" s="478">
        <v>8</v>
      </c>
      <c r="B14" s="789" t="s">
        <v>2329</v>
      </c>
      <c r="C14" s="628" t="s">
        <v>2330</v>
      </c>
      <c r="D14" s="1477">
        <v>44480</v>
      </c>
      <c r="E14" s="1151" t="s">
        <v>260</v>
      </c>
      <c r="F14" s="494">
        <f>'S4'!AL14-'S4'!AD14-'S4'!AJ14-'S4'!AK14-'S4'!AE14-'S4'!AG14-W14</f>
        <v>372.58196511760025</v>
      </c>
      <c r="G14" s="495">
        <v>4062</v>
      </c>
      <c r="H14" s="488">
        <f t="shared" ref="H14" si="15">F14*G14</f>
        <v>1513427.9423076923</v>
      </c>
      <c r="I14" s="480"/>
      <c r="J14" s="519">
        <v>2</v>
      </c>
      <c r="K14" s="488">
        <f t="shared" ref="K14" si="16">150000*(J14+I14)</f>
        <v>300000</v>
      </c>
      <c r="L14" s="488">
        <f t="shared" ref="L14" si="17">H14-K14</f>
        <v>1213427.9423076923</v>
      </c>
      <c r="M14" s="489">
        <f t="shared" ref="M14" si="18">IF(L14&gt;=12500000,20%,IF(L14&gt;=8500001,15%,IF(L14&gt;=2000001,10%,IF(L14&gt;=1500001,5%,0%))))</f>
        <v>0</v>
      </c>
      <c r="N14" s="488">
        <f t="shared" ref="N14" si="19">IF(M14=5%,75000,IF(M14=10%,175000,0))</f>
        <v>0</v>
      </c>
      <c r="O14" s="490">
        <f t="shared" ref="O14" si="20">L14*M14-N14</f>
        <v>0</v>
      </c>
      <c r="P14" s="491">
        <f t="shared" si="6"/>
        <v>0</v>
      </c>
      <c r="R14" s="1186">
        <v>36342</v>
      </c>
      <c r="S14" s="1170">
        <v>44835</v>
      </c>
      <c r="T14" s="1174">
        <f>'S4'!AL14-'S4'!AE14</f>
        <v>403.49038461538458</v>
      </c>
      <c r="U14" s="1195">
        <f t="shared" si="7"/>
        <v>1638977.9423076923</v>
      </c>
      <c r="V14" s="1181">
        <f t="shared" ref="V14" si="21">IF(YEARFRAC(R14,S14)&gt;=60,"0",IF(U14&lt;400000,400000*2%,IF(U14&gt;1200000,1200000*2%,U14*2%)))</f>
        <v>24000</v>
      </c>
      <c r="W14" s="1194">
        <f t="shared" si="9"/>
        <v>5.9084194977843429</v>
      </c>
    </row>
    <row r="15" spans="1:39" s="477" customFormat="1" ht="31.5" customHeight="1">
      <c r="A15" s="478">
        <v>9</v>
      </c>
      <c r="B15" s="572" t="s">
        <v>990</v>
      </c>
      <c r="C15" s="578" t="s">
        <v>992</v>
      </c>
      <c r="D15" s="1474">
        <v>44533</v>
      </c>
      <c r="E15" s="557" t="s">
        <v>260</v>
      </c>
      <c r="F15" s="494">
        <f>'S4'!AL15-'S4'!AD15-'S4'!AJ15-'S4'!AK15-'S4'!AE15-'S4'!AG15-W15</f>
        <v>370.6588881945234</v>
      </c>
      <c r="G15" s="495">
        <v>4062</v>
      </c>
      <c r="H15" s="488">
        <f t="shared" si="0"/>
        <v>1505616.403846154</v>
      </c>
      <c r="I15" s="480"/>
      <c r="J15" s="519">
        <v>4</v>
      </c>
      <c r="K15" s="488">
        <f t="shared" si="1"/>
        <v>600000</v>
      </c>
      <c r="L15" s="488">
        <f t="shared" si="2"/>
        <v>905616.40384615399</v>
      </c>
      <c r="M15" s="489">
        <f t="shared" si="4"/>
        <v>0</v>
      </c>
      <c r="N15" s="488">
        <f t="shared" si="5"/>
        <v>0</v>
      </c>
      <c r="O15" s="490">
        <f t="shared" si="3"/>
        <v>0</v>
      </c>
      <c r="P15" s="491">
        <f t="shared" si="6"/>
        <v>0</v>
      </c>
      <c r="R15" s="1212">
        <v>32509</v>
      </c>
      <c r="S15" s="1170">
        <v>44835</v>
      </c>
      <c r="T15" s="1174">
        <f>'S4'!AL15-'S4'!AE15</f>
        <v>396.56730769230774</v>
      </c>
      <c r="U15" s="1195">
        <f t="shared" si="7"/>
        <v>1610856.403846154</v>
      </c>
      <c r="V15" s="1181">
        <f t="shared" si="8"/>
        <v>24000</v>
      </c>
      <c r="W15" s="1194">
        <f t="shared" si="9"/>
        <v>5.9084194977843429</v>
      </c>
    </row>
    <row r="16" spans="1:39" s="477" customFormat="1" ht="31.5" customHeight="1">
      <c r="A16" s="478">
        <v>10</v>
      </c>
      <c r="B16" s="572" t="s">
        <v>991</v>
      </c>
      <c r="C16" s="578" t="s">
        <v>993</v>
      </c>
      <c r="D16" s="1474">
        <v>44539</v>
      </c>
      <c r="E16" s="557" t="s">
        <v>260</v>
      </c>
      <c r="F16" s="494">
        <f>'S4'!AL16-'S4'!AD16-'S4'!AJ16-'S4'!AK16-'S4'!AE16-'S4'!AG16-W16</f>
        <v>368.05311896375412</v>
      </c>
      <c r="G16" s="495">
        <v>4062</v>
      </c>
      <c r="H16" s="488">
        <f t="shared" si="0"/>
        <v>1495031.7692307692</v>
      </c>
      <c r="I16" s="480"/>
      <c r="J16" s="519">
        <v>1</v>
      </c>
      <c r="K16" s="488">
        <f t="shared" si="1"/>
        <v>150000</v>
      </c>
      <c r="L16" s="488">
        <f t="shared" si="2"/>
        <v>1345031.7692307692</v>
      </c>
      <c r="M16" s="489">
        <f t="shared" si="4"/>
        <v>0</v>
      </c>
      <c r="N16" s="488">
        <f t="shared" si="5"/>
        <v>0</v>
      </c>
      <c r="O16" s="490">
        <f t="shared" si="3"/>
        <v>0</v>
      </c>
      <c r="P16" s="491">
        <f t="shared" si="6"/>
        <v>0</v>
      </c>
      <c r="R16" s="1212">
        <v>31346</v>
      </c>
      <c r="S16" s="1170">
        <v>44835</v>
      </c>
      <c r="T16" s="1174">
        <f>'S4'!AL16-'S4'!AE16</f>
        <v>393.96153846153845</v>
      </c>
      <c r="U16" s="1195">
        <f t="shared" si="7"/>
        <v>1600271.7692307692</v>
      </c>
      <c r="V16" s="1181">
        <f t="shared" si="8"/>
        <v>24000</v>
      </c>
      <c r="W16" s="1194">
        <f t="shared" si="9"/>
        <v>5.9084194977843429</v>
      </c>
    </row>
    <row r="17" spans="1:23" s="477" customFormat="1" ht="31.5" customHeight="1">
      <c r="A17" s="478">
        <v>11</v>
      </c>
      <c r="B17" s="572" t="s">
        <v>2046</v>
      </c>
      <c r="C17" s="578" t="s">
        <v>994</v>
      </c>
      <c r="D17" s="1474">
        <v>44534</v>
      </c>
      <c r="E17" s="557" t="s">
        <v>260</v>
      </c>
      <c r="F17" s="494">
        <f>'S4'!AL17-'S4'!AD17-'S4'!AJ17-'S4'!AK17-'S4'!AE17-'S4'!AG17-W17</f>
        <v>352.63190029006057</v>
      </c>
      <c r="G17" s="495">
        <v>4062</v>
      </c>
      <c r="H17" s="488">
        <f t="shared" si="0"/>
        <v>1432390.778978226</v>
      </c>
      <c r="I17" s="480"/>
      <c r="J17" s="519">
        <v>0</v>
      </c>
      <c r="K17" s="488">
        <f t="shared" si="1"/>
        <v>0</v>
      </c>
      <c r="L17" s="488">
        <f t="shared" si="2"/>
        <v>1432390.778978226</v>
      </c>
      <c r="M17" s="489">
        <f t="shared" si="4"/>
        <v>0</v>
      </c>
      <c r="N17" s="488">
        <f t="shared" si="5"/>
        <v>0</v>
      </c>
      <c r="O17" s="490">
        <f t="shared" si="3"/>
        <v>0</v>
      </c>
      <c r="P17" s="491">
        <f t="shared" si="6"/>
        <v>0</v>
      </c>
      <c r="R17" s="1212">
        <v>36592</v>
      </c>
      <c r="S17" s="1170">
        <v>44835</v>
      </c>
      <c r="T17" s="1174">
        <f>'S4'!AL17-'S4'!AE17</f>
        <v>378.54031978784491</v>
      </c>
      <c r="U17" s="1195">
        <f t="shared" si="7"/>
        <v>1537630.778978226</v>
      </c>
      <c r="V17" s="1181">
        <f t="shared" si="8"/>
        <v>24000</v>
      </c>
      <c r="W17" s="1194">
        <f t="shared" si="9"/>
        <v>5.9084194977843429</v>
      </c>
    </row>
    <row r="18" spans="1:23" s="477" customFormat="1" ht="31.5" customHeight="1">
      <c r="A18" s="478">
        <v>12</v>
      </c>
      <c r="B18" s="515" t="s">
        <v>296</v>
      </c>
      <c r="C18" s="581" t="s">
        <v>499</v>
      </c>
      <c r="D18" s="1474">
        <v>41334</v>
      </c>
      <c r="E18" s="513" t="s">
        <v>260</v>
      </c>
      <c r="F18" s="494">
        <f>'S4'!AL18-'S4'!AD18-'S4'!AJ18-'S4'!AK18-'S4'!AE18-'S4'!AG18-W18</f>
        <v>331.60244912755797</v>
      </c>
      <c r="G18" s="495">
        <v>4062</v>
      </c>
      <c r="H18" s="488">
        <f t="shared" si="0"/>
        <v>1346969.1483561406</v>
      </c>
      <c r="I18" s="480"/>
      <c r="J18" s="519">
        <v>3</v>
      </c>
      <c r="K18" s="488">
        <f t="shared" si="1"/>
        <v>450000</v>
      </c>
      <c r="L18" s="488">
        <f t="shared" si="2"/>
        <v>896969.14835614059</v>
      </c>
      <c r="M18" s="489">
        <f t="shared" si="4"/>
        <v>0</v>
      </c>
      <c r="N18" s="488">
        <f t="shared" si="5"/>
        <v>0</v>
      </c>
      <c r="O18" s="490">
        <f t="shared" si="3"/>
        <v>0</v>
      </c>
      <c r="P18" s="491">
        <f t="shared" si="6"/>
        <v>0</v>
      </c>
      <c r="R18" s="1212">
        <v>28800</v>
      </c>
      <c r="S18" s="1170">
        <v>44835</v>
      </c>
      <c r="T18" s="1174">
        <f>'S4'!AL18-'S4'!AE18</f>
        <v>357.51086862534231</v>
      </c>
      <c r="U18" s="1195">
        <f t="shared" si="7"/>
        <v>1452209.1483561404</v>
      </c>
      <c r="V18" s="1181">
        <f t="shared" si="8"/>
        <v>24000</v>
      </c>
      <c r="W18" s="1194">
        <f t="shared" si="9"/>
        <v>5.9084194977843429</v>
      </c>
    </row>
    <row r="19" spans="1:23" s="477" customFormat="1" ht="31.5" customHeight="1">
      <c r="A19" s="478">
        <v>13</v>
      </c>
      <c r="B19" s="785" t="s">
        <v>1053</v>
      </c>
      <c r="C19" s="628" t="s">
        <v>1054</v>
      </c>
      <c r="D19" s="1474">
        <v>44548</v>
      </c>
      <c r="E19" s="513" t="s">
        <v>260</v>
      </c>
      <c r="F19" s="494">
        <f>'S4'!AL19-'S4'!AD19-'S4'!AJ19-'S4'!AK19-'S4'!AE19-'S4'!AG19-W19</f>
        <v>376.60119588683102</v>
      </c>
      <c r="G19" s="495">
        <v>4062</v>
      </c>
      <c r="H19" s="488">
        <f t="shared" si="0"/>
        <v>1529754.0576923075</v>
      </c>
      <c r="I19" s="480"/>
      <c r="J19" s="519">
        <v>2</v>
      </c>
      <c r="K19" s="488">
        <f t="shared" si="1"/>
        <v>300000</v>
      </c>
      <c r="L19" s="488">
        <f t="shared" si="2"/>
        <v>1229754.0576923075</v>
      </c>
      <c r="M19" s="489">
        <f t="shared" si="4"/>
        <v>0</v>
      </c>
      <c r="N19" s="488">
        <f t="shared" si="5"/>
        <v>0</v>
      </c>
      <c r="O19" s="490">
        <f t="shared" si="3"/>
        <v>0</v>
      </c>
      <c r="P19" s="491">
        <f t="shared" si="6"/>
        <v>0</v>
      </c>
      <c r="R19" s="1212">
        <v>29981</v>
      </c>
      <c r="S19" s="1170">
        <v>44835</v>
      </c>
      <c r="T19" s="1174">
        <f>'S4'!AL19-'S4'!AE19</f>
        <v>402.50961538461536</v>
      </c>
      <c r="U19" s="1195">
        <f t="shared" si="7"/>
        <v>1634994.0576923075</v>
      </c>
      <c r="V19" s="1181">
        <f t="shared" si="8"/>
        <v>24000</v>
      </c>
      <c r="W19" s="1194">
        <f t="shared" si="9"/>
        <v>5.9084194977843429</v>
      </c>
    </row>
    <row r="20" spans="1:23" s="477" customFormat="1" ht="31.5" customHeight="1">
      <c r="A20" s="478">
        <v>14</v>
      </c>
      <c r="B20" s="515" t="s">
        <v>297</v>
      </c>
      <c r="C20" s="581" t="s">
        <v>500</v>
      </c>
      <c r="D20" s="1474">
        <v>41334</v>
      </c>
      <c r="E20" s="513" t="s">
        <v>260</v>
      </c>
      <c r="F20" s="494">
        <f>'S4'!AL20-'S4'!AD20-'S4'!AJ20-'S4'!AK20-'S4'!AE20-'S4'!AG20-W20</f>
        <v>536.13246562644622</v>
      </c>
      <c r="G20" s="495">
        <v>4062</v>
      </c>
      <c r="H20" s="488">
        <f t="shared" si="0"/>
        <v>2177770.0753746247</v>
      </c>
      <c r="I20" s="480"/>
      <c r="J20" s="519">
        <v>1</v>
      </c>
      <c r="K20" s="488">
        <f t="shared" si="1"/>
        <v>150000</v>
      </c>
      <c r="L20" s="488">
        <f t="shared" si="2"/>
        <v>2027770.0753746247</v>
      </c>
      <c r="M20" s="489">
        <f t="shared" si="4"/>
        <v>0.1</v>
      </c>
      <c r="N20" s="488">
        <f t="shared" si="5"/>
        <v>175000</v>
      </c>
      <c r="O20" s="490">
        <f t="shared" si="3"/>
        <v>27777.007537462487</v>
      </c>
      <c r="P20" s="491">
        <f t="shared" si="6"/>
        <v>6.8382588718519166</v>
      </c>
      <c r="R20" s="1212">
        <v>30011</v>
      </c>
      <c r="S20" s="1170">
        <v>44835</v>
      </c>
      <c r="T20" s="1174">
        <f>'S4'!AL20-'S4'!AE20</f>
        <v>562.04088512423061</v>
      </c>
      <c r="U20" s="1195">
        <f t="shared" si="7"/>
        <v>2283010.0753746247</v>
      </c>
      <c r="V20" s="1181">
        <f t="shared" si="8"/>
        <v>24000</v>
      </c>
      <c r="W20" s="1194">
        <f t="shared" si="9"/>
        <v>5.9084194977843429</v>
      </c>
    </row>
    <row r="21" spans="1:23" s="477" customFormat="1" ht="31.5" customHeight="1">
      <c r="A21" s="478">
        <v>15</v>
      </c>
      <c r="B21" s="515" t="s">
        <v>531</v>
      </c>
      <c r="C21" s="581" t="s">
        <v>534</v>
      </c>
      <c r="D21" s="1474">
        <v>42600</v>
      </c>
      <c r="E21" s="513" t="s">
        <v>260</v>
      </c>
      <c r="F21" s="494">
        <f>'S4'!AL21-'S4'!AD21-'S4'!AJ21-'S4'!AK21-'S4'!AE21-'S4'!AG21-W21</f>
        <v>373.68773434836953</v>
      </c>
      <c r="G21" s="495">
        <v>4062</v>
      </c>
      <c r="H21" s="488">
        <f t="shared" si="0"/>
        <v>1517919.576923077</v>
      </c>
      <c r="I21" s="480"/>
      <c r="J21" s="519">
        <v>1</v>
      </c>
      <c r="K21" s="488">
        <f t="shared" si="1"/>
        <v>150000</v>
      </c>
      <c r="L21" s="488">
        <f t="shared" si="2"/>
        <v>1367919.576923077</v>
      </c>
      <c r="M21" s="489">
        <f t="shared" si="4"/>
        <v>0</v>
      </c>
      <c r="N21" s="488">
        <f t="shared" si="5"/>
        <v>0</v>
      </c>
      <c r="O21" s="490">
        <f t="shared" si="3"/>
        <v>0</v>
      </c>
      <c r="P21" s="491">
        <f t="shared" si="6"/>
        <v>0</v>
      </c>
      <c r="R21" s="1212">
        <v>34711</v>
      </c>
      <c r="S21" s="1170">
        <v>44835</v>
      </c>
      <c r="T21" s="1174">
        <f>'S4'!AL21-'S4'!AE21</f>
        <v>399.59615384615387</v>
      </c>
      <c r="U21" s="1195">
        <f t="shared" si="7"/>
        <v>1623159.576923077</v>
      </c>
      <c r="V21" s="1181">
        <f t="shared" si="8"/>
        <v>24000</v>
      </c>
      <c r="W21" s="1194">
        <f t="shared" si="9"/>
        <v>5.9084194977843429</v>
      </c>
    </row>
    <row r="22" spans="1:23" s="477" customFormat="1" ht="31.5" customHeight="1">
      <c r="A22" s="478">
        <v>16</v>
      </c>
      <c r="B22" s="572" t="s">
        <v>2047</v>
      </c>
      <c r="C22" s="956" t="s">
        <v>1349</v>
      </c>
      <c r="D22" s="1474">
        <v>44594</v>
      </c>
      <c r="E22" s="513" t="s">
        <v>260</v>
      </c>
      <c r="F22" s="494">
        <f>'S4'!AL22-'S4'!AD22-'S4'!AJ22-'S4'!AK22-'S4'!AE22-'S4'!AG22-W22</f>
        <v>202.57307692307694</v>
      </c>
      <c r="G22" s="495">
        <v>4062</v>
      </c>
      <c r="H22" s="488">
        <f t="shared" si="0"/>
        <v>822851.83846153854</v>
      </c>
      <c r="I22" s="480"/>
      <c r="J22" s="519">
        <v>3</v>
      </c>
      <c r="K22" s="488">
        <f t="shared" si="1"/>
        <v>450000</v>
      </c>
      <c r="L22" s="488">
        <f t="shared" si="2"/>
        <v>372851.83846153854</v>
      </c>
      <c r="M22" s="489">
        <f t="shared" si="4"/>
        <v>0</v>
      </c>
      <c r="N22" s="488">
        <f t="shared" si="5"/>
        <v>0</v>
      </c>
      <c r="O22" s="490">
        <f t="shared" si="3"/>
        <v>0</v>
      </c>
      <c r="P22" s="491">
        <f t="shared" si="6"/>
        <v>0</v>
      </c>
      <c r="R22" s="1212">
        <v>31411</v>
      </c>
      <c r="S22" s="1170">
        <v>44835</v>
      </c>
      <c r="T22" s="1174">
        <f>'S4'!AL22-'S4'!AE22</f>
        <v>227.11538461538464</v>
      </c>
      <c r="U22" s="1195">
        <f t="shared" si="7"/>
        <v>922542.69230769237</v>
      </c>
      <c r="V22" s="1181">
        <f t="shared" si="8"/>
        <v>18450.853846153848</v>
      </c>
      <c r="W22" s="1194">
        <f t="shared" si="9"/>
        <v>4.542307692307693</v>
      </c>
    </row>
    <row r="23" spans="1:23" s="477" customFormat="1" ht="31.5" customHeight="1">
      <c r="A23" s="478">
        <v>17</v>
      </c>
      <c r="B23" s="572" t="s">
        <v>2048</v>
      </c>
      <c r="C23" s="956" t="s">
        <v>1348</v>
      </c>
      <c r="D23" s="1474">
        <v>44595</v>
      </c>
      <c r="E23" s="513" t="s">
        <v>260</v>
      </c>
      <c r="F23" s="494">
        <f>'S4'!AL23-'S4'!AD23-'S4'!AJ23-'S4'!AK23-'S4'!AE23-'S4'!AG23-W23</f>
        <v>350.98581127144644</v>
      </c>
      <c r="G23" s="495">
        <v>4062</v>
      </c>
      <c r="H23" s="488">
        <f t="shared" si="0"/>
        <v>1425704.3653846155</v>
      </c>
      <c r="I23" s="480"/>
      <c r="J23" s="519">
        <v>0</v>
      </c>
      <c r="K23" s="488">
        <f t="shared" si="1"/>
        <v>0</v>
      </c>
      <c r="L23" s="488">
        <f t="shared" si="2"/>
        <v>1425704.3653846155</v>
      </c>
      <c r="M23" s="489">
        <f t="shared" si="4"/>
        <v>0</v>
      </c>
      <c r="N23" s="488">
        <f t="shared" si="5"/>
        <v>0</v>
      </c>
      <c r="O23" s="490">
        <f t="shared" si="3"/>
        <v>0</v>
      </c>
      <c r="P23" s="491">
        <f t="shared" si="6"/>
        <v>0</v>
      </c>
      <c r="R23" s="1212">
        <v>35956</v>
      </c>
      <c r="S23" s="1170">
        <v>44835</v>
      </c>
      <c r="T23" s="1174">
        <f>'S4'!AL23-'S4'!AE23</f>
        <v>376.89423076923077</v>
      </c>
      <c r="U23" s="1195">
        <f t="shared" si="7"/>
        <v>1530944.3653846155</v>
      </c>
      <c r="V23" s="1181">
        <f t="shared" si="8"/>
        <v>24000</v>
      </c>
      <c r="W23" s="1194">
        <f t="shared" si="9"/>
        <v>5.9084194977843429</v>
      </c>
    </row>
    <row r="24" spans="1:23" s="477" customFormat="1" ht="31.5" customHeight="1">
      <c r="A24" s="478">
        <v>18</v>
      </c>
      <c r="B24" s="572" t="s">
        <v>2049</v>
      </c>
      <c r="C24" s="956" t="s">
        <v>1350</v>
      </c>
      <c r="D24" s="1474">
        <v>44604</v>
      </c>
      <c r="E24" s="513" t="s">
        <v>260</v>
      </c>
      <c r="F24" s="494">
        <f>'S4'!AL24-'S4'!AD24-'S4'!AJ24-'S4'!AK24-'S4'!AE24-'S4'!AG24-W24</f>
        <v>361.28388819452334</v>
      </c>
      <c r="G24" s="495">
        <v>4062</v>
      </c>
      <c r="H24" s="488">
        <f t="shared" si="0"/>
        <v>1467535.1538461538</v>
      </c>
      <c r="I24" s="480"/>
      <c r="J24" s="519">
        <v>0</v>
      </c>
      <c r="K24" s="488">
        <f t="shared" si="1"/>
        <v>0</v>
      </c>
      <c r="L24" s="488">
        <f t="shared" si="2"/>
        <v>1467535.1538461538</v>
      </c>
      <c r="M24" s="489">
        <f t="shared" si="4"/>
        <v>0</v>
      </c>
      <c r="N24" s="488">
        <f t="shared" si="5"/>
        <v>0</v>
      </c>
      <c r="O24" s="490">
        <f t="shared" si="3"/>
        <v>0</v>
      </c>
      <c r="P24" s="491">
        <f t="shared" si="6"/>
        <v>0</v>
      </c>
      <c r="R24" s="1212">
        <v>36895</v>
      </c>
      <c r="S24" s="1170">
        <v>44835</v>
      </c>
      <c r="T24" s="1174">
        <f>'S4'!AL24-'S4'!AE24</f>
        <v>387.19230769230768</v>
      </c>
      <c r="U24" s="1195">
        <f t="shared" si="7"/>
        <v>1572775.1538461538</v>
      </c>
      <c r="V24" s="1181">
        <f t="shared" si="8"/>
        <v>24000</v>
      </c>
      <c r="W24" s="1194">
        <f t="shared" si="9"/>
        <v>5.9084194977843429</v>
      </c>
    </row>
    <row r="25" spans="1:23" s="477" customFormat="1" ht="31.5" customHeight="1">
      <c r="A25" s="478">
        <v>19</v>
      </c>
      <c r="B25" s="789" t="s">
        <v>2177</v>
      </c>
      <c r="C25" s="1095" t="s">
        <v>2178</v>
      </c>
      <c r="D25" s="1472">
        <v>44621</v>
      </c>
      <c r="E25" s="513" t="s">
        <v>260</v>
      </c>
      <c r="F25" s="494">
        <f>'S4'!AL25-'S4'!AD25-'S4'!AJ25-'S4'!AK25-'S4'!AE25-'S4'!AG25-W25</f>
        <v>355.24332948161987</v>
      </c>
      <c r="G25" s="495">
        <v>4062</v>
      </c>
      <c r="H25" s="488">
        <f t="shared" ref="H25" si="22">F25*G25</f>
        <v>1442998.4043543399</v>
      </c>
      <c r="I25" s="480"/>
      <c r="J25" s="519">
        <v>2</v>
      </c>
      <c r="K25" s="488">
        <f t="shared" ref="K25" si="23">150000*(J25+I25)</f>
        <v>300000</v>
      </c>
      <c r="L25" s="488">
        <f t="shared" ref="L25" si="24">H25-K25</f>
        <v>1142998.4043543399</v>
      </c>
      <c r="M25" s="489">
        <f t="shared" ref="M25" si="25">IF(L25&gt;=12500000,20%,IF(L25&gt;=8500001,15%,IF(L25&gt;=2000001,10%,IF(L25&gt;=1500001,5%,0%))))</f>
        <v>0</v>
      </c>
      <c r="N25" s="488">
        <f t="shared" si="5"/>
        <v>0</v>
      </c>
      <c r="O25" s="490">
        <f t="shared" ref="O25" si="26">L25*M25-N25</f>
        <v>0</v>
      </c>
      <c r="P25" s="491">
        <f t="shared" si="6"/>
        <v>0</v>
      </c>
      <c r="R25" s="1212">
        <v>35615</v>
      </c>
      <c r="S25" s="1170">
        <v>44835</v>
      </c>
      <c r="T25" s="1174">
        <f>'S4'!AL25-'S4'!AE25</f>
        <v>381.1517489794042</v>
      </c>
      <c r="U25" s="1195">
        <f t="shared" si="7"/>
        <v>1548238.4043543399</v>
      </c>
      <c r="V25" s="1181">
        <f t="shared" si="8"/>
        <v>24000</v>
      </c>
      <c r="W25" s="1194">
        <f t="shared" si="9"/>
        <v>5.9084194977843429</v>
      </c>
    </row>
    <row r="26" spans="1:23" s="477" customFormat="1" ht="31.5" customHeight="1">
      <c r="A26" s="478">
        <v>20</v>
      </c>
      <c r="B26" s="785" t="s">
        <v>2050</v>
      </c>
      <c r="C26" s="966" t="s">
        <v>1518</v>
      </c>
      <c r="D26" s="1473">
        <v>44673</v>
      </c>
      <c r="E26" s="513" t="s">
        <v>260</v>
      </c>
      <c r="F26" s="494">
        <f>'S4'!AL26-'S4'!AD26-'S4'!AJ26-'S4'!AK26-'S4'!AE26-'S4'!AG26-W26</f>
        <v>304.30311896375412</v>
      </c>
      <c r="G26" s="495">
        <v>4062</v>
      </c>
      <c r="H26" s="488">
        <f t="shared" si="0"/>
        <v>1236079.2692307692</v>
      </c>
      <c r="I26" s="480"/>
      <c r="J26" s="519">
        <v>1</v>
      </c>
      <c r="K26" s="488">
        <f t="shared" ref="K26" si="27">150000*(J26+I26)</f>
        <v>150000</v>
      </c>
      <c r="L26" s="488">
        <f t="shared" si="2"/>
        <v>1086079.2692307692</v>
      </c>
      <c r="M26" s="489">
        <f t="shared" si="4"/>
        <v>0</v>
      </c>
      <c r="N26" s="488">
        <f t="shared" si="5"/>
        <v>0</v>
      </c>
      <c r="O26" s="490">
        <f t="shared" si="3"/>
        <v>0</v>
      </c>
      <c r="P26" s="491">
        <f t="shared" si="6"/>
        <v>0</v>
      </c>
      <c r="R26" s="1186">
        <v>34185</v>
      </c>
      <c r="S26" s="1170">
        <v>44835</v>
      </c>
      <c r="T26" s="1174">
        <f>'S4'!AL26-'S4'!AE26</f>
        <v>335.21153846153845</v>
      </c>
      <c r="U26" s="1195">
        <f t="shared" si="7"/>
        <v>1361629.2692307692</v>
      </c>
      <c r="V26" s="1181">
        <f t="shared" si="8"/>
        <v>24000</v>
      </c>
      <c r="W26" s="1194">
        <f t="shared" si="9"/>
        <v>5.9084194977843429</v>
      </c>
    </row>
    <row r="27" spans="1:23" s="477" customFormat="1" ht="31.5" customHeight="1">
      <c r="A27" s="478">
        <v>21</v>
      </c>
      <c r="B27" s="1381" t="s">
        <v>2133</v>
      </c>
      <c r="C27" s="966" t="s">
        <v>2134</v>
      </c>
      <c r="D27" s="1385">
        <v>45314</v>
      </c>
      <c r="E27" s="513" t="s">
        <v>260</v>
      </c>
      <c r="F27" s="494">
        <f>'S4'!AL27-'S4'!AD27-'S4'!AJ27-'S4'!AK27-'S4'!AE27-'S4'!AG27-W27</f>
        <v>373.05311896375412</v>
      </c>
      <c r="G27" s="495">
        <v>4062</v>
      </c>
      <c r="H27" s="488">
        <f t="shared" ref="H27:H30" si="28">F27*G27</f>
        <v>1515341.7692307692</v>
      </c>
      <c r="I27" s="480"/>
      <c r="J27" s="519">
        <v>2</v>
      </c>
      <c r="K27" s="488">
        <f t="shared" ref="K27:K30" si="29">150000*(J27+I27)</f>
        <v>300000</v>
      </c>
      <c r="L27" s="488">
        <f t="shared" ref="L27:L30" si="30">H27-K27</f>
        <v>1215341.7692307692</v>
      </c>
      <c r="M27" s="489">
        <f t="shared" ref="M27:M30" si="31">IF(L27&gt;=12500000,20%,IF(L27&gt;=8500001,15%,IF(L27&gt;=2000001,10%,IF(L27&gt;=1500001,5%,0%))))</f>
        <v>0</v>
      </c>
      <c r="N27" s="488">
        <f t="shared" si="5"/>
        <v>0</v>
      </c>
      <c r="O27" s="490">
        <f t="shared" ref="O27:O30" si="32">L27*M27-N27</f>
        <v>0</v>
      </c>
      <c r="P27" s="491">
        <f t="shared" si="6"/>
        <v>0</v>
      </c>
      <c r="R27" s="1558">
        <v>28646</v>
      </c>
      <c r="S27" s="1170">
        <v>44838</v>
      </c>
      <c r="T27" s="1174">
        <f>'S4'!AL27-'S4'!AE27</f>
        <v>398.96153846153845</v>
      </c>
      <c r="U27" s="1195">
        <f t="shared" si="7"/>
        <v>1620581.7692307692</v>
      </c>
      <c r="V27" s="1181">
        <f t="shared" si="8"/>
        <v>24000</v>
      </c>
      <c r="W27" s="1194">
        <f t="shared" si="9"/>
        <v>5.9084194977843429</v>
      </c>
    </row>
    <row r="28" spans="1:23" s="477" customFormat="1" ht="31.5" customHeight="1">
      <c r="A28" s="478">
        <v>22</v>
      </c>
      <c r="B28" s="1381" t="s">
        <v>2138</v>
      </c>
      <c r="C28" s="966" t="s">
        <v>2139</v>
      </c>
      <c r="D28" s="1385">
        <v>45314</v>
      </c>
      <c r="E28" s="513" t="s">
        <v>260</v>
      </c>
      <c r="F28" s="494">
        <f>'S4'!AL28-'S4'!AD28-'S4'!AJ28-'S4'!AK28-'S4'!AE28-'S4'!AG28-W28</f>
        <v>285.57234973298489</v>
      </c>
      <c r="G28" s="495">
        <v>4062</v>
      </c>
      <c r="H28" s="488">
        <f t="shared" si="28"/>
        <v>1159994.8846153845</v>
      </c>
      <c r="I28" s="480"/>
      <c r="J28" s="519">
        <v>1</v>
      </c>
      <c r="K28" s="488">
        <f t="shared" si="29"/>
        <v>150000</v>
      </c>
      <c r="L28" s="488">
        <f t="shared" si="30"/>
        <v>1009994.8846153845</v>
      </c>
      <c r="M28" s="489">
        <f t="shared" si="31"/>
        <v>0</v>
      </c>
      <c r="N28" s="488">
        <f t="shared" si="5"/>
        <v>0</v>
      </c>
      <c r="O28" s="490">
        <f t="shared" si="32"/>
        <v>0</v>
      </c>
      <c r="P28" s="491">
        <f t="shared" si="6"/>
        <v>0</v>
      </c>
      <c r="R28" s="1558">
        <v>36734</v>
      </c>
      <c r="S28" s="1170">
        <v>44839</v>
      </c>
      <c r="T28" s="1174">
        <f>'S4'!AL28-'S4'!AE28</f>
        <v>311.48076923076923</v>
      </c>
      <c r="U28" s="1195">
        <f t="shared" si="7"/>
        <v>1265234.8846153845</v>
      </c>
      <c r="V28" s="1181">
        <f t="shared" si="8"/>
        <v>24000</v>
      </c>
      <c r="W28" s="1194">
        <f t="shared" si="9"/>
        <v>5.9084194977843429</v>
      </c>
    </row>
    <row r="29" spans="1:23" s="477" customFormat="1" ht="31.5" customHeight="1">
      <c r="A29" s="478">
        <v>23</v>
      </c>
      <c r="B29" s="1381" t="s">
        <v>2148</v>
      </c>
      <c r="C29" s="966" t="s">
        <v>2149</v>
      </c>
      <c r="D29" s="1385">
        <v>45316</v>
      </c>
      <c r="E29" s="513" t="s">
        <v>260</v>
      </c>
      <c r="F29" s="494">
        <f>'S4'!AL29-'S4'!AD29-'S4'!AJ29-'S4'!AK29-'S4'!AE29-'S4'!AG29-W29</f>
        <v>318.13004204067721</v>
      </c>
      <c r="G29" s="495">
        <v>4062</v>
      </c>
      <c r="H29" s="488">
        <f t="shared" si="28"/>
        <v>1292244.2307692308</v>
      </c>
      <c r="I29" s="480"/>
      <c r="J29" s="519">
        <v>1</v>
      </c>
      <c r="K29" s="488">
        <f t="shared" si="29"/>
        <v>150000</v>
      </c>
      <c r="L29" s="488">
        <f t="shared" si="30"/>
        <v>1142244.2307692308</v>
      </c>
      <c r="M29" s="489">
        <f t="shared" si="31"/>
        <v>0</v>
      </c>
      <c r="N29" s="488">
        <f t="shared" si="5"/>
        <v>0</v>
      </c>
      <c r="O29" s="490">
        <f t="shared" si="32"/>
        <v>0</v>
      </c>
      <c r="P29" s="491">
        <f t="shared" si="6"/>
        <v>0</v>
      </c>
      <c r="R29" s="1558">
        <v>35431</v>
      </c>
      <c r="S29" s="1170">
        <v>44842</v>
      </c>
      <c r="T29" s="1174">
        <f>'S4'!AL29-'S4'!AE29</f>
        <v>349.03846153846155</v>
      </c>
      <c r="U29" s="1195">
        <f t="shared" si="7"/>
        <v>1417794.2307692308</v>
      </c>
      <c r="V29" s="1181">
        <f t="shared" si="8"/>
        <v>24000</v>
      </c>
      <c r="W29" s="1194">
        <f t="shared" si="9"/>
        <v>5.9084194977843429</v>
      </c>
    </row>
    <row r="30" spans="1:23" s="477" customFormat="1" ht="31.5" customHeight="1">
      <c r="A30" s="478">
        <v>24</v>
      </c>
      <c r="B30" s="1381" t="s">
        <v>2153</v>
      </c>
      <c r="C30" s="966" t="s">
        <v>2154</v>
      </c>
      <c r="D30" s="1385">
        <v>45316</v>
      </c>
      <c r="E30" s="513" t="s">
        <v>260</v>
      </c>
      <c r="F30" s="494">
        <f>'S4'!AL30-'S4'!AD30-'S4'!AJ30-'S4'!AK30-'S4'!AE30-'S4'!AG30-W30</f>
        <v>373.05311896375412</v>
      </c>
      <c r="G30" s="495">
        <v>4062</v>
      </c>
      <c r="H30" s="488">
        <f t="shared" si="28"/>
        <v>1515341.7692307692</v>
      </c>
      <c r="I30" s="480"/>
      <c r="J30" s="519">
        <v>2</v>
      </c>
      <c r="K30" s="488">
        <f t="shared" si="29"/>
        <v>300000</v>
      </c>
      <c r="L30" s="488">
        <f t="shared" si="30"/>
        <v>1215341.7692307692</v>
      </c>
      <c r="M30" s="489">
        <f t="shared" si="31"/>
        <v>0</v>
      </c>
      <c r="N30" s="488">
        <f t="shared" si="5"/>
        <v>0</v>
      </c>
      <c r="O30" s="490">
        <f t="shared" si="32"/>
        <v>0</v>
      </c>
      <c r="P30" s="491">
        <f t="shared" si="6"/>
        <v>0</v>
      </c>
      <c r="R30" s="1558">
        <v>34437</v>
      </c>
      <c r="S30" s="1170">
        <v>44843</v>
      </c>
      <c r="T30" s="1174">
        <f>'S4'!AL30-'S4'!AE30</f>
        <v>398.96153846153845</v>
      </c>
      <c r="U30" s="1195">
        <f t="shared" si="7"/>
        <v>1620581.7692307692</v>
      </c>
      <c r="V30" s="1181">
        <f t="shared" si="8"/>
        <v>24000</v>
      </c>
      <c r="W30" s="1194">
        <f t="shared" si="9"/>
        <v>5.9084194977843429</v>
      </c>
    </row>
    <row r="31" spans="1:23" s="477" customFormat="1" ht="31.5" customHeight="1">
      <c r="A31" s="478">
        <v>25</v>
      </c>
      <c r="B31" s="1445" t="s">
        <v>2277</v>
      </c>
      <c r="C31" s="1384" t="s">
        <v>2280</v>
      </c>
      <c r="D31" s="1382">
        <v>45474</v>
      </c>
      <c r="E31" s="513" t="s">
        <v>260</v>
      </c>
      <c r="F31" s="494">
        <f>'S4'!AL31-'S4'!AD31-'S4'!AJ31-'S4'!AK31-'S4'!AE31-'S4'!AG31-W31</f>
        <v>377.10530571521502</v>
      </c>
      <c r="G31" s="495">
        <v>4062</v>
      </c>
      <c r="H31" s="488">
        <f t="shared" ref="H31:H33" si="33">F31*G31</f>
        <v>1531801.7518152033</v>
      </c>
      <c r="I31" s="480"/>
      <c r="J31" s="519">
        <v>2</v>
      </c>
      <c r="K31" s="488">
        <f t="shared" ref="K31:K33" si="34">150000*(J31+I31)</f>
        <v>300000</v>
      </c>
      <c r="L31" s="488">
        <f t="shared" ref="L31:L33" si="35">H31-K31</f>
        <v>1231801.7518152033</v>
      </c>
      <c r="M31" s="489">
        <f t="shared" ref="M31:M33" si="36">IF(L31&gt;=12500000,20%,IF(L31&gt;=8500001,15%,IF(L31&gt;=2000001,10%,IF(L31&gt;=1500001,5%,0%))))</f>
        <v>0</v>
      </c>
      <c r="N31" s="488">
        <f t="shared" ref="N31:N33" si="37">IF(M31=5%,75000,IF(M31=10%,175000,0))</f>
        <v>0</v>
      </c>
      <c r="O31" s="490">
        <f t="shared" ref="O31:O33" si="38">L31*M31-N31</f>
        <v>0</v>
      </c>
      <c r="P31" s="491">
        <f t="shared" si="6"/>
        <v>0</v>
      </c>
      <c r="R31" s="1904">
        <v>29800</v>
      </c>
      <c r="S31" s="1170">
        <v>44844</v>
      </c>
      <c r="T31" s="1174">
        <f>'S4'!AL31-'S4'!AE31</f>
        <v>403.01372521299936</v>
      </c>
      <c r="U31" s="1195">
        <f t="shared" si="7"/>
        <v>1637041.7518152033</v>
      </c>
      <c r="V31" s="1181">
        <f t="shared" ref="V31:V33" si="39">IF(YEARFRAC(R31,S31)&gt;=60,"0",IF(U31&lt;400000,400000*2%,IF(U31&gt;1200000,1200000*2%,U31*2%)))</f>
        <v>24000</v>
      </c>
      <c r="W31" s="1194">
        <f t="shared" si="9"/>
        <v>5.9084194977843429</v>
      </c>
    </row>
    <row r="32" spans="1:23" s="477" customFormat="1" ht="31.5" customHeight="1">
      <c r="A32" s="478">
        <v>26</v>
      </c>
      <c r="B32" s="1445" t="s">
        <v>2278</v>
      </c>
      <c r="C32" s="1384" t="s">
        <v>2281</v>
      </c>
      <c r="D32" s="1382">
        <v>45496</v>
      </c>
      <c r="E32" s="513" t="s">
        <v>260</v>
      </c>
      <c r="F32" s="494">
        <f>'S4'!AL32-'S4'!AD32-'S4'!AJ32-'S4'!AK32-'S4'!AE32-'S4'!AG32-W32</f>
        <v>341.96658050221566</v>
      </c>
      <c r="G32" s="495">
        <v>4062</v>
      </c>
      <c r="H32" s="488">
        <f t="shared" si="33"/>
        <v>1389068.25</v>
      </c>
      <c r="I32" s="480"/>
      <c r="J32" s="519">
        <v>2</v>
      </c>
      <c r="K32" s="488">
        <f t="shared" si="34"/>
        <v>300000</v>
      </c>
      <c r="L32" s="488">
        <f t="shared" si="35"/>
        <v>1089068.25</v>
      </c>
      <c r="M32" s="489">
        <f t="shared" si="36"/>
        <v>0</v>
      </c>
      <c r="N32" s="488">
        <f t="shared" si="37"/>
        <v>0</v>
      </c>
      <c r="O32" s="490">
        <f t="shared" si="38"/>
        <v>0</v>
      </c>
      <c r="P32" s="491">
        <f t="shared" si="6"/>
        <v>0</v>
      </c>
      <c r="R32" s="1904">
        <v>33637</v>
      </c>
      <c r="S32" s="1170">
        <v>44845</v>
      </c>
      <c r="T32" s="1174">
        <f>'S4'!AL32-'S4'!AE32</f>
        <v>367.875</v>
      </c>
      <c r="U32" s="1195">
        <f t="shared" si="7"/>
        <v>1494308.25</v>
      </c>
      <c r="V32" s="1181">
        <f t="shared" si="39"/>
        <v>24000</v>
      </c>
      <c r="W32" s="1194">
        <f t="shared" si="9"/>
        <v>5.9084194977843429</v>
      </c>
    </row>
    <row r="33" spans="1:23" s="477" customFormat="1" ht="31.5" customHeight="1">
      <c r="A33" s="478">
        <v>27</v>
      </c>
      <c r="B33" s="1445" t="s">
        <v>2279</v>
      </c>
      <c r="C33" s="1384" t="s">
        <v>2282</v>
      </c>
      <c r="D33" s="1382">
        <v>45496</v>
      </c>
      <c r="E33" s="513" t="s">
        <v>260</v>
      </c>
      <c r="F33" s="494">
        <f>'S4'!AL33-'S4'!AD33-'S4'!AJ33-'S4'!AK33-'S4'!AE33-'S4'!AG33-W33</f>
        <v>361.7454266560618</v>
      </c>
      <c r="G33" s="495">
        <v>4062</v>
      </c>
      <c r="H33" s="488">
        <f t="shared" si="33"/>
        <v>1469409.923076923</v>
      </c>
      <c r="I33" s="480"/>
      <c r="J33" s="519">
        <v>2</v>
      </c>
      <c r="K33" s="488">
        <f t="shared" si="34"/>
        <v>300000</v>
      </c>
      <c r="L33" s="488">
        <f t="shared" si="35"/>
        <v>1169409.923076923</v>
      </c>
      <c r="M33" s="489">
        <f t="shared" si="36"/>
        <v>0</v>
      </c>
      <c r="N33" s="488">
        <f t="shared" si="37"/>
        <v>0</v>
      </c>
      <c r="O33" s="490">
        <f t="shared" si="38"/>
        <v>0</v>
      </c>
      <c r="P33" s="491">
        <f t="shared" si="6"/>
        <v>0</v>
      </c>
      <c r="R33" s="1904">
        <v>32971</v>
      </c>
      <c r="S33" s="1170">
        <v>44846</v>
      </c>
      <c r="T33" s="1174">
        <f>'S4'!AL33-'S4'!AE33</f>
        <v>387.65384615384613</v>
      </c>
      <c r="U33" s="1195">
        <f t="shared" si="7"/>
        <v>1574649.923076923</v>
      </c>
      <c r="V33" s="1181">
        <f t="shared" si="39"/>
        <v>24000</v>
      </c>
      <c r="W33" s="1194">
        <f t="shared" si="9"/>
        <v>5.9084194977843429</v>
      </c>
    </row>
    <row r="34" spans="1:23" s="477" customFormat="1" ht="31.5" customHeight="1">
      <c r="A34" s="478">
        <v>28</v>
      </c>
      <c r="B34" s="1887" t="s">
        <v>2378</v>
      </c>
      <c r="C34" s="1898" t="s">
        <v>2379</v>
      </c>
      <c r="D34" s="1902">
        <v>45573</v>
      </c>
      <c r="E34" s="1151" t="s">
        <v>2380</v>
      </c>
      <c r="F34" s="494">
        <f>'S4'!AL34-'S4'!AD34-'S4'!AJ34-'S4'!AK34-'S4'!AE34-'S4'!AG34-W34</f>
        <v>305.16158050221566</v>
      </c>
      <c r="G34" s="495">
        <v>4062</v>
      </c>
      <c r="H34" s="488">
        <f t="shared" ref="H34" si="40">F34*G34</f>
        <v>1239566.3400000001</v>
      </c>
      <c r="I34" s="480">
        <v>1</v>
      </c>
      <c r="J34" s="520">
        <v>1</v>
      </c>
      <c r="K34" s="488">
        <f t="shared" ref="K34" si="41">150000*(J34+I34)</f>
        <v>300000</v>
      </c>
      <c r="L34" s="488">
        <f t="shared" ref="L34" si="42">H34-K34</f>
        <v>939566.34000000008</v>
      </c>
      <c r="M34" s="489">
        <f t="shared" ref="M34" si="43">IF(L34&gt;=12500000,20%,IF(L34&gt;=8500001,15%,IF(L34&gt;=2000001,10%,IF(L34&gt;=1500001,5%,0%))))</f>
        <v>0</v>
      </c>
      <c r="N34" s="488">
        <f t="shared" ref="N34" si="44">IF(M34=5%,75000,IF(M34=10%,175000,0))</f>
        <v>0</v>
      </c>
      <c r="O34" s="490">
        <f t="shared" ref="O34" si="45">L34*M34-N34</f>
        <v>0</v>
      </c>
      <c r="P34" s="491">
        <f t="shared" si="6"/>
        <v>0</v>
      </c>
      <c r="R34" s="1909">
        <v>37263</v>
      </c>
      <c r="S34" s="1170">
        <v>44847</v>
      </c>
      <c r="T34" s="1174">
        <f>'S4'!AL34-'S4'!AE34</f>
        <v>329.14</v>
      </c>
      <c r="U34" s="1195">
        <f t="shared" si="7"/>
        <v>1336966.68</v>
      </c>
      <c r="V34" s="1181">
        <f t="shared" ref="V34" si="46">IF(YEARFRAC(R34,S34)&gt;=60,"0",IF(U34&lt;400000,400000*2%,IF(U34&gt;1200000,1200000*2%,U34*2%)))</f>
        <v>24000</v>
      </c>
      <c r="W34" s="1194">
        <f t="shared" si="9"/>
        <v>5.9084194977843429</v>
      </c>
    </row>
    <row r="35" spans="1:23" s="477" customFormat="1" ht="31.5" customHeight="1">
      <c r="A35" s="478">
        <v>29</v>
      </c>
      <c r="B35" s="1333" t="s">
        <v>1031</v>
      </c>
      <c r="C35" s="578" t="s">
        <v>1032</v>
      </c>
      <c r="D35" s="1474">
        <v>42597</v>
      </c>
      <c r="E35" s="513" t="s">
        <v>260</v>
      </c>
      <c r="F35" s="494">
        <f>'S4'!AL35-'S4'!AD35-'S4'!AJ35-'S4'!AK35-'S4'!AE35-'S4'!AG35-W35</f>
        <v>325.32480268742643</v>
      </c>
      <c r="G35" s="495">
        <v>4062</v>
      </c>
      <c r="H35" s="488">
        <f t="shared" si="0"/>
        <v>1321469.3485163262</v>
      </c>
      <c r="I35" s="480"/>
      <c r="J35" s="519">
        <v>1</v>
      </c>
      <c r="K35" s="488">
        <f t="shared" si="1"/>
        <v>150000</v>
      </c>
      <c r="L35" s="488">
        <f t="shared" si="2"/>
        <v>1171469.3485163262</v>
      </c>
      <c r="M35" s="489">
        <f t="shared" si="4"/>
        <v>0</v>
      </c>
      <c r="N35" s="488">
        <f t="shared" si="5"/>
        <v>0</v>
      </c>
      <c r="O35" s="490">
        <f t="shared" si="3"/>
        <v>0</v>
      </c>
      <c r="P35" s="491">
        <f t="shared" si="6"/>
        <v>0</v>
      </c>
      <c r="R35" s="1186">
        <v>32875</v>
      </c>
      <c r="S35" s="1170">
        <v>44835</v>
      </c>
      <c r="T35" s="1174">
        <f>'S4'!AL35-'S4'!AE35</f>
        <v>351.23322218521076</v>
      </c>
      <c r="U35" s="1195">
        <f t="shared" si="7"/>
        <v>1426709.3485163262</v>
      </c>
      <c r="V35" s="1181">
        <f t="shared" si="8"/>
        <v>24000</v>
      </c>
      <c r="W35" s="1194">
        <f t="shared" si="9"/>
        <v>5.9084194977843429</v>
      </c>
    </row>
    <row r="36" spans="1:23" s="477" customFormat="1" ht="31.5" customHeight="1">
      <c r="A36" s="478">
        <v>30</v>
      </c>
      <c r="B36" s="1812" t="s">
        <v>482</v>
      </c>
      <c r="C36" s="583" t="s">
        <v>483</v>
      </c>
      <c r="D36" s="1555">
        <v>41850</v>
      </c>
      <c r="E36" s="513" t="s">
        <v>260</v>
      </c>
      <c r="F36" s="494">
        <f>'S4'!AL36-'S4'!AD36-'S4'!AJ36-'S4'!AK36-'S4'!AE36-'S4'!AG36-W36</f>
        <v>312.30311896375412</v>
      </c>
      <c r="G36" s="495">
        <v>4062</v>
      </c>
      <c r="H36" s="488">
        <f t="shared" si="0"/>
        <v>1268575.2692307692</v>
      </c>
      <c r="I36" s="480"/>
      <c r="J36" s="529">
        <v>3</v>
      </c>
      <c r="K36" s="488">
        <f t="shared" si="1"/>
        <v>450000</v>
      </c>
      <c r="L36" s="488">
        <f t="shared" si="2"/>
        <v>818575.26923076925</v>
      </c>
      <c r="M36" s="489">
        <f t="shared" si="4"/>
        <v>0</v>
      </c>
      <c r="N36" s="488">
        <f t="shared" si="5"/>
        <v>0</v>
      </c>
      <c r="O36" s="490">
        <f t="shared" si="3"/>
        <v>0</v>
      </c>
      <c r="P36" s="491">
        <f t="shared" si="6"/>
        <v>0</v>
      </c>
      <c r="R36" s="1213">
        <v>29618</v>
      </c>
      <c r="S36" s="1179">
        <v>44835</v>
      </c>
      <c r="T36" s="1174">
        <f>'S4'!AL36-'S4'!AE36</f>
        <v>338.21153846153845</v>
      </c>
      <c r="U36" s="1195">
        <f t="shared" si="7"/>
        <v>1373815.2692307692</v>
      </c>
      <c r="V36" s="1181">
        <f t="shared" si="8"/>
        <v>24000</v>
      </c>
      <c r="W36" s="1194">
        <f t="shared" si="9"/>
        <v>5.9084194977843429</v>
      </c>
    </row>
    <row r="37" spans="1:23" ht="38.25" customHeight="1">
      <c r="A37" s="1338"/>
      <c r="B37" s="1339"/>
      <c r="C37" s="1339"/>
      <c r="D37" s="1339"/>
      <c r="E37" s="1339"/>
      <c r="F37" s="1340">
        <f>SUM(F7:F36)</f>
        <v>10569.711954958351</v>
      </c>
      <c r="G37" s="1339"/>
      <c r="H37" s="1339"/>
      <c r="I37" s="1339"/>
      <c r="J37" s="1339"/>
      <c r="K37" s="1339"/>
      <c r="L37" s="2129" t="s">
        <v>251</v>
      </c>
      <c r="M37" s="2130"/>
      <c r="N37" s="2131"/>
      <c r="O37" s="496">
        <f>SUM(O7:O36)</f>
        <v>27777.007537462487</v>
      </c>
      <c r="P37" s="1182">
        <f>SUM(P7:P36)</f>
        <v>6.8382588718519166</v>
      </c>
      <c r="R37" s="1178"/>
      <c r="S37" s="2164" t="s">
        <v>251</v>
      </c>
      <c r="T37" s="2165"/>
      <c r="U37" s="2166"/>
      <c r="V37" s="1185">
        <f>SUM(V7:V36)</f>
        <v>714450.85384615383</v>
      </c>
      <c r="W37" s="1184">
        <f>SUM(W7:W36)</f>
        <v>175.88647312805352</v>
      </c>
    </row>
  </sheetData>
  <mergeCells count="9">
    <mergeCell ref="S37:U37"/>
    <mergeCell ref="R1:W1"/>
    <mergeCell ref="R2:W2"/>
    <mergeCell ref="R3:W3"/>
    <mergeCell ref="A1:P1"/>
    <mergeCell ref="A2:P2"/>
    <mergeCell ref="A3:P3"/>
    <mergeCell ref="A4:E4"/>
    <mergeCell ref="L37:N37"/>
  </mergeCells>
  <phoneticPr fontId="171" type="noConversion"/>
  <conditionalFormatting sqref="M35:M36 M7:M10 M12:M13 M15:M24 M26">
    <cfRule type="cellIs" dxfId="69" priority="61" stopIfTrue="1" operator="equal">
      <formula>0</formula>
    </cfRule>
  </conditionalFormatting>
  <conditionalFormatting sqref="M11">
    <cfRule type="cellIs" dxfId="68" priority="17" stopIfTrue="1" operator="equal">
      <formula>0</formula>
    </cfRule>
  </conditionalFormatting>
  <conditionalFormatting sqref="M27">
    <cfRule type="cellIs" dxfId="67" priority="14" stopIfTrue="1" operator="equal">
      <formula>0</formula>
    </cfRule>
  </conditionalFormatting>
  <conditionalFormatting sqref="M28">
    <cfRule type="cellIs" dxfId="66" priority="13" stopIfTrue="1" operator="equal">
      <formula>0</formula>
    </cfRule>
  </conditionalFormatting>
  <conditionalFormatting sqref="M29">
    <cfRule type="cellIs" dxfId="65" priority="10" stopIfTrue="1" operator="equal">
      <formula>0</formula>
    </cfRule>
  </conditionalFormatting>
  <conditionalFormatting sqref="M30">
    <cfRule type="cellIs" dxfId="64" priority="9" stopIfTrue="1" operator="equal">
      <formula>0</formula>
    </cfRule>
  </conditionalFormatting>
  <conditionalFormatting sqref="M25">
    <cfRule type="cellIs" dxfId="63" priority="7" stopIfTrue="1" operator="equal">
      <formula>0</formula>
    </cfRule>
  </conditionalFormatting>
  <conditionalFormatting sqref="M31">
    <cfRule type="cellIs" dxfId="62" priority="6" stopIfTrue="1" operator="equal">
      <formula>0</formula>
    </cfRule>
  </conditionalFormatting>
  <conditionalFormatting sqref="M32">
    <cfRule type="cellIs" dxfId="61" priority="5" stopIfTrue="1" operator="equal">
      <formula>0</formula>
    </cfRule>
  </conditionalFormatting>
  <conditionalFormatting sqref="M33">
    <cfRule type="cellIs" dxfId="60" priority="4" stopIfTrue="1" operator="equal">
      <formula>0</formula>
    </cfRule>
  </conditionalFormatting>
  <conditionalFormatting sqref="M14">
    <cfRule type="cellIs" dxfId="59" priority="2" stopIfTrue="1" operator="equal">
      <formula>0</formula>
    </cfRule>
  </conditionalFormatting>
  <conditionalFormatting sqref="M34">
    <cfRule type="cellIs" dxfId="58" priority="1" stopIfTrue="1" operator="equal">
      <formula>0</formula>
    </cfRule>
  </conditionalFormatting>
  <printOptions horizontalCentered="1"/>
  <pageMargins left="0.2" right="0.19" top="0.2" bottom="0.2" header="0.3" footer="0.31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"/>
  <sheetViews>
    <sheetView topLeftCell="A5" workbookViewId="0">
      <pane xSplit="4" ySplit="3" topLeftCell="Q31" activePane="bottomRight" state="frozen"/>
      <selection activeCell="A5" sqref="A5"/>
      <selection pane="topRight" activeCell="E5" sqref="E5"/>
      <selection pane="bottomLeft" activeCell="A8" sqref="A8"/>
      <selection pane="bottomRight" activeCell="U35" sqref="U35"/>
    </sheetView>
  </sheetViews>
  <sheetFormatPr defaultRowHeight="14.25"/>
  <cols>
    <col min="1" max="1" width="4.5" customWidth="1"/>
    <col min="3" max="3" width="11" customWidth="1"/>
    <col min="4" max="4" width="9.375" bestFit="1" customWidth="1"/>
    <col min="5" max="5" width="7.375" customWidth="1"/>
  </cols>
  <sheetData>
    <row r="1" spans="1:37" s="839" customFormat="1" ht="42" hidden="1" customHeight="1">
      <c r="A1" s="2134" t="s">
        <v>222</v>
      </c>
      <c r="B1" s="2134"/>
      <c r="C1" s="2134"/>
      <c r="D1" s="2134"/>
      <c r="E1" s="2134"/>
      <c r="F1" s="2134"/>
      <c r="G1" s="2134"/>
      <c r="H1" s="2134"/>
      <c r="I1" s="2134"/>
      <c r="J1" s="2134"/>
      <c r="K1" s="2134"/>
      <c r="L1" s="2134"/>
      <c r="M1" s="2134"/>
      <c r="N1" s="2134"/>
      <c r="O1" s="2134"/>
      <c r="P1" s="2134"/>
      <c r="Q1" s="2134"/>
      <c r="R1" s="2134"/>
      <c r="S1" s="2134"/>
      <c r="T1" s="2134"/>
      <c r="U1" s="844"/>
      <c r="V1" s="844"/>
    </row>
    <row r="2" spans="1:37" s="871" customFormat="1" ht="42.75" hidden="1" customHeight="1">
      <c r="A2" s="2134" t="s">
        <v>221</v>
      </c>
      <c r="B2" s="2134"/>
      <c r="C2" s="2134"/>
      <c r="D2" s="2134"/>
      <c r="E2" s="2134"/>
      <c r="F2" s="2134"/>
      <c r="G2" s="2134"/>
      <c r="H2" s="2134"/>
      <c r="I2" s="2134"/>
      <c r="J2" s="2134"/>
      <c r="K2" s="2134"/>
      <c r="L2" s="2134"/>
      <c r="M2" s="2134"/>
      <c r="N2" s="2134"/>
      <c r="O2" s="2134"/>
      <c r="P2" s="2134"/>
      <c r="Q2" s="2134"/>
      <c r="R2" s="2134"/>
      <c r="S2" s="2134"/>
      <c r="T2" s="2134"/>
      <c r="U2" s="844"/>
      <c r="V2" s="844"/>
    </row>
    <row r="3" spans="1:37" s="871" customFormat="1" ht="42.75" hidden="1" customHeight="1">
      <c r="A3" s="2135" t="s">
        <v>1070</v>
      </c>
      <c r="B3" s="2135"/>
      <c r="C3" s="2135"/>
      <c r="D3" s="2135"/>
      <c r="E3" s="2135"/>
      <c r="F3" s="2135"/>
      <c r="G3" s="2135"/>
      <c r="H3" s="2135"/>
      <c r="I3" s="2135"/>
      <c r="J3" s="2135"/>
      <c r="K3" s="2135"/>
      <c r="L3" s="2135"/>
      <c r="M3" s="2135"/>
      <c r="N3" s="2135"/>
      <c r="O3" s="2135"/>
      <c r="P3" s="2135"/>
      <c r="Q3" s="2135"/>
      <c r="R3" s="2135"/>
      <c r="S3" s="2135"/>
      <c r="T3" s="2135"/>
      <c r="U3" s="845"/>
      <c r="V3" s="845"/>
    </row>
    <row r="4" spans="1:37" s="871" customFormat="1" ht="42.75" hidden="1" customHeight="1">
      <c r="A4" s="2135" t="s">
        <v>1071</v>
      </c>
      <c r="B4" s="2135"/>
      <c r="C4" s="2135"/>
      <c r="D4" s="2135"/>
      <c r="E4" s="2135"/>
      <c r="F4" s="2135"/>
      <c r="G4" s="2135"/>
      <c r="H4" s="2135"/>
      <c r="I4" s="2135"/>
      <c r="J4" s="2135"/>
      <c r="K4" s="2135"/>
      <c r="L4" s="2135"/>
      <c r="M4" s="2135"/>
      <c r="N4" s="2135"/>
      <c r="O4" s="2135"/>
      <c r="P4" s="2135"/>
      <c r="Q4" s="2135"/>
      <c r="R4" s="2135"/>
      <c r="S4" s="2135"/>
      <c r="T4" s="2135"/>
      <c r="U4" s="845"/>
      <c r="V4" s="845"/>
    </row>
    <row r="5" spans="1:37" s="856" customFormat="1" ht="20.25" customHeight="1">
      <c r="A5" s="2136" t="s">
        <v>1202</v>
      </c>
      <c r="B5" s="2136"/>
      <c r="C5" s="2136"/>
      <c r="D5" s="817"/>
      <c r="E5" s="817"/>
      <c r="F5" s="817"/>
      <c r="G5" s="817"/>
      <c r="H5" s="817"/>
      <c r="I5" s="817"/>
      <c r="J5" s="817"/>
      <c r="K5" s="817"/>
      <c r="L5" s="2136" t="s">
        <v>2347</v>
      </c>
      <c r="M5" s="2136"/>
      <c r="N5" s="2136"/>
      <c r="O5" s="2136"/>
      <c r="P5" s="2136"/>
      <c r="Q5" s="2136"/>
      <c r="R5" s="2136"/>
      <c r="S5" s="817"/>
      <c r="T5" s="817"/>
      <c r="U5" s="817"/>
      <c r="V5" s="819"/>
      <c r="W5" s="855"/>
    </row>
    <row r="6" spans="1:37" s="871" customFormat="1" ht="37.5" customHeight="1">
      <c r="A6" s="820" t="s">
        <v>252</v>
      </c>
      <c r="B6" s="820" t="s">
        <v>1072</v>
      </c>
      <c r="C6" s="820" t="s">
        <v>1073</v>
      </c>
      <c r="D6" s="820" t="s">
        <v>254</v>
      </c>
      <c r="E6" s="821" t="s">
        <v>227</v>
      </c>
      <c r="F6" s="2138" t="s">
        <v>1074</v>
      </c>
      <c r="G6" s="2139"/>
      <c r="H6" s="2139"/>
      <c r="I6" s="2139"/>
      <c r="J6" s="2139"/>
      <c r="K6" s="2139"/>
      <c r="L6" s="2139"/>
      <c r="M6" s="2139"/>
      <c r="N6" s="2139"/>
      <c r="O6" s="2139"/>
      <c r="P6" s="2139"/>
      <c r="Q6" s="2140"/>
      <c r="R6" s="822" t="s">
        <v>1075</v>
      </c>
      <c r="S6" s="900" t="s">
        <v>1076</v>
      </c>
      <c r="T6" s="822" t="s">
        <v>1077</v>
      </c>
      <c r="U6" s="822" t="s">
        <v>1126</v>
      </c>
      <c r="V6" s="850" t="s">
        <v>1128</v>
      </c>
      <c r="W6" s="823" t="s">
        <v>1078</v>
      </c>
      <c r="X6" s="504"/>
    </row>
    <row r="7" spans="1:37" s="839" customFormat="1" ht="42" customHeight="1">
      <c r="A7" s="858" t="s">
        <v>41</v>
      </c>
      <c r="B7" s="858" t="s">
        <v>42</v>
      </c>
      <c r="C7" s="858" t="s">
        <v>1079</v>
      </c>
      <c r="D7" s="858" t="s">
        <v>1080</v>
      </c>
      <c r="E7" s="859" t="s">
        <v>1081</v>
      </c>
      <c r="F7" s="859" t="s">
        <v>1082</v>
      </c>
      <c r="G7" s="859" t="s">
        <v>1083</v>
      </c>
      <c r="H7" s="859" t="s">
        <v>1084</v>
      </c>
      <c r="I7" s="859" t="s">
        <v>1085</v>
      </c>
      <c r="J7" s="859" t="s">
        <v>1086</v>
      </c>
      <c r="K7" s="825" t="s">
        <v>1087</v>
      </c>
      <c r="L7" s="825" t="s">
        <v>1088</v>
      </c>
      <c r="M7" s="825" t="s">
        <v>1089</v>
      </c>
      <c r="N7" s="825" t="s">
        <v>1090</v>
      </c>
      <c r="O7" s="825" t="s">
        <v>1091</v>
      </c>
      <c r="P7" s="825" t="s">
        <v>1092</v>
      </c>
      <c r="Q7" s="825" t="s">
        <v>1093</v>
      </c>
      <c r="R7" s="826" t="s">
        <v>1094</v>
      </c>
      <c r="S7" s="901" t="s">
        <v>1095</v>
      </c>
      <c r="T7" s="827" t="s">
        <v>1096</v>
      </c>
      <c r="U7" s="852" t="s">
        <v>1125</v>
      </c>
      <c r="V7" s="908" t="s">
        <v>1127</v>
      </c>
      <c r="W7" s="861" t="s">
        <v>1097</v>
      </c>
      <c r="X7" s="893"/>
      <c r="Y7" s="1701">
        <v>1</v>
      </c>
      <c r="Z7" s="1701">
        <v>2</v>
      </c>
      <c r="AA7" s="1701">
        <v>3</v>
      </c>
      <c r="AB7" s="1701">
        <v>4</v>
      </c>
      <c r="AC7" s="1701">
        <v>5</v>
      </c>
      <c r="AD7" s="1701">
        <v>6</v>
      </c>
      <c r="AE7" s="1701">
        <v>7</v>
      </c>
      <c r="AF7" s="1701">
        <v>8</v>
      </c>
      <c r="AG7" s="1701">
        <v>9</v>
      </c>
      <c r="AH7" s="1701">
        <v>10</v>
      </c>
      <c r="AI7" s="1701">
        <v>11</v>
      </c>
      <c r="AJ7" s="1701">
        <v>12</v>
      </c>
      <c r="AK7" s="1701" t="s">
        <v>74</v>
      </c>
    </row>
    <row r="8" spans="1:37" s="872" customFormat="1" ht="42.75" customHeight="1">
      <c r="A8" s="502">
        <v>1</v>
      </c>
      <c r="B8" s="1520" t="s">
        <v>1203</v>
      </c>
      <c r="C8" s="1488" t="s">
        <v>501</v>
      </c>
      <c r="D8" s="1502">
        <v>41311</v>
      </c>
      <c r="E8" s="880" t="s">
        <v>1113</v>
      </c>
      <c r="F8" s="1718">
        <v>449.40550807217477</v>
      </c>
      <c r="G8" s="1718">
        <v>476.58887807509404</v>
      </c>
      <c r="H8" s="1719">
        <v>420.55438664799084</v>
      </c>
      <c r="I8" s="1718">
        <v>498.66285279400921</v>
      </c>
      <c r="J8" s="1718">
        <v>676.91296356361988</v>
      </c>
      <c r="K8" s="1718">
        <v>683.06930693069307</v>
      </c>
      <c r="L8" s="1718">
        <v>691.80598711633195</v>
      </c>
      <c r="M8" s="1718">
        <v>530.00875856816447</v>
      </c>
      <c r="N8" s="1718">
        <v>441.35765179601736</v>
      </c>
      <c r="O8" s="1306">
        <v>517.06477505817952</v>
      </c>
      <c r="P8" s="1306">
        <v>379.15271215271218</v>
      </c>
      <c r="Q8" s="1306">
        <v>30</v>
      </c>
      <c r="R8" s="902">
        <f>SUM(F8:Q8)</f>
        <v>5794.5837807749867</v>
      </c>
      <c r="S8" s="902">
        <f>R8/12</f>
        <v>482.88198173124891</v>
      </c>
      <c r="T8" s="902">
        <f>S8/26</f>
        <v>18.572383912740342</v>
      </c>
      <c r="U8" s="903">
        <f>'S5'!W7</f>
        <v>0.5</v>
      </c>
      <c r="V8" s="909">
        <f>T8*U8</f>
        <v>9.2861919563701711</v>
      </c>
      <c r="W8" s="906"/>
      <c r="X8" s="504"/>
      <c r="Y8" s="1707">
        <v>0</v>
      </c>
      <c r="Z8" s="903">
        <v>1</v>
      </c>
      <c r="AA8" s="1694">
        <v>2</v>
      </c>
      <c r="AB8" s="903">
        <v>1.5</v>
      </c>
      <c r="AC8" s="903">
        <v>1</v>
      </c>
      <c r="AD8" s="903">
        <v>0</v>
      </c>
      <c r="AE8" s="903">
        <v>0</v>
      </c>
      <c r="AF8" s="1694"/>
      <c r="AG8" s="903">
        <v>1</v>
      </c>
      <c r="AH8" s="1694"/>
      <c r="AI8" s="1694"/>
      <c r="AJ8" s="1694"/>
      <c r="AK8" s="1699">
        <f>SUM(Y8:AJ8)</f>
        <v>6.5</v>
      </c>
    </row>
    <row r="9" spans="1:37" s="872" customFormat="1" ht="42.75" customHeight="1">
      <c r="A9" s="502">
        <v>2</v>
      </c>
      <c r="B9" s="1535" t="s">
        <v>1204</v>
      </c>
      <c r="C9" s="1488" t="s">
        <v>1205</v>
      </c>
      <c r="D9" s="1502">
        <v>43976</v>
      </c>
      <c r="E9" s="880" t="s">
        <v>1098</v>
      </c>
      <c r="F9" s="1718">
        <v>299.12084520417852</v>
      </c>
      <c r="G9" s="1718">
        <v>307.57735811385567</v>
      </c>
      <c r="H9" s="1719">
        <v>268.87933427837874</v>
      </c>
      <c r="I9" s="1718">
        <v>324.09373713527515</v>
      </c>
      <c r="J9" s="1718">
        <v>425.55674028941354</v>
      </c>
      <c r="K9" s="1718">
        <v>492.47162985529314</v>
      </c>
      <c r="L9" s="1718">
        <v>466.33630162940506</v>
      </c>
      <c r="M9" s="1718">
        <v>352.06302361005328</v>
      </c>
      <c r="N9" s="1718">
        <v>271.51371379664766</v>
      </c>
      <c r="O9" s="1306">
        <v>318.65259824327921</v>
      </c>
      <c r="P9" s="1306">
        <v>210.07692307692309</v>
      </c>
      <c r="Q9" s="1306">
        <v>30</v>
      </c>
      <c r="R9" s="902">
        <f t="shared" ref="R9:R35" si="0">SUM(F9:Q9)</f>
        <v>3766.3422052327032</v>
      </c>
      <c r="S9" s="902">
        <f t="shared" ref="S9:S33" si="1">R9/12</f>
        <v>313.8618504360586</v>
      </c>
      <c r="T9" s="902">
        <f t="shared" ref="T9:T35" si="2">S9/26</f>
        <v>12.0716096321561</v>
      </c>
      <c r="U9" s="903">
        <f>'S5'!W8</f>
        <v>0</v>
      </c>
      <c r="V9" s="909">
        <f t="shared" ref="V9:V35" si="3">T9*U9</f>
        <v>0</v>
      </c>
      <c r="W9" s="906"/>
      <c r="X9" s="504"/>
      <c r="Y9" s="1707">
        <v>0</v>
      </c>
      <c r="Z9" s="903">
        <v>2</v>
      </c>
      <c r="AA9" s="1694">
        <v>2</v>
      </c>
      <c r="AB9" s="903">
        <v>1.5</v>
      </c>
      <c r="AC9" s="903">
        <v>0</v>
      </c>
      <c r="AD9" s="903">
        <v>0</v>
      </c>
      <c r="AE9" s="903">
        <v>0</v>
      </c>
      <c r="AF9" s="1694"/>
      <c r="AG9" s="903">
        <v>1</v>
      </c>
      <c r="AH9" s="1694"/>
      <c r="AI9" s="1694"/>
      <c r="AJ9" s="1694"/>
      <c r="AK9" s="1699">
        <f t="shared" ref="AK9:AK35" si="4">SUM(Y9:AJ9)</f>
        <v>6.5</v>
      </c>
    </row>
    <row r="10" spans="1:37" s="872" customFormat="1" ht="42.75" customHeight="1">
      <c r="A10" s="502">
        <v>3</v>
      </c>
      <c r="B10" s="1535" t="s">
        <v>1206</v>
      </c>
      <c r="C10" s="1488" t="s">
        <v>1207</v>
      </c>
      <c r="D10" s="1502">
        <v>44378</v>
      </c>
      <c r="E10" s="880" t="s">
        <v>1098</v>
      </c>
      <c r="F10" s="1718">
        <v>298.12084520417852</v>
      </c>
      <c r="G10" s="1718">
        <v>307.70916429249758</v>
      </c>
      <c r="H10" s="1719">
        <v>268.0398206176568</v>
      </c>
      <c r="I10" s="1718">
        <v>323.21487345867251</v>
      </c>
      <c r="J10" s="1718">
        <v>419.79093678598622</v>
      </c>
      <c r="K10" s="1718">
        <v>499.56007235338916</v>
      </c>
      <c r="L10" s="1718">
        <v>473.30783440697229</v>
      </c>
      <c r="M10" s="1718">
        <v>354.62414318354917</v>
      </c>
      <c r="N10" s="1718">
        <v>270.53470121487629</v>
      </c>
      <c r="O10" s="1306">
        <v>318.170210298673</v>
      </c>
      <c r="P10" s="1306">
        <v>209.07692307692309</v>
      </c>
      <c r="Q10" s="1306">
        <v>30</v>
      </c>
      <c r="R10" s="902">
        <f t="shared" si="0"/>
        <v>3772.1495248933743</v>
      </c>
      <c r="S10" s="902">
        <f t="shared" ref="S10:S11" si="5">R10/12</f>
        <v>314.34579374111451</v>
      </c>
      <c r="T10" s="902">
        <f t="shared" si="2"/>
        <v>12.090222836196713</v>
      </c>
      <c r="U10" s="903">
        <f>'S5'!W9</f>
        <v>0</v>
      </c>
      <c r="V10" s="909">
        <f t="shared" si="3"/>
        <v>0</v>
      </c>
      <c r="W10" s="906"/>
      <c r="X10" s="504"/>
      <c r="Y10" s="1707">
        <v>0</v>
      </c>
      <c r="Z10" s="903">
        <v>0</v>
      </c>
      <c r="AA10" s="1694">
        <v>2</v>
      </c>
      <c r="AB10" s="903">
        <v>1.5</v>
      </c>
      <c r="AC10" s="903">
        <v>0</v>
      </c>
      <c r="AD10" s="903">
        <v>0</v>
      </c>
      <c r="AE10" s="903">
        <v>0</v>
      </c>
      <c r="AF10" s="1694"/>
      <c r="AG10" s="903">
        <v>1</v>
      </c>
      <c r="AH10" s="1694"/>
      <c r="AI10" s="1694"/>
      <c r="AJ10" s="1694"/>
      <c r="AK10" s="1699">
        <f t="shared" si="4"/>
        <v>4.5</v>
      </c>
    </row>
    <row r="11" spans="1:37" s="872" customFormat="1" ht="42.75" customHeight="1">
      <c r="A11" s="502">
        <v>4</v>
      </c>
      <c r="B11" s="1535" t="s">
        <v>1208</v>
      </c>
      <c r="C11" s="1488" t="s">
        <v>933</v>
      </c>
      <c r="D11" s="1502">
        <v>44480</v>
      </c>
      <c r="E11" s="880" t="s">
        <v>1098</v>
      </c>
      <c r="F11" s="1718">
        <v>244.96699905033236</v>
      </c>
      <c r="G11" s="1718">
        <v>304.14957264957263</v>
      </c>
      <c r="H11" s="1719">
        <v>240.90386643069195</v>
      </c>
      <c r="I11" s="1718">
        <v>325.5372388364317</v>
      </c>
      <c r="J11" s="1718">
        <v>383.77722772277224</v>
      </c>
      <c r="K11" s="1718">
        <v>290.79103198781416</v>
      </c>
      <c r="L11" s="1718">
        <v>340.88977832512313</v>
      </c>
      <c r="M11" s="1718">
        <v>350.06302361005328</v>
      </c>
      <c r="N11" s="1718">
        <v>264.37927912097365</v>
      </c>
      <c r="O11" s="1306">
        <v>302.9659807011102</v>
      </c>
      <c r="P11" s="1306">
        <v>209.07692307692309</v>
      </c>
      <c r="Q11" s="1306">
        <v>30</v>
      </c>
      <c r="R11" s="902">
        <f t="shared" si="0"/>
        <v>3287.500921511798</v>
      </c>
      <c r="S11" s="902">
        <f t="shared" si="5"/>
        <v>273.95841012598316</v>
      </c>
      <c r="T11" s="902">
        <f t="shared" si="2"/>
        <v>10.536861927922429</v>
      </c>
      <c r="U11" s="903">
        <f>'S5'!W10</f>
        <v>0</v>
      </c>
      <c r="V11" s="909">
        <f t="shared" si="3"/>
        <v>0</v>
      </c>
      <c r="W11" s="906"/>
      <c r="X11" s="504"/>
      <c r="Y11" s="1707">
        <v>0</v>
      </c>
      <c r="Z11" s="903">
        <v>0</v>
      </c>
      <c r="AA11" s="1694">
        <v>2</v>
      </c>
      <c r="AB11" s="903">
        <v>1.5</v>
      </c>
      <c r="AC11" s="903">
        <v>0</v>
      </c>
      <c r="AD11" s="903">
        <v>0</v>
      </c>
      <c r="AE11" s="903">
        <v>0</v>
      </c>
      <c r="AF11" s="1694"/>
      <c r="AG11" s="903">
        <v>1</v>
      </c>
      <c r="AH11" s="1694"/>
      <c r="AI11" s="1694"/>
      <c r="AJ11" s="1694"/>
      <c r="AK11" s="1699">
        <f t="shared" si="4"/>
        <v>4.5</v>
      </c>
    </row>
    <row r="12" spans="1:37" s="872" customFormat="1" ht="42.75" customHeight="1">
      <c r="A12" s="502">
        <v>5</v>
      </c>
      <c r="B12" s="1535" t="s">
        <v>1209</v>
      </c>
      <c r="C12" s="1488" t="s">
        <v>935</v>
      </c>
      <c r="D12" s="1502">
        <v>44490</v>
      </c>
      <c r="E12" s="880" t="s">
        <v>1098</v>
      </c>
      <c r="F12" s="1718">
        <v>277.72661443494781</v>
      </c>
      <c r="G12" s="1718">
        <v>313.21877967711305</v>
      </c>
      <c r="H12" s="1719">
        <v>273.01257907483688</v>
      </c>
      <c r="I12" s="1718">
        <v>332.2667293159522</v>
      </c>
      <c r="J12" s="1718">
        <v>402.70715917745628</v>
      </c>
      <c r="K12" s="1718">
        <v>506.7379569687738</v>
      </c>
      <c r="L12" s="1718">
        <v>483.17099280030311</v>
      </c>
      <c r="M12" s="1718">
        <v>359.54722010662607</v>
      </c>
      <c r="N12" s="1718">
        <v>274.68505856521648</v>
      </c>
      <c r="O12" s="1306">
        <v>324.0218706620023</v>
      </c>
      <c r="P12" s="1306">
        <v>213.30769230769232</v>
      </c>
      <c r="Q12" s="1306">
        <v>30</v>
      </c>
      <c r="R12" s="902">
        <f t="shared" si="0"/>
        <v>3790.40265309092</v>
      </c>
      <c r="S12" s="902">
        <f t="shared" ref="S12:S18" si="6">R12/12</f>
        <v>315.86688775757665</v>
      </c>
      <c r="T12" s="902">
        <f t="shared" si="2"/>
        <v>12.148726452214486</v>
      </c>
      <c r="U12" s="903">
        <f>'S5'!W11</f>
        <v>0</v>
      </c>
      <c r="V12" s="909">
        <f t="shared" si="3"/>
        <v>0</v>
      </c>
      <c r="W12" s="906"/>
      <c r="X12" s="504"/>
      <c r="Y12" s="1707">
        <v>0</v>
      </c>
      <c r="Z12" s="903">
        <v>0</v>
      </c>
      <c r="AA12" s="1694">
        <v>2</v>
      </c>
      <c r="AB12" s="903">
        <v>1.5</v>
      </c>
      <c r="AC12" s="903">
        <v>0</v>
      </c>
      <c r="AD12" s="903">
        <v>0</v>
      </c>
      <c r="AE12" s="903">
        <v>0</v>
      </c>
      <c r="AF12" s="1694"/>
      <c r="AG12" s="903">
        <v>1</v>
      </c>
      <c r="AH12" s="1694"/>
      <c r="AI12" s="1694"/>
      <c r="AJ12" s="1694"/>
      <c r="AK12" s="1699">
        <f t="shared" si="4"/>
        <v>4.5</v>
      </c>
    </row>
    <row r="13" spans="1:37" s="872" customFormat="1" ht="42.75" customHeight="1">
      <c r="A13" s="502">
        <v>6</v>
      </c>
      <c r="B13" s="1535" t="s">
        <v>1210</v>
      </c>
      <c r="C13" s="1488" t="s">
        <v>957</v>
      </c>
      <c r="D13" s="1502">
        <v>44523</v>
      </c>
      <c r="E13" s="880" t="s">
        <v>1098</v>
      </c>
      <c r="F13" s="1718">
        <v>298.12084520417852</v>
      </c>
      <c r="G13" s="1718">
        <v>307.70916429249758</v>
      </c>
      <c r="H13" s="1719">
        <v>267.81639183254345</v>
      </c>
      <c r="I13" s="1718">
        <v>326.60888277983457</v>
      </c>
      <c r="J13" s="1718">
        <v>419.79093678598622</v>
      </c>
      <c r="K13" s="1718">
        <v>499.56007235338916</v>
      </c>
      <c r="L13" s="1718">
        <v>461.63362068965512</v>
      </c>
      <c r="M13" s="1718">
        <v>346.50190403655745</v>
      </c>
      <c r="N13" s="1718">
        <v>269.44799625630861</v>
      </c>
      <c r="O13" s="1306">
        <v>316.87</v>
      </c>
      <c r="P13" s="1306">
        <v>209.07692307692309</v>
      </c>
      <c r="Q13" s="1306">
        <v>30</v>
      </c>
      <c r="R13" s="902">
        <f t="shared" si="0"/>
        <v>3753.1367373078729</v>
      </c>
      <c r="S13" s="902">
        <f t="shared" si="6"/>
        <v>312.76139477565607</v>
      </c>
      <c r="T13" s="902">
        <f t="shared" si="2"/>
        <v>12.029284414448311</v>
      </c>
      <c r="U13" s="903">
        <f>'S5'!W12</f>
        <v>0</v>
      </c>
      <c r="V13" s="909">
        <f t="shared" si="3"/>
        <v>0</v>
      </c>
      <c r="W13" s="906"/>
      <c r="X13" s="504"/>
      <c r="Y13" s="1707">
        <v>0</v>
      </c>
      <c r="Z13" s="903">
        <v>0</v>
      </c>
      <c r="AA13" s="1694">
        <v>2</v>
      </c>
      <c r="AB13" s="903">
        <v>1.5</v>
      </c>
      <c r="AC13" s="903">
        <v>0</v>
      </c>
      <c r="AD13" s="903">
        <v>0</v>
      </c>
      <c r="AE13" s="903">
        <v>0</v>
      </c>
      <c r="AF13" s="1694"/>
      <c r="AG13" s="903">
        <v>1</v>
      </c>
      <c r="AH13" s="1694"/>
      <c r="AI13" s="1694"/>
      <c r="AJ13" s="1694"/>
      <c r="AK13" s="1699">
        <f t="shared" si="4"/>
        <v>4.5</v>
      </c>
    </row>
    <row r="14" spans="1:37" s="872" customFormat="1" ht="42.75" customHeight="1">
      <c r="A14" s="502">
        <v>7</v>
      </c>
      <c r="B14" s="1343" t="s">
        <v>1850</v>
      </c>
      <c r="C14" s="1345" t="s">
        <v>1851</v>
      </c>
      <c r="D14" s="1472">
        <v>44544</v>
      </c>
      <c r="E14" s="880" t="s">
        <v>1098</v>
      </c>
      <c r="F14" s="1718">
        <v>294.56125356125358</v>
      </c>
      <c r="G14" s="1718">
        <v>307.70916429249758</v>
      </c>
      <c r="H14" s="1719">
        <v>227.02868143164096</v>
      </c>
      <c r="I14" s="1718">
        <v>326.38880175535633</v>
      </c>
      <c r="J14" s="1718">
        <v>419.79093678598622</v>
      </c>
      <c r="K14" s="1718">
        <v>394.47458111195726</v>
      </c>
      <c r="L14" s="1718">
        <v>457.35530259017094</v>
      </c>
      <c r="M14" s="1718">
        <v>358.62414318354917</v>
      </c>
      <c r="N14" s="1718">
        <v>274.00348258328199</v>
      </c>
      <c r="O14" s="1306">
        <v>314.69014276012723</v>
      </c>
      <c r="P14" s="1306">
        <v>208.07692307692309</v>
      </c>
      <c r="Q14" s="1306">
        <v>30</v>
      </c>
      <c r="R14" s="902">
        <f t="shared" si="0"/>
        <v>3612.7034131327446</v>
      </c>
      <c r="S14" s="902">
        <f t="shared" si="6"/>
        <v>301.05861776106207</v>
      </c>
      <c r="T14" s="902">
        <f t="shared" si="2"/>
        <v>11.579177606194694</v>
      </c>
      <c r="U14" s="903">
        <f>'S5'!W13</f>
        <v>0</v>
      </c>
      <c r="V14" s="909">
        <f t="shared" si="3"/>
        <v>0</v>
      </c>
      <c r="W14" s="906"/>
      <c r="X14" s="504"/>
      <c r="Y14" s="1707">
        <v>0</v>
      </c>
      <c r="Z14" s="903">
        <v>0</v>
      </c>
      <c r="AA14" s="1694">
        <v>2</v>
      </c>
      <c r="AB14" s="903">
        <v>1.5</v>
      </c>
      <c r="AC14" s="903">
        <v>0</v>
      </c>
      <c r="AD14" s="903">
        <v>0</v>
      </c>
      <c r="AE14" s="903">
        <v>2</v>
      </c>
      <c r="AF14" s="1694"/>
      <c r="AG14" s="903">
        <v>1</v>
      </c>
      <c r="AH14" s="1694"/>
      <c r="AI14" s="1694"/>
      <c r="AJ14" s="1694"/>
      <c r="AK14" s="1699">
        <f t="shared" si="4"/>
        <v>6.5</v>
      </c>
    </row>
    <row r="15" spans="1:37" s="872" customFormat="1" ht="42.75" customHeight="1">
      <c r="A15" s="502">
        <v>8</v>
      </c>
      <c r="B15" s="688" t="s">
        <v>1055</v>
      </c>
      <c r="C15" s="943" t="s">
        <v>1056</v>
      </c>
      <c r="D15" s="1472">
        <v>44564</v>
      </c>
      <c r="E15" s="880" t="s">
        <v>1098</v>
      </c>
      <c r="F15" s="1718">
        <v>298.12084520417852</v>
      </c>
      <c r="G15" s="1718">
        <v>307.70916429249758</v>
      </c>
      <c r="H15" s="1719">
        <v>267.74795934910952</v>
      </c>
      <c r="I15" s="1718">
        <v>323.13185090723988</v>
      </c>
      <c r="J15" s="1718">
        <v>412.66869763899462</v>
      </c>
      <c r="K15" s="1718">
        <v>455.88318735719724</v>
      </c>
      <c r="L15" s="1718">
        <v>430.45310723758996</v>
      </c>
      <c r="M15" s="1718">
        <v>350.06302361005328</v>
      </c>
      <c r="N15" s="1718">
        <v>251.35934518059005</v>
      </c>
      <c r="O15" s="1306">
        <v>316.73299922671993</v>
      </c>
      <c r="P15" s="1306">
        <v>208.07692307692309</v>
      </c>
      <c r="Q15" s="1306">
        <v>30</v>
      </c>
      <c r="R15" s="902">
        <f t="shared" si="0"/>
        <v>3651.9471030810937</v>
      </c>
      <c r="S15" s="902">
        <f t="shared" si="6"/>
        <v>304.32892525675783</v>
      </c>
      <c r="T15" s="902">
        <f t="shared" si="2"/>
        <v>11.704958663721454</v>
      </c>
      <c r="U15" s="903">
        <f>'S5'!W14</f>
        <v>0</v>
      </c>
      <c r="V15" s="909">
        <f t="shared" si="3"/>
        <v>0</v>
      </c>
      <c r="W15" s="906"/>
      <c r="X15" s="504"/>
      <c r="Y15" s="1707">
        <v>0</v>
      </c>
      <c r="Z15" s="903">
        <v>0</v>
      </c>
      <c r="AA15" s="1694">
        <v>2</v>
      </c>
      <c r="AB15" s="903">
        <v>1.5</v>
      </c>
      <c r="AC15" s="903">
        <v>0</v>
      </c>
      <c r="AD15" s="903">
        <v>0</v>
      </c>
      <c r="AE15" s="903">
        <v>0</v>
      </c>
      <c r="AF15" s="1694"/>
      <c r="AG15" s="903">
        <v>1</v>
      </c>
      <c r="AH15" s="1694"/>
      <c r="AI15" s="1694"/>
      <c r="AJ15" s="1694"/>
      <c r="AK15" s="1699">
        <f t="shared" si="4"/>
        <v>4.5</v>
      </c>
    </row>
    <row r="16" spans="1:37" s="1761" customFormat="1" ht="42.75" customHeight="1">
      <c r="A16" s="502">
        <v>9</v>
      </c>
      <c r="B16" s="1785" t="s">
        <v>2292</v>
      </c>
      <c r="C16" s="1784" t="s">
        <v>2293</v>
      </c>
      <c r="D16" s="1517">
        <v>45496</v>
      </c>
      <c r="E16" s="880" t="s">
        <v>1098</v>
      </c>
      <c r="F16" s="1325">
        <v>0</v>
      </c>
      <c r="G16" s="1325">
        <v>0</v>
      </c>
      <c r="H16" s="1325">
        <v>0</v>
      </c>
      <c r="I16" s="1325">
        <v>0</v>
      </c>
      <c r="J16" s="1325">
        <v>0</v>
      </c>
      <c r="K16" s="1325">
        <v>0</v>
      </c>
      <c r="L16" s="1718">
        <v>117.48478021978019</v>
      </c>
      <c r="M16" s="1718">
        <v>344.46344249809596</v>
      </c>
      <c r="N16" s="1718">
        <v>276.92398524267048</v>
      </c>
      <c r="O16" s="1325">
        <v>0</v>
      </c>
      <c r="P16" s="1325">
        <v>0</v>
      </c>
      <c r="Q16" s="1325">
        <v>0</v>
      </c>
      <c r="R16" s="902">
        <f t="shared" si="0"/>
        <v>738.87220796054658</v>
      </c>
      <c r="S16" s="902">
        <f>R16/3</f>
        <v>246.29073598684886</v>
      </c>
      <c r="T16" s="902">
        <f t="shared" si="2"/>
        <v>9.4727206148788028</v>
      </c>
      <c r="U16" s="903">
        <f>'S5'!W15</f>
        <v>0</v>
      </c>
      <c r="V16" s="909">
        <f t="shared" si="3"/>
        <v>0</v>
      </c>
      <c r="W16" s="906"/>
      <c r="X16" s="504"/>
      <c r="Y16" s="1707"/>
      <c r="Z16" s="903"/>
      <c r="AA16" s="1694"/>
      <c r="AB16" s="903"/>
      <c r="AC16" s="903"/>
      <c r="AD16" s="903"/>
      <c r="AE16" s="903">
        <v>0</v>
      </c>
      <c r="AF16" s="1694"/>
      <c r="AG16" s="903">
        <v>1</v>
      </c>
      <c r="AH16" s="1694"/>
      <c r="AI16" s="1694"/>
      <c r="AJ16" s="1694"/>
      <c r="AK16" s="1699"/>
    </row>
    <row r="17" spans="1:37" s="1916" customFormat="1" ht="42.75" customHeight="1">
      <c r="A17" s="502">
        <v>10</v>
      </c>
      <c r="B17" s="1921" t="s">
        <v>2395</v>
      </c>
      <c r="C17" s="1401" t="s">
        <v>2396</v>
      </c>
      <c r="D17" s="1517">
        <v>45581</v>
      </c>
      <c r="E17" s="1151" t="s">
        <v>260</v>
      </c>
      <c r="F17" s="1325">
        <v>0</v>
      </c>
      <c r="G17" s="1325">
        <v>0</v>
      </c>
      <c r="H17" s="1325">
        <v>0</v>
      </c>
      <c r="I17" s="1325">
        <v>0</v>
      </c>
      <c r="J17" s="1325">
        <v>0</v>
      </c>
      <c r="K17" s="1325">
        <v>0</v>
      </c>
      <c r="L17" s="1325">
        <v>0</v>
      </c>
      <c r="M17" s="1325">
        <v>0</v>
      </c>
      <c r="N17" s="1325">
        <v>0</v>
      </c>
      <c r="O17" s="1325">
        <v>0</v>
      </c>
      <c r="P17" s="1325">
        <v>0</v>
      </c>
      <c r="Q17" s="1325">
        <v>0</v>
      </c>
      <c r="R17" s="902">
        <f t="shared" si="0"/>
        <v>0</v>
      </c>
      <c r="S17" s="902">
        <f>R17/1</f>
        <v>0</v>
      </c>
      <c r="T17" s="902">
        <f t="shared" si="2"/>
        <v>0</v>
      </c>
      <c r="U17" s="903">
        <f>'S5'!W16</f>
        <v>0</v>
      </c>
      <c r="V17" s="909">
        <f t="shared" si="3"/>
        <v>0</v>
      </c>
      <c r="W17" s="906"/>
      <c r="X17" s="504"/>
      <c r="Y17" s="1707"/>
      <c r="Z17" s="903"/>
      <c r="AA17" s="1694"/>
      <c r="AB17" s="903"/>
      <c r="AC17" s="903"/>
      <c r="AD17" s="903"/>
      <c r="AE17" s="903"/>
      <c r="AF17" s="1694"/>
      <c r="AG17" s="903"/>
      <c r="AH17" s="1694"/>
      <c r="AI17" s="1694"/>
      <c r="AJ17" s="1694"/>
      <c r="AK17" s="1699"/>
    </row>
    <row r="18" spans="1:37" s="871" customFormat="1" ht="42.75" customHeight="1">
      <c r="A18" s="502">
        <v>11</v>
      </c>
      <c r="B18" s="1534" t="s">
        <v>1211</v>
      </c>
      <c r="C18" s="1538" t="s">
        <v>400</v>
      </c>
      <c r="D18" s="1502">
        <v>42814</v>
      </c>
      <c r="E18" s="880" t="s">
        <v>1119</v>
      </c>
      <c r="F18" s="1718">
        <v>302.12084520417852</v>
      </c>
      <c r="G18" s="1718">
        <v>308.14957264957263</v>
      </c>
      <c r="H18" s="1719">
        <v>273.62878728945907</v>
      </c>
      <c r="I18" s="1718">
        <v>327.64059270887367</v>
      </c>
      <c r="J18" s="1718">
        <v>424.79093678598622</v>
      </c>
      <c r="K18" s="1718">
        <v>504.56007235338916</v>
      </c>
      <c r="L18" s="1718">
        <v>459.03599848427427</v>
      </c>
      <c r="M18" s="1718">
        <v>358.62414318354917</v>
      </c>
      <c r="N18" s="1718">
        <v>274.60593245503509</v>
      </c>
      <c r="O18" s="1306">
        <v>320.59687915811918</v>
      </c>
      <c r="P18" s="1306">
        <v>213.07692307692309</v>
      </c>
      <c r="Q18" s="1306">
        <v>30</v>
      </c>
      <c r="R18" s="902">
        <f t="shared" si="0"/>
        <v>3796.8306833493607</v>
      </c>
      <c r="S18" s="902">
        <f t="shared" si="6"/>
        <v>316.40255694578008</v>
      </c>
      <c r="T18" s="902">
        <f t="shared" si="2"/>
        <v>12.169329113299234</v>
      </c>
      <c r="U18" s="903">
        <f>'S5'!W17</f>
        <v>0</v>
      </c>
      <c r="V18" s="909">
        <f t="shared" si="3"/>
        <v>0</v>
      </c>
      <c r="W18" s="907"/>
      <c r="X18" s="505"/>
      <c r="Y18" s="1707">
        <v>0</v>
      </c>
      <c r="Z18" s="903">
        <v>0</v>
      </c>
      <c r="AA18" s="1694">
        <v>2.5</v>
      </c>
      <c r="AB18" s="903">
        <v>1.5</v>
      </c>
      <c r="AC18" s="903">
        <v>0</v>
      </c>
      <c r="AD18" s="903">
        <v>0</v>
      </c>
      <c r="AE18" s="903">
        <v>0</v>
      </c>
      <c r="AF18" s="1694"/>
      <c r="AG18" s="903">
        <v>1</v>
      </c>
      <c r="AH18" s="1694"/>
      <c r="AI18" s="1694"/>
      <c r="AJ18" s="1694"/>
      <c r="AK18" s="1699">
        <f t="shared" si="4"/>
        <v>5</v>
      </c>
    </row>
    <row r="19" spans="1:37" s="871" customFormat="1" ht="42.75" customHeight="1">
      <c r="A19" s="502">
        <v>12</v>
      </c>
      <c r="B19" s="1534" t="s">
        <v>1212</v>
      </c>
      <c r="C19" s="1260" t="s">
        <v>1213</v>
      </c>
      <c r="D19" s="1502">
        <v>41347</v>
      </c>
      <c r="E19" s="880" t="s">
        <v>1119</v>
      </c>
      <c r="F19" s="1718">
        <v>301.12084520417852</v>
      </c>
      <c r="G19" s="1718">
        <v>310.70916429249758</v>
      </c>
      <c r="H19" s="1719">
        <v>269.10832251953292</v>
      </c>
      <c r="I19" s="1718">
        <v>299.81350116588538</v>
      </c>
      <c r="J19" s="1718">
        <v>322.50742574257418</v>
      </c>
      <c r="K19" s="1718">
        <v>327.41127189642037</v>
      </c>
      <c r="L19" s="1718">
        <v>342.35922610613028</v>
      </c>
      <c r="M19" s="1718">
        <v>329.6296648895659</v>
      </c>
      <c r="N19" s="1718">
        <v>270.92159707293155</v>
      </c>
      <c r="O19" s="1306">
        <v>295.36352353114944</v>
      </c>
      <c r="P19" s="1306">
        <v>186.84615384615384</v>
      </c>
      <c r="Q19" s="1306">
        <v>30</v>
      </c>
      <c r="R19" s="902">
        <f t="shared" si="0"/>
        <v>3285.7906962670199</v>
      </c>
      <c r="S19" s="902">
        <f t="shared" si="1"/>
        <v>273.81589135558499</v>
      </c>
      <c r="T19" s="902">
        <f t="shared" si="2"/>
        <v>10.531380436753269</v>
      </c>
      <c r="U19" s="903">
        <f>'S5'!W18</f>
        <v>0</v>
      </c>
      <c r="V19" s="909">
        <f t="shared" si="3"/>
        <v>0</v>
      </c>
      <c r="W19" s="907"/>
      <c r="X19" s="505"/>
      <c r="Y19" s="1707">
        <v>0</v>
      </c>
      <c r="Z19" s="903">
        <v>0</v>
      </c>
      <c r="AA19" s="1694">
        <v>2</v>
      </c>
      <c r="AB19" s="903">
        <v>1.5</v>
      </c>
      <c r="AC19" s="903">
        <v>0</v>
      </c>
      <c r="AD19" s="903">
        <v>0</v>
      </c>
      <c r="AE19" s="903">
        <v>1</v>
      </c>
      <c r="AF19" s="1694"/>
      <c r="AG19" s="903">
        <v>1</v>
      </c>
      <c r="AH19" s="1694"/>
      <c r="AI19" s="1694"/>
      <c r="AJ19" s="1694"/>
      <c r="AK19" s="1699">
        <f t="shared" si="4"/>
        <v>5.5</v>
      </c>
    </row>
    <row r="20" spans="1:37" s="964" customFormat="1" ht="42.75" customHeight="1">
      <c r="A20" s="502">
        <v>13</v>
      </c>
      <c r="B20" s="785" t="s">
        <v>1352</v>
      </c>
      <c r="C20" s="805" t="s">
        <v>1354</v>
      </c>
      <c r="D20" s="1472">
        <v>44604</v>
      </c>
      <c r="E20" s="880" t="s">
        <v>1098</v>
      </c>
      <c r="F20" s="1718">
        <v>275.71509971509965</v>
      </c>
      <c r="G20" s="1718">
        <v>306.9970225935997</v>
      </c>
      <c r="H20" s="1719">
        <v>267.60818025788302</v>
      </c>
      <c r="I20" s="1718">
        <v>322.91199741239097</v>
      </c>
      <c r="J20" s="1718">
        <v>406.83741479357644</v>
      </c>
      <c r="K20" s="1718">
        <v>484.94430693069307</v>
      </c>
      <c r="L20" s="1718">
        <v>417.81290261462669</v>
      </c>
      <c r="M20" s="1718">
        <v>350.68183549124143</v>
      </c>
      <c r="N20" s="1718">
        <v>269.41957899649788</v>
      </c>
      <c r="O20" s="1306">
        <v>316.12979142267488</v>
      </c>
      <c r="P20" s="1306">
        <v>211.97945913084598</v>
      </c>
      <c r="Q20" s="1306">
        <v>30</v>
      </c>
      <c r="R20" s="902">
        <f t="shared" si="0"/>
        <v>3661.0375893591299</v>
      </c>
      <c r="S20" s="902">
        <f t="shared" ref="S20" si="7">R20/12</f>
        <v>305.08646577992749</v>
      </c>
      <c r="T20" s="902">
        <f t="shared" si="2"/>
        <v>11.734094837689518</v>
      </c>
      <c r="U20" s="903">
        <f>'S5'!W19</f>
        <v>0</v>
      </c>
      <c r="V20" s="909">
        <f t="shared" si="3"/>
        <v>0</v>
      </c>
      <c r="W20" s="907"/>
      <c r="X20" s="505"/>
      <c r="Y20" s="1707">
        <v>0</v>
      </c>
      <c r="Z20" s="903">
        <v>1</v>
      </c>
      <c r="AA20" s="1694">
        <v>2</v>
      </c>
      <c r="AB20" s="903">
        <v>1.5</v>
      </c>
      <c r="AC20" s="903">
        <v>0.5</v>
      </c>
      <c r="AD20" s="903">
        <v>0</v>
      </c>
      <c r="AE20" s="903">
        <v>0</v>
      </c>
      <c r="AF20" s="1694"/>
      <c r="AG20" s="903">
        <v>2</v>
      </c>
      <c r="AH20" s="1694"/>
      <c r="AI20" s="1694"/>
      <c r="AJ20" s="1694"/>
      <c r="AK20" s="1699">
        <f t="shared" si="4"/>
        <v>7</v>
      </c>
    </row>
    <row r="21" spans="1:37" s="1090" customFormat="1" ht="42.75" customHeight="1">
      <c r="A21" s="502">
        <v>14</v>
      </c>
      <c r="B21" s="572" t="s">
        <v>1565</v>
      </c>
      <c r="C21" s="798" t="s">
        <v>1566</v>
      </c>
      <c r="D21" s="1446">
        <v>44735</v>
      </c>
      <c r="E21" s="880" t="s">
        <v>1098</v>
      </c>
      <c r="F21" s="1718">
        <v>300.01891583683044</v>
      </c>
      <c r="G21" s="1718">
        <v>228.27469135802468</v>
      </c>
      <c r="H21" s="1719">
        <v>266.23626300767705</v>
      </c>
      <c r="I21" s="1718">
        <v>303.74446661973087</v>
      </c>
      <c r="J21" s="1718">
        <v>379.21610814927641</v>
      </c>
      <c r="K21" s="1718">
        <v>469.87547600913933</v>
      </c>
      <c r="L21" s="1718">
        <v>423.81117653204353</v>
      </c>
      <c r="M21" s="1718">
        <v>330.19078446306168</v>
      </c>
      <c r="N21" s="1718">
        <v>272.13196580352172</v>
      </c>
      <c r="O21" s="1306">
        <v>320.54260587426711</v>
      </c>
      <c r="P21" s="1306">
        <v>215.84281859129248</v>
      </c>
      <c r="Q21" s="1306">
        <v>30</v>
      </c>
      <c r="R21" s="902">
        <f t="shared" si="0"/>
        <v>3539.8852722448655</v>
      </c>
      <c r="S21" s="902">
        <f>R21/12</f>
        <v>294.99043935373879</v>
      </c>
      <c r="T21" s="902">
        <f t="shared" si="2"/>
        <v>11.345786128989953</v>
      </c>
      <c r="U21" s="903">
        <f>'S5'!W20</f>
        <v>0</v>
      </c>
      <c r="V21" s="909">
        <f t="shared" si="3"/>
        <v>0</v>
      </c>
      <c r="W21" s="907"/>
      <c r="X21" s="505"/>
      <c r="Y21" s="1707">
        <v>1</v>
      </c>
      <c r="Z21" s="903">
        <v>0</v>
      </c>
      <c r="AA21" s="1694">
        <v>2</v>
      </c>
      <c r="AB21" s="903">
        <v>1.5</v>
      </c>
      <c r="AC21" s="903">
        <v>0</v>
      </c>
      <c r="AD21" s="903">
        <v>0</v>
      </c>
      <c r="AE21" s="903">
        <v>2</v>
      </c>
      <c r="AF21" s="1694"/>
      <c r="AG21" s="903">
        <v>2</v>
      </c>
      <c r="AH21" s="1694"/>
      <c r="AI21" s="1694"/>
      <c r="AJ21" s="1694"/>
      <c r="AK21" s="1699">
        <f t="shared" si="4"/>
        <v>8.5</v>
      </c>
    </row>
    <row r="22" spans="1:37" s="1092" customFormat="1" ht="42.75" customHeight="1">
      <c r="A22" s="502">
        <v>15</v>
      </c>
      <c r="B22" s="572" t="s">
        <v>1577</v>
      </c>
      <c r="C22" s="798" t="s">
        <v>1578</v>
      </c>
      <c r="D22" s="1446">
        <v>44740</v>
      </c>
      <c r="E22" s="880" t="s">
        <v>1098</v>
      </c>
      <c r="F22" s="1718">
        <v>288.13817663817662</v>
      </c>
      <c r="G22" s="1718">
        <v>306.70916429249758</v>
      </c>
      <c r="H22" s="1719">
        <v>265.35742266248735</v>
      </c>
      <c r="I22" s="1718">
        <v>324.52939181234774</v>
      </c>
      <c r="J22" s="1718">
        <v>418.79093678598622</v>
      </c>
      <c r="K22" s="1718">
        <v>499.56007235338916</v>
      </c>
      <c r="L22" s="1718">
        <v>453.29262978400902</v>
      </c>
      <c r="M22" s="1718">
        <v>337.31302361005334</v>
      </c>
      <c r="N22" s="1718">
        <v>269.33049157084969</v>
      </c>
      <c r="O22" s="1306">
        <v>311.07810754723448</v>
      </c>
      <c r="P22" s="1306">
        <v>208.07692307692309</v>
      </c>
      <c r="Q22" s="1306">
        <v>30</v>
      </c>
      <c r="R22" s="902">
        <f t="shared" si="0"/>
        <v>3712.176340133954</v>
      </c>
      <c r="S22" s="902">
        <f>R22/12</f>
        <v>309.34802834449619</v>
      </c>
      <c r="T22" s="902">
        <f t="shared" si="2"/>
        <v>11.898001090172929</v>
      </c>
      <c r="U22" s="903">
        <f>'S5'!W21</f>
        <v>1.5</v>
      </c>
      <c r="V22" s="909">
        <f t="shared" si="3"/>
        <v>17.847001635259396</v>
      </c>
      <c r="W22" s="907"/>
      <c r="X22" s="505"/>
      <c r="Y22" s="1707">
        <v>0</v>
      </c>
      <c r="Z22" s="903">
        <v>0</v>
      </c>
      <c r="AA22" s="1694">
        <v>2</v>
      </c>
      <c r="AB22" s="903">
        <v>1.5</v>
      </c>
      <c r="AC22" s="903">
        <v>0</v>
      </c>
      <c r="AD22" s="903">
        <v>0</v>
      </c>
      <c r="AE22" s="903">
        <v>0</v>
      </c>
      <c r="AF22" s="1694"/>
      <c r="AG22" s="903">
        <v>1</v>
      </c>
      <c r="AH22" s="1694"/>
      <c r="AI22" s="1694"/>
      <c r="AJ22" s="1694"/>
      <c r="AK22" s="1699">
        <f t="shared" si="4"/>
        <v>4.5</v>
      </c>
    </row>
    <row r="23" spans="1:37" s="1107" customFormat="1" ht="42.75" customHeight="1">
      <c r="A23" s="502">
        <v>16</v>
      </c>
      <c r="B23" s="572" t="s">
        <v>1624</v>
      </c>
      <c r="C23" s="798" t="s">
        <v>1625</v>
      </c>
      <c r="D23" s="1446">
        <v>44747</v>
      </c>
      <c r="E23" s="880" t="s">
        <v>1098</v>
      </c>
      <c r="F23" s="1718">
        <v>297.12084520417852</v>
      </c>
      <c r="G23" s="1718">
        <v>303.14957264957263</v>
      </c>
      <c r="H23" s="1719">
        <v>266.16735080579843</v>
      </c>
      <c r="I23" s="1718">
        <v>292.77009745754049</v>
      </c>
      <c r="J23" s="1718">
        <v>415.22981721249045</v>
      </c>
      <c r="K23" s="1718">
        <v>462.20630236100527</v>
      </c>
      <c r="L23" s="1718">
        <v>464.82223380068206</v>
      </c>
      <c r="M23" s="1718">
        <v>349.44421172886513</v>
      </c>
      <c r="N23" s="1718">
        <v>249.8966231454138</v>
      </c>
      <c r="O23" s="1306">
        <v>299.1125806914219</v>
      </c>
      <c r="P23" s="1306">
        <v>208.07692307692309</v>
      </c>
      <c r="Q23" s="1306">
        <v>30</v>
      </c>
      <c r="R23" s="902">
        <f t="shared" si="0"/>
        <v>3637.996558133892</v>
      </c>
      <c r="S23" s="902">
        <f>R23/12</f>
        <v>303.16637984449102</v>
      </c>
      <c r="T23" s="902">
        <f t="shared" si="2"/>
        <v>11.66024537863427</v>
      </c>
      <c r="U23" s="903">
        <f>'S5'!W22</f>
        <v>0.5</v>
      </c>
      <c r="V23" s="909">
        <f t="shared" si="3"/>
        <v>5.8301226893171352</v>
      </c>
      <c r="W23" s="907"/>
      <c r="X23" s="505"/>
      <c r="Y23" s="1707">
        <v>0</v>
      </c>
      <c r="Z23" s="903">
        <v>0</v>
      </c>
      <c r="AA23" s="1694">
        <v>3</v>
      </c>
      <c r="AB23" s="903">
        <v>1.5</v>
      </c>
      <c r="AC23" s="903">
        <v>0</v>
      </c>
      <c r="AD23" s="903">
        <v>0</v>
      </c>
      <c r="AE23" s="903">
        <v>0</v>
      </c>
      <c r="AF23" s="1694"/>
      <c r="AG23" s="903">
        <v>2.5</v>
      </c>
      <c r="AH23" s="1694"/>
      <c r="AI23" s="1694"/>
      <c r="AJ23" s="1694"/>
      <c r="AK23" s="1699">
        <f t="shared" si="4"/>
        <v>7</v>
      </c>
    </row>
    <row r="24" spans="1:37" s="1218" customFormat="1" ht="42.75" customHeight="1">
      <c r="A24" s="502">
        <v>17</v>
      </c>
      <c r="B24" s="572" t="s">
        <v>1819</v>
      </c>
      <c r="C24" s="798" t="s">
        <v>1820</v>
      </c>
      <c r="D24" s="1446">
        <v>44838</v>
      </c>
      <c r="E24" s="880" t="s">
        <v>1098</v>
      </c>
      <c r="F24" s="1718">
        <v>261.30935422602084</v>
      </c>
      <c r="G24" s="1718">
        <v>301.01217442625642</v>
      </c>
      <c r="H24" s="1719">
        <v>256.47819849051564</v>
      </c>
      <c r="I24" s="1718">
        <v>314.51422748133166</v>
      </c>
      <c r="J24" s="1718">
        <v>408.22981721249039</v>
      </c>
      <c r="K24" s="1718">
        <v>489.5938690022848</v>
      </c>
      <c r="L24" s="1718">
        <v>469.82521788556272</v>
      </c>
      <c r="M24" s="1718">
        <v>345.62414318354917</v>
      </c>
      <c r="N24" s="1718">
        <v>261.12933358173535</v>
      </c>
      <c r="O24" s="1306">
        <v>308.74335256732223</v>
      </c>
      <c r="P24" s="1306">
        <v>201.23076923076923</v>
      </c>
      <c r="Q24" s="1306">
        <v>30</v>
      </c>
      <c r="R24" s="902">
        <f t="shared" si="0"/>
        <v>3647.6904572878384</v>
      </c>
      <c r="S24" s="902">
        <f>R24/12</f>
        <v>303.97420477398651</v>
      </c>
      <c r="T24" s="902">
        <f t="shared" si="2"/>
        <v>11.69131556823025</v>
      </c>
      <c r="U24" s="903">
        <f>'S5'!W23</f>
        <v>0</v>
      </c>
      <c r="V24" s="909">
        <f t="shared" si="3"/>
        <v>0</v>
      </c>
      <c r="W24" s="907"/>
      <c r="X24" s="505"/>
      <c r="Y24" s="1707">
        <v>0</v>
      </c>
      <c r="Z24" s="903">
        <v>0.5</v>
      </c>
      <c r="AA24" s="1694">
        <v>1</v>
      </c>
      <c r="AB24" s="903">
        <v>1.5</v>
      </c>
      <c r="AC24" s="903">
        <v>0</v>
      </c>
      <c r="AD24" s="903">
        <v>0</v>
      </c>
      <c r="AE24" s="903">
        <v>0</v>
      </c>
      <c r="AF24" s="1694"/>
      <c r="AG24" s="903">
        <v>1</v>
      </c>
      <c r="AH24" s="1694"/>
      <c r="AI24" s="1694"/>
      <c r="AJ24" s="1694"/>
      <c r="AK24" s="1699">
        <f t="shared" si="4"/>
        <v>4</v>
      </c>
    </row>
    <row r="25" spans="1:37" s="871" customFormat="1" ht="42.75" customHeight="1">
      <c r="A25" s="502">
        <v>18</v>
      </c>
      <c r="B25" s="1534" t="s">
        <v>1214</v>
      </c>
      <c r="C25" s="1260" t="s">
        <v>1215</v>
      </c>
      <c r="D25" s="1502">
        <v>41403</v>
      </c>
      <c r="E25" s="880" t="s">
        <v>1098</v>
      </c>
      <c r="F25" s="1718">
        <v>302.56125356125352</v>
      </c>
      <c r="G25" s="1718">
        <v>308.58998100664769</v>
      </c>
      <c r="H25" s="1719">
        <v>248.20640937000869</v>
      </c>
      <c r="I25" s="1718">
        <v>305.62318416861308</v>
      </c>
      <c r="J25" s="1718">
        <v>360.12966488956579</v>
      </c>
      <c r="K25" s="1718">
        <v>368.7993145468393</v>
      </c>
      <c r="L25" s="1718">
        <v>377.24024251610462</v>
      </c>
      <c r="M25" s="1718">
        <v>350.94078446306173</v>
      </c>
      <c r="N25" s="1718">
        <v>276.5344828871572</v>
      </c>
      <c r="O25" s="1306">
        <v>316.45366097179556</v>
      </c>
      <c r="P25" s="1306">
        <v>217.07692307692309</v>
      </c>
      <c r="Q25" s="1306">
        <v>30</v>
      </c>
      <c r="R25" s="902">
        <f t="shared" si="0"/>
        <v>3462.1559014579707</v>
      </c>
      <c r="S25" s="902">
        <f t="shared" si="1"/>
        <v>288.51299178816424</v>
      </c>
      <c r="T25" s="902">
        <f t="shared" si="2"/>
        <v>11.096653530314009</v>
      </c>
      <c r="U25" s="903">
        <f>'S5'!W24</f>
        <v>0</v>
      </c>
      <c r="V25" s="909">
        <f t="shared" si="3"/>
        <v>0</v>
      </c>
      <c r="W25" s="907"/>
      <c r="X25" s="505"/>
      <c r="Y25" s="1707">
        <v>0</v>
      </c>
      <c r="Z25" s="903">
        <v>0</v>
      </c>
      <c r="AA25" s="1694">
        <v>2</v>
      </c>
      <c r="AB25" s="903">
        <v>1.5</v>
      </c>
      <c r="AC25" s="903">
        <v>0</v>
      </c>
      <c r="AD25" s="903">
        <v>0</v>
      </c>
      <c r="AE25" s="903">
        <v>0</v>
      </c>
      <c r="AF25" s="1694"/>
      <c r="AG25" s="903">
        <v>1</v>
      </c>
      <c r="AH25" s="1694"/>
      <c r="AI25" s="1694"/>
      <c r="AJ25" s="1694"/>
      <c r="AK25" s="1699">
        <f t="shared" si="4"/>
        <v>4.5</v>
      </c>
    </row>
    <row r="26" spans="1:37" s="871" customFormat="1" ht="42.75" customHeight="1">
      <c r="A26" s="502">
        <v>19</v>
      </c>
      <c r="B26" s="1535" t="s">
        <v>535</v>
      </c>
      <c r="C26" s="1260" t="s">
        <v>537</v>
      </c>
      <c r="D26" s="1502">
        <v>43748</v>
      </c>
      <c r="E26" s="880" t="s">
        <v>1098</v>
      </c>
      <c r="F26" s="1718">
        <v>301.98433048433048</v>
      </c>
      <c r="G26" s="1718">
        <v>270.68423551756888</v>
      </c>
      <c r="H26" s="1719">
        <v>274.59132876446245</v>
      </c>
      <c r="I26" s="1718">
        <v>323.20818105061954</v>
      </c>
      <c r="J26" s="1718">
        <v>444.73667174409758</v>
      </c>
      <c r="K26" s="1718">
        <v>495.59111954939431</v>
      </c>
      <c r="L26" s="1718">
        <v>473.08453932997156</v>
      </c>
      <c r="M26" s="1718">
        <v>360.92840822543792</v>
      </c>
      <c r="N26" s="1718">
        <v>282.9168205473826</v>
      </c>
      <c r="O26" s="1306">
        <v>325.73134862910524</v>
      </c>
      <c r="P26" s="1306">
        <v>215.30769230769232</v>
      </c>
      <c r="Q26" s="1306">
        <v>30</v>
      </c>
      <c r="R26" s="902">
        <f t="shared" si="0"/>
        <v>3798.7646761500628</v>
      </c>
      <c r="S26" s="902">
        <f t="shared" si="1"/>
        <v>316.56372301250525</v>
      </c>
      <c r="T26" s="902">
        <f t="shared" si="2"/>
        <v>12.175527808173278</v>
      </c>
      <c r="U26" s="903">
        <f>'S5'!W25</f>
        <v>0</v>
      </c>
      <c r="V26" s="909">
        <f t="shared" si="3"/>
        <v>0</v>
      </c>
      <c r="W26" s="907"/>
      <c r="X26" s="505"/>
      <c r="Y26" s="1707">
        <v>0</v>
      </c>
      <c r="Z26" s="903">
        <v>0</v>
      </c>
      <c r="AA26" s="1694">
        <v>2</v>
      </c>
      <c r="AB26" s="903">
        <v>1.5</v>
      </c>
      <c r="AC26" s="903">
        <v>0</v>
      </c>
      <c r="AD26" s="903">
        <v>2</v>
      </c>
      <c r="AE26" s="903">
        <v>1</v>
      </c>
      <c r="AF26" s="1694"/>
      <c r="AG26" s="903">
        <v>2.5</v>
      </c>
      <c r="AH26" s="1694"/>
      <c r="AI26" s="1694"/>
      <c r="AJ26" s="1694"/>
      <c r="AK26" s="1699">
        <f t="shared" si="4"/>
        <v>9</v>
      </c>
    </row>
    <row r="27" spans="1:37" s="871" customFormat="1" ht="42.75" customHeight="1">
      <c r="A27" s="502">
        <v>20</v>
      </c>
      <c r="B27" s="1534" t="s">
        <v>1216</v>
      </c>
      <c r="C27" s="1260" t="s">
        <v>1217</v>
      </c>
      <c r="D27" s="1502">
        <v>41944</v>
      </c>
      <c r="E27" s="880" t="s">
        <v>1098</v>
      </c>
      <c r="F27" s="1718">
        <v>335.96219135802471</v>
      </c>
      <c r="G27" s="1718">
        <v>346.04089506172841</v>
      </c>
      <c r="H27" s="1719">
        <v>309.33645270362729</v>
      </c>
      <c r="I27" s="1718">
        <v>367.70360438125107</v>
      </c>
      <c r="J27" s="1718">
        <v>466.37747524752473</v>
      </c>
      <c r="K27" s="1718">
        <v>552.07209158415844</v>
      </c>
      <c r="L27" s="1718">
        <v>528.41656403940885</v>
      </c>
      <c r="M27" s="1718">
        <v>395.47029702970298</v>
      </c>
      <c r="N27" s="1718">
        <v>306.06969176421609</v>
      </c>
      <c r="O27" s="1306">
        <v>363.09690702620418</v>
      </c>
      <c r="P27" s="1306">
        <v>274.36425061425064</v>
      </c>
      <c r="Q27" s="1306">
        <v>30</v>
      </c>
      <c r="R27" s="902">
        <f t="shared" si="0"/>
        <v>4274.9104208100971</v>
      </c>
      <c r="S27" s="902">
        <f t="shared" si="1"/>
        <v>356.24253506750807</v>
      </c>
      <c r="T27" s="902">
        <f t="shared" si="2"/>
        <v>13.701635964134926</v>
      </c>
      <c r="U27" s="903">
        <f>'S5'!W26</f>
        <v>0</v>
      </c>
      <c r="V27" s="909">
        <f t="shared" si="3"/>
        <v>0</v>
      </c>
      <c r="W27" s="907"/>
      <c r="X27" s="505"/>
      <c r="Y27" s="1707">
        <v>0</v>
      </c>
      <c r="Z27" s="903">
        <v>0</v>
      </c>
      <c r="AA27" s="1694">
        <v>3</v>
      </c>
      <c r="AB27" s="903">
        <v>1.5</v>
      </c>
      <c r="AC27" s="903">
        <v>0</v>
      </c>
      <c r="AD27" s="903">
        <v>0</v>
      </c>
      <c r="AE27" s="903">
        <v>0</v>
      </c>
      <c r="AF27" s="1694"/>
      <c r="AG27" s="903">
        <v>1</v>
      </c>
      <c r="AH27" s="1694"/>
      <c r="AI27" s="1694"/>
      <c r="AJ27" s="1694"/>
      <c r="AK27" s="1699">
        <f t="shared" si="4"/>
        <v>5.5</v>
      </c>
    </row>
    <row r="28" spans="1:37" s="871" customFormat="1" ht="42.75" customHeight="1">
      <c r="A28" s="502">
        <v>21</v>
      </c>
      <c r="B28" s="1534" t="s">
        <v>1218</v>
      </c>
      <c r="C28" s="1538" t="s">
        <v>411</v>
      </c>
      <c r="D28" s="1502">
        <v>42850</v>
      </c>
      <c r="E28" s="880" t="s">
        <v>1098</v>
      </c>
      <c r="F28" s="1718">
        <v>291.27469135802471</v>
      </c>
      <c r="G28" s="1718">
        <v>311.03257006376941</v>
      </c>
      <c r="H28" s="1719">
        <v>274.92279542194206</v>
      </c>
      <c r="I28" s="1718">
        <v>324.53734956069911</v>
      </c>
      <c r="J28" s="1718">
        <v>424.79093678598622</v>
      </c>
      <c r="K28" s="1718">
        <v>496.71391850723523</v>
      </c>
      <c r="L28" s="1718">
        <v>462.5504829518465</v>
      </c>
      <c r="M28" s="1718">
        <v>358.62414318354917</v>
      </c>
      <c r="N28" s="1718">
        <v>274.53607860824388</v>
      </c>
      <c r="O28" s="1306">
        <v>321.76909457710588</v>
      </c>
      <c r="P28" s="1306">
        <v>213.07692307692309</v>
      </c>
      <c r="Q28" s="1306">
        <v>30</v>
      </c>
      <c r="R28" s="902">
        <f t="shared" si="0"/>
        <v>3783.8289840953248</v>
      </c>
      <c r="S28" s="902">
        <f t="shared" si="1"/>
        <v>315.31908200794373</v>
      </c>
      <c r="T28" s="902">
        <f t="shared" si="2"/>
        <v>12.127657000305529</v>
      </c>
      <c r="U28" s="903">
        <f>'S5'!W27</f>
        <v>0</v>
      </c>
      <c r="V28" s="909">
        <f t="shared" si="3"/>
        <v>0</v>
      </c>
      <c r="W28" s="907"/>
      <c r="X28" s="505"/>
      <c r="Y28" s="1707">
        <v>0</v>
      </c>
      <c r="Z28" s="903">
        <v>1</v>
      </c>
      <c r="AA28" s="1694">
        <v>3</v>
      </c>
      <c r="AB28" s="903">
        <v>1.5</v>
      </c>
      <c r="AC28" s="903">
        <v>0</v>
      </c>
      <c r="AD28" s="903">
        <v>0</v>
      </c>
      <c r="AE28" s="903">
        <v>1</v>
      </c>
      <c r="AF28" s="1694"/>
      <c r="AG28" s="903">
        <v>1</v>
      </c>
      <c r="AH28" s="1694"/>
      <c r="AI28" s="1694"/>
      <c r="AJ28" s="1694"/>
      <c r="AK28" s="1699">
        <f t="shared" si="4"/>
        <v>7.5</v>
      </c>
    </row>
    <row r="29" spans="1:37" s="871" customFormat="1" ht="42.75" customHeight="1">
      <c r="A29" s="502">
        <v>22</v>
      </c>
      <c r="B29" s="1534" t="s">
        <v>1219</v>
      </c>
      <c r="C29" s="1538" t="s">
        <v>419</v>
      </c>
      <c r="D29" s="1502">
        <v>42949</v>
      </c>
      <c r="E29" s="880" t="s">
        <v>1098</v>
      </c>
      <c r="F29" s="1718">
        <v>307.57276828110162</v>
      </c>
      <c r="G29" s="1718">
        <v>308.16880341880335</v>
      </c>
      <c r="H29" s="1719">
        <v>276.77729965624991</v>
      </c>
      <c r="I29" s="1718">
        <v>321.44005946090596</v>
      </c>
      <c r="J29" s="1718">
        <v>446.73667174409758</v>
      </c>
      <c r="K29" s="1718">
        <v>510.7379569687738</v>
      </c>
      <c r="L29" s="1718">
        <v>465.66099848427439</v>
      </c>
      <c r="M29" s="1718">
        <v>339.44421172886524</v>
      </c>
      <c r="N29" s="1718">
        <v>279.86330450915472</v>
      </c>
      <c r="O29" s="1306">
        <v>327.21645317992886</v>
      </c>
      <c r="P29" s="1306">
        <v>233.7680967680968</v>
      </c>
      <c r="Q29" s="1306">
        <v>30</v>
      </c>
      <c r="R29" s="902">
        <f t="shared" si="0"/>
        <v>3847.3866242002523</v>
      </c>
      <c r="S29" s="902">
        <f t="shared" si="1"/>
        <v>320.61555201668767</v>
      </c>
      <c r="T29" s="902">
        <f t="shared" si="2"/>
        <v>12.331367385257218</v>
      </c>
      <c r="U29" s="903">
        <f>'S5'!W28</f>
        <v>0</v>
      </c>
      <c r="V29" s="909">
        <f t="shared" si="3"/>
        <v>0</v>
      </c>
      <c r="W29" s="907"/>
      <c r="X29" s="505"/>
      <c r="Y29" s="1707">
        <v>0</v>
      </c>
      <c r="Z29" s="903">
        <v>0</v>
      </c>
      <c r="AA29" s="1694">
        <v>2</v>
      </c>
      <c r="AB29" s="903">
        <v>2.5</v>
      </c>
      <c r="AC29" s="903">
        <v>0</v>
      </c>
      <c r="AD29" s="903">
        <v>0</v>
      </c>
      <c r="AE29" s="903">
        <v>0</v>
      </c>
      <c r="AF29" s="1694"/>
      <c r="AG29" s="903">
        <v>1</v>
      </c>
      <c r="AH29" s="1694"/>
      <c r="AI29" s="1694"/>
      <c r="AJ29" s="1694"/>
      <c r="AK29" s="1699">
        <f t="shared" si="4"/>
        <v>5.5</v>
      </c>
    </row>
    <row r="30" spans="1:37" s="871" customFormat="1" ht="42.75" customHeight="1">
      <c r="A30" s="502">
        <v>23</v>
      </c>
      <c r="B30" s="1110" t="s">
        <v>703</v>
      </c>
      <c r="C30" s="1260" t="s">
        <v>1220</v>
      </c>
      <c r="D30" s="1502">
        <v>43294</v>
      </c>
      <c r="E30" s="880" t="s">
        <v>1098</v>
      </c>
      <c r="F30" s="1718">
        <v>296.12084520417852</v>
      </c>
      <c r="G30" s="1718">
        <v>302.14957264957263</v>
      </c>
      <c r="H30" s="1719">
        <v>263.91293606521185</v>
      </c>
      <c r="I30" s="1718">
        <v>316.78898662196315</v>
      </c>
      <c r="J30" s="1718">
        <v>414.22981721249039</v>
      </c>
      <c r="K30" s="1718">
        <v>488.10034272658032</v>
      </c>
      <c r="L30" s="1718">
        <v>456.22015915119363</v>
      </c>
      <c r="M30" s="1718">
        <v>353.50190403655751</v>
      </c>
      <c r="N30" s="1718">
        <v>276.31901814331076</v>
      </c>
      <c r="O30" s="1306">
        <v>310.65295733268204</v>
      </c>
      <c r="P30" s="1306">
        <v>207.23076923076923</v>
      </c>
      <c r="Q30" s="1306">
        <v>30</v>
      </c>
      <c r="R30" s="902">
        <f t="shared" si="0"/>
        <v>3715.2273083745094</v>
      </c>
      <c r="S30" s="902">
        <f t="shared" si="1"/>
        <v>309.60227569787577</v>
      </c>
      <c r="T30" s="902">
        <f t="shared" si="2"/>
        <v>11.907779834533683</v>
      </c>
      <c r="U30" s="903">
        <f>'S5'!W29</f>
        <v>0</v>
      </c>
      <c r="V30" s="909">
        <f t="shared" si="3"/>
        <v>0</v>
      </c>
      <c r="W30" s="907"/>
      <c r="X30" s="505"/>
      <c r="Y30" s="1707">
        <v>0</v>
      </c>
      <c r="Z30" s="903">
        <v>0</v>
      </c>
      <c r="AA30" s="1694">
        <v>3</v>
      </c>
      <c r="AB30" s="903">
        <v>1.5</v>
      </c>
      <c r="AC30" s="903">
        <v>0</v>
      </c>
      <c r="AD30" s="903">
        <v>0</v>
      </c>
      <c r="AE30" s="903">
        <v>0</v>
      </c>
      <c r="AF30" s="1694"/>
      <c r="AG30" s="903">
        <v>1</v>
      </c>
      <c r="AH30" s="1694"/>
      <c r="AI30" s="1694"/>
      <c r="AJ30" s="1694"/>
      <c r="AK30" s="1699">
        <f t="shared" si="4"/>
        <v>5.5</v>
      </c>
    </row>
    <row r="31" spans="1:37" s="871" customFormat="1" ht="42.75" customHeight="1">
      <c r="A31" s="502">
        <v>24</v>
      </c>
      <c r="B31" s="1534" t="s">
        <v>1221</v>
      </c>
      <c r="C31" s="1260" t="s">
        <v>308</v>
      </c>
      <c r="D31" s="1502">
        <v>42121</v>
      </c>
      <c r="E31" s="880" t="s">
        <v>1098</v>
      </c>
      <c r="F31" s="1718">
        <v>299.12084520417852</v>
      </c>
      <c r="G31" s="1718">
        <v>308.70916429249758</v>
      </c>
      <c r="H31" s="1719">
        <v>269.11558637739768</v>
      </c>
      <c r="I31" s="1718">
        <v>328.8363582110652</v>
      </c>
      <c r="J31" s="1718">
        <v>421.79093678598622</v>
      </c>
      <c r="K31" s="1718">
        <v>501.56007235338916</v>
      </c>
      <c r="L31" s="1718">
        <v>475.90214096248576</v>
      </c>
      <c r="M31" s="1718">
        <v>355.62414318354917</v>
      </c>
      <c r="N31" s="1718">
        <v>271.5969755112535</v>
      </c>
      <c r="O31" s="1306">
        <v>318.96744476444871</v>
      </c>
      <c r="P31" s="1306">
        <v>210.23076923076923</v>
      </c>
      <c r="Q31" s="1306">
        <v>30</v>
      </c>
      <c r="R31" s="902">
        <f t="shared" si="0"/>
        <v>3791.4544368770203</v>
      </c>
      <c r="S31" s="902">
        <f t="shared" si="1"/>
        <v>315.95453640641836</v>
      </c>
      <c r="T31" s="902">
        <f t="shared" si="2"/>
        <v>12.152097554093015</v>
      </c>
      <c r="U31" s="903">
        <f>'S5'!W30</f>
        <v>0</v>
      </c>
      <c r="V31" s="909">
        <f t="shared" si="3"/>
        <v>0</v>
      </c>
      <c r="W31" s="907"/>
      <c r="X31" s="505"/>
      <c r="Y31" s="1707">
        <v>0</v>
      </c>
      <c r="Z31" s="903">
        <v>0</v>
      </c>
      <c r="AA31" s="1694">
        <v>2</v>
      </c>
      <c r="AB31" s="903">
        <v>1.5</v>
      </c>
      <c r="AC31" s="903">
        <v>0</v>
      </c>
      <c r="AD31" s="903">
        <v>0</v>
      </c>
      <c r="AE31" s="903">
        <v>0</v>
      </c>
      <c r="AF31" s="1694"/>
      <c r="AG31" s="903">
        <v>1</v>
      </c>
      <c r="AH31" s="1694"/>
      <c r="AI31" s="1694"/>
      <c r="AJ31" s="1694"/>
      <c r="AK31" s="1699">
        <f t="shared" si="4"/>
        <v>4.5</v>
      </c>
    </row>
    <row r="32" spans="1:37" s="871" customFormat="1" ht="42.75" customHeight="1">
      <c r="A32" s="502">
        <v>25</v>
      </c>
      <c r="B32" s="1534" t="s">
        <v>1222</v>
      </c>
      <c r="C32" s="1260" t="s">
        <v>310</v>
      </c>
      <c r="D32" s="1502">
        <v>42125</v>
      </c>
      <c r="E32" s="880" t="s">
        <v>1098</v>
      </c>
      <c r="F32" s="1718">
        <v>280.54973884140549</v>
      </c>
      <c r="G32" s="1718">
        <v>315.63034188034186</v>
      </c>
      <c r="H32" s="1719">
        <v>280.16517480231516</v>
      </c>
      <c r="I32" s="1718">
        <v>337.26547752876849</v>
      </c>
      <c r="J32" s="1718">
        <v>433.2717060167555</v>
      </c>
      <c r="K32" s="1718">
        <v>513.7379569687738</v>
      </c>
      <c r="L32" s="1718">
        <v>480.64176771504356</v>
      </c>
      <c r="M32" s="1718">
        <v>366.54722010662607</v>
      </c>
      <c r="N32" s="1718">
        <v>281.98339137375285</v>
      </c>
      <c r="O32" s="1306">
        <v>345.75044196131671</v>
      </c>
      <c r="P32" s="1306">
        <v>219.30769230769232</v>
      </c>
      <c r="Q32" s="1306">
        <v>30</v>
      </c>
      <c r="R32" s="902">
        <f t="shared" si="0"/>
        <v>3884.8509095027912</v>
      </c>
      <c r="S32" s="902">
        <f t="shared" si="1"/>
        <v>323.73757579189925</v>
      </c>
      <c r="T32" s="902">
        <f t="shared" si="2"/>
        <v>12.451445222765356</v>
      </c>
      <c r="U32" s="903">
        <f>'S5'!W31</f>
        <v>0</v>
      </c>
      <c r="V32" s="909">
        <f t="shared" si="3"/>
        <v>0</v>
      </c>
      <c r="W32" s="907"/>
      <c r="X32" s="505"/>
      <c r="Y32" s="1707">
        <v>0</v>
      </c>
      <c r="Z32" s="903">
        <v>0</v>
      </c>
      <c r="AA32" s="1694">
        <v>2.5</v>
      </c>
      <c r="AB32" s="903">
        <v>2.5</v>
      </c>
      <c r="AC32" s="903">
        <v>0</v>
      </c>
      <c r="AD32" s="903">
        <v>0</v>
      </c>
      <c r="AE32" s="903">
        <v>0</v>
      </c>
      <c r="AF32" s="1694"/>
      <c r="AG32" s="903">
        <v>1</v>
      </c>
      <c r="AH32" s="1694"/>
      <c r="AI32" s="1694"/>
      <c r="AJ32" s="1694"/>
      <c r="AK32" s="1699">
        <f t="shared" si="4"/>
        <v>6</v>
      </c>
    </row>
    <row r="33" spans="1:37" s="871" customFormat="1" ht="42.75" customHeight="1">
      <c r="A33" s="502">
        <v>26</v>
      </c>
      <c r="B33" s="1534" t="s">
        <v>1223</v>
      </c>
      <c r="C33" s="1260" t="s">
        <v>1224</v>
      </c>
      <c r="D33" s="1502">
        <v>42163</v>
      </c>
      <c r="E33" s="880" t="s">
        <v>1098</v>
      </c>
      <c r="F33" s="1718">
        <v>305.98433048433048</v>
      </c>
      <c r="G33" s="1718">
        <v>308.45346628679965</v>
      </c>
      <c r="H33" s="1719">
        <v>278.04006785611637</v>
      </c>
      <c r="I33" s="1718">
        <v>305.21763317575324</v>
      </c>
      <c r="J33" s="1718">
        <v>314.9009900990099</v>
      </c>
      <c r="K33" s="1718">
        <v>370.01428027418126</v>
      </c>
      <c r="L33" s="1718">
        <v>358.68141341417208</v>
      </c>
      <c r="M33" s="1718">
        <v>345.62623762376239</v>
      </c>
      <c r="N33" s="1718">
        <v>280.43332272549549</v>
      </c>
      <c r="O33" s="1306">
        <v>301.03336931837197</v>
      </c>
      <c r="P33" s="1306">
        <v>219.30769230769232</v>
      </c>
      <c r="Q33" s="1306">
        <v>30</v>
      </c>
      <c r="R33" s="902">
        <f t="shared" si="0"/>
        <v>3417.6928035656852</v>
      </c>
      <c r="S33" s="902">
        <f t="shared" si="1"/>
        <v>284.80773363047376</v>
      </c>
      <c r="T33" s="902">
        <f t="shared" si="2"/>
        <v>10.954143601172067</v>
      </c>
      <c r="U33" s="903">
        <f>'S5'!W32</f>
        <v>0</v>
      </c>
      <c r="V33" s="909">
        <f t="shared" si="3"/>
        <v>0</v>
      </c>
      <c r="W33" s="907"/>
      <c r="X33" s="505"/>
      <c r="Y33" s="1707">
        <v>0</v>
      </c>
      <c r="Z33" s="903">
        <v>0</v>
      </c>
      <c r="AA33" s="1694">
        <v>2</v>
      </c>
      <c r="AB33" s="903">
        <v>1.5</v>
      </c>
      <c r="AC33" s="903">
        <v>0</v>
      </c>
      <c r="AD33" s="903">
        <v>0</v>
      </c>
      <c r="AE33" s="903">
        <v>0</v>
      </c>
      <c r="AF33" s="1694"/>
      <c r="AG33" s="903">
        <v>1</v>
      </c>
      <c r="AH33" s="1694"/>
      <c r="AI33" s="1694"/>
      <c r="AJ33" s="1694"/>
      <c r="AK33" s="1699">
        <f t="shared" si="4"/>
        <v>4.5</v>
      </c>
    </row>
    <row r="34" spans="1:37" s="1441" customFormat="1" ht="42.75" customHeight="1">
      <c r="A34" s="502">
        <v>27</v>
      </c>
      <c r="B34" s="1534" t="s">
        <v>1225</v>
      </c>
      <c r="C34" s="1260" t="s">
        <v>1226</v>
      </c>
      <c r="D34" s="1502">
        <v>41863</v>
      </c>
      <c r="E34" s="1221" t="s">
        <v>1098</v>
      </c>
      <c r="F34" s="1718">
        <v>315.57276828110162</v>
      </c>
      <c r="G34" s="1718">
        <v>319.25306688661237</v>
      </c>
      <c r="H34" s="1719">
        <v>279.30319698353736</v>
      </c>
      <c r="I34" s="1718">
        <v>267.51974673096527</v>
      </c>
      <c r="J34" s="1718">
        <v>365.06235719725817</v>
      </c>
      <c r="K34" s="1718">
        <v>399.35424600152328</v>
      </c>
      <c r="L34" s="1718">
        <v>358.68141341417208</v>
      </c>
      <c r="M34" s="1718">
        <v>334.00855519684819</v>
      </c>
      <c r="N34" s="1718">
        <v>281.68075854077722</v>
      </c>
      <c r="O34" s="1306">
        <v>310.79487953801532</v>
      </c>
      <c r="P34" s="1306">
        <v>228.7613258355961</v>
      </c>
      <c r="Q34" s="1306">
        <v>30</v>
      </c>
      <c r="R34" s="902">
        <f t="shared" si="0"/>
        <v>3489.9923146064066</v>
      </c>
      <c r="S34" s="902">
        <f>R34/12</f>
        <v>290.8326928838672</v>
      </c>
      <c r="T34" s="902">
        <f t="shared" si="2"/>
        <v>11.185872803225662</v>
      </c>
      <c r="U34" s="903">
        <f>'S5'!W33</f>
        <v>0</v>
      </c>
      <c r="V34" s="909">
        <f t="shared" si="3"/>
        <v>0</v>
      </c>
      <c r="W34" s="907"/>
      <c r="X34" s="505"/>
      <c r="Y34" s="1707">
        <v>0</v>
      </c>
      <c r="Z34" s="1714">
        <v>1</v>
      </c>
      <c r="AA34" s="1694">
        <v>2</v>
      </c>
      <c r="AB34" s="1730">
        <v>2</v>
      </c>
      <c r="AC34" s="903">
        <v>0</v>
      </c>
      <c r="AD34" s="903">
        <v>0</v>
      </c>
      <c r="AE34" s="903">
        <v>0</v>
      </c>
      <c r="AF34" s="903">
        <v>0.5</v>
      </c>
      <c r="AG34" s="903">
        <v>1</v>
      </c>
      <c r="AH34" s="1694"/>
      <c r="AI34" s="1694"/>
      <c r="AJ34" s="1694"/>
      <c r="AK34" s="1699">
        <f t="shared" si="4"/>
        <v>6.5</v>
      </c>
    </row>
    <row r="35" spans="1:37" s="871" customFormat="1" ht="42.75" customHeight="1">
      <c r="A35" s="502">
        <v>28</v>
      </c>
      <c r="B35" s="1381" t="s">
        <v>1975</v>
      </c>
      <c r="C35" s="1435" t="s">
        <v>1976</v>
      </c>
      <c r="D35" s="1446">
        <v>45119</v>
      </c>
      <c r="E35" s="1221" t="s">
        <v>1098</v>
      </c>
      <c r="F35" s="1718">
        <v>298.12084520417852</v>
      </c>
      <c r="G35" s="1718">
        <v>300.78965868205552</v>
      </c>
      <c r="H35" s="1719">
        <v>255.88447133175185</v>
      </c>
      <c r="I35" s="1718">
        <v>307.18070576881485</v>
      </c>
      <c r="J35" s="1718">
        <v>403.47981721249045</v>
      </c>
      <c r="K35" s="1718">
        <v>450.72715156131</v>
      </c>
      <c r="L35" s="1718">
        <v>459.59406972338002</v>
      </c>
      <c r="M35" s="1718">
        <v>355.11299182911137</v>
      </c>
      <c r="N35" s="1718">
        <v>267.48324983304849</v>
      </c>
      <c r="O35" s="1306">
        <v>305.24090321693939</v>
      </c>
      <c r="P35" s="1306">
        <v>209.23076923076923</v>
      </c>
      <c r="Q35" s="1306">
        <v>30</v>
      </c>
      <c r="R35" s="902">
        <f t="shared" si="0"/>
        <v>3642.8446335938493</v>
      </c>
      <c r="S35" s="902">
        <f>R35/12</f>
        <v>303.57038613282077</v>
      </c>
      <c r="T35" s="902">
        <f t="shared" si="2"/>
        <v>11.675784082031567</v>
      </c>
      <c r="U35" s="903">
        <f>'S5'!W34</f>
        <v>1</v>
      </c>
      <c r="V35" s="909">
        <f t="shared" si="3"/>
        <v>11.675784082031567</v>
      </c>
      <c r="W35" s="907"/>
      <c r="X35" s="505"/>
      <c r="Y35" s="1707">
        <v>0</v>
      </c>
      <c r="Z35" s="903">
        <v>2</v>
      </c>
      <c r="AA35" s="1694">
        <v>2</v>
      </c>
      <c r="AB35" s="903">
        <v>3.5</v>
      </c>
      <c r="AC35" s="903">
        <v>0</v>
      </c>
      <c r="AD35" s="903">
        <v>0</v>
      </c>
      <c r="AE35" s="903">
        <v>0</v>
      </c>
      <c r="AF35" s="903">
        <v>2</v>
      </c>
      <c r="AG35" s="903">
        <v>1</v>
      </c>
      <c r="AH35" s="1694"/>
      <c r="AI35" s="1694"/>
      <c r="AJ35" s="1694"/>
      <c r="AK35" s="1699">
        <f t="shared" si="4"/>
        <v>10.5</v>
      </c>
    </row>
    <row r="36" spans="1:37" s="871" customFormat="1" ht="33.75" customHeight="1">
      <c r="A36" s="2160" t="s">
        <v>214</v>
      </c>
      <c r="B36" s="2152"/>
      <c r="C36" s="2152"/>
      <c r="D36" s="2152"/>
      <c r="E36" s="2152"/>
      <c r="F36" s="2152"/>
      <c r="G36" s="2152"/>
      <c r="H36" s="2152"/>
      <c r="I36" s="2152"/>
      <c r="J36" s="2152"/>
      <c r="K36" s="2152"/>
      <c r="L36" s="2152"/>
      <c r="M36" s="2152"/>
      <c r="N36" s="2152"/>
      <c r="O36" s="2152"/>
      <c r="P36" s="2152"/>
      <c r="Q36" s="2152"/>
      <c r="R36" s="1119"/>
      <c r="S36" s="847"/>
      <c r="T36" s="886"/>
      <c r="U36" s="895"/>
      <c r="V36" s="948">
        <f>SUM(V8:V35)</f>
        <v>44.639100362978269</v>
      </c>
      <c r="W36" s="504"/>
      <c r="X36" s="842"/>
    </row>
    <row r="37" spans="1:37" s="871" customFormat="1" ht="15.75">
      <c r="A37" s="842"/>
      <c r="B37" s="842"/>
      <c r="C37" s="842"/>
      <c r="D37" s="567"/>
      <c r="E37" s="842"/>
      <c r="F37" s="842"/>
      <c r="G37" s="842"/>
      <c r="H37" s="842"/>
      <c r="I37" s="842"/>
      <c r="J37" s="842"/>
      <c r="K37" s="842"/>
      <c r="L37" s="842"/>
      <c r="M37" s="842"/>
      <c r="N37" s="842"/>
      <c r="O37" s="842"/>
      <c r="P37" s="842"/>
      <c r="Q37" s="842"/>
      <c r="R37" s="870"/>
      <c r="S37" s="897"/>
      <c r="T37" s="870"/>
      <c r="U37" s="896"/>
      <c r="V37" s="896"/>
      <c r="W37" s="842"/>
      <c r="X37" s="842"/>
    </row>
    <row r="38" spans="1:37" s="871" customFormat="1" ht="27" customHeight="1">
      <c r="A38" s="2132" t="s">
        <v>1155</v>
      </c>
      <c r="B38" s="2132"/>
      <c r="C38" s="2132"/>
      <c r="D38" s="872"/>
      <c r="H38" s="2132" t="s">
        <v>1156</v>
      </c>
      <c r="I38" s="2132"/>
      <c r="J38" s="2132"/>
      <c r="K38" s="2132"/>
      <c r="R38" s="2133" t="s">
        <v>1157</v>
      </c>
      <c r="S38" s="2133"/>
      <c r="T38" s="2133"/>
      <c r="U38" s="898"/>
      <c r="V38" s="898"/>
      <c r="X38" s="843"/>
    </row>
  </sheetData>
  <mergeCells count="11">
    <mergeCell ref="A1:T1"/>
    <mergeCell ref="A2:T2"/>
    <mergeCell ref="A3:T3"/>
    <mergeCell ref="A4:T4"/>
    <mergeCell ref="A5:C5"/>
    <mergeCell ref="L5:R5"/>
    <mergeCell ref="F6:Q6"/>
    <mergeCell ref="A36:Q36"/>
    <mergeCell ref="A38:C38"/>
    <mergeCell ref="H38:K38"/>
    <mergeCell ref="R38:T38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BL41"/>
  <sheetViews>
    <sheetView view="pageBreakPreview" zoomScale="80" zoomScaleNormal="100" zoomScaleSheetLayoutView="80" workbookViewId="0">
      <pane xSplit="7" ySplit="5" topLeftCell="H31" activePane="bottomRight" state="frozen"/>
      <selection pane="topRight" activeCell="H1" sqref="H1"/>
      <selection pane="bottomLeft" activeCell="A6" sqref="A6"/>
      <selection pane="bottomRight" activeCell="K33" sqref="K33"/>
    </sheetView>
  </sheetViews>
  <sheetFormatPr defaultRowHeight="15.75"/>
  <cols>
    <col min="1" max="1" width="5.5" style="755" customWidth="1"/>
    <col min="2" max="2" width="11.625" style="755" customWidth="1"/>
    <col min="3" max="3" width="12.125" style="755" customWidth="1"/>
    <col min="4" max="4" width="11.625" style="732" customWidth="1"/>
    <col min="5" max="5" width="6.75" style="755" customWidth="1"/>
    <col min="6" max="6" width="8.375" style="571" customWidth="1"/>
    <col min="7" max="7" width="7.5" style="755" customWidth="1"/>
    <col min="8" max="8" width="5.25" style="755" customWidth="1"/>
    <col min="9" max="10" width="8.5" style="755" customWidth="1"/>
    <col min="11" max="11" width="5.5" style="755" customWidth="1"/>
    <col min="12" max="12" width="6.125" style="755" customWidth="1"/>
    <col min="13" max="13" width="8.875" style="755" customWidth="1"/>
    <col min="14" max="14" width="5.625" style="755" customWidth="1"/>
    <col min="15" max="15" width="4.75" style="755" customWidth="1"/>
    <col min="16" max="16" width="8.5" style="755" customWidth="1"/>
    <col min="17" max="18" width="5.625" style="755" customWidth="1"/>
    <col min="19" max="19" width="8" style="755" customWidth="1"/>
    <col min="20" max="20" width="5.125" style="755" customWidth="1"/>
    <col min="21" max="21" width="5.75" style="755" customWidth="1"/>
    <col min="22" max="22" width="8.375" style="755" customWidth="1"/>
    <col min="23" max="23" width="5.875" style="755" customWidth="1"/>
    <col min="24" max="24" width="8.375" style="755" customWidth="1"/>
    <col min="25" max="25" width="5.375" style="755" customWidth="1"/>
    <col min="26" max="26" width="6.625" style="755" customWidth="1"/>
    <col min="27" max="27" width="8.875" style="755" customWidth="1"/>
    <col min="28" max="28" width="6.125" style="755" customWidth="1"/>
    <col min="29" max="29" width="5.75" style="755" customWidth="1"/>
    <col min="30" max="30" width="8.75" style="755" customWidth="1"/>
    <col min="31" max="31" width="7.5" style="755" customWidth="1"/>
    <col min="32" max="33" width="5.75" style="755" customWidth="1"/>
    <col min="34" max="34" width="7.125" style="755" customWidth="1"/>
    <col min="35" max="35" width="7.5" style="755" customWidth="1"/>
    <col min="36" max="36" width="9.875" style="755" customWidth="1"/>
    <col min="37" max="37" width="9.5" style="755" customWidth="1"/>
    <col min="38" max="38" width="12" style="755" customWidth="1"/>
    <col min="39" max="39" width="8.25" style="755" customWidth="1"/>
    <col min="40" max="40" width="9.5" style="755" customWidth="1"/>
    <col min="41" max="41" width="7.125" style="755" customWidth="1"/>
    <col min="42" max="42" width="9" style="755" customWidth="1"/>
    <col min="43" max="43" width="11.375" style="755" customWidth="1"/>
    <col min="44" max="44" width="13.625" style="755" customWidth="1"/>
    <col min="45" max="45" width="13" style="755" customWidth="1"/>
    <col min="46" max="46" width="19.25" style="755" customWidth="1"/>
    <col min="47" max="47" width="15.25" style="755" customWidth="1"/>
    <col min="48" max="48" width="10.5" style="755" hidden="1" customWidth="1"/>
    <col min="49" max="50" width="9" style="755"/>
    <col min="51" max="53" width="8.875" style="755" customWidth="1"/>
    <col min="54" max="54" width="8.75" style="755" customWidth="1"/>
    <col min="55" max="57" width="9" style="755"/>
    <col min="58" max="58" width="10.875" style="755" customWidth="1"/>
    <col min="59" max="59" width="9" style="755"/>
    <col min="60" max="60" width="17.875" style="755" customWidth="1"/>
    <col min="61" max="61" width="9" style="755"/>
    <col min="62" max="64" width="14.25" style="755" customWidth="1"/>
    <col min="65" max="16384" width="9" style="755"/>
  </cols>
  <sheetData>
    <row r="1" spans="1:64" s="732" customFormat="1" ht="29.25" customHeight="1">
      <c r="A1" s="2110" t="s">
        <v>222</v>
      </c>
      <c r="B1" s="2110"/>
      <c r="C1" s="2110"/>
      <c r="D1" s="2110"/>
      <c r="E1" s="2110"/>
      <c r="F1" s="2110"/>
      <c r="G1" s="2110"/>
      <c r="H1" s="2110"/>
      <c r="I1" s="2110"/>
      <c r="J1" s="2110"/>
      <c r="K1" s="2110"/>
      <c r="L1" s="2110"/>
      <c r="M1" s="2110"/>
      <c r="N1" s="2110"/>
      <c r="O1" s="2110"/>
      <c r="P1" s="2110"/>
      <c r="Q1" s="2110"/>
      <c r="R1" s="2110"/>
      <c r="S1" s="2110"/>
      <c r="T1" s="2110"/>
      <c r="U1" s="2110"/>
      <c r="V1" s="2110"/>
      <c r="W1" s="2110"/>
      <c r="X1" s="2110"/>
      <c r="Y1" s="2110"/>
      <c r="Z1" s="2110"/>
      <c r="AA1" s="2110"/>
      <c r="AB1" s="2110"/>
      <c r="AC1" s="2110"/>
      <c r="AD1" s="2110"/>
      <c r="AE1" s="2110"/>
      <c r="AF1" s="2110"/>
      <c r="AG1" s="2110"/>
      <c r="AH1" s="2110"/>
      <c r="AI1" s="2110"/>
      <c r="AJ1" s="2110"/>
      <c r="AK1" s="2110"/>
      <c r="AL1" s="2110"/>
      <c r="AM1" s="2110"/>
      <c r="AN1" s="2110"/>
      <c r="AO1" s="2110"/>
      <c r="AP1" s="2110"/>
      <c r="AQ1" s="2110"/>
      <c r="AR1" s="2110"/>
      <c r="AS1" s="2110"/>
      <c r="AT1" s="2110"/>
      <c r="AU1" s="751"/>
    </row>
    <row r="2" spans="1:64" s="732" customFormat="1" ht="20.25" customHeight="1">
      <c r="A2" s="2110" t="s">
        <v>221</v>
      </c>
      <c r="B2" s="2110"/>
      <c r="C2" s="2110"/>
      <c r="D2" s="2110"/>
      <c r="E2" s="2110"/>
      <c r="F2" s="2110"/>
      <c r="G2" s="2110"/>
      <c r="H2" s="2110"/>
      <c r="I2" s="2110"/>
      <c r="J2" s="2110"/>
      <c r="K2" s="2110"/>
      <c r="L2" s="2110"/>
      <c r="M2" s="2110"/>
      <c r="N2" s="2110"/>
      <c r="O2" s="2110"/>
      <c r="P2" s="2110"/>
      <c r="Q2" s="2110"/>
      <c r="R2" s="2110"/>
      <c r="S2" s="2110"/>
      <c r="T2" s="2110"/>
      <c r="U2" s="2110"/>
      <c r="V2" s="2110"/>
      <c r="W2" s="2110"/>
      <c r="X2" s="2110"/>
      <c r="Y2" s="2110"/>
      <c r="Z2" s="2110"/>
      <c r="AA2" s="2110"/>
      <c r="AB2" s="2110"/>
      <c r="AC2" s="2110"/>
      <c r="AD2" s="2110"/>
      <c r="AE2" s="2110"/>
      <c r="AF2" s="2110"/>
      <c r="AG2" s="2110"/>
      <c r="AH2" s="2110"/>
      <c r="AI2" s="2110"/>
      <c r="AJ2" s="2110"/>
      <c r="AK2" s="2110"/>
      <c r="AL2" s="2110"/>
      <c r="AM2" s="2110"/>
      <c r="AN2" s="2110"/>
      <c r="AO2" s="2110"/>
      <c r="AP2" s="2110"/>
      <c r="AQ2" s="2110"/>
      <c r="AR2" s="2110"/>
      <c r="AS2" s="2110"/>
      <c r="AT2" s="2110"/>
      <c r="AU2" s="751"/>
    </row>
    <row r="3" spans="1:64" s="541" customFormat="1" ht="19.5" customHeight="1">
      <c r="A3" s="2111" t="s">
        <v>2342</v>
      </c>
      <c r="B3" s="2111"/>
      <c r="C3" s="2111"/>
      <c r="D3" s="2111"/>
      <c r="E3" s="2111"/>
      <c r="F3" s="2111"/>
      <c r="G3" s="2111"/>
      <c r="H3" s="2111"/>
      <c r="I3" s="2111"/>
      <c r="J3" s="2111"/>
      <c r="K3" s="2111"/>
      <c r="L3" s="2111"/>
      <c r="M3" s="2111"/>
      <c r="N3" s="2111"/>
      <c r="O3" s="2111"/>
      <c r="P3" s="2111"/>
      <c r="Q3" s="2111"/>
      <c r="R3" s="2111"/>
      <c r="S3" s="2111"/>
      <c r="T3" s="2111"/>
      <c r="U3" s="2111"/>
      <c r="V3" s="2111"/>
      <c r="W3" s="2111"/>
      <c r="X3" s="2111"/>
      <c r="Y3" s="2111"/>
      <c r="Z3" s="2111"/>
      <c r="AA3" s="2111"/>
      <c r="AB3" s="2111"/>
      <c r="AC3" s="2111"/>
      <c r="AD3" s="2111"/>
      <c r="AE3" s="2111"/>
      <c r="AF3" s="2111"/>
      <c r="AG3" s="2111"/>
      <c r="AH3" s="2111"/>
      <c r="AI3" s="2111"/>
      <c r="AJ3" s="2111"/>
      <c r="AK3" s="2111"/>
      <c r="AL3" s="2111"/>
      <c r="AM3" s="2111"/>
      <c r="AN3" s="2111"/>
      <c r="AO3" s="2111"/>
      <c r="AP3" s="2111"/>
      <c r="AQ3" s="2111"/>
      <c r="AR3" s="2111"/>
      <c r="AS3" s="2111"/>
      <c r="AT3" s="2111"/>
      <c r="AU3" s="752"/>
    </row>
    <row r="4" spans="1:64" s="1370" customFormat="1" ht="20.25" customHeight="1">
      <c r="A4" s="1011" t="s">
        <v>921</v>
      </c>
      <c r="B4" s="1011"/>
      <c r="C4" s="2091" t="s">
        <v>2341</v>
      </c>
      <c r="D4" s="2092"/>
      <c r="E4" s="2092"/>
      <c r="F4" s="2092"/>
      <c r="G4" s="1011"/>
      <c r="H4" s="1011"/>
      <c r="I4" s="1011"/>
      <c r="J4" s="1011"/>
      <c r="K4" s="1011"/>
      <c r="L4" s="1011"/>
      <c r="M4" s="1011"/>
      <c r="N4" s="1011"/>
      <c r="O4" s="1011"/>
      <c r="P4" s="1011"/>
      <c r="Q4" s="1011"/>
      <c r="R4" s="1011"/>
      <c r="S4" s="1011"/>
      <c r="T4" s="1011"/>
      <c r="U4" s="1011"/>
      <c r="V4" s="1011"/>
      <c r="W4" s="1011"/>
      <c r="X4" s="1011"/>
      <c r="Y4" s="1011"/>
      <c r="Z4" s="1011"/>
      <c r="AA4" s="1011"/>
      <c r="AB4" s="1011"/>
      <c r="AC4" s="1011"/>
      <c r="AD4" s="1011"/>
      <c r="AE4" s="1011"/>
      <c r="AF4" s="1011"/>
      <c r="AG4" s="1011"/>
      <c r="AH4" s="1011"/>
      <c r="AI4" s="1011"/>
      <c r="AJ4" s="1011"/>
      <c r="AK4" s="1011"/>
      <c r="AL4" s="1011"/>
      <c r="AM4" s="1011"/>
      <c r="AN4" s="1011"/>
      <c r="AO4" s="1011"/>
      <c r="AP4" s="1011"/>
      <c r="AQ4" s="1011"/>
      <c r="AR4" s="1011"/>
      <c r="AS4" s="1011"/>
      <c r="AT4" s="1011"/>
      <c r="AU4" s="1374"/>
      <c r="AW4" s="2075" t="s">
        <v>472</v>
      </c>
      <c r="AX4" s="2075"/>
      <c r="AY4" s="2075"/>
      <c r="AZ4" s="2075"/>
      <c r="BA4" s="2075"/>
      <c r="BB4" s="2075"/>
      <c r="BC4" s="2075"/>
      <c r="BD4" s="2075"/>
      <c r="BE4" s="2075"/>
      <c r="BF4" s="2075"/>
    </row>
    <row r="5" spans="1:64" ht="69.95" customHeight="1">
      <c r="A5" s="722" t="s">
        <v>252</v>
      </c>
      <c r="B5" s="722" t="s">
        <v>253</v>
      </c>
      <c r="C5" s="722" t="s">
        <v>911</v>
      </c>
      <c r="D5" s="722" t="s">
        <v>254</v>
      </c>
      <c r="E5" s="643" t="s">
        <v>227</v>
      </c>
      <c r="F5" s="724" t="s">
        <v>255</v>
      </c>
      <c r="G5" s="643" t="s">
        <v>256</v>
      </c>
      <c r="H5" s="2120" t="s">
        <v>1748</v>
      </c>
      <c r="I5" s="2094"/>
      <c r="J5" s="2095"/>
      <c r="K5" s="2120" t="s">
        <v>1744</v>
      </c>
      <c r="L5" s="2094"/>
      <c r="M5" s="2095"/>
      <c r="N5" s="2120" t="s">
        <v>1689</v>
      </c>
      <c r="O5" s="2094"/>
      <c r="P5" s="2095"/>
      <c r="Q5" s="2120" t="s">
        <v>1776</v>
      </c>
      <c r="R5" s="2094"/>
      <c r="S5" s="2095"/>
      <c r="T5" s="2117" t="s">
        <v>1647</v>
      </c>
      <c r="U5" s="2118"/>
      <c r="V5" s="2119"/>
      <c r="W5" s="2102" t="s">
        <v>1674</v>
      </c>
      <c r="X5" s="2103"/>
      <c r="Y5" s="2093" t="s">
        <v>1675</v>
      </c>
      <c r="Z5" s="2094"/>
      <c r="AA5" s="2095"/>
      <c r="AB5" s="2167" t="s">
        <v>1705</v>
      </c>
      <c r="AC5" s="1126" t="s">
        <v>258</v>
      </c>
      <c r="AD5" s="1391" t="s">
        <v>220</v>
      </c>
      <c r="AE5" s="1117" t="s">
        <v>1835</v>
      </c>
      <c r="AF5" s="2100" t="s">
        <v>1840</v>
      </c>
      <c r="AG5" s="1268" t="s">
        <v>1832</v>
      </c>
      <c r="AH5" s="2080" t="s">
        <v>1666</v>
      </c>
      <c r="AI5" s="2080" t="s">
        <v>1665</v>
      </c>
      <c r="AJ5" s="2076" t="s">
        <v>1653</v>
      </c>
      <c r="AK5" s="2078" t="s">
        <v>1654</v>
      </c>
      <c r="AL5" s="2148" t="s">
        <v>1706</v>
      </c>
      <c r="AM5" s="2084" t="s">
        <v>1668</v>
      </c>
      <c r="AN5" s="2121" t="s">
        <v>1669</v>
      </c>
      <c r="AO5" s="2116" t="s">
        <v>1670</v>
      </c>
      <c r="AP5" s="2089" t="s">
        <v>1805</v>
      </c>
      <c r="AQ5" s="2154" t="s">
        <v>1673</v>
      </c>
      <c r="AR5" s="2154"/>
      <c r="AS5" s="2155"/>
      <c r="AT5" s="2153" t="s">
        <v>1672</v>
      </c>
      <c r="AU5" s="543"/>
      <c r="AV5" s="504"/>
      <c r="AW5" s="2081" t="s">
        <v>219</v>
      </c>
      <c r="AX5" s="2082"/>
      <c r="AY5" s="2083"/>
      <c r="AZ5" s="1125"/>
      <c r="BA5" s="1125"/>
      <c r="BB5" s="2086"/>
      <c r="BC5" s="2086"/>
      <c r="BD5" s="2086"/>
      <c r="BE5" s="2086"/>
      <c r="BF5" s="2087"/>
      <c r="BH5" s="690" t="s">
        <v>789</v>
      </c>
      <c r="BI5" s="2156" t="s">
        <v>568</v>
      </c>
      <c r="BJ5" s="2156" t="s">
        <v>569</v>
      </c>
      <c r="BK5" s="2162" t="s">
        <v>570</v>
      </c>
      <c r="BL5" s="2158" t="s">
        <v>713</v>
      </c>
    </row>
    <row r="6" spans="1:64" ht="99.95" customHeight="1">
      <c r="A6" s="725" t="s">
        <v>111</v>
      </c>
      <c r="B6" s="725" t="s">
        <v>1704</v>
      </c>
      <c r="C6" s="725" t="s">
        <v>1708</v>
      </c>
      <c r="D6" s="725" t="s">
        <v>1698</v>
      </c>
      <c r="E6" s="607" t="s">
        <v>1655</v>
      </c>
      <c r="F6" s="1124" t="s">
        <v>1641</v>
      </c>
      <c r="G6" s="607" t="s">
        <v>1656</v>
      </c>
      <c r="H6" s="545" t="s">
        <v>1657</v>
      </c>
      <c r="I6" s="546" t="s">
        <v>1658</v>
      </c>
      <c r="J6" s="546" t="s">
        <v>1644</v>
      </c>
      <c r="K6" s="547" t="s">
        <v>1679</v>
      </c>
      <c r="L6" s="546" t="s">
        <v>1659</v>
      </c>
      <c r="M6" s="546" t="s">
        <v>1662</v>
      </c>
      <c r="N6" s="547" t="s">
        <v>1660</v>
      </c>
      <c r="O6" s="546" t="s">
        <v>1681</v>
      </c>
      <c r="P6" s="546" t="s">
        <v>1662</v>
      </c>
      <c r="Q6" s="547" t="s">
        <v>1660</v>
      </c>
      <c r="R6" s="546" t="s">
        <v>1659</v>
      </c>
      <c r="S6" s="546" t="s">
        <v>1662</v>
      </c>
      <c r="T6" s="546" t="s">
        <v>1682</v>
      </c>
      <c r="U6" s="546" t="s">
        <v>1661</v>
      </c>
      <c r="V6" s="546" t="s">
        <v>1662</v>
      </c>
      <c r="W6" s="546" t="s">
        <v>1683</v>
      </c>
      <c r="X6" s="546" t="s">
        <v>1663</v>
      </c>
      <c r="Y6" s="546" t="s">
        <v>1649</v>
      </c>
      <c r="Z6" s="546" t="s">
        <v>1661</v>
      </c>
      <c r="AA6" s="546" t="s">
        <v>1709</v>
      </c>
      <c r="AB6" s="2168"/>
      <c r="AC6" s="1127" t="s">
        <v>1651</v>
      </c>
      <c r="AD6" s="1392"/>
      <c r="AE6" s="1118" t="s">
        <v>2078</v>
      </c>
      <c r="AF6" s="2101"/>
      <c r="AG6" s="1269" t="s">
        <v>1833</v>
      </c>
      <c r="AH6" s="2077"/>
      <c r="AI6" s="2077"/>
      <c r="AJ6" s="2077"/>
      <c r="AK6" s="2079"/>
      <c r="AL6" s="2149"/>
      <c r="AM6" s="2085"/>
      <c r="AN6" s="2122"/>
      <c r="AO6" s="2116"/>
      <c r="AP6" s="2090"/>
      <c r="AQ6" s="1135" t="s">
        <v>1671</v>
      </c>
      <c r="AR6" s="1134" t="s">
        <v>1707</v>
      </c>
      <c r="AS6" s="1136" t="s">
        <v>1702</v>
      </c>
      <c r="AT6" s="2153"/>
      <c r="AU6" s="543"/>
      <c r="AV6" s="504"/>
      <c r="AW6" s="539" t="s">
        <v>215</v>
      </c>
      <c r="AX6" s="539" t="s">
        <v>217</v>
      </c>
      <c r="AY6" s="1113" t="s">
        <v>125</v>
      </c>
      <c r="AZ6" s="502" t="s">
        <v>728</v>
      </c>
      <c r="BA6" s="502" t="s">
        <v>729</v>
      </c>
      <c r="BB6" s="548" t="s">
        <v>721</v>
      </c>
      <c r="BC6" s="548" t="s">
        <v>730</v>
      </c>
      <c r="BD6" s="548" t="s">
        <v>731</v>
      </c>
      <c r="BE6" s="548" t="s">
        <v>215</v>
      </c>
      <c r="BF6" s="549" t="s">
        <v>125</v>
      </c>
      <c r="BH6" s="730" t="s">
        <v>761</v>
      </c>
      <c r="BI6" s="2157"/>
      <c r="BJ6" s="2157"/>
      <c r="BK6" s="2163"/>
      <c r="BL6" s="2159"/>
    </row>
    <row r="7" spans="1:64" ht="46.5" customHeight="1">
      <c r="A7" s="1369">
        <v>1</v>
      </c>
      <c r="B7" s="1576" t="s">
        <v>1203</v>
      </c>
      <c r="C7" s="1854" t="s">
        <v>501</v>
      </c>
      <c r="D7" s="1841">
        <v>41311</v>
      </c>
      <c r="E7" s="1637" t="s">
        <v>1113</v>
      </c>
      <c r="F7" s="617">
        <f>240+12+8+2+10</f>
        <v>272</v>
      </c>
      <c r="G7" s="617">
        <f>50+20+2</f>
        <v>72</v>
      </c>
      <c r="H7" s="1001">
        <v>21.5</v>
      </c>
      <c r="I7" s="1408">
        <f>F7/26*H7</f>
        <v>224.92307692307693</v>
      </c>
      <c r="J7" s="618">
        <f t="shared" ref="J7:J34" si="0">F7/26*H7</f>
        <v>224.92307692307693</v>
      </c>
      <c r="K7" s="1001">
        <v>68</v>
      </c>
      <c r="L7" s="510">
        <f t="shared" ref="L7:L34" si="1">F7/26/8*1.5</f>
        <v>1.9615384615384617</v>
      </c>
      <c r="M7" s="1096">
        <f t="shared" ref="M7:M34" si="2">K7*L7</f>
        <v>133.38461538461539</v>
      </c>
      <c r="N7" s="1001">
        <v>0</v>
      </c>
      <c r="O7" s="510">
        <f t="shared" ref="O7:O34" si="3">F7/26/8*2</f>
        <v>2.6153846153846154</v>
      </c>
      <c r="P7" s="503">
        <f t="shared" ref="P7:P34" si="4">N7*O7</f>
        <v>0</v>
      </c>
      <c r="Q7" s="1001">
        <v>24</v>
      </c>
      <c r="R7" s="510">
        <f t="shared" ref="R7:R34" si="5">F7/26/8*2</f>
        <v>2.6153846153846154</v>
      </c>
      <c r="S7" s="618">
        <f t="shared" ref="S7:S34" si="6">R7*Q7</f>
        <v>62.769230769230774</v>
      </c>
      <c r="T7" s="1001">
        <v>5</v>
      </c>
      <c r="U7" s="510">
        <f t="shared" ref="U7:U34" si="7">F7/26</f>
        <v>10.461538461538462</v>
      </c>
      <c r="V7" s="1096">
        <f t="shared" ref="V7:V34" si="8">U7*T7</f>
        <v>52.307692307692307</v>
      </c>
      <c r="W7" s="1001">
        <v>0.5</v>
      </c>
      <c r="X7" s="1096">
        <f>'S5 Salary'!T8*'S5'!W7</f>
        <v>9.2861919563701711</v>
      </c>
      <c r="Y7" s="1001">
        <v>0</v>
      </c>
      <c r="Z7" s="510">
        <f t="shared" ref="Z7:Z34" si="9">F7/26/2</f>
        <v>5.2307692307692308</v>
      </c>
      <c r="AA7" s="618">
        <f t="shared" ref="AA7" si="10">Y7*Z7</f>
        <v>0</v>
      </c>
      <c r="AB7" s="1001">
        <v>0</v>
      </c>
      <c r="AC7" s="1467">
        <f t="shared" ref="AC7:AC34" si="11">H7+T7+Y7+AB7+W7</f>
        <v>27</v>
      </c>
      <c r="AD7" s="1408">
        <v>0</v>
      </c>
      <c r="AE7" s="1121">
        <v>0</v>
      </c>
      <c r="AF7" s="1412">
        <v>4</v>
      </c>
      <c r="AG7" s="511">
        <v>0</v>
      </c>
      <c r="AH7" s="618">
        <v>10</v>
      </c>
      <c r="AI7" s="618">
        <v>11</v>
      </c>
      <c r="AJ7" s="618">
        <v>10</v>
      </c>
      <c r="AK7" s="618">
        <v>10</v>
      </c>
      <c r="AL7" s="1148">
        <f t="shared" ref="AL7:AL34" si="12">G7+J7+M7+P7+S7+V7+AA7+AD7+AF7+AH7+AI7+AJ7+AK7+X7+AE7+AG7</f>
        <v>599.67080734098556</v>
      </c>
      <c r="AM7" s="1278">
        <v>0</v>
      </c>
      <c r="AN7" s="1404">
        <v>102</v>
      </c>
      <c r="AO7" s="1096">
        <f>'Tax Calulation    '!P7</f>
        <v>4.6851651824111675</v>
      </c>
      <c r="AP7" s="1096">
        <f>'Tax Calulation    '!W7</f>
        <v>5.9084194977843429</v>
      </c>
      <c r="AQ7" s="1686">
        <f t="shared" ref="AQ7:AQ34" si="13">AL7-AO7-AN7-AP7-AM7</f>
        <v>487.07722266079003</v>
      </c>
      <c r="AR7" s="1682">
        <f>ROUND((AQ7-AS7)*4040,-2)</f>
        <v>351800</v>
      </c>
      <c r="AS7" s="1683">
        <f>CEILING(AQ7,(100))-100</f>
        <v>400</v>
      </c>
      <c r="AT7" s="502"/>
      <c r="AU7" s="504"/>
      <c r="AV7" s="505">
        <f>(J7+M7+P7+S7+V7+AA7+AH7+AI7+AJ7+AK7)*4000</f>
        <v>2057538.461538462</v>
      </c>
      <c r="AW7" s="502">
        <f t="shared" ref="AW7:AW34" si="14">INT(AS7/100)</f>
        <v>4</v>
      </c>
      <c r="AX7" s="502">
        <f t="shared" ref="AX7:AX34" si="15">INT((AS7-AW7*100)/50)</f>
        <v>0</v>
      </c>
      <c r="AY7" s="573">
        <f>AW7*100+AX7*50</f>
        <v>400</v>
      </c>
      <c r="AZ7" s="573">
        <f t="shared" ref="AZ7:AZ34" si="16">INT((AR7/50000))</f>
        <v>7</v>
      </c>
      <c r="BA7" s="548">
        <f t="shared" ref="BA7:BA34" si="17">INT((AR7-AZ7*50000)/10000)</f>
        <v>0</v>
      </c>
      <c r="BB7" s="548">
        <f t="shared" ref="BB7:BB34" si="18">INT((AR7-AZ7*50000-BA7*10000)/5000)</f>
        <v>0</v>
      </c>
      <c r="BC7" s="548">
        <f t="shared" ref="BC7:BC34" si="19">INT((AR7-AZ7*50000-BA7*10000-BB7*5000)/1000)</f>
        <v>1</v>
      </c>
      <c r="BD7" s="548">
        <f t="shared" ref="BD7:BD34" si="20">INT((AR7-AZ7*50000-BA7*10000-BB7*5000-BC7*1000)/500)</f>
        <v>1</v>
      </c>
      <c r="BE7" s="548">
        <f t="shared" ref="BE7:BE34" si="21">INT((AR7-AZ7*50000-BA7*10000-BB7*5000-BC7*1000-BD7*500)/100)</f>
        <v>3</v>
      </c>
      <c r="BF7" s="549">
        <f>AZ7*50000+BA7*10000+BB7*5000+BC7*1000+BD7*500+BE7*100</f>
        <v>351800</v>
      </c>
      <c r="BH7" s="581" t="s">
        <v>811</v>
      </c>
      <c r="BI7" s="581" t="s">
        <v>571</v>
      </c>
      <c r="BJ7" s="1154">
        <v>33649</v>
      </c>
      <c r="BK7" s="587" t="s">
        <v>626</v>
      </c>
      <c r="BL7" s="745">
        <v>30465787</v>
      </c>
    </row>
    <row r="8" spans="1:64" ht="46.5" customHeight="1">
      <c r="A8" s="1369">
        <v>2</v>
      </c>
      <c r="B8" s="1576" t="s">
        <v>1204</v>
      </c>
      <c r="C8" s="1854" t="s">
        <v>561</v>
      </c>
      <c r="D8" s="1841">
        <v>43976</v>
      </c>
      <c r="E8" s="1637" t="s">
        <v>260</v>
      </c>
      <c r="F8" s="617">
        <f>199+2+3</f>
        <v>204</v>
      </c>
      <c r="G8" s="617">
        <f>2</f>
        <v>2</v>
      </c>
      <c r="H8" s="1001">
        <v>22</v>
      </c>
      <c r="I8" s="1408">
        <f t="shared" ref="I8:I34" si="22">F8/26*H8</f>
        <v>172.61538461538461</v>
      </c>
      <c r="J8" s="618">
        <f t="shared" si="0"/>
        <v>172.61538461538461</v>
      </c>
      <c r="K8" s="1001">
        <v>68</v>
      </c>
      <c r="L8" s="510">
        <f t="shared" si="1"/>
        <v>1.471153846153846</v>
      </c>
      <c r="M8" s="1096">
        <f t="shared" si="2"/>
        <v>100.03846153846153</v>
      </c>
      <c r="N8" s="1001">
        <v>0</v>
      </c>
      <c r="O8" s="510">
        <f t="shared" si="3"/>
        <v>1.9615384615384615</v>
      </c>
      <c r="P8" s="503">
        <f t="shared" si="4"/>
        <v>0</v>
      </c>
      <c r="Q8" s="1001">
        <v>24</v>
      </c>
      <c r="R8" s="510">
        <f t="shared" si="5"/>
        <v>1.9615384615384615</v>
      </c>
      <c r="S8" s="618">
        <f t="shared" si="6"/>
        <v>47.076923076923073</v>
      </c>
      <c r="T8" s="1001">
        <v>5</v>
      </c>
      <c r="U8" s="510">
        <f t="shared" si="7"/>
        <v>7.8461538461538458</v>
      </c>
      <c r="V8" s="1096">
        <f t="shared" si="8"/>
        <v>39.230769230769226</v>
      </c>
      <c r="W8" s="1001">
        <v>0</v>
      </c>
      <c r="X8" s="1096">
        <f>'S5 Salary'!T9*'S5'!W8</f>
        <v>0</v>
      </c>
      <c r="Y8" s="1001">
        <v>0</v>
      </c>
      <c r="Z8" s="510">
        <f t="shared" si="9"/>
        <v>3.9230769230769229</v>
      </c>
      <c r="AA8" s="618">
        <f t="shared" ref="AA8" si="23">Y8*Z8</f>
        <v>0</v>
      </c>
      <c r="AB8" s="1001">
        <v>0</v>
      </c>
      <c r="AC8" s="1467">
        <f t="shared" si="11"/>
        <v>27</v>
      </c>
      <c r="AD8" s="1408">
        <v>0</v>
      </c>
      <c r="AE8" s="1121">
        <v>0</v>
      </c>
      <c r="AF8" s="1412">
        <f>4+1</f>
        <v>5</v>
      </c>
      <c r="AG8" s="511">
        <v>0</v>
      </c>
      <c r="AH8" s="618">
        <v>10</v>
      </c>
      <c r="AI8" s="618">
        <v>5</v>
      </c>
      <c r="AJ8" s="618">
        <v>10</v>
      </c>
      <c r="AK8" s="618">
        <v>10</v>
      </c>
      <c r="AL8" s="1148">
        <f t="shared" si="12"/>
        <v>400.96153846153845</v>
      </c>
      <c r="AM8" s="1278">
        <v>0</v>
      </c>
      <c r="AN8" s="1404">
        <v>102</v>
      </c>
      <c r="AO8" s="1096">
        <f>'Tax Calulation    '!P8</f>
        <v>0</v>
      </c>
      <c r="AP8" s="1096">
        <f>'Tax Calulation    '!W8</f>
        <v>5.9084194977843429</v>
      </c>
      <c r="AQ8" s="1686">
        <f t="shared" si="13"/>
        <v>293.05311896375412</v>
      </c>
      <c r="AR8" s="1682">
        <f t="shared" ref="AR8:AR34" si="24">ROUND((AQ8-AS8)*4040,-2)</f>
        <v>375900</v>
      </c>
      <c r="AS8" s="1683">
        <f t="shared" ref="AS8:AS34" si="25">CEILING(AQ8,(100))-100</f>
        <v>200</v>
      </c>
      <c r="AT8" s="502"/>
      <c r="AU8" s="504"/>
      <c r="AV8" s="505"/>
      <c r="AW8" s="502">
        <f t="shared" si="14"/>
        <v>2</v>
      </c>
      <c r="AX8" s="502">
        <f t="shared" si="15"/>
        <v>0</v>
      </c>
      <c r="AY8" s="573">
        <f t="shared" ref="AY8:AY34" si="26">AW8*100+AX8*50</f>
        <v>200</v>
      </c>
      <c r="AZ8" s="573">
        <f t="shared" si="16"/>
        <v>7</v>
      </c>
      <c r="BA8" s="548">
        <f t="shared" si="17"/>
        <v>2</v>
      </c>
      <c r="BB8" s="548">
        <f t="shared" si="18"/>
        <v>1</v>
      </c>
      <c r="BC8" s="548">
        <f t="shared" si="19"/>
        <v>0</v>
      </c>
      <c r="BD8" s="548">
        <f t="shared" si="20"/>
        <v>1</v>
      </c>
      <c r="BE8" s="548">
        <f t="shared" si="21"/>
        <v>4</v>
      </c>
      <c r="BF8" s="549">
        <f t="shared" ref="BF8:BF34" si="27">AZ8*50000+BA8*10000+BB8*5000+BC8*1000+BD8*500+BE8*100</f>
        <v>375900</v>
      </c>
      <c r="BH8" s="581" t="s">
        <v>812</v>
      </c>
      <c r="BI8" s="581" t="s">
        <v>574</v>
      </c>
      <c r="BJ8" s="1154">
        <v>35287</v>
      </c>
      <c r="BK8" s="747" t="s">
        <v>627</v>
      </c>
      <c r="BL8" s="745">
        <v>61432422</v>
      </c>
    </row>
    <row r="9" spans="1:64" ht="46.5" customHeight="1">
      <c r="A9" s="1369">
        <v>3</v>
      </c>
      <c r="B9" s="1576" t="s">
        <v>1206</v>
      </c>
      <c r="C9" s="1854" t="s">
        <v>914</v>
      </c>
      <c r="D9" s="1841">
        <v>44378</v>
      </c>
      <c r="E9" s="1637" t="s">
        <v>260</v>
      </c>
      <c r="F9" s="617">
        <f>201+3</f>
        <v>204</v>
      </c>
      <c r="G9" s="617">
        <f>2</f>
        <v>2</v>
      </c>
      <c r="H9" s="1001">
        <v>22</v>
      </c>
      <c r="I9" s="1408">
        <f t="shared" si="22"/>
        <v>172.61538461538461</v>
      </c>
      <c r="J9" s="618">
        <f t="shared" si="0"/>
        <v>172.61538461538461</v>
      </c>
      <c r="K9" s="1001">
        <v>68</v>
      </c>
      <c r="L9" s="510">
        <f t="shared" si="1"/>
        <v>1.471153846153846</v>
      </c>
      <c r="M9" s="1096">
        <f t="shared" si="2"/>
        <v>100.03846153846153</v>
      </c>
      <c r="N9" s="1001">
        <v>0</v>
      </c>
      <c r="O9" s="510">
        <f t="shared" si="3"/>
        <v>1.9615384615384615</v>
      </c>
      <c r="P9" s="503">
        <f t="shared" si="4"/>
        <v>0</v>
      </c>
      <c r="Q9" s="1001">
        <v>24</v>
      </c>
      <c r="R9" s="510">
        <f t="shared" si="5"/>
        <v>1.9615384615384615</v>
      </c>
      <c r="S9" s="618">
        <f t="shared" si="6"/>
        <v>47.076923076923073</v>
      </c>
      <c r="T9" s="1001">
        <v>5</v>
      </c>
      <c r="U9" s="510">
        <f t="shared" si="7"/>
        <v>7.8461538461538458</v>
      </c>
      <c r="V9" s="1096">
        <f t="shared" si="8"/>
        <v>39.230769230769226</v>
      </c>
      <c r="W9" s="1001">
        <v>0</v>
      </c>
      <c r="X9" s="1096">
        <f>'S5 Salary'!T10*'S5'!W9</f>
        <v>0</v>
      </c>
      <c r="Y9" s="1001">
        <v>0</v>
      </c>
      <c r="Z9" s="510">
        <f t="shared" si="9"/>
        <v>3.9230769230769229</v>
      </c>
      <c r="AA9" s="618">
        <f t="shared" ref="AA9" si="28">Y9*Z9</f>
        <v>0</v>
      </c>
      <c r="AB9" s="1001">
        <v>0</v>
      </c>
      <c r="AC9" s="1467">
        <f t="shared" si="11"/>
        <v>27</v>
      </c>
      <c r="AD9" s="1408">
        <v>0</v>
      </c>
      <c r="AE9" s="1121">
        <v>0</v>
      </c>
      <c r="AF9" s="1412">
        <f>4+1</f>
        <v>5</v>
      </c>
      <c r="AG9" s="511">
        <v>0</v>
      </c>
      <c r="AH9" s="618">
        <v>10</v>
      </c>
      <c r="AI9" s="618">
        <v>4</v>
      </c>
      <c r="AJ9" s="618">
        <v>10</v>
      </c>
      <c r="AK9" s="618">
        <v>10</v>
      </c>
      <c r="AL9" s="1148">
        <f t="shared" si="12"/>
        <v>399.96153846153845</v>
      </c>
      <c r="AM9" s="1278">
        <v>0</v>
      </c>
      <c r="AN9" s="1404">
        <v>102</v>
      </c>
      <c r="AO9" s="1096">
        <f>'Tax Calulation    '!P9</f>
        <v>0</v>
      </c>
      <c r="AP9" s="1096">
        <f>'Tax Calulation    '!W9</f>
        <v>5.9084194977843429</v>
      </c>
      <c r="AQ9" s="1686">
        <f t="shared" si="13"/>
        <v>292.05311896375412</v>
      </c>
      <c r="AR9" s="1682">
        <f t="shared" si="24"/>
        <v>371900</v>
      </c>
      <c r="AS9" s="1683">
        <f t="shared" ref="AS9" si="29">CEILING(AQ9,(100))-100</f>
        <v>200</v>
      </c>
      <c r="AT9" s="502"/>
      <c r="AU9" s="504"/>
      <c r="AV9" s="505"/>
      <c r="AW9" s="502">
        <f t="shared" si="14"/>
        <v>2</v>
      </c>
      <c r="AX9" s="502">
        <f t="shared" si="15"/>
        <v>0</v>
      </c>
      <c r="AY9" s="573">
        <f t="shared" ref="AY9" si="30">AW9*100+AX9*50</f>
        <v>200</v>
      </c>
      <c r="AZ9" s="573">
        <f t="shared" si="16"/>
        <v>7</v>
      </c>
      <c r="BA9" s="548">
        <f t="shared" si="17"/>
        <v>2</v>
      </c>
      <c r="BB9" s="548">
        <f t="shared" si="18"/>
        <v>0</v>
      </c>
      <c r="BC9" s="548">
        <f t="shared" si="19"/>
        <v>1</v>
      </c>
      <c r="BD9" s="548">
        <f t="shared" si="20"/>
        <v>1</v>
      </c>
      <c r="BE9" s="548">
        <f t="shared" si="21"/>
        <v>4</v>
      </c>
      <c r="BF9" s="549">
        <f t="shared" ref="BF9" si="31">AZ9*50000+BA9*10000+BB9*5000+BC9*1000+BD9*500+BE9*100</f>
        <v>371900</v>
      </c>
      <c r="BH9" s="581" t="s">
        <v>915</v>
      </c>
      <c r="BI9" s="581" t="s">
        <v>573</v>
      </c>
      <c r="BJ9" s="1154">
        <v>27124</v>
      </c>
      <c r="BK9" s="747" t="s">
        <v>916</v>
      </c>
      <c r="BL9" s="745" t="s">
        <v>1802</v>
      </c>
    </row>
    <row r="10" spans="1:64" ht="46.5" customHeight="1">
      <c r="A10" s="1369">
        <v>4</v>
      </c>
      <c r="B10" s="1576" t="s">
        <v>1208</v>
      </c>
      <c r="C10" s="1854" t="s">
        <v>933</v>
      </c>
      <c r="D10" s="1841">
        <v>44480</v>
      </c>
      <c r="E10" s="1637" t="s">
        <v>260</v>
      </c>
      <c r="F10" s="617">
        <f>187+14+3</f>
        <v>204</v>
      </c>
      <c r="G10" s="617">
        <f>2</f>
        <v>2</v>
      </c>
      <c r="H10" s="1001">
        <v>21.5</v>
      </c>
      <c r="I10" s="1408">
        <f t="shared" si="22"/>
        <v>168.69230769230768</v>
      </c>
      <c r="J10" s="618">
        <f t="shared" si="0"/>
        <v>168.69230769230768</v>
      </c>
      <c r="K10" s="1001">
        <v>53</v>
      </c>
      <c r="L10" s="510">
        <f t="shared" si="1"/>
        <v>1.471153846153846</v>
      </c>
      <c r="M10" s="1096">
        <f t="shared" si="2"/>
        <v>77.97115384615384</v>
      </c>
      <c r="N10" s="1001">
        <v>0</v>
      </c>
      <c r="O10" s="510">
        <f t="shared" si="3"/>
        <v>1.9615384615384615</v>
      </c>
      <c r="P10" s="503">
        <f t="shared" si="4"/>
        <v>0</v>
      </c>
      <c r="Q10" s="1001">
        <v>20</v>
      </c>
      <c r="R10" s="510">
        <f t="shared" si="5"/>
        <v>1.9615384615384615</v>
      </c>
      <c r="S10" s="618">
        <f t="shared" si="6"/>
        <v>39.230769230769226</v>
      </c>
      <c r="T10" s="1001">
        <v>5.5</v>
      </c>
      <c r="U10" s="510">
        <f t="shared" si="7"/>
        <v>7.8461538461538458</v>
      </c>
      <c r="V10" s="1096">
        <f t="shared" si="8"/>
        <v>43.153846153846153</v>
      </c>
      <c r="W10" s="1001">
        <v>0</v>
      </c>
      <c r="X10" s="1096">
        <f>'S5 Salary'!T11*'S5'!W10</f>
        <v>0</v>
      </c>
      <c r="Y10" s="1001">
        <v>0</v>
      </c>
      <c r="Z10" s="510">
        <f t="shared" si="9"/>
        <v>3.9230769230769229</v>
      </c>
      <c r="AA10" s="618">
        <f t="shared" ref="AA10" si="32">Y10*Z10</f>
        <v>0</v>
      </c>
      <c r="AB10" s="1001">
        <v>0</v>
      </c>
      <c r="AC10" s="1467">
        <f t="shared" si="11"/>
        <v>27</v>
      </c>
      <c r="AD10" s="1408">
        <v>0</v>
      </c>
      <c r="AE10" s="1121">
        <v>0</v>
      </c>
      <c r="AF10" s="1412">
        <f>4+1</f>
        <v>5</v>
      </c>
      <c r="AG10" s="511">
        <v>0</v>
      </c>
      <c r="AH10" s="618">
        <v>10</v>
      </c>
      <c r="AI10" s="618">
        <v>4</v>
      </c>
      <c r="AJ10" s="618">
        <v>10</v>
      </c>
      <c r="AK10" s="618">
        <v>10</v>
      </c>
      <c r="AL10" s="1148">
        <f t="shared" si="12"/>
        <v>370.04807692307685</v>
      </c>
      <c r="AM10" s="1281">
        <v>0.5</v>
      </c>
      <c r="AN10" s="1404">
        <v>102</v>
      </c>
      <c r="AO10" s="1096">
        <f>'Tax Calulation    '!P10</f>
        <v>0</v>
      </c>
      <c r="AP10" s="1096">
        <f>'Tax Calulation    '!W10</f>
        <v>5.9084194977843429</v>
      </c>
      <c r="AQ10" s="1686">
        <f t="shared" si="13"/>
        <v>261.63965742529251</v>
      </c>
      <c r="AR10" s="1682">
        <f t="shared" si="24"/>
        <v>249000</v>
      </c>
      <c r="AS10" s="1683">
        <f t="shared" ref="AS10" si="33">CEILING(AQ10,(100))-100</f>
        <v>200</v>
      </c>
      <c r="AT10" s="502"/>
      <c r="AU10" s="504"/>
      <c r="AV10" s="505"/>
      <c r="AW10" s="502">
        <f t="shared" si="14"/>
        <v>2</v>
      </c>
      <c r="AX10" s="502">
        <f t="shared" si="15"/>
        <v>0</v>
      </c>
      <c r="AY10" s="573">
        <f t="shared" ref="AY10" si="34">AW10*100+AX10*50</f>
        <v>200</v>
      </c>
      <c r="AZ10" s="573">
        <f t="shared" si="16"/>
        <v>4</v>
      </c>
      <c r="BA10" s="548">
        <f t="shared" si="17"/>
        <v>4</v>
      </c>
      <c r="BB10" s="548">
        <f t="shared" si="18"/>
        <v>1</v>
      </c>
      <c r="BC10" s="548">
        <f t="shared" si="19"/>
        <v>4</v>
      </c>
      <c r="BD10" s="548">
        <f t="shared" si="20"/>
        <v>0</v>
      </c>
      <c r="BE10" s="548">
        <f t="shared" si="21"/>
        <v>0</v>
      </c>
      <c r="BF10" s="549">
        <f t="shared" ref="BF10" si="35">AZ10*50000+BA10*10000+BB10*5000+BC10*1000+BD10*500+BE10*100</f>
        <v>249000</v>
      </c>
      <c r="BH10" s="581" t="s">
        <v>942</v>
      </c>
      <c r="BI10" s="581" t="s">
        <v>573</v>
      </c>
      <c r="BJ10" s="1154">
        <v>36356</v>
      </c>
      <c r="BK10" s="747" t="s">
        <v>953</v>
      </c>
      <c r="BL10" s="745" t="s">
        <v>954</v>
      </c>
    </row>
    <row r="11" spans="1:64" ht="46.5" customHeight="1">
      <c r="A11" s="1369">
        <v>5</v>
      </c>
      <c r="B11" s="1576" t="s">
        <v>1209</v>
      </c>
      <c r="C11" s="1854" t="s">
        <v>935</v>
      </c>
      <c r="D11" s="1841">
        <v>44490</v>
      </c>
      <c r="E11" s="1637" t="s">
        <v>260</v>
      </c>
      <c r="F11" s="617">
        <f>206</f>
        <v>206</v>
      </c>
      <c r="G11" s="617">
        <f>2</f>
        <v>2</v>
      </c>
      <c r="H11" s="1001">
        <v>22</v>
      </c>
      <c r="I11" s="1408">
        <f t="shared" si="22"/>
        <v>174.30769230769232</v>
      </c>
      <c r="J11" s="618">
        <f t="shared" si="0"/>
        <v>174.30769230769232</v>
      </c>
      <c r="K11" s="1001">
        <v>68</v>
      </c>
      <c r="L11" s="510">
        <f t="shared" si="1"/>
        <v>1.4855769230769231</v>
      </c>
      <c r="M11" s="1096">
        <f t="shared" si="2"/>
        <v>101.01923076923077</v>
      </c>
      <c r="N11" s="1001">
        <v>0</v>
      </c>
      <c r="O11" s="510">
        <f t="shared" si="3"/>
        <v>1.9807692307692308</v>
      </c>
      <c r="P11" s="503">
        <f t="shared" si="4"/>
        <v>0</v>
      </c>
      <c r="Q11" s="1001">
        <v>24</v>
      </c>
      <c r="R11" s="510">
        <f t="shared" si="5"/>
        <v>1.9807692307692308</v>
      </c>
      <c r="S11" s="618">
        <f t="shared" si="6"/>
        <v>47.53846153846154</v>
      </c>
      <c r="T11" s="1001">
        <v>5</v>
      </c>
      <c r="U11" s="510">
        <f t="shared" si="7"/>
        <v>7.9230769230769234</v>
      </c>
      <c r="V11" s="1096">
        <f t="shared" si="8"/>
        <v>39.615384615384613</v>
      </c>
      <c r="W11" s="1001">
        <v>0</v>
      </c>
      <c r="X11" s="1096">
        <f>'S5 Salary'!T12*'S5'!W11</f>
        <v>0</v>
      </c>
      <c r="Y11" s="1001">
        <v>0</v>
      </c>
      <c r="Z11" s="510">
        <f t="shared" si="9"/>
        <v>3.9615384615384617</v>
      </c>
      <c r="AA11" s="618">
        <f t="shared" ref="AA11" si="36">Y11*Z11</f>
        <v>0</v>
      </c>
      <c r="AB11" s="1001">
        <v>0</v>
      </c>
      <c r="AC11" s="1467">
        <f t="shared" si="11"/>
        <v>27</v>
      </c>
      <c r="AD11" s="1408">
        <v>0</v>
      </c>
      <c r="AE11" s="1121">
        <v>0</v>
      </c>
      <c r="AF11" s="1412">
        <f>4+4</f>
        <v>8</v>
      </c>
      <c r="AG11" s="511">
        <v>0</v>
      </c>
      <c r="AH11" s="618">
        <v>10</v>
      </c>
      <c r="AI11" s="618">
        <v>4</v>
      </c>
      <c r="AJ11" s="618">
        <v>10</v>
      </c>
      <c r="AK11" s="618">
        <v>10</v>
      </c>
      <c r="AL11" s="1148">
        <f t="shared" si="12"/>
        <v>406.48076923076928</v>
      </c>
      <c r="AM11" s="1278">
        <v>0</v>
      </c>
      <c r="AN11" s="1404">
        <v>102</v>
      </c>
      <c r="AO11" s="1096">
        <f>'Tax Calulation    '!P11</f>
        <v>0</v>
      </c>
      <c r="AP11" s="1096">
        <f>'Tax Calulation    '!W11</f>
        <v>5.9084194977843429</v>
      </c>
      <c r="AQ11" s="1686">
        <f t="shared" si="13"/>
        <v>298.57234973298495</v>
      </c>
      <c r="AR11" s="1682">
        <f t="shared" si="24"/>
        <v>398200</v>
      </c>
      <c r="AS11" s="1683">
        <f t="shared" ref="AS11" si="37">CEILING(AQ11,(100))-100</f>
        <v>200</v>
      </c>
      <c r="AT11" s="502"/>
      <c r="AU11" s="504"/>
      <c r="AV11" s="505"/>
      <c r="AW11" s="502">
        <f t="shared" si="14"/>
        <v>2</v>
      </c>
      <c r="AX11" s="502">
        <f t="shared" si="15"/>
        <v>0</v>
      </c>
      <c r="AY11" s="573">
        <f t="shared" ref="AY11" si="38">AW11*100+AX11*50</f>
        <v>200</v>
      </c>
      <c r="AZ11" s="573">
        <f t="shared" si="16"/>
        <v>7</v>
      </c>
      <c r="BA11" s="548">
        <f t="shared" si="17"/>
        <v>4</v>
      </c>
      <c r="BB11" s="548">
        <f t="shared" si="18"/>
        <v>1</v>
      </c>
      <c r="BC11" s="548">
        <f t="shared" si="19"/>
        <v>3</v>
      </c>
      <c r="BD11" s="548">
        <f t="shared" si="20"/>
        <v>0</v>
      </c>
      <c r="BE11" s="548">
        <f t="shared" si="21"/>
        <v>2</v>
      </c>
      <c r="BF11" s="549">
        <f t="shared" ref="BF11" si="39">AZ11*50000+BA11*10000+BB11*5000+BC11*1000+BD11*500+BE11*100</f>
        <v>398200</v>
      </c>
      <c r="BH11" s="581" t="s">
        <v>950</v>
      </c>
      <c r="BI11" s="581" t="s">
        <v>943</v>
      </c>
      <c r="BJ11" s="1154">
        <v>33190</v>
      </c>
      <c r="BK11" s="747" t="s">
        <v>951</v>
      </c>
      <c r="BL11" s="745" t="s">
        <v>952</v>
      </c>
    </row>
    <row r="12" spans="1:64" s="768" customFormat="1" ht="46.5" customHeight="1">
      <c r="A12" s="1369">
        <v>6</v>
      </c>
      <c r="B12" s="1595" t="s">
        <v>1210</v>
      </c>
      <c r="C12" s="1855" t="s">
        <v>957</v>
      </c>
      <c r="D12" s="1851">
        <v>44523</v>
      </c>
      <c r="E12" s="1151" t="s">
        <v>260</v>
      </c>
      <c r="F12" s="758">
        <f>201+3</f>
        <v>204</v>
      </c>
      <c r="G12" s="758">
        <v>2</v>
      </c>
      <c r="H12" s="1001">
        <v>12</v>
      </c>
      <c r="I12" s="1408">
        <f t="shared" si="22"/>
        <v>94.153846153846146</v>
      </c>
      <c r="J12" s="618">
        <f t="shared" si="0"/>
        <v>94.153846153846146</v>
      </c>
      <c r="K12" s="1001">
        <v>28</v>
      </c>
      <c r="L12" s="510">
        <f t="shared" si="1"/>
        <v>1.471153846153846</v>
      </c>
      <c r="M12" s="1096">
        <f t="shared" si="2"/>
        <v>41.192307692307686</v>
      </c>
      <c r="N12" s="1001">
        <v>0</v>
      </c>
      <c r="O12" s="510">
        <f t="shared" si="3"/>
        <v>1.9615384615384615</v>
      </c>
      <c r="P12" s="503">
        <f t="shared" si="4"/>
        <v>0</v>
      </c>
      <c r="Q12" s="1001">
        <v>8</v>
      </c>
      <c r="R12" s="510">
        <f t="shared" si="5"/>
        <v>1.9615384615384615</v>
      </c>
      <c r="S12" s="618">
        <f t="shared" si="6"/>
        <v>15.692307692307692</v>
      </c>
      <c r="T12" s="1001">
        <v>11</v>
      </c>
      <c r="U12" s="510">
        <f t="shared" si="7"/>
        <v>7.8461538461538458</v>
      </c>
      <c r="V12" s="1096">
        <f t="shared" si="8"/>
        <v>86.307692307692307</v>
      </c>
      <c r="W12" s="1001">
        <v>0</v>
      </c>
      <c r="X12" s="1096">
        <f>'S5 Salary'!T13*'S5'!W12</f>
        <v>0</v>
      </c>
      <c r="Y12" s="1001">
        <v>0</v>
      </c>
      <c r="Z12" s="510">
        <f t="shared" si="9"/>
        <v>3.9230769230769229</v>
      </c>
      <c r="AA12" s="788">
        <f t="shared" ref="AA12" si="40">Y12*Z12</f>
        <v>0</v>
      </c>
      <c r="AB12" s="1001">
        <v>4</v>
      </c>
      <c r="AC12" s="1467">
        <f t="shared" si="11"/>
        <v>27</v>
      </c>
      <c r="AD12" s="1408">
        <v>0</v>
      </c>
      <c r="AE12" s="1121">
        <v>0</v>
      </c>
      <c r="AF12" s="1412">
        <f>4+1</f>
        <v>5</v>
      </c>
      <c r="AG12" s="762">
        <v>0</v>
      </c>
      <c r="AH12" s="618">
        <v>0</v>
      </c>
      <c r="AI12" s="788">
        <v>3</v>
      </c>
      <c r="AJ12" s="618">
        <v>10</v>
      </c>
      <c r="AK12" s="618">
        <v>10</v>
      </c>
      <c r="AL12" s="1148">
        <f t="shared" si="12"/>
        <v>267.34615384615381</v>
      </c>
      <c r="AM12" s="1280">
        <v>0</v>
      </c>
      <c r="AN12" s="1404">
        <v>102</v>
      </c>
      <c r="AO12" s="1096">
        <f>'Tax Calulation    '!P12</f>
        <v>0</v>
      </c>
      <c r="AP12" s="1096">
        <f>'Tax Calulation    '!W12</f>
        <v>5.3469230769230762</v>
      </c>
      <c r="AQ12" s="1686">
        <f t="shared" si="13"/>
        <v>159.99923076923073</v>
      </c>
      <c r="AR12" s="1682">
        <f t="shared" si="24"/>
        <v>242400</v>
      </c>
      <c r="AS12" s="1684">
        <f t="shared" ref="AS12" si="41">CEILING(AQ12,(100))-100</f>
        <v>100</v>
      </c>
      <c r="AT12" s="612"/>
      <c r="AU12" s="763"/>
      <c r="AV12" s="764"/>
      <c r="AW12" s="612">
        <f t="shared" si="14"/>
        <v>1</v>
      </c>
      <c r="AX12" s="612">
        <f t="shared" si="15"/>
        <v>0</v>
      </c>
      <c r="AY12" s="765">
        <f t="shared" ref="AY12" si="42">AW12*100+AX12*50</f>
        <v>100</v>
      </c>
      <c r="AZ12" s="765">
        <f t="shared" si="16"/>
        <v>4</v>
      </c>
      <c r="BA12" s="766">
        <f t="shared" si="17"/>
        <v>4</v>
      </c>
      <c r="BB12" s="766">
        <f t="shared" si="18"/>
        <v>0</v>
      </c>
      <c r="BC12" s="766">
        <f t="shared" si="19"/>
        <v>2</v>
      </c>
      <c r="BD12" s="766">
        <f t="shared" si="20"/>
        <v>0</v>
      </c>
      <c r="BE12" s="766">
        <f t="shared" si="21"/>
        <v>4</v>
      </c>
      <c r="BF12" s="767">
        <f t="shared" ref="BF12" si="43">AZ12*50000+BA12*10000+BB12*5000+BC12*1000+BD12*500+BE12*100</f>
        <v>242400</v>
      </c>
      <c r="BH12" s="625" t="s">
        <v>966</v>
      </c>
      <c r="BI12" s="628" t="s">
        <v>573</v>
      </c>
      <c r="BJ12" s="1155">
        <v>37021</v>
      </c>
      <c r="BK12" s="797" t="s">
        <v>967</v>
      </c>
      <c r="BL12" s="757" t="s">
        <v>968</v>
      </c>
    </row>
    <row r="13" spans="1:64" s="768" customFormat="1" ht="46.5" customHeight="1">
      <c r="A13" s="1369">
        <v>7</v>
      </c>
      <c r="B13" s="1599" t="s">
        <v>1850</v>
      </c>
      <c r="C13" s="1863" t="s">
        <v>1851</v>
      </c>
      <c r="D13" s="1851">
        <v>44544</v>
      </c>
      <c r="E13" s="1151" t="s">
        <v>260</v>
      </c>
      <c r="F13" s="758">
        <f>201+3</f>
        <v>204</v>
      </c>
      <c r="G13" s="758">
        <v>2</v>
      </c>
      <c r="H13" s="1001">
        <v>21.5</v>
      </c>
      <c r="I13" s="1408">
        <f t="shared" si="22"/>
        <v>168.69230769230768</v>
      </c>
      <c r="J13" s="618">
        <f t="shared" si="0"/>
        <v>168.69230769230768</v>
      </c>
      <c r="K13" s="1001">
        <v>64</v>
      </c>
      <c r="L13" s="510">
        <f t="shared" si="1"/>
        <v>1.471153846153846</v>
      </c>
      <c r="M13" s="1096">
        <f t="shared" si="2"/>
        <v>94.153846153846146</v>
      </c>
      <c r="N13" s="1001">
        <v>0</v>
      </c>
      <c r="O13" s="510">
        <f t="shared" si="3"/>
        <v>1.9615384615384615</v>
      </c>
      <c r="P13" s="503">
        <f t="shared" ref="P13" si="44">N13*O13</f>
        <v>0</v>
      </c>
      <c r="Q13" s="1001">
        <v>16</v>
      </c>
      <c r="R13" s="510">
        <f t="shared" si="5"/>
        <v>1.9615384615384615</v>
      </c>
      <c r="S13" s="618">
        <f t="shared" si="6"/>
        <v>31.384615384615383</v>
      </c>
      <c r="T13" s="1001">
        <v>5.5</v>
      </c>
      <c r="U13" s="510">
        <f t="shared" si="7"/>
        <v>7.8461538461538458</v>
      </c>
      <c r="V13" s="1096">
        <f t="shared" si="8"/>
        <v>43.153846153846153</v>
      </c>
      <c r="W13" s="1001">
        <v>0</v>
      </c>
      <c r="X13" s="1096">
        <f>'S5 Salary'!T14*'S5'!W13</f>
        <v>0</v>
      </c>
      <c r="Y13" s="1001">
        <v>0</v>
      </c>
      <c r="Z13" s="510">
        <f t="shared" si="9"/>
        <v>3.9230769230769229</v>
      </c>
      <c r="AA13" s="788">
        <f t="shared" ref="AA13" si="45">Y13*Z13</f>
        <v>0</v>
      </c>
      <c r="AB13" s="1001">
        <v>0</v>
      </c>
      <c r="AC13" s="1468">
        <f t="shared" si="11"/>
        <v>27</v>
      </c>
      <c r="AD13" s="1408">
        <v>0</v>
      </c>
      <c r="AE13" s="1121">
        <v>0</v>
      </c>
      <c r="AF13" s="1412">
        <f>4+1</f>
        <v>5</v>
      </c>
      <c r="AG13" s="762">
        <v>5</v>
      </c>
      <c r="AH13" s="618">
        <v>10</v>
      </c>
      <c r="AI13" s="788">
        <v>3</v>
      </c>
      <c r="AJ13" s="618">
        <v>10</v>
      </c>
      <c r="AK13" s="618">
        <v>10</v>
      </c>
      <c r="AL13" s="1148">
        <f t="shared" si="12"/>
        <v>382.3846153846153</v>
      </c>
      <c r="AM13" s="1279">
        <v>0.5</v>
      </c>
      <c r="AN13" s="1404">
        <v>102</v>
      </c>
      <c r="AO13" s="1096">
        <f>'Tax Calulation    '!P13</f>
        <v>0</v>
      </c>
      <c r="AP13" s="1096">
        <f>'Tax Calulation    '!W13</f>
        <v>5.9084194977843429</v>
      </c>
      <c r="AQ13" s="1686">
        <f t="shared" si="13"/>
        <v>273.97619588683096</v>
      </c>
      <c r="AR13" s="1682">
        <f t="shared" si="24"/>
        <v>298900</v>
      </c>
      <c r="AS13" s="1684">
        <f t="shared" ref="AS13" si="46">CEILING(AQ13,(100))-100</f>
        <v>200</v>
      </c>
      <c r="AT13" s="612"/>
      <c r="AU13" s="763"/>
      <c r="AV13" s="764"/>
      <c r="AW13" s="502">
        <f t="shared" ref="AW13" si="47">INT(AS13/100)</f>
        <v>2</v>
      </c>
      <c r="AX13" s="502">
        <f>INT((AS13-AW13*100)/50)</f>
        <v>0</v>
      </c>
      <c r="AY13" s="1113">
        <f t="shared" ref="AY13" si="48">AW13*100+AX13*50</f>
        <v>200</v>
      </c>
      <c r="AZ13" s="1113">
        <f t="shared" ref="AZ13" si="49">INT((AR13/50000))</f>
        <v>5</v>
      </c>
      <c r="BA13" s="548">
        <f t="shared" ref="BA13" si="50">INT((AR13-AZ13*50000)/10000)</f>
        <v>4</v>
      </c>
      <c r="BB13" s="548">
        <f t="shared" ref="BB13" si="51">INT((AR13-AZ13*50000-BA13*10000)/5000)</f>
        <v>1</v>
      </c>
      <c r="BC13" s="548">
        <f t="shared" ref="BC13" si="52">INT((AR13-AZ13*50000-BA13*10000-BB13*5000)/1000)</f>
        <v>3</v>
      </c>
      <c r="BD13" s="548">
        <f t="shared" ref="BD13" si="53">INT((AR13-AZ13*50000-BA13*10000-BB13*5000-BC13*1000)/500)</f>
        <v>1</v>
      </c>
      <c r="BE13" s="548">
        <f t="shared" ref="BE13" si="54">INT((AR13-AZ13*50000-BA13*10000-BB13*5000-BC13*1000-BD13*500)/100)</f>
        <v>4</v>
      </c>
      <c r="BF13" s="549">
        <f t="shared" ref="BF13" si="55">AZ13*50000+BA13*10000+BB13*5000+BC13*1000+BD13*500+BE13*100</f>
        <v>298900</v>
      </c>
      <c r="BH13" s="625" t="s">
        <v>1960</v>
      </c>
      <c r="BI13" s="628" t="s">
        <v>572</v>
      </c>
      <c r="BJ13" s="1155">
        <v>31308</v>
      </c>
      <c r="BK13" s="797" t="s">
        <v>1961</v>
      </c>
      <c r="BL13" s="757" t="s">
        <v>1962</v>
      </c>
    </row>
    <row r="14" spans="1:64" s="768" customFormat="1" ht="46.5" customHeight="1">
      <c r="A14" s="1369">
        <v>8</v>
      </c>
      <c r="B14" s="1595" t="s">
        <v>1612</v>
      </c>
      <c r="C14" s="1855" t="s">
        <v>1056</v>
      </c>
      <c r="D14" s="1851">
        <v>44564</v>
      </c>
      <c r="E14" s="1151" t="s">
        <v>260</v>
      </c>
      <c r="F14" s="758">
        <f>201+3</f>
        <v>204</v>
      </c>
      <c r="G14" s="758">
        <v>2</v>
      </c>
      <c r="H14" s="1001">
        <v>21.5</v>
      </c>
      <c r="I14" s="1408">
        <f t="shared" si="22"/>
        <v>168.69230769230768</v>
      </c>
      <c r="J14" s="618">
        <f t="shared" si="0"/>
        <v>168.69230769230768</v>
      </c>
      <c r="K14" s="1001">
        <v>67</v>
      </c>
      <c r="L14" s="510">
        <f t="shared" si="1"/>
        <v>1.471153846153846</v>
      </c>
      <c r="M14" s="1096">
        <f t="shared" si="2"/>
        <v>98.567307692307679</v>
      </c>
      <c r="N14" s="1001">
        <v>0</v>
      </c>
      <c r="O14" s="510">
        <f t="shared" si="3"/>
        <v>1.9615384615384615</v>
      </c>
      <c r="P14" s="503">
        <f t="shared" si="4"/>
        <v>0</v>
      </c>
      <c r="Q14" s="1001">
        <v>24</v>
      </c>
      <c r="R14" s="510">
        <f t="shared" si="5"/>
        <v>1.9615384615384615</v>
      </c>
      <c r="S14" s="618">
        <f t="shared" si="6"/>
        <v>47.076923076923073</v>
      </c>
      <c r="T14" s="1001">
        <v>5.5</v>
      </c>
      <c r="U14" s="510">
        <f t="shared" si="7"/>
        <v>7.8461538461538458</v>
      </c>
      <c r="V14" s="1096">
        <f t="shared" si="8"/>
        <v>43.153846153846153</v>
      </c>
      <c r="W14" s="1001">
        <v>0</v>
      </c>
      <c r="X14" s="1096">
        <f>'S5 Salary'!T15*'S5'!W14</f>
        <v>0</v>
      </c>
      <c r="Y14" s="1001">
        <v>0</v>
      </c>
      <c r="Z14" s="510">
        <f t="shared" si="9"/>
        <v>3.9230769230769229</v>
      </c>
      <c r="AA14" s="788">
        <f t="shared" ref="AA14" si="56">Y14*Z14</f>
        <v>0</v>
      </c>
      <c r="AB14" s="1001">
        <v>0</v>
      </c>
      <c r="AC14" s="1467">
        <f t="shared" si="11"/>
        <v>27</v>
      </c>
      <c r="AD14" s="1408">
        <v>0</v>
      </c>
      <c r="AE14" s="1121">
        <v>0</v>
      </c>
      <c r="AF14" s="1412">
        <f>4+1</f>
        <v>5</v>
      </c>
      <c r="AG14" s="762">
        <v>0</v>
      </c>
      <c r="AH14" s="618">
        <v>10</v>
      </c>
      <c r="AI14" s="788">
        <v>3</v>
      </c>
      <c r="AJ14" s="618">
        <v>10</v>
      </c>
      <c r="AK14" s="618">
        <v>10</v>
      </c>
      <c r="AL14" s="1148">
        <f t="shared" si="12"/>
        <v>397.49038461538458</v>
      </c>
      <c r="AM14" s="1279">
        <v>0.5</v>
      </c>
      <c r="AN14" s="1404">
        <v>102</v>
      </c>
      <c r="AO14" s="1096">
        <f>'Tax Calulation    '!P14</f>
        <v>0.11528732530394278</v>
      </c>
      <c r="AP14" s="1096">
        <f>'Tax Calulation    '!W14</f>
        <v>5.9084194977843429</v>
      </c>
      <c r="AQ14" s="1686">
        <f t="shared" si="13"/>
        <v>288.96667779229631</v>
      </c>
      <c r="AR14" s="1682">
        <f t="shared" si="24"/>
        <v>359400</v>
      </c>
      <c r="AS14" s="1684">
        <f t="shared" ref="AS14" si="57">CEILING(AQ14,(100))-100</f>
        <v>200</v>
      </c>
      <c r="AT14" s="612"/>
      <c r="AU14" s="763"/>
      <c r="AV14" s="764"/>
      <c r="AW14" s="502">
        <f t="shared" si="14"/>
        <v>2</v>
      </c>
      <c r="AX14" s="502">
        <f t="shared" si="15"/>
        <v>0</v>
      </c>
      <c r="AY14" s="944">
        <f t="shared" ref="AY14" si="58">AW14*100+AX14*50</f>
        <v>200</v>
      </c>
      <c r="AZ14" s="944">
        <f t="shared" si="16"/>
        <v>7</v>
      </c>
      <c r="BA14" s="548">
        <f t="shared" si="17"/>
        <v>0</v>
      </c>
      <c r="BB14" s="548">
        <f t="shared" si="18"/>
        <v>1</v>
      </c>
      <c r="BC14" s="548">
        <f t="shared" si="19"/>
        <v>4</v>
      </c>
      <c r="BD14" s="548">
        <f t="shared" si="20"/>
        <v>0</v>
      </c>
      <c r="BE14" s="548">
        <f t="shared" si="21"/>
        <v>4</v>
      </c>
      <c r="BF14" s="549">
        <f t="shared" ref="BF14" si="59">AZ14*50000+BA14*10000+BB14*5000+BC14*1000+BD14*500+BE14*100</f>
        <v>359400</v>
      </c>
      <c r="BH14" s="625" t="s">
        <v>1058</v>
      </c>
      <c r="BI14" s="628" t="s">
        <v>572</v>
      </c>
      <c r="BJ14" s="1155">
        <v>37373</v>
      </c>
      <c r="BK14" s="797" t="s">
        <v>1057</v>
      </c>
      <c r="BL14" s="757" t="s">
        <v>1325</v>
      </c>
    </row>
    <row r="15" spans="1:64" s="768" customFormat="1" ht="46.5" customHeight="1">
      <c r="A15" s="1369">
        <v>9</v>
      </c>
      <c r="B15" s="1783" t="s">
        <v>2292</v>
      </c>
      <c r="C15" s="1864" t="s">
        <v>2293</v>
      </c>
      <c r="D15" s="1866">
        <v>45496</v>
      </c>
      <c r="E15" s="1151" t="s">
        <v>260</v>
      </c>
      <c r="F15" s="758">
        <f>202+2</f>
        <v>204</v>
      </c>
      <c r="G15" s="758">
        <v>0</v>
      </c>
      <c r="H15" s="1001">
        <v>22</v>
      </c>
      <c r="I15" s="1408">
        <f t="shared" si="22"/>
        <v>172.61538461538461</v>
      </c>
      <c r="J15" s="618">
        <f t="shared" si="0"/>
        <v>172.61538461538461</v>
      </c>
      <c r="K15" s="1001">
        <v>68</v>
      </c>
      <c r="L15" s="510">
        <f t="shared" ref="L15" si="60">F15/26/8*1.5</f>
        <v>1.471153846153846</v>
      </c>
      <c r="M15" s="1096">
        <f t="shared" si="2"/>
        <v>100.03846153846153</v>
      </c>
      <c r="N15" s="1001">
        <v>0</v>
      </c>
      <c r="O15" s="510">
        <f t="shared" ref="O15" si="61">F15/26/8*2</f>
        <v>1.9615384615384615</v>
      </c>
      <c r="P15" s="503">
        <f t="shared" ref="P15" si="62">N15*O15</f>
        <v>0</v>
      </c>
      <c r="Q15" s="1001">
        <v>24</v>
      </c>
      <c r="R15" s="510">
        <f t="shared" ref="R15" si="63">F15/26/8*2</f>
        <v>1.9615384615384615</v>
      </c>
      <c r="S15" s="618">
        <f t="shared" ref="S15" si="64">R15*Q15</f>
        <v>47.076923076923073</v>
      </c>
      <c r="T15" s="1001">
        <v>5</v>
      </c>
      <c r="U15" s="510">
        <f t="shared" si="7"/>
        <v>7.8461538461538458</v>
      </c>
      <c r="V15" s="1096">
        <f t="shared" si="8"/>
        <v>39.230769230769226</v>
      </c>
      <c r="W15" s="1001">
        <v>0</v>
      </c>
      <c r="X15" s="1096">
        <f>'S5 Salary'!T16*'S5'!W15</f>
        <v>0</v>
      </c>
      <c r="Y15" s="1001">
        <v>0</v>
      </c>
      <c r="Z15" s="510">
        <f t="shared" ref="Z15" si="65">F15/26/2</f>
        <v>3.9230769230769229</v>
      </c>
      <c r="AA15" s="788">
        <f t="shared" ref="AA15" si="66">Y15*Z15</f>
        <v>0</v>
      </c>
      <c r="AB15" s="1001">
        <v>0</v>
      </c>
      <c r="AC15" s="1468">
        <f t="shared" ref="AC15" si="67">H15+T15+Y15+AB15+W15</f>
        <v>27</v>
      </c>
      <c r="AD15" s="1408">
        <v>0</v>
      </c>
      <c r="AE15" s="1121">
        <v>0</v>
      </c>
      <c r="AF15" s="1412">
        <v>5</v>
      </c>
      <c r="AG15" s="762">
        <v>5</v>
      </c>
      <c r="AH15" s="618">
        <v>10</v>
      </c>
      <c r="AI15" s="788">
        <v>0</v>
      </c>
      <c r="AJ15" s="618">
        <v>10</v>
      </c>
      <c r="AK15" s="618">
        <v>10</v>
      </c>
      <c r="AL15" s="1148">
        <f t="shared" si="12"/>
        <v>398.96153846153845</v>
      </c>
      <c r="AM15" s="1280">
        <v>0</v>
      </c>
      <c r="AN15" s="1404">
        <v>102</v>
      </c>
      <c r="AO15" s="1096">
        <f>'Tax Calulation    '!P15</f>
        <v>0</v>
      </c>
      <c r="AP15" s="1096">
        <f>'Tax Calulation    '!W15</f>
        <v>5.9084194977843429</v>
      </c>
      <c r="AQ15" s="1686">
        <f t="shared" si="13"/>
        <v>291.05311896375412</v>
      </c>
      <c r="AR15" s="1682">
        <f t="shared" si="24"/>
        <v>367900</v>
      </c>
      <c r="AS15" s="1684">
        <f t="shared" ref="AS15" si="68">CEILING(AQ15,(100))-100</f>
        <v>200</v>
      </c>
      <c r="AT15" s="612"/>
      <c r="AU15" s="763"/>
      <c r="AV15" s="764"/>
      <c r="AW15" s="502">
        <f t="shared" ref="AW15:AW16" si="69">INT(AS15/100)</f>
        <v>2</v>
      </c>
      <c r="AX15" s="502">
        <f t="shared" ref="AX15:AX16" si="70">INT((AS15-AW15*100)/50)</f>
        <v>0</v>
      </c>
      <c r="AY15" s="1113">
        <f t="shared" ref="AY15:AY16" si="71">AW15*100+AX15*50</f>
        <v>200</v>
      </c>
      <c r="AZ15" s="1113">
        <f t="shared" ref="AZ15:AZ16" si="72">INT((AR15/50000))</f>
        <v>7</v>
      </c>
      <c r="BA15" s="548">
        <f t="shared" ref="BA15:BA16" si="73">INT((AR15-AZ15*50000)/10000)</f>
        <v>1</v>
      </c>
      <c r="BB15" s="548">
        <f t="shared" ref="BB15:BB16" si="74">INT((AR15-AZ15*50000-BA15*10000)/5000)</f>
        <v>1</v>
      </c>
      <c r="BC15" s="548">
        <f t="shared" ref="BC15:BC16" si="75">INT((AR15-AZ15*50000-BA15*10000-BB15*5000)/1000)</f>
        <v>2</v>
      </c>
      <c r="BD15" s="548">
        <f t="shared" ref="BD15:BD16" si="76">INT((AR15-AZ15*50000-BA15*10000-BB15*5000-BC15*1000)/500)</f>
        <v>1</v>
      </c>
      <c r="BE15" s="548">
        <f t="shared" ref="BE15:BE16" si="77">INT((AR15-AZ15*50000-BA15*10000-BB15*5000-BC15*1000-BD15*500)/100)</f>
        <v>4</v>
      </c>
      <c r="BF15" s="549">
        <f t="shared" ref="BF15:BF16" si="78">AZ15*50000+BA15*10000+BB15*5000+BC15*1000+BD15*500+BE15*100</f>
        <v>367900</v>
      </c>
      <c r="BH15" s="1577" t="s">
        <v>2294</v>
      </c>
      <c r="BI15" s="628" t="s">
        <v>572</v>
      </c>
      <c r="BJ15" s="1781">
        <v>37932</v>
      </c>
      <c r="BK15" s="1780" t="s">
        <v>2295</v>
      </c>
      <c r="BL15" s="1782" t="s">
        <v>2296</v>
      </c>
    </row>
    <row r="16" spans="1:64" s="768" customFormat="1" ht="46.5" customHeight="1">
      <c r="A16" s="1369">
        <v>10</v>
      </c>
      <c r="B16" s="1783" t="s">
        <v>2395</v>
      </c>
      <c r="C16" s="1399" t="s">
        <v>2396</v>
      </c>
      <c r="D16" s="1866">
        <v>45581</v>
      </c>
      <c r="E16" s="1151" t="s">
        <v>260</v>
      </c>
      <c r="F16" s="758">
        <v>202</v>
      </c>
      <c r="G16" s="758">
        <v>0</v>
      </c>
      <c r="H16" s="1001">
        <v>9</v>
      </c>
      <c r="I16" s="1408">
        <f t="shared" ref="I16" si="79">F16/26*H16</f>
        <v>69.92307692307692</v>
      </c>
      <c r="J16" s="618">
        <f t="shared" ref="J16" si="80">F16/26*H16</f>
        <v>69.92307692307692</v>
      </c>
      <c r="K16" s="1001">
        <v>26</v>
      </c>
      <c r="L16" s="510">
        <f t="shared" ref="L16" si="81">F16/26/8*1.5</f>
        <v>1.4567307692307692</v>
      </c>
      <c r="M16" s="1096">
        <f t="shared" ref="M16" si="82">K16*L16</f>
        <v>37.875</v>
      </c>
      <c r="N16" s="1001">
        <v>0</v>
      </c>
      <c r="O16" s="510">
        <f t="shared" ref="O16" si="83">F16/26/8*2</f>
        <v>1.9423076923076923</v>
      </c>
      <c r="P16" s="503">
        <f t="shared" ref="P16" si="84">N16*O16</f>
        <v>0</v>
      </c>
      <c r="Q16" s="1001">
        <v>8</v>
      </c>
      <c r="R16" s="510">
        <f>F16/26/8*2</f>
        <v>1.9423076923076923</v>
      </c>
      <c r="S16" s="618">
        <f t="shared" ref="S16" si="85">R16*Q16</f>
        <v>15.538461538461538</v>
      </c>
      <c r="T16" s="1001">
        <v>1</v>
      </c>
      <c r="U16" s="510">
        <f t="shared" ref="U16" si="86">F16/26</f>
        <v>7.7692307692307692</v>
      </c>
      <c r="V16" s="1096">
        <f t="shared" ref="V16" si="87">U16*T16</f>
        <v>7.7692307692307692</v>
      </c>
      <c r="W16" s="1001">
        <v>0</v>
      </c>
      <c r="X16" s="1096">
        <f>'S5 Salary'!T17*'S5'!W16</f>
        <v>0</v>
      </c>
      <c r="Y16" s="1001">
        <v>0</v>
      </c>
      <c r="Z16" s="510">
        <f t="shared" ref="Z16" si="88">F16/26/2</f>
        <v>3.8846153846153846</v>
      </c>
      <c r="AA16" s="788">
        <f t="shared" ref="AA16" si="89">Y16*Z16</f>
        <v>0</v>
      </c>
      <c r="AB16" s="1001">
        <v>4</v>
      </c>
      <c r="AC16" s="1915">
        <f t="shared" ref="AC16" si="90">H16+T16+Y16+AB16+W16</f>
        <v>14</v>
      </c>
      <c r="AD16" s="1408">
        <v>0</v>
      </c>
      <c r="AE16" s="1121">
        <v>0</v>
      </c>
      <c r="AF16" s="1412">
        <v>0</v>
      </c>
      <c r="AG16" s="762">
        <v>0</v>
      </c>
      <c r="AH16" s="618">
        <v>0</v>
      </c>
      <c r="AI16" s="788">
        <v>0</v>
      </c>
      <c r="AJ16" s="618">
        <v>3.84</v>
      </c>
      <c r="AK16" s="618">
        <v>5</v>
      </c>
      <c r="AL16" s="1148">
        <f t="shared" si="12"/>
        <v>139.94576923076923</v>
      </c>
      <c r="AM16" s="1280">
        <v>0</v>
      </c>
      <c r="AN16" s="1404">
        <v>0</v>
      </c>
      <c r="AO16" s="1096">
        <f>'Tax Calulation    '!P16</f>
        <v>0</v>
      </c>
      <c r="AP16" s="1096">
        <f>'Tax Calulation    '!W16</f>
        <v>2.7989153846153845</v>
      </c>
      <c r="AQ16" s="1686">
        <f t="shared" ref="AQ16" si="91">AL16-AO16-AN16-AP16-AM16</f>
        <v>137.14685384615385</v>
      </c>
      <c r="AR16" s="1682">
        <f t="shared" ref="AR16" si="92">ROUND((AQ16-AS16)*4040,-2)</f>
        <v>150100</v>
      </c>
      <c r="AS16" s="1684">
        <f t="shared" ref="AS16" si="93">CEILING(AQ16,(100))-100</f>
        <v>100</v>
      </c>
      <c r="AT16" s="612"/>
      <c r="AU16" s="763"/>
      <c r="AV16" s="764"/>
      <c r="AW16" s="502">
        <f t="shared" si="69"/>
        <v>1</v>
      </c>
      <c r="AX16" s="502">
        <f t="shared" si="70"/>
        <v>0</v>
      </c>
      <c r="AY16" s="1113">
        <f t="shared" si="71"/>
        <v>100</v>
      </c>
      <c r="AZ16" s="1113">
        <f t="shared" si="72"/>
        <v>3</v>
      </c>
      <c r="BA16" s="548">
        <f t="shared" si="73"/>
        <v>0</v>
      </c>
      <c r="BB16" s="548">
        <f t="shared" si="74"/>
        <v>0</v>
      </c>
      <c r="BC16" s="548">
        <f t="shared" si="75"/>
        <v>0</v>
      </c>
      <c r="BD16" s="548">
        <f t="shared" si="76"/>
        <v>0</v>
      </c>
      <c r="BE16" s="548">
        <f t="shared" si="77"/>
        <v>1</v>
      </c>
      <c r="BF16" s="549">
        <f t="shared" si="78"/>
        <v>150100</v>
      </c>
      <c r="BH16" s="1764" t="s">
        <v>2397</v>
      </c>
      <c r="BI16" s="628" t="s">
        <v>943</v>
      </c>
      <c r="BJ16" s="1781">
        <v>36625</v>
      </c>
      <c r="BK16" s="1780" t="s">
        <v>2398</v>
      </c>
      <c r="BL16" s="745" t="s">
        <v>2399</v>
      </c>
    </row>
    <row r="17" spans="1:64" ht="46.5" customHeight="1">
      <c r="A17" s="1369">
        <v>11</v>
      </c>
      <c r="B17" s="1576" t="s">
        <v>1211</v>
      </c>
      <c r="C17" s="1854" t="s">
        <v>400</v>
      </c>
      <c r="D17" s="1841">
        <v>42814</v>
      </c>
      <c r="E17" s="1637" t="s">
        <v>260</v>
      </c>
      <c r="F17" s="617">
        <f>179+12+8+2+3</f>
        <v>204</v>
      </c>
      <c r="G17" s="617">
        <f>2</f>
        <v>2</v>
      </c>
      <c r="H17" s="1001">
        <v>22</v>
      </c>
      <c r="I17" s="1408">
        <f t="shared" si="22"/>
        <v>172.61538461538461</v>
      </c>
      <c r="J17" s="618">
        <f t="shared" si="0"/>
        <v>172.61538461538461</v>
      </c>
      <c r="K17" s="1001">
        <v>67</v>
      </c>
      <c r="L17" s="510">
        <f t="shared" si="1"/>
        <v>1.471153846153846</v>
      </c>
      <c r="M17" s="1096">
        <f t="shared" si="2"/>
        <v>98.567307692307679</v>
      </c>
      <c r="N17" s="1001">
        <v>0</v>
      </c>
      <c r="O17" s="510">
        <f t="shared" si="3"/>
        <v>1.9615384615384615</v>
      </c>
      <c r="P17" s="503">
        <f t="shared" si="4"/>
        <v>0</v>
      </c>
      <c r="Q17" s="1001">
        <v>24</v>
      </c>
      <c r="R17" s="510">
        <f t="shared" si="5"/>
        <v>1.9615384615384615</v>
      </c>
      <c r="S17" s="618">
        <f t="shared" si="6"/>
        <v>47.076923076923073</v>
      </c>
      <c r="T17" s="1001">
        <v>5</v>
      </c>
      <c r="U17" s="510">
        <f t="shared" si="7"/>
        <v>7.8461538461538458</v>
      </c>
      <c r="V17" s="1096">
        <f t="shared" si="8"/>
        <v>39.230769230769226</v>
      </c>
      <c r="W17" s="1001">
        <v>0</v>
      </c>
      <c r="X17" s="1096">
        <f>'S5 Salary'!T18*'S5'!W17</f>
        <v>0</v>
      </c>
      <c r="Y17" s="1001">
        <v>0</v>
      </c>
      <c r="Z17" s="510">
        <f t="shared" si="9"/>
        <v>3.9230769230769229</v>
      </c>
      <c r="AA17" s="618">
        <f t="shared" ref="AA17" si="94">Y17*Z17</f>
        <v>0</v>
      </c>
      <c r="AB17" s="1001">
        <v>0</v>
      </c>
      <c r="AC17" s="1467">
        <f t="shared" si="11"/>
        <v>27</v>
      </c>
      <c r="AD17" s="1408">
        <v>0</v>
      </c>
      <c r="AE17" s="1121">
        <v>0</v>
      </c>
      <c r="AF17" s="1412">
        <f>4+1</f>
        <v>5</v>
      </c>
      <c r="AG17" s="511">
        <v>0</v>
      </c>
      <c r="AH17" s="618">
        <v>10</v>
      </c>
      <c r="AI17" s="618">
        <v>8</v>
      </c>
      <c r="AJ17" s="618">
        <v>10</v>
      </c>
      <c r="AK17" s="618">
        <v>10</v>
      </c>
      <c r="AL17" s="1148">
        <f t="shared" si="12"/>
        <v>402.49038461538458</v>
      </c>
      <c r="AM17" s="1281">
        <v>0.5</v>
      </c>
      <c r="AN17" s="1404">
        <v>102</v>
      </c>
      <c r="AO17" s="1096">
        <f>'Tax Calulation    '!P17</f>
        <v>0.36528732530394281</v>
      </c>
      <c r="AP17" s="1096">
        <f>'Tax Calulation    '!W17</f>
        <v>5.9084194977843429</v>
      </c>
      <c r="AQ17" s="1686">
        <f t="shared" si="13"/>
        <v>293.71667779229631</v>
      </c>
      <c r="AR17" s="1682">
        <f t="shared" si="24"/>
        <v>378600</v>
      </c>
      <c r="AS17" s="1683">
        <f t="shared" si="25"/>
        <v>200</v>
      </c>
      <c r="AT17" s="502"/>
      <c r="AU17" s="504"/>
      <c r="AV17" s="505">
        <f>(J17+M17+P17+S17+V17+AA17+AH17+AI17+AJ17+AK17)*4000</f>
        <v>1581961.5384615383</v>
      </c>
      <c r="AW17" s="502">
        <f t="shared" si="14"/>
        <v>2</v>
      </c>
      <c r="AX17" s="502">
        <f t="shared" si="15"/>
        <v>0</v>
      </c>
      <c r="AY17" s="573">
        <f t="shared" si="26"/>
        <v>200</v>
      </c>
      <c r="AZ17" s="573">
        <f t="shared" si="16"/>
        <v>7</v>
      </c>
      <c r="BA17" s="548">
        <f t="shared" si="17"/>
        <v>2</v>
      </c>
      <c r="BB17" s="548">
        <f t="shared" si="18"/>
        <v>1</v>
      </c>
      <c r="BC17" s="548">
        <f t="shared" si="19"/>
        <v>3</v>
      </c>
      <c r="BD17" s="548">
        <f t="shared" si="20"/>
        <v>1</v>
      </c>
      <c r="BE17" s="548">
        <f t="shared" si="21"/>
        <v>1</v>
      </c>
      <c r="BF17" s="549">
        <f t="shared" si="27"/>
        <v>378600</v>
      </c>
      <c r="BH17" s="581" t="s">
        <v>813</v>
      </c>
      <c r="BI17" s="581" t="s">
        <v>574</v>
      </c>
      <c r="BJ17" s="1154">
        <v>34768</v>
      </c>
      <c r="BK17" s="587" t="s">
        <v>629</v>
      </c>
      <c r="BL17" s="745">
        <v>100742245</v>
      </c>
    </row>
    <row r="18" spans="1:64" ht="46.5" customHeight="1">
      <c r="A18" s="1369">
        <v>12</v>
      </c>
      <c r="B18" s="1576" t="s">
        <v>1212</v>
      </c>
      <c r="C18" s="1854" t="s">
        <v>814</v>
      </c>
      <c r="D18" s="1841">
        <v>41347</v>
      </c>
      <c r="E18" s="1637" t="s">
        <v>260</v>
      </c>
      <c r="F18" s="1649">
        <f>13+144+17+12+8+2+4+4</f>
        <v>204</v>
      </c>
      <c r="G18" s="617">
        <f>2</f>
        <v>2</v>
      </c>
      <c r="H18" s="1001">
        <v>22</v>
      </c>
      <c r="I18" s="1408">
        <f t="shared" si="22"/>
        <v>172.61538461538461</v>
      </c>
      <c r="J18" s="618">
        <f t="shared" si="0"/>
        <v>172.61538461538461</v>
      </c>
      <c r="K18" s="1001">
        <v>30</v>
      </c>
      <c r="L18" s="510">
        <f t="shared" si="1"/>
        <v>1.471153846153846</v>
      </c>
      <c r="M18" s="1096">
        <f t="shared" si="2"/>
        <v>44.13461538461538</v>
      </c>
      <c r="N18" s="1001">
        <v>0</v>
      </c>
      <c r="O18" s="510">
        <f t="shared" si="3"/>
        <v>1.9615384615384615</v>
      </c>
      <c r="P18" s="503">
        <f t="shared" si="4"/>
        <v>0</v>
      </c>
      <c r="Q18" s="1001">
        <v>0</v>
      </c>
      <c r="R18" s="510">
        <f t="shared" si="5"/>
        <v>1.9615384615384615</v>
      </c>
      <c r="S18" s="618">
        <f t="shared" si="6"/>
        <v>0</v>
      </c>
      <c r="T18" s="1001">
        <v>5</v>
      </c>
      <c r="U18" s="510">
        <f t="shared" si="7"/>
        <v>7.8461538461538458</v>
      </c>
      <c r="V18" s="1096">
        <f t="shared" si="8"/>
        <v>39.230769230769226</v>
      </c>
      <c r="W18" s="1001">
        <v>0</v>
      </c>
      <c r="X18" s="1096">
        <f>'S5 Salary'!T19*'S5'!W18</f>
        <v>0</v>
      </c>
      <c r="Y18" s="1001">
        <v>0</v>
      </c>
      <c r="Z18" s="510">
        <f t="shared" si="9"/>
        <v>3.9230769230769229</v>
      </c>
      <c r="AA18" s="618">
        <f t="shared" ref="AA18:AA33" si="95">Y18*Z18</f>
        <v>0</v>
      </c>
      <c r="AB18" s="1001">
        <v>0</v>
      </c>
      <c r="AC18" s="1467">
        <f t="shared" si="11"/>
        <v>27</v>
      </c>
      <c r="AD18" s="1408">
        <v>0</v>
      </c>
      <c r="AE18" s="1121">
        <v>0</v>
      </c>
      <c r="AF18" s="1412">
        <v>0</v>
      </c>
      <c r="AG18" s="511">
        <v>0</v>
      </c>
      <c r="AH18" s="618">
        <v>10</v>
      </c>
      <c r="AI18" s="618">
        <v>11</v>
      </c>
      <c r="AJ18" s="618">
        <v>10</v>
      </c>
      <c r="AK18" s="618">
        <v>10</v>
      </c>
      <c r="AL18" s="1148">
        <f t="shared" si="12"/>
        <v>298.98076923076923</v>
      </c>
      <c r="AM18" s="1278">
        <v>0.5</v>
      </c>
      <c r="AN18" s="1404">
        <v>102</v>
      </c>
      <c r="AO18" s="1096">
        <f>'Tax Calulation    '!P18</f>
        <v>0</v>
      </c>
      <c r="AP18" s="1096">
        <f>'Tax Calulation    '!W18</f>
        <v>5.9084194977843429</v>
      </c>
      <c r="AQ18" s="1686">
        <f t="shared" si="13"/>
        <v>190.57234973298489</v>
      </c>
      <c r="AR18" s="1682">
        <f t="shared" si="24"/>
        <v>365900</v>
      </c>
      <c r="AS18" s="1683">
        <f t="shared" si="25"/>
        <v>100</v>
      </c>
      <c r="AT18" s="502"/>
      <c r="AU18" s="504"/>
      <c r="AV18" s="505">
        <f>(J18+M18+P18+S18+V18+AA18+AH18+AI18+AJ18+AK18)*4000</f>
        <v>1187923.076923077</v>
      </c>
      <c r="AW18" s="502">
        <f t="shared" si="14"/>
        <v>1</v>
      </c>
      <c r="AX18" s="502">
        <f t="shared" si="15"/>
        <v>0</v>
      </c>
      <c r="AY18" s="573">
        <f t="shared" si="26"/>
        <v>100</v>
      </c>
      <c r="AZ18" s="573">
        <f t="shared" si="16"/>
        <v>7</v>
      </c>
      <c r="BA18" s="548">
        <f t="shared" si="17"/>
        <v>1</v>
      </c>
      <c r="BB18" s="548">
        <f t="shared" si="18"/>
        <v>1</v>
      </c>
      <c r="BC18" s="548">
        <f t="shared" si="19"/>
        <v>0</v>
      </c>
      <c r="BD18" s="548">
        <f t="shared" si="20"/>
        <v>1</v>
      </c>
      <c r="BE18" s="548">
        <f t="shared" si="21"/>
        <v>4</v>
      </c>
      <c r="BF18" s="549">
        <f t="shared" si="27"/>
        <v>365900</v>
      </c>
      <c r="BH18" s="581" t="s">
        <v>815</v>
      </c>
      <c r="BI18" s="581" t="s">
        <v>574</v>
      </c>
      <c r="BJ18" s="1154">
        <v>27642</v>
      </c>
      <c r="BK18" s="587" t="s">
        <v>630</v>
      </c>
      <c r="BL18" s="745">
        <v>20053967</v>
      </c>
    </row>
    <row r="19" spans="1:64" ht="46.5" customHeight="1">
      <c r="A19" s="1369">
        <v>13</v>
      </c>
      <c r="B19" s="1419" t="s">
        <v>1352</v>
      </c>
      <c r="C19" s="1448" t="s">
        <v>1354</v>
      </c>
      <c r="D19" s="1851">
        <v>44604</v>
      </c>
      <c r="E19" s="1637" t="s">
        <v>260</v>
      </c>
      <c r="F19" s="617">
        <f>201+3</f>
        <v>204</v>
      </c>
      <c r="G19" s="617">
        <v>2</v>
      </c>
      <c r="H19" s="1001">
        <v>21.5</v>
      </c>
      <c r="I19" s="1408">
        <f t="shared" si="22"/>
        <v>168.69230769230768</v>
      </c>
      <c r="J19" s="618">
        <f t="shared" si="0"/>
        <v>168.69230769230768</v>
      </c>
      <c r="K19" s="1001">
        <v>65</v>
      </c>
      <c r="L19" s="510">
        <f t="shared" si="1"/>
        <v>1.471153846153846</v>
      </c>
      <c r="M19" s="1096">
        <f t="shared" si="2"/>
        <v>95.624999999999986</v>
      </c>
      <c r="N19" s="1001">
        <v>0</v>
      </c>
      <c r="O19" s="510">
        <f t="shared" si="3"/>
        <v>1.9615384615384615</v>
      </c>
      <c r="P19" s="503">
        <f t="shared" si="4"/>
        <v>0</v>
      </c>
      <c r="Q19" s="1001">
        <v>16</v>
      </c>
      <c r="R19" s="510">
        <f t="shared" si="5"/>
        <v>1.9615384615384615</v>
      </c>
      <c r="S19" s="618">
        <f t="shared" si="6"/>
        <v>31.384615384615383</v>
      </c>
      <c r="T19" s="1001">
        <v>5.5</v>
      </c>
      <c r="U19" s="510">
        <f t="shared" si="7"/>
        <v>7.8461538461538458</v>
      </c>
      <c r="V19" s="1096">
        <f t="shared" si="8"/>
        <v>43.153846153846153</v>
      </c>
      <c r="W19" s="1001">
        <v>0</v>
      </c>
      <c r="X19" s="1096">
        <f>'S5 Salary'!T20*'S5'!W19</f>
        <v>0</v>
      </c>
      <c r="Y19" s="1001">
        <v>0</v>
      </c>
      <c r="Z19" s="510">
        <f>F19/26/2</f>
        <v>3.9230769230769229</v>
      </c>
      <c r="AA19" s="618">
        <f t="shared" ref="AA19" si="96">Y19*Z19</f>
        <v>0</v>
      </c>
      <c r="AB19" s="1001">
        <v>0</v>
      </c>
      <c r="AC19" s="1467">
        <f t="shared" si="11"/>
        <v>27</v>
      </c>
      <c r="AD19" s="1408">
        <v>0</v>
      </c>
      <c r="AE19" s="1121">
        <v>0</v>
      </c>
      <c r="AF19" s="1412">
        <f>4+1</f>
        <v>5</v>
      </c>
      <c r="AG19" s="511">
        <v>0</v>
      </c>
      <c r="AH19" s="618">
        <v>10</v>
      </c>
      <c r="AI19" s="618">
        <v>3</v>
      </c>
      <c r="AJ19" s="618">
        <v>10</v>
      </c>
      <c r="AK19" s="618">
        <v>10</v>
      </c>
      <c r="AL19" s="1148">
        <f t="shared" si="12"/>
        <v>378.85576923076917</v>
      </c>
      <c r="AM19" s="1281">
        <v>0.5</v>
      </c>
      <c r="AN19" s="1404">
        <v>102</v>
      </c>
      <c r="AO19" s="1096">
        <f>'Tax Calulation    '!P19</f>
        <v>0</v>
      </c>
      <c r="AP19" s="1096">
        <f>'Tax Calulation    '!W19</f>
        <v>5.9084194977843429</v>
      </c>
      <c r="AQ19" s="1686">
        <f t="shared" si="13"/>
        <v>270.44734973298483</v>
      </c>
      <c r="AR19" s="1682">
        <f t="shared" si="24"/>
        <v>284600</v>
      </c>
      <c r="AS19" s="1683">
        <f t="shared" ref="AS19" si="97">CEILING(AQ19,(100))-100</f>
        <v>200</v>
      </c>
      <c r="AT19" s="502"/>
      <c r="AU19" s="504"/>
      <c r="AV19" s="505"/>
      <c r="AW19" s="502">
        <f t="shared" si="14"/>
        <v>2</v>
      </c>
      <c r="AX19" s="502">
        <f t="shared" si="15"/>
        <v>0</v>
      </c>
      <c r="AY19" s="965">
        <f t="shared" ref="AY19" si="98">AW19*100+AX19*50</f>
        <v>200</v>
      </c>
      <c r="AZ19" s="965">
        <f t="shared" si="16"/>
        <v>5</v>
      </c>
      <c r="BA19" s="548">
        <f t="shared" si="17"/>
        <v>3</v>
      </c>
      <c r="BB19" s="548">
        <f t="shared" si="18"/>
        <v>0</v>
      </c>
      <c r="BC19" s="548">
        <f t="shared" si="19"/>
        <v>4</v>
      </c>
      <c r="BD19" s="548">
        <f t="shared" si="20"/>
        <v>1</v>
      </c>
      <c r="BE19" s="548">
        <f t="shared" si="21"/>
        <v>1</v>
      </c>
      <c r="BF19" s="549">
        <f t="shared" ref="BF19" si="99">AZ19*50000+BA19*10000+BB19*5000+BC19*1000+BD19*500+BE19*100</f>
        <v>284600</v>
      </c>
      <c r="BH19" s="625" t="s">
        <v>1384</v>
      </c>
      <c r="BI19" s="625" t="s">
        <v>943</v>
      </c>
      <c r="BJ19" s="1155">
        <v>36557</v>
      </c>
      <c r="BK19" s="971" t="s">
        <v>1385</v>
      </c>
      <c r="BL19" s="806" t="s">
        <v>1386</v>
      </c>
    </row>
    <row r="20" spans="1:64" ht="46.5" customHeight="1">
      <c r="A20" s="1369">
        <v>14</v>
      </c>
      <c r="B20" s="1419" t="s">
        <v>1565</v>
      </c>
      <c r="C20" s="1448" t="s">
        <v>1566</v>
      </c>
      <c r="D20" s="1841">
        <v>44735</v>
      </c>
      <c r="E20" s="1637" t="s">
        <v>260</v>
      </c>
      <c r="F20" s="617">
        <f>201+3</f>
        <v>204</v>
      </c>
      <c r="G20" s="617">
        <v>2</v>
      </c>
      <c r="H20" s="1001">
        <v>22</v>
      </c>
      <c r="I20" s="1408">
        <f t="shared" si="22"/>
        <v>172.61538461538461</v>
      </c>
      <c r="J20" s="618">
        <f t="shared" si="0"/>
        <v>172.61538461538461</v>
      </c>
      <c r="K20" s="1001">
        <v>67</v>
      </c>
      <c r="L20" s="510">
        <f t="shared" si="1"/>
        <v>1.471153846153846</v>
      </c>
      <c r="M20" s="1096">
        <f t="shared" si="2"/>
        <v>98.567307692307679</v>
      </c>
      <c r="N20" s="1001">
        <v>0</v>
      </c>
      <c r="O20" s="510">
        <f t="shared" si="3"/>
        <v>1.9615384615384615</v>
      </c>
      <c r="P20" s="503">
        <f t="shared" si="4"/>
        <v>0</v>
      </c>
      <c r="Q20" s="1001">
        <v>24</v>
      </c>
      <c r="R20" s="510">
        <f t="shared" si="5"/>
        <v>1.9615384615384615</v>
      </c>
      <c r="S20" s="618">
        <f t="shared" si="6"/>
        <v>47.076923076923073</v>
      </c>
      <c r="T20" s="1001">
        <v>5</v>
      </c>
      <c r="U20" s="510">
        <f t="shared" si="7"/>
        <v>7.8461538461538458</v>
      </c>
      <c r="V20" s="1096">
        <f t="shared" si="8"/>
        <v>39.230769230769226</v>
      </c>
      <c r="W20" s="1001">
        <v>0</v>
      </c>
      <c r="X20" s="1096">
        <f>'S5 Salary'!T21*'S5'!W20</f>
        <v>0</v>
      </c>
      <c r="Y20" s="1001">
        <v>0</v>
      </c>
      <c r="Z20" s="510">
        <f t="shared" si="9"/>
        <v>3.9230769230769229</v>
      </c>
      <c r="AA20" s="618">
        <f t="shared" ref="AA20" si="100">Y20*Z20</f>
        <v>0</v>
      </c>
      <c r="AB20" s="1001">
        <v>0</v>
      </c>
      <c r="AC20" s="1467">
        <f t="shared" si="11"/>
        <v>27</v>
      </c>
      <c r="AD20" s="1408">
        <v>0</v>
      </c>
      <c r="AE20" s="1121">
        <v>0</v>
      </c>
      <c r="AF20" s="1412">
        <f>4+1</f>
        <v>5</v>
      </c>
      <c r="AG20" s="511">
        <v>0</v>
      </c>
      <c r="AH20" s="618">
        <v>10</v>
      </c>
      <c r="AI20" s="618">
        <v>3</v>
      </c>
      <c r="AJ20" s="618">
        <v>10</v>
      </c>
      <c r="AK20" s="618">
        <v>10</v>
      </c>
      <c r="AL20" s="1148">
        <f t="shared" si="12"/>
        <v>397.49038461538458</v>
      </c>
      <c r="AM20" s="1281">
        <v>0.5</v>
      </c>
      <c r="AN20" s="1404">
        <v>102</v>
      </c>
      <c r="AO20" s="1096">
        <f>'Tax Calulation    '!P20</f>
        <v>0</v>
      </c>
      <c r="AP20" s="1096">
        <f>'Tax Calulation    '!W20</f>
        <v>5.9084194977843429</v>
      </c>
      <c r="AQ20" s="1686">
        <f t="shared" si="13"/>
        <v>289.08196511760025</v>
      </c>
      <c r="AR20" s="1682">
        <f t="shared" si="24"/>
        <v>359900</v>
      </c>
      <c r="AS20" s="1683">
        <f t="shared" ref="AS20" si="101">CEILING(AQ20,(100))-100</f>
        <v>200</v>
      </c>
      <c r="AT20" s="502"/>
      <c r="AU20" s="504"/>
      <c r="AV20" s="505"/>
      <c r="AW20" s="502">
        <f t="shared" si="14"/>
        <v>2</v>
      </c>
      <c r="AX20" s="502">
        <f t="shared" si="15"/>
        <v>0</v>
      </c>
      <c r="AY20" s="1094">
        <f t="shared" ref="AY20:AY21" si="102">AW20*100+AX20*50</f>
        <v>200</v>
      </c>
      <c r="AZ20" s="1094">
        <f t="shared" si="16"/>
        <v>7</v>
      </c>
      <c r="BA20" s="548">
        <f t="shared" si="17"/>
        <v>0</v>
      </c>
      <c r="BB20" s="548">
        <f t="shared" si="18"/>
        <v>1</v>
      </c>
      <c r="BC20" s="548">
        <f t="shared" si="19"/>
        <v>4</v>
      </c>
      <c r="BD20" s="548">
        <f t="shared" si="20"/>
        <v>1</v>
      </c>
      <c r="BE20" s="548">
        <f t="shared" si="21"/>
        <v>4</v>
      </c>
      <c r="BF20" s="549">
        <f t="shared" ref="BF20:BF21" si="103">AZ20*50000+BA20*10000+BB20*5000+BC20*1000+BD20*500+BE20*100</f>
        <v>359900</v>
      </c>
      <c r="BH20" s="973" t="s">
        <v>1583</v>
      </c>
      <c r="BI20" s="625" t="s">
        <v>572</v>
      </c>
      <c r="BJ20" s="1162">
        <v>27890</v>
      </c>
      <c r="BK20" s="807" t="s">
        <v>1582</v>
      </c>
      <c r="BL20" s="1099">
        <v>61612649</v>
      </c>
    </row>
    <row r="21" spans="1:64" ht="46.5" customHeight="1">
      <c r="A21" s="1369">
        <v>15</v>
      </c>
      <c r="B21" s="1415" t="s">
        <v>1577</v>
      </c>
      <c r="C21" s="1153" t="s">
        <v>1578</v>
      </c>
      <c r="D21" s="1841">
        <v>44740</v>
      </c>
      <c r="E21" s="1637" t="s">
        <v>260</v>
      </c>
      <c r="F21" s="617">
        <f>201+3</f>
        <v>204</v>
      </c>
      <c r="G21" s="617">
        <v>2</v>
      </c>
      <c r="H21" s="1001">
        <v>20.5</v>
      </c>
      <c r="I21" s="1408">
        <f t="shared" si="22"/>
        <v>160.84615384615384</v>
      </c>
      <c r="J21" s="618">
        <f t="shared" si="0"/>
        <v>160.84615384615384</v>
      </c>
      <c r="K21" s="1001">
        <v>63</v>
      </c>
      <c r="L21" s="510">
        <f t="shared" si="1"/>
        <v>1.471153846153846</v>
      </c>
      <c r="M21" s="1096">
        <f t="shared" si="2"/>
        <v>92.682692307692307</v>
      </c>
      <c r="N21" s="1001">
        <v>0</v>
      </c>
      <c r="O21" s="510">
        <f t="shared" si="3"/>
        <v>1.9615384615384615</v>
      </c>
      <c r="P21" s="503">
        <f t="shared" si="4"/>
        <v>0</v>
      </c>
      <c r="Q21" s="1001">
        <v>16</v>
      </c>
      <c r="R21" s="510">
        <f t="shared" si="5"/>
        <v>1.9615384615384615</v>
      </c>
      <c r="S21" s="618">
        <f t="shared" si="6"/>
        <v>31.384615384615383</v>
      </c>
      <c r="T21" s="1001">
        <v>5</v>
      </c>
      <c r="U21" s="510">
        <f t="shared" si="7"/>
        <v>7.8461538461538458</v>
      </c>
      <c r="V21" s="1096">
        <f t="shared" si="8"/>
        <v>39.230769230769226</v>
      </c>
      <c r="W21" s="1001">
        <v>1.5</v>
      </c>
      <c r="X21" s="1096">
        <f>'S5 Salary'!T22*'S5'!W21</f>
        <v>17.847001635259396</v>
      </c>
      <c r="Y21" s="1001">
        <v>0</v>
      </c>
      <c r="Z21" s="510">
        <f t="shared" si="9"/>
        <v>3.9230769230769229</v>
      </c>
      <c r="AA21" s="618">
        <f t="shared" ref="AA21" si="104">Y21*Z21</f>
        <v>0</v>
      </c>
      <c r="AB21" s="1001">
        <v>0</v>
      </c>
      <c r="AC21" s="1467">
        <f t="shared" si="11"/>
        <v>27</v>
      </c>
      <c r="AD21" s="1408">
        <v>0</v>
      </c>
      <c r="AE21" s="1121">
        <v>0</v>
      </c>
      <c r="AF21" s="1412">
        <f>4+1</f>
        <v>5</v>
      </c>
      <c r="AG21" s="511">
        <v>0</v>
      </c>
      <c r="AH21" s="618">
        <v>10</v>
      </c>
      <c r="AI21" s="618">
        <v>3</v>
      </c>
      <c r="AJ21" s="618">
        <v>10</v>
      </c>
      <c r="AK21" s="618">
        <v>10</v>
      </c>
      <c r="AL21" s="1148">
        <f t="shared" si="12"/>
        <v>381.99123240449012</v>
      </c>
      <c r="AM21" s="1281">
        <v>0.5</v>
      </c>
      <c r="AN21" s="1404">
        <v>102</v>
      </c>
      <c r="AO21" s="1096">
        <f>'Tax Calulation    '!P21</f>
        <v>0</v>
      </c>
      <c r="AP21" s="1096">
        <f>'Tax Calulation    '!W21</f>
        <v>5.9084194977843429</v>
      </c>
      <c r="AQ21" s="1686">
        <f t="shared" si="13"/>
        <v>273.58281290670578</v>
      </c>
      <c r="AR21" s="1682">
        <f t="shared" si="24"/>
        <v>297300</v>
      </c>
      <c r="AS21" s="1683">
        <f t="shared" ref="AS21" si="105">CEILING(AQ21,(100))-100</f>
        <v>200</v>
      </c>
      <c r="AT21" s="502"/>
      <c r="AU21" s="504"/>
      <c r="AV21" s="505"/>
      <c r="AW21" s="502">
        <f t="shared" si="14"/>
        <v>2</v>
      </c>
      <c r="AX21" s="502">
        <f t="shared" si="15"/>
        <v>0</v>
      </c>
      <c r="AY21" s="1094">
        <f t="shared" si="102"/>
        <v>200</v>
      </c>
      <c r="AZ21" s="1094">
        <f t="shared" si="16"/>
        <v>5</v>
      </c>
      <c r="BA21" s="548">
        <f t="shared" si="17"/>
        <v>4</v>
      </c>
      <c r="BB21" s="548">
        <f t="shared" si="18"/>
        <v>1</v>
      </c>
      <c r="BC21" s="548">
        <f t="shared" si="19"/>
        <v>2</v>
      </c>
      <c r="BD21" s="548">
        <f t="shared" si="20"/>
        <v>0</v>
      </c>
      <c r="BE21" s="548">
        <f t="shared" si="21"/>
        <v>3</v>
      </c>
      <c r="BF21" s="549">
        <f t="shared" si="103"/>
        <v>297300</v>
      </c>
      <c r="BH21" s="973" t="s">
        <v>1584</v>
      </c>
      <c r="BI21" s="625" t="s">
        <v>572</v>
      </c>
      <c r="BJ21" s="1162">
        <v>32549</v>
      </c>
      <c r="BK21" s="807" t="s">
        <v>1581</v>
      </c>
      <c r="BL21" s="1112" t="s">
        <v>1630</v>
      </c>
    </row>
    <row r="22" spans="1:64" ht="46.5" customHeight="1">
      <c r="A22" s="1369">
        <v>16</v>
      </c>
      <c r="B22" s="1415" t="s">
        <v>1624</v>
      </c>
      <c r="C22" s="1153" t="s">
        <v>1625</v>
      </c>
      <c r="D22" s="1841">
        <v>44747</v>
      </c>
      <c r="E22" s="1637" t="s">
        <v>260</v>
      </c>
      <c r="F22" s="617">
        <f>201+3</f>
        <v>204</v>
      </c>
      <c r="G22" s="617">
        <v>2</v>
      </c>
      <c r="H22" s="1001">
        <v>21</v>
      </c>
      <c r="I22" s="1408">
        <f t="shared" si="22"/>
        <v>164.76923076923077</v>
      </c>
      <c r="J22" s="618">
        <f t="shared" si="0"/>
        <v>164.76923076923077</v>
      </c>
      <c r="K22" s="1001">
        <v>64</v>
      </c>
      <c r="L22" s="510">
        <f t="shared" si="1"/>
        <v>1.471153846153846</v>
      </c>
      <c r="M22" s="1096">
        <f t="shared" si="2"/>
        <v>94.153846153846146</v>
      </c>
      <c r="N22" s="1001">
        <v>0</v>
      </c>
      <c r="O22" s="510">
        <f t="shared" si="3"/>
        <v>1.9615384615384615</v>
      </c>
      <c r="P22" s="503">
        <f t="shared" si="4"/>
        <v>0</v>
      </c>
      <c r="Q22" s="1001">
        <v>16</v>
      </c>
      <c r="R22" s="510">
        <f t="shared" si="5"/>
        <v>1.9615384615384615</v>
      </c>
      <c r="S22" s="618">
        <f t="shared" si="6"/>
        <v>31.384615384615383</v>
      </c>
      <c r="T22" s="1001">
        <v>5.5</v>
      </c>
      <c r="U22" s="510">
        <f t="shared" si="7"/>
        <v>7.8461538461538458</v>
      </c>
      <c r="V22" s="1096">
        <f t="shared" si="8"/>
        <v>43.153846153846153</v>
      </c>
      <c r="W22" s="1001">
        <v>0.5</v>
      </c>
      <c r="X22" s="1096">
        <f>'S5 Salary'!T23*'S5'!W22</f>
        <v>5.8301226893171352</v>
      </c>
      <c r="Y22" s="1001">
        <v>0</v>
      </c>
      <c r="Z22" s="510">
        <f t="shared" si="9"/>
        <v>3.9230769230769229</v>
      </c>
      <c r="AA22" s="618">
        <f t="shared" ref="AA22" si="106">Y22*Z22</f>
        <v>0</v>
      </c>
      <c r="AB22" s="1001">
        <v>0</v>
      </c>
      <c r="AC22" s="1467">
        <f t="shared" si="11"/>
        <v>27</v>
      </c>
      <c r="AD22" s="1408">
        <v>0</v>
      </c>
      <c r="AE22" s="1121">
        <v>0</v>
      </c>
      <c r="AF22" s="1412">
        <f>4+1</f>
        <v>5</v>
      </c>
      <c r="AG22" s="511">
        <v>0</v>
      </c>
      <c r="AH22" s="618">
        <v>10</v>
      </c>
      <c r="AI22" s="618">
        <v>3</v>
      </c>
      <c r="AJ22" s="618">
        <v>10</v>
      </c>
      <c r="AK22" s="618">
        <v>10</v>
      </c>
      <c r="AL22" s="1148">
        <f t="shared" si="12"/>
        <v>379.29166115085553</v>
      </c>
      <c r="AM22" s="1278">
        <v>0</v>
      </c>
      <c r="AN22" s="1404">
        <v>102</v>
      </c>
      <c r="AO22" s="1096">
        <f>'Tax Calulation    '!P22</f>
        <v>0</v>
      </c>
      <c r="AP22" s="1096">
        <f>'Tax Calulation    '!W22</f>
        <v>5.9084194977843429</v>
      </c>
      <c r="AQ22" s="1686">
        <f t="shared" si="13"/>
        <v>271.3832416530712</v>
      </c>
      <c r="AR22" s="1682">
        <f t="shared" si="24"/>
        <v>288400</v>
      </c>
      <c r="AS22" s="1683">
        <f t="shared" ref="AS22" si="107">CEILING(AQ22,(100))-100</f>
        <v>200</v>
      </c>
      <c r="AT22" s="502"/>
      <c r="AU22" s="504"/>
      <c r="AV22" s="505"/>
      <c r="AW22" s="502">
        <f t="shared" ref="AW22" si="108">INT(AS22/100)</f>
        <v>2</v>
      </c>
      <c r="AX22" s="502">
        <f t="shared" ref="AX22" si="109">INT((AS22-AW22*100)/50)</f>
        <v>0</v>
      </c>
      <c r="AY22" s="1111">
        <f t="shared" ref="AY22" si="110">AW22*100+AX22*50</f>
        <v>200</v>
      </c>
      <c r="AZ22" s="1111">
        <f t="shared" ref="AZ22" si="111">INT((AR22/50000))</f>
        <v>5</v>
      </c>
      <c r="BA22" s="548">
        <f t="shared" ref="BA22" si="112">INT((AR22-AZ22*50000)/10000)</f>
        <v>3</v>
      </c>
      <c r="BB22" s="548">
        <f t="shared" ref="BB22" si="113">INT((AR22-AZ22*50000-BA22*10000)/5000)</f>
        <v>1</v>
      </c>
      <c r="BC22" s="548">
        <f t="shared" ref="BC22" si="114">INT((AR22-AZ22*50000-BA22*10000-BB22*5000)/1000)</f>
        <v>3</v>
      </c>
      <c r="BD22" s="548">
        <f t="shared" ref="BD22" si="115">INT((AR22-AZ22*50000-BA22*10000-BB22*5000-BC22*1000)/500)</f>
        <v>0</v>
      </c>
      <c r="BE22" s="548">
        <f t="shared" ref="BE22" si="116">INT((AR22-AZ22*50000-BA22*10000-BB22*5000-BC22*1000-BD22*500)/100)</f>
        <v>4</v>
      </c>
      <c r="BF22" s="549">
        <f t="shared" ref="BF22" si="117">AZ22*50000+BA22*10000+BB22*5000+BC22*1000+BD22*500+BE22*100</f>
        <v>288400</v>
      </c>
      <c r="BH22" s="973" t="s">
        <v>1628</v>
      </c>
      <c r="BI22" s="625" t="s">
        <v>572</v>
      </c>
      <c r="BJ22" s="1162">
        <v>31724</v>
      </c>
      <c r="BK22" s="807" t="s">
        <v>1629</v>
      </c>
      <c r="BL22" s="1112" t="s">
        <v>1631</v>
      </c>
    </row>
    <row r="23" spans="1:64" ht="46.5" customHeight="1">
      <c r="A23" s="1369">
        <v>17</v>
      </c>
      <c r="B23" s="1415" t="s">
        <v>1819</v>
      </c>
      <c r="C23" s="1153" t="s">
        <v>1820</v>
      </c>
      <c r="D23" s="1841">
        <v>44838</v>
      </c>
      <c r="E23" s="1637" t="s">
        <v>260</v>
      </c>
      <c r="F23" s="1649">
        <f>196+4+4</f>
        <v>204</v>
      </c>
      <c r="G23" s="617">
        <v>0</v>
      </c>
      <c r="H23" s="1001">
        <v>22</v>
      </c>
      <c r="I23" s="1408">
        <f t="shared" si="22"/>
        <v>172.61538461538461</v>
      </c>
      <c r="J23" s="618">
        <f t="shared" si="0"/>
        <v>172.61538461538461</v>
      </c>
      <c r="K23" s="1001">
        <v>68</v>
      </c>
      <c r="L23" s="510">
        <f t="shared" si="1"/>
        <v>1.471153846153846</v>
      </c>
      <c r="M23" s="1096">
        <f t="shared" si="2"/>
        <v>100.03846153846153</v>
      </c>
      <c r="N23" s="1001">
        <v>0</v>
      </c>
      <c r="O23" s="510">
        <f t="shared" si="3"/>
        <v>1.9615384615384615</v>
      </c>
      <c r="P23" s="503">
        <f t="shared" si="4"/>
        <v>0</v>
      </c>
      <c r="Q23" s="1001">
        <v>24</v>
      </c>
      <c r="R23" s="510">
        <f t="shared" si="5"/>
        <v>1.9615384615384615</v>
      </c>
      <c r="S23" s="618">
        <f t="shared" si="6"/>
        <v>47.076923076923073</v>
      </c>
      <c r="T23" s="1001">
        <v>5</v>
      </c>
      <c r="U23" s="510">
        <f t="shared" si="7"/>
        <v>7.8461538461538458</v>
      </c>
      <c r="V23" s="1096">
        <f t="shared" si="8"/>
        <v>39.230769230769226</v>
      </c>
      <c r="W23" s="1001">
        <v>0</v>
      </c>
      <c r="X23" s="1096">
        <f>'S5 Salary'!T24*'S5'!W23</f>
        <v>0</v>
      </c>
      <c r="Y23" s="1001">
        <v>0</v>
      </c>
      <c r="Z23" s="510">
        <f t="shared" si="9"/>
        <v>3.9230769230769229</v>
      </c>
      <c r="AA23" s="618">
        <f t="shared" ref="AA23" si="118">Y23*Z23</f>
        <v>0</v>
      </c>
      <c r="AB23" s="1001">
        <v>0</v>
      </c>
      <c r="AC23" s="1467">
        <f t="shared" si="11"/>
        <v>27</v>
      </c>
      <c r="AD23" s="1408">
        <v>0</v>
      </c>
      <c r="AE23" s="1121">
        <v>0</v>
      </c>
      <c r="AF23" s="1412">
        <v>0</v>
      </c>
      <c r="AG23" s="511">
        <v>0</v>
      </c>
      <c r="AH23" s="618">
        <v>10</v>
      </c>
      <c r="AI23" s="618">
        <v>3</v>
      </c>
      <c r="AJ23" s="618">
        <v>10</v>
      </c>
      <c r="AK23" s="618">
        <v>10</v>
      </c>
      <c r="AL23" s="1148">
        <f t="shared" si="12"/>
        <v>391.96153846153845</v>
      </c>
      <c r="AM23" s="1278">
        <v>0</v>
      </c>
      <c r="AN23" s="1404">
        <v>102</v>
      </c>
      <c r="AO23" s="1096">
        <f>'Tax Calulation    '!P23</f>
        <v>0</v>
      </c>
      <c r="AP23" s="1096">
        <f>'Tax Calulation    '!W23</f>
        <v>5.9084194977843429</v>
      </c>
      <c r="AQ23" s="1686">
        <f t="shared" si="13"/>
        <v>284.05311896375412</v>
      </c>
      <c r="AR23" s="1682">
        <f t="shared" si="24"/>
        <v>339600</v>
      </c>
      <c r="AS23" s="1683">
        <f t="shared" ref="AS23" si="119">CEILING(AQ23,(100))-100</f>
        <v>200</v>
      </c>
      <c r="AT23" s="502"/>
      <c r="AU23" s="504"/>
      <c r="AV23" s="505"/>
      <c r="AW23" s="502">
        <f t="shared" ref="AW23" si="120">INT(AS23/100)</f>
        <v>2</v>
      </c>
      <c r="AX23" s="502">
        <f t="shared" ref="AX23" si="121">INT((AS23-AW23*100)/50)</f>
        <v>0</v>
      </c>
      <c r="AY23" s="1113">
        <f t="shared" ref="AY23" si="122">AW23*100+AX23*50</f>
        <v>200</v>
      </c>
      <c r="AZ23" s="1113">
        <f t="shared" ref="AZ23" si="123">INT((AR23/50000))</f>
        <v>6</v>
      </c>
      <c r="BA23" s="548">
        <f t="shared" ref="BA23" si="124">INT((AR23-AZ23*50000)/10000)</f>
        <v>3</v>
      </c>
      <c r="BB23" s="548">
        <f t="shared" ref="BB23" si="125">INT((AR23-AZ23*50000-BA23*10000)/5000)</f>
        <v>1</v>
      </c>
      <c r="BC23" s="548">
        <f t="shared" ref="BC23" si="126">INT((AR23-AZ23*50000-BA23*10000-BB23*5000)/1000)</f>
        <v>4</v>
      </c>
      <c r="BD23" s="548">
        <f t="shared" ref="BD23" si="127">INT((AR23-AZ23*50000-BA23*10000-BB23*5000-BC23*1000)/500)</f>
        <v>1</v>
      </c>
      <c r="BE23" s="548">
        <f t="shared" ref="BE23" si="128">INT((AR23-AZ23*50000-BA23*10000-BB23*5000-BC23*1000-BD23*500)/100)</f>
        <v>1</v>
      </c>
      <c r="BF23" s="549">
        <f t="shared" ref="BF23" si="129">AZ23*50000+BA23*10000+BB23*5000+BC23*1000+BD23*500+BE23*100</f>
        <v>339600</v>
      </c>
      <c r="BH23" s="973" t="s">
        <v>1822</v>
      </c>
      <c r="BI23" s="625" t="s">
        <v>572</v>
      </c>
      <c r="BJ23" s="1220">
        <v>30247</v>
      </c>
      <c r="BK23" s="807" t="s">
        <v>1821</v>
      </c>
      <c r="BL23" s="1461" t="s">
        <v>1997</v>
      </c>
    </row>
    <row r="24" spans="1:64" ht="46.5" customHeight="1">
      <c r="A24" s="1369">
        <v>18</v>
      </c>
      <c r="B24" s="1576" t="s">
        <v>1214</v>
      </c>
      <c r="C24" s="1854" t="s">
        <v>816</v>
      </c>
      <c r="D24" s="1841">
        <v>41403</v>
      </c>
      <c r="E24" s="1637" t="s">
        <v>260</v>
      </c>
      <c r="F24" s="617">
        <f>13+149+17+12+8+2+3</f>
        <v>204</v>
      </c>
      <c r="G24" s="617">
        <f>2</f>
        <v>2</v>
      </c>
      <c r="H24" s="1001">
        <v>22</v>
      </c>
      <c r="I24" s="1408">
        <f t="shared" si="22"/>
        <v>172.61538461538461</v>
      </c>
      <c r="J24" s="618">
        <f t="shared" si="0"/>
        <v>172.61538461538461</v>
      </c>
      <c r="K24" s="1001">
        <v>30</v>
      </c>
      <c r="L24" s="510">
        <f t="shared" si="1"/>
        <v>1.471153846153846</v>
      </c>
      <c r="M24" s="1096">
        <f t="shared" si="2"/>
        <v>44.13461538461538</v>
      </c>
      <c r="N24" s="1001">
        <v>0</v>
      </c>
      <c r="O24" s="510">
        <f t="shared" si="3"/>
        <v>1.9615384615384615</v>
      </c>
      <c r="P24" s="503">
        <f t="shared" si="4"/>
        <v>0</v>
      </c>
      <c r="Q24" s="1001">
        <v>24</v>
      </c>
      <c r="R24" s="510">
        <f t="shared" si="5"/>
        <v>1.9615384615384615</v>
      </c>
      <c r="S24" s="618">
        <f t="shared" si="6"/>
        <v>47.076923076923073</v>
      </c>
      <c r="T24" s="1001">
        <v>5</v>
      </c>
      <c r="U24" s="510">
        <f t="shared" si="7"/>
        <v>7.8461538461538458</v>
      </c>
      <c r="V24" s="1096">
        <f t="shared" si="8"/>
        <v>39.230769230769226</v>
      </c>
      <c r="W24" s="1001">
        <v>0</v>
      </c>
      <c r="X24" s="1096">
        <f>'S5 Salary'!T25*'S5'!W24</f>
        <v>0</v>
      </c>
      <c r="Y24" s="1001">
        <v>0</v>
      </c>
      <c r="Z24" s="510">
        <f t="shared" si="9"/>
        <v>3.9230769230769229</v>
      </c>
      <c r="AA24" s="618">
        <f t="shared" si="95"/>
        <v>0</v>
      </c>
      <c r="AB24" s="1001">
        <v>0</v>
      </c>
      <c r="AC24" s="1467">
        <f t="shared" si="11"/>
        <v>27</v>
      </c>
      <c r="AD24" s="1408">
        <v>0</v>
      </c>
      <c r="AE24" s="1121">
        <v>0</v>
      </c>
      <c r="AF24" s="1412">
        <f>4+1</f>
        <v>5</v>
      </c>
      <c r="AG24" s="511">
        <v>0</v>
      </c>
      <c r="AH24" s="618">
        <v>10</v>
      </c>
      <c r="AI24" s="618">
        <v>11</v>
      </c>
      <c r="AJ24" s="618">
        <v>10</v>
      </c>
      <c r="AK24" s="618">
        <v>10</v>
      </c>
      <c r="AL24" s="1148">
        <f t="shared" si="12"/>
        <v>351.05769230769232</v>
      </c>
      <c r="AM24" s="1278">
        <v>0</v>
      </c>
      <c r="AN24" s="1404">
        <v>102</v>
      </c>
      <c r="AO24" s="1096">
        <f>'Tax Calulation    '!P24</f>
        <v>0</v>
      </c>
      <c r="AP24" s="1096">
        <f>'Tax Calulation    '!W24</f>
        <v>5.9084194977843429</v>
      </c>
      <c r="AQ24" s="1686">
        <f t="shared" si="13"/>
        <v>243.14927280990798</v>
      </c>
      <c r="AR24" s="1682">
        <f t="shared" si="24"/>
        <v>174300</v>
      </c>
      <c r="AS24" s="1683">
        <f t="shared" si="25"/>
        <v>200</v>
      </c>
      <c r="AT24" s="502"/>
      <c r="AU24" s="504"/>
      <c r="AV24" s="505">
        <f>(J24+M24+P24+S24+V24+AA24+AH24+AI24+AJ24+AK24)*4000</f>
        <v>1376230.7692307692</v>
      </c>
      <c r="AW24" s="502">
        <f>INT(AS24/100)</f>
        <v>2</v>
      </c>
      <c r="AX24" s="502">
        <f t="shared" si="15"/>
        <v>0</v>
      </c>
      <c r="AY24" s="573">
        <f t="shared" si="26"/>
        <v>200</v>
      </c>
      <c r="AZ24" s="573">
        <f t="shared" si="16"/>
        <v>3</v>
      </c>
      <c r="BA24" s="548">
        <f t="shared" si="17"/>
        <v>2</v>
      </c>
      <c r="BB24" s="548">
        <f t="shared" si="18"/>
        <v>0</v>
      </c>
      <c r="BC24" s="548">
        <f t="shared" si="19"/>
        <v>4</v>
      </c>
      <c r="BD24" s="548">
        <f t="shared" si="20"/>
        <v>0</v>
      </c>
      <c r="BE24" s="548">
        <f t="shared" si="21"/>
        <v>3</v>
      </c>
      <c r="BF24" s="549">
        <f t="shared" si="27"/>
        <v>174300</v>
      </c>
      <c r="BH24" s="581" t="s">
        <v>817</v>
      </c>
      <c r="BI24" s="581" t="s">
        <v>574</v>
      </c>
      <c r="BJ24" s="1154">
        <v>26332</v>
      </c>
      <c r="BK24" s="587" t="s">
        <v>631</v>
      </c>
      <c r="BL24" s="745">
        <v>30694380</v>
      </c>
    </row>
    <row r="25" spans="1:64" ht="46.5" customHeight="1">
      <c r="A25" s="1369">
        <v>19</v>
      </c>
      <c r="B25" s="1415" t="s">
        <v>535</v>
      </c>
      <c r="C25" s="1329" t="s">
        <v>536</v>
      </c>
      <c r="D25" s="1841">
        <v>43748</v>
      </c>
      <c r="E25" s="1637" t="s">
        <v>260</v>
      </c>
      <c r="F25" s="617">
        <f>196+8+2</f>
        <v>206</v>
      </c>
      <c r="G25" s="617">
        <f>2</f>
        <v>2</v>
      </c>
      <c r="H25" s="1001">
        <v>22</v>
      </c>
      <c r="I25" s="1408">
        <f t="shared" si="22"/>
        <v>174.30769230769232</v>
      </c>
      <c r="J25" s="618">
        <f t="shared" si="0"/>
        <v>174.30769230769232</v>
      </c>
      <c r="K25" s="1001">
        <v>64</v>
      </c>
      <c r="L25" s="510">
        <f t="shared" si="1"/>
        <v>1.4855769230769231</v>
      </c>
      <c r="M25" s="1096">
        <f t="shared" si="2"/>
        <v>95.07692307692308</v>
      </c>
      <c r="N25" s="1001">
        <v>0</v>
      </c>
      <c r="O25" s="510">
        <f t="shared" si="3"/>
        <v>1.9807692307692308</v>
      </c>
      <c r="P25" s="503">
        <f t="shared" si="4"/>
        <v>0</v>
      </c>
      <c r="Q25" s="1001">
        <v>24</v>
      </c>
      <c r="R25" s="510">
        <f t="shared" si="5"/>
        <v>1.9807692307692308</v>
      </c>
      <c r="S25" s="618">
        <f t="shared" si="6"/>
        <v>47.53846153846154</v>
      </c>
      <c r="T25" s="1001">
        <v>5</v>
      </c>
      <c r="U25" s="510">
        <f t="shared" si="7"/>
        <v>7.9230769230769234</v>
      </c>
      <c r="V25" s="1096">
        <f t="shared" si="8"/>
        <v>39.615384615384613</v>
      </c>
      <c r="W25" s="1001">
        <v>0</v>
      </c>
      <c r="X25" s="1096">
        <f>'S5 Salary'!T26*'S5'!W25</f>
        <v>0</v>
      </c>
      <c r="Y25" s="1001">
        <v>0</v>
      </c>
      <c r="Z25" s="510">
        <f t="shared" si="9"/>
        <v>3.9615384615384617</v>
      </c>
      <c r="AA25" s="618">
        <f t="shared" ref="AA25" si="130">Y25*Z25</f>
        <v>0</v>
      </c>
      <c r="AB25" s="1001">
        <v>0</v>
      </c>
      <c r="AC25" s="1467">
        <f t="shared" si="11"/>
        <v>27</v>
      </c>
      <c r="AD25" s="1408">
        <v>0</v>
      </c>
      <c r="AE25" s="1121">
        <v>0</v>
      </c>
      <c r="AF25" s="1412">
        <f>4+4</f>
        <v>8</v>
      </c>
      <c r="AG25" s="511">
        <v>0</v>
      </c>
      <c r="AH25" s="618">
        <v>10</v>
      </c>
      <c r="AI25" s="618">
        <v>6</v>
      </c>
      <c r="AJ25" s="618">
        <v>10</v>
      </c>
      <c r="AK25" s="618">
        <v>10</v>
      </c>
      <c r="AL25" s="1148">
        <f t="shared" si="12"/>
        <v>402.53846153846155</v>
      </c>
      <c r="AM25" s="1278">
        <v>0</v>
      </c>
      <c r="AN25" s="1404">
        <v>102</v>
      </c>
      <c r="AO25" s="1096">
        <f>'Tax Calulation    '!P25</f>
        <v>0</v>
      </c>
      <c r="AP25" s="1096">
        <f>'Tax Calulation    '!W25</f>
        <v>5.9084194977843429</v>
      </c>
      <c r="AQ25" s="1686">
        <f t="shared" si="13"/>
        <v>294.63004204067721</v>
      </c>
      <c r="AR25" s="1682">
        <f t="shared" si="24"/>
        <v>382300</v>
      </c>
      <c r="AS25" s="1683">
        <f t="shared" si="25"/>
        <v>200</v>
      </c>
      <c r="AT25" s="502"/>
      <c r="AU25" s="504"/>
      <c r="AV25" s="505">
        <f>(J25+M25+P25+S25+V25+AA25+AH25+AI25+AJ25+AK25)*4000</f>
        <v>1570153.8461538462</v>
      </c>
      <c r="AW25" s="502">
        <f t="shared" si="14"/>
        <v>2</v>
      </c>
      <c r="AX25" s="502">
        <f t="shared" si="15"/>
        <v>0</v>
      </c>
      <c r="AY25" s="573">
        <f t="shared" si="26"/>
        <v>200</v>
      </c>
      <c r="AZ25" s="573">
        <f t="shared" si="16"/>
        <v>7</v>
      </c>
      <c r="BA25" s="548">
        <f t="shared" si="17"/>
        <v>3</v>
      </c>
      <c r="BB25" s="548">
        <f t="shared" si="18"/>
        <v>0</v>
      </c>
      <c r="BC25" s="548">
        <f t="shared" si="19"/>
        <v>2</v>
      </c>
      <c r="BD25" s="548">
        <f t="shared" si="20"/>
        <v>0</v>
      </c>
      <c r="BE25" s="548">
        <f t="shared" si="21"/>
        <v>3</v>
      </c>
      <c r="BF25" s="549">
        <f t="shared" si="27"/>
        <v>382300</v>
      </c>
      <c r="BH25" s="578" t="s">
        <v>818</v>
      </c>
      <c r="BI25" s="578" t="s">
        <v>574</v>
      </c>
      <c r="BJ25" s="1154">
        <v>32730</v>
      </c>
      <c r="BK25" s="587" t="s">
        <v>632</v>
      </c>
      <c r="BL25" s="745">
        <v>110389144</v>
      </c>
    </row>
    <row r="26" spans="1:64" s="768" customFormat="1" ht="46.5" customHeight="1">
      <c r="A26" s="1369">
        <v>20</v>
      </c>
      <c r="B26" s="1418" t="s">
        <v>1216</v>
      </c>
      <c r="C26" s="1330" t="s">
        <v>1217</v>
      </c>
      <c r="D26" s="1851">
        <v>41944</v>
      </c>
      <c r="E26" s="1151" t="s">
        <v>260</v>
      </c>
      <c r="F26" s="758">
        <f>199+12+8+2</f>
        <v>221</v>
      </c>
      <c r="G26" s="758">
        <f>15+2</f>
        <v>17</v>
      </c>
      <c r="H26" s="1001">
        <v>22</v>
      </c>
      <c r="I26" s="1408">
        <f t="shared" si="22"/>
        <v>187</v>
      </c>
      <c r="J26" s="618">
        <f t="shared" si="0"/>
        <v>187</v>
      </c>
      <c r="K26" s="1001">
        <v>68</v>
      </c>
      <c r="L26" s="510">
        <f t="shared" si="1"/>
        <v>1.59375</v>
      </c>
      <c r="M26" s="1096">
        <f t="shared" si="2"/>
        <v>108.375</v>
      </c>
      <c r="N26" s="1001">
        <v>0</v>
      </c>
      <c r="O26" s="510">
        <f t="shared" si="3"/>
        <v>2.125</v>
      </c>
      <c r="P26" s="503">
        <f t="shared" si="4"/>
        <v>0</v>
      </c>
      <c r="Q26" s="1001">
        <v>24</v>
      </c>
      <c r="R26" s="510">
        <f t="shared" si="5"/>
        <v>2.125</v>
      </c>
      <c r="S26" s="618">
        <f t="shared" si="6"/>
        <v>51</v>
      </c>
      <c r="T26" s="1001">
        <v>5</v>
      </c>
      <c r="U26" s="510">
        <f t="shared" si="7"/>
        <v>8.5</v>
      </c>
      <c r="V26" s="1096">
        <f t="shared" si="8"/>
        <v>42.5</v>
      </c>
      <c r="W26" s="1001">
        <v>0</v>
      </c>
      <c r="X26" s="1096">
        <f>'S5 Salary'!T27*'S5'!W26</f>
        <v>0</v>
      </c>
      <c r="Y26" s="1001">
        <v>0</v>
      </c>
      <c r="Z26" s="510">
        <f t="shared" si="9"/>
        <v>4.25</v>
      </c>
      <c r="AA26" s="788">
        <f t="shared" si="95"/>
        <v>0</v>
      </c>
      <c r="AB26" s="1001">
        <v>0</v>
      </c>
      <c r="AC26" s="1467">
        <f t="shared" si="11"/>
        <v>27</v>
      </c>
      <c r="AD26" s="1408">
        <v>0</v>
      </c>
      <c r="AE26" s="1121">
        <v>0</v>
      </c>
      <c r="AF26" s="1412">
        <v>0</v>
      </c>
      <c r="AG26" s="1223">
        <v>0</v>
      </c>
      <c r="AH26" s="618">
        <v>10</v>
      </c>
      <c r="AI26" s="788">
        <v>10</v>
      </c>
      <c r="AJ26" s="618">
        <v>10</v>
      </c>
      <c r="AK26" s="618">
        <v>10</v>
      </c>
      <c r="AL26" s="1148">
        <f t="shared" si="12"/>
        <v>445.875</v>
      </c>
      <c r="AM26" s="1280">
        <v>0</v>
      </c>
      <c r="AN26" s="1404">
        <v>102</v>
      </c>
      <c r="AO26" s="1096">
        <f>'Tax Calulation    '!P26</f>
        <v>2.5345180945347141</v>
      </c>
      <c r="AP26" s="1096">
        <f>'Tax Calulation    '!W26</f>
        <v>5.9084194977843429</v>
      </c>
      <c r="AQ26" s="1686">
        <f t="shared" si="13"/>
        <v>335.43206240768097</v>
      </c>
      <c r="AR26" s="1682">
        <f t="shared" si="24"/>
        <v>143100</v>
      </c>
      <c r="AS26" s="1684">
        <f t="shared" si="25"/>
        <v>300</v>
      </c>
      <c r="AT26" s="612"/>
      <c r="AU26" s="763"/>
      <c r="AV26" s="764">
        <f>(J26+M26+P26+S26+V26+AA26+AH26+AI26+AJ26+AK26)*4000</f>
        <v>1715500</v>
      </c>
      <c r="AW26" s="612">
        <f t="shared" si="14"/>
        <v>3</v>
      </c>
      <c r="AX26" s="612">
        <f t="shared" si="15"/>
        <v>0</v>
      </c>
      <c r="AY26" s="765">
        <f t="shared" si="26"/>
        <v>300</v>
      </c>
      <c r="AZ26" s="765">
        <f t="shared" si="16"/>
        <v>2</v>
      </c>
      <c r="BA26" s="766">
        <f t="shared" si="17"/>
        <v>4</v>
      </c>
      <c r="BB26" s="766">
        <f t="shared" si="18"/>
        <v>0</v>
      </c>
      <c r="BC26" s="766">
        <f t="shared" si="19"/>
        <v>3</v>
      </c>
      <c r="BD26" s="766">
        <f t="shared" si="20"/>
        <v>0</v>
      </c>
      <c r="BE26" s="766">
        <f t="shared" si="21"/>
        <v>1</v>
      </c>
      <c r="BF26" s="767">
        <f t="shared" si="27"/>
        <v>143100</v>
      </c>
      <c r="BH26" s="628" t="s">
        <v>819</v>
      </c>
      <c r="BI26" s="628" t="s">
        <v>571</v>
      </c>
      <c r="BJ26" s="1155">
        <v>35151</v>
      </c>
      <c r="BK26" s="756" t="s">
        <v>633</v>
      </c>
      <c r="BL26" s="757">
        <v>20886224</v>
      </c>
    </row>
    <row r="27" spans="1:64" ht="46.5" customHeight="1">
      <c r="A27" s="1369">
        <v>21</v>
      </c>
      <c r="B27" s="1576" t="s">
        <v>1218</v>
      </c>
      <c r="C27" s="1854" t="s">
        <v>411</v>
      </c>
      <c r="D27" s="1841">
        <v>42850</v>
      </c>
      <c r="E27" s="1637" t="s">
        <v>260</v>
      </c>
      <c r="F27" s="617">
        <f>162+17+12+8+2+3</f>
        <v>204</v>
      </c>
      <c r="G27" s="617">
        <f>2</f>
        <v>2</v>
      </c>
      <c r="H27" s="1001">
        <v>22</v>
      </c>
      <c r="I27" s="1408">
        <f t="shared" si="22"/>
        <v>172.61538461538461</v>
      </c>
      <c r="J27" s="618">
        <f t="shared" si="0"/>
        <v>172.61538461538461</v>
      </c>
      <c r="K27" s="1001">
        <v>68</v>
      </c>
      <c r="L27" s="510">
        <f t="shared" si="1"/>
        <v>1.471153846153846</v>
      </c>
      <c r="M27" s="1096">
        <f t="shared" si="2"/>
        <v>100.03846153846153</v>
      </c>
      <c r="N27" s="1001">
        <v>0</v>
      </c>
      <c r="O27" s="510">
        <f t="shared" si="3"/>
        <v>1.9615384615384615</v>
      </c>
      <c r="P27" s="503">
        <f t="shared" si="4"/>
        <v>0</v>
      </c>
      <c r="Q27" s="1001">
        <v>16</v>
      </c>
      <c r="R27" s="510">
        <f t="shared" si="5"/>
        <v>1.9615384615384615</v>
      </c>
      <c r="S27" s="618">
        <f t="shared" si="6"/>
        <v>31.384615384615383</v>
      </c>
      <c r="T27" s="1001">
        <v>5</v>
      </c>
      <c r="U27" s="510">
        <f t="shared" si="7"/>
        <v>7.8461538461538458</v>
      </c>
      <c r="V27" s="1096">
        <f t="shared" si="8"/>
        <v>39.230769230769226</v>
      </c>
      <c r="W27" s="1001">
        <v>0</v>
      </c>
      <c r="X27" s="1096">
        <f>'S5 Salary'!T28*'S5'!W27</f>
        <v>0</v>
      </c>
      <c r="Y27" s="1001">
        <v>0</v>
      </c>
      <c r="Z27" s="510">
        <f t="shared" si="9"/>
        <v>3.9230769230769229</v>
      </c>
      <c r="AA27" s="618">
        <f>Y27*Z27</f>
        <v>0</v>
      </c>
      <c r="AB27" s="1001">
        <v>0</v>
      </c>
      <c r="AC27" s="1467">
        <f t="shared" si="11"/>
        <v>27</v>
      </c>
      <c r="AD27" s="1408">
        <v>0</v>
      </c>
      <c r="AE27" s="1121">
        <v>0</v>
      </c>
      <c r="AF27" s="1412">
        <f>4+1</f>
        <v>5</v>
      </c>
      <c r="AG27" s="511">
        <v>0</v>
      </c>
      <c r="AH27" s="618">
        <v>10</v>
      </c>
      <c r="AI27" s="618">
        <v>8</v>
      </c>
      <c r="AJ27" s="618">
        <v>10</v>
      </c>
      <c r="AK27" s="618">
        <v>10</v>
      </c>
      <c r="AL27" s="1148">
        <f t="shared" si="12"/>
        <v>388.26923076923072</v>
      </c>
      <c r="AM27" s="1278">
        <v>0</v>
      </c>
      <c r="AN27" s="1404">
        <v>102</v>
      </c>
      <c r="AO27" s="1096">
        <f>'Tax Calulation    '!P27</f>
        <v>0</v>
      </c>
      <c r="AP27" s="1096">
        <f>'Tax Calulation    '!W27</f>
        <v>5.9084194977843429</v>
      </c>
      <c r="AQ27" s="1686">
        <f t="shared" si="13"/>
        <v>280.36081127144638</v>
      </c>
      <c r="AR27" s="1682">
        <f t="shared" si="24"/>
        <v>324700</v>
      </c>
      <c r="AS27" s="1683">
        <f t="shared" si="25"/>
        <v>200</v>
      </c>
      <c r="AT27" s="502"/>
      <c r="AU27" s="504"/>
      <c r="AV27" s="505">
        <f>(J27+M27+P27+S27+V27+AA27+AH27+AI27+AJ27+AK27)*4000</f>
        <v>1525076.9230769228</v>
      </c>
      <c r="AW27" s="502">
        <f t="shared" si="14"/>
        <v>2</v>
      </c>
      <c r="AX27" s="502">
        <f t="shared" si="15"/>
        <v>0</v>
      </c>
      <c r="AY27" s="573">
        <f t="shared" si="26"/>
        <v>200</v>
      </c>
      <c r="AZ27" s="573">
        <f t="shared" si="16"/>
        <v>6</v>
      </c>
      <c r="BA27" s="548">
        <f t="shared" si="17"/>
        <v>2</v>
      </c>
      <c r="BB27" s="548">
        <f t="shared" si="18"/>
        <v>0</v>
      </c>
      <c r="BC27" s="548">
        <f t="shared" si="19"/>
        <v>4</v>
      </c>
      <c r="BD27" s="548">
        <f t="shared" si="20"/>
        <v>1</v>
      </c>
      <c r="BE27" s="548">
        <f t="shared" si="21"/>
        <v>2</v>
      </c>
      <c r="BF27" s="549">
        <f t="shared" si="27"/>
        <v>324700</v>
      </c>
      <c r="BH27" s="581" t="s">
        <v>820</v>
      </c>
      <c r="BI27" s="581" t="s">
        <v>574</v>
      </c>
      <c r="BJ27" s="1154">
        <v>34037</v>
      </c>
      <c r="BK27" s="587" t="s">
        <v>634</v>
      </c>
      <c r="BL27" s="745">
        <v>61739454</v>
      </c>
    </row>
    <row r="28" spans="1:64" ht="46.5" customHeight="1">
      <c r="A28" s="1369">
        <v>22</v>
      </c>
      <c r="B28" s="1576" t="s">
        <v>1219</v>
      </c>
      <c r="C28" s="1854" t="s">
        <v>419</v>
      </c>
      <c r="D28" s="1841">
        <v>42949</v>
      </c>
      <c r="E28" s="1637" t="s">
        <v>260</v>
      </c>
      <c r="F28" s="617">
        <f>167+17+12+8+2</f>
        <v>206</v>
      </c>
      <c r="G28" s="617">
        <f>2</f>
        <v>2</v>
      </c>
      <c r="H28" s="1001">
        <v>22</v>
      </c>
      <c r="I28" s="1408">
        <f t="shared" si="22"/>
        <v>174.30769230769232</v>
      </c>
      <c r="J28" s="618">
        <f t="shared" si="0"/>
        <v>174.30769230769232</v>
      </c>
      <c r="K28" s="1001">
        <v>68</v>
      </c>
      <c r="L28" s="510">
        <f t="shared" si="1"/>
        <v>1.4855769230769231</v>
      </c>
      <c r="M28" s="1096">
        <f t="shared" si="2"/>
        <v>101.01923076923077</v>
      </c>
      <c r="N28" s="1001">
        <v>0</v>
      </c>
      <c r="O28" s="510">
        <f t="shared" si="3"/>
        <v>1.9807692307692308</v>
      </c>
      <c r="P28" s="503">
        <f t="shared" si="4"/>
        <v>0</v>
      </c>
      <c r="Q28" s="1001">
        <v>20</v>
      </c>
      <c r="R28" s="510">
        <f t="shared" si="5"/>
        <v>1.9807692307692308</v>
      </c>
      <c r="S28" s="618">
        <f t="shared" si="6"/>
        <v>39.615384615384613</v>
      </c>
      <c r="T28" s="1001">
        <v>5</v>
      </c>
      <c r="U28" s="510">
        <f t="shared" si="7"/>
        <v>7.9230769230769234</v>
      </c>
      <c r="V28" s="1096">
        <f t="shared" si="8"/>
        <v>39.615384615384613</v>
      </c>
      <c r="W28" s="1001">
        <v>0</v>
      </c>
      <c r="X28" s="1096">
        <f>'S5 Salary'!T29*'S5'!W28</f>
        <v>0</v>
      </c>
      <c r="Y28" s="1001">
        <v>0</v>
      </c>
      <c r="Z28" s="510">
        <f t="shared" si="9"/>
        <v>3.9615384615384617</v>
      </c>
      <c r="AA28" s="618">
        <f t="shared" ref="AA28" si="131">Y28*Z28</f>
        <v>0</v>
      </c>
      <c r="AB28" s="1001">
        <v>0</v>
      </c>
      <c r="AC28" s="1467">
        <f t="shared" si="11"/>
        <v>27</v>
      </c>
      <c r="AD28" s="1408">
        <v>0</v>
      </c>
      <c r="AE28" s="1121">
        <v>0</v>
      </c>
      <c r="AF28" s="1412">
        <f>4+4</f>
        <v>8</v>
      </c>
      <c r="AG28" s="511">
        <v>0</v>
      </c>
      <c r="AH28" s="618">
        <v>10</v>
      </c>
      <c r="AI28" s="618">
        <v>8</v>
      </c>
      <c r="AJ28" s="618">
        <v>10</v>
      </c>
      <c r="AK28" s="618">
        <v>10</v>
      </c>
      <c r="AL28" s="1148">
        <f t="shared" si="12"/>
        <v>402.55769230769238</v>
      </c>
      <c r="AM28" s="1278">
        <v>0.5</v>
      </c>
      <c r="AN28" s="1404">
        <v>102</v>
      </c>
      <c r="AO28" s="1096">
        <f>'Tax Calulation    '!P28</f>
        <v>0</v>
      </c>
      <c r="AP28" s="1096">
        <f>'Tax Calulation    '!W28</f>
        <v>5.9084194977843429</v>
      </c>
      <c r="AQ28" s="1686">
        <f t="shared" si="13"/>
        <v>294.14927280990804</v>
      </c>
      <c r="AR28" s="1682">
        <f t="shared" si="24"/>
        <v>380400</v>
      </c>
      <c r="AS28" s="1683">
        <f t="shared" si="25"/>
        <v>200</v>
      </c>
      <c r="AT28" s="502"/>
      <c r="AU28" s="504"/>
      <c r="AV28" s="505">
        <f>(J28+M28+P28+S28+V28+AA28+AH28+AI28+AJ28+AK28)*4000</f>
        <v>1570230.7692307695</v>
      </c>
      <c r="AW28" s="502">
        <f t="shared" si="14"/>
        <v>2</v>
      </c>
      <c r="AX28" s="502">
        <f t="shared" si="15"/>
        <v>0</v>
      </c>
      <c r="AY28" s="573">
        <f t="shared" si="26"/>
        <v>200</v>
      </c>
      <c r="AZ28" s="573">
        <f t="shared" si="16"/>
        <v>7</v>
      </c>
      <c r="BA28" s="548">
        <f t="shared" si="17"/>
        <v>3</v>
      </c>
      <c r="BB28" s="548">
        <f t="shared" si="18"/>
        <v>0</v>
      </c>
      <c r="BC28" s="548">
        <f t="shared" si="19"/>
        <v>0</v>
      </c>
      <c r="BD28" s="548">
        <f t="shared" si="20"/>
        <v>0</v>
      </c>
      <c r="BE28" s="548">
        <f t="shared" si="21"/>
        <v>4</v>
      </c>
      <c r="BF28" s="549">
        <f t="shared" si="27"/>
        <v>380400</v>
      </c>
      <c r="BH28" s="581" t="s">
        <v>821</v>
      </c>
      <c r="BI28" s="581" t="s">
        <v>571</v>
      </c>
      <c r="BJ28" s="1154">
        <v>34045</v>
      </c>
      <c r="BK28" s="587" t="s">
        <v>635</v>
      </c>
      <c r="BL28" s="745">
        <v>40364180</v>
      </c>
    </row>
    <row r="29" spans="1:64" ht="46.5" customHeight="1">
      <c r="A29" s="1369">
        <v>23</v>
      </c>
      <c r="B29" s="1415" t="s">
        <v>703</v>
      </c>
      <c r="C29" s="1329" t="s">
        <v>1220</v>
      </c>
      <c r="D29" s="1841">
        <v>43294</v>
      </c>
      <c r="E29" s="1637" t="s">
        <v>260</v>
      </c>
      <c r="F29" s="617">
        <f>174+12+8+2+4+4</f>
        <v>204</v>
      </c>
      <c r="G29" s="617">
        <f>2</f>
        <v>2</v>
      </c>
      <c r="H29" s="1001">
        <v>22</v>
      </c>
      <c r="I29" s="1408">
        <f t="shared" si="22"/>
        <v>172.61538461538461</v>
      </c>
      <c r="J29" s="618">
        <f t="shared" si="0"/>
        <v>172.61538461538461</v>
      </c>
      <c r="K29" s="1001">
        <v>57</v>
      </c>
      <c r="L29" s="510">
        <f t="shared" si="1"/>
        <v>1.471153846153846</v>
      </c>
      <c r="M29" s="1096">
        <f t="shared" si="2"/>
        <v>83.855769230769226</v>
      </c>
      <c r="N29" s="1001">
        <v>0</v>
      </c>
      <c r="O29" s="510">
        <f t="shared" si="3"/>
        <v>1.9615384615384615</v>
      </c>
      <c r="P29" s="503">
        <f t="shared" si="4"/>
        <v>0</v>
      </c>
      <c r="Q29" s="1001">
        <v>24</v>
      </c>
      <c r="R29" s="510">
        <f t="shared" si="5"/>
        <v>1.9615384615384615</v>
      </c>
      <c r="S29" s="618">
        <f t="shared" si="6"/>
        <v>47.076923076923073</v>
      </c>
      <c r="T29" s="1001">
        <v>5</v>
      </c>
      <c r="U29" s="510">
        <f t="shared" si="7"/>
        <v>7.8461538461538458</v>
      </c>
      <c r="V29" s="1096">
        <f t="shared" si="8"/>
        <v>39.230769230769226</v>
      </c>
      <c r="W29" s="1001">
        <v>0</v>
      </c>
      <c r="X29" s="1096">
        <f>'S5 Salary'!T30*'S5'!W29</f>
        <v>0</v>
      </c>
      <c r="Y29" s="1001">
        <v>0</v>
      </c>
      <c r="Z29" s="510">
        <f t="shared" si="9"/>
        <v>3.9230769230769229</v>
      </c>
      <c r="AA29" s="618">
        <f t="shared" ref="AA29" si="132">Y29*Z29</f>
        <v>0</v>
      </c>
      <c r="AB29" s="1001">
        <v>0</v>
      </c>
      <c r="AC29" s="1467">
        <f t="shared" si="11"/>
        <v>27</v>
      </c>
      <c r="AD29" s="1408">
        <v>0</v>
      </c>
      <c r="AE29" s="1121">
        <v>0</v>
      </c>
      <c r="AF29" s="1412">
        <v>8</v>
      </c>
      <c r="AG29" s="511">
        <v>0</v>
      </c>
      <c r="AH29" s="618">
        <v>10</v>
      </c>
      <c r="AI29" s="618">
        <v>7</v>
      </c>
      <c r="AJ29" s="618">
        <v>10</v>
      </c>
      <c r="AK29" s="618">
        <v>10</v>
      </c>
      <c r="AL29" s="1148">
        <f t="shared" si="12"/>
        <v>389.77884615384613</v>
      </c>
      <c r="AM29" s="1281">
        <v>0.5</v>
      </c>
      <c r="AN29" s="1404">
        <v>102</v>
      </c>
      <c r="AO29" s="1096">
        <f>'Tax Calulation    '!P29</f>
        <v>0</v>
      </c>
      <c r="AP29" s="1096">
        <f>'Tax Calulation    '!W29</f>
        <v>5.9084194977843429</v>
      </c>
      <c r="AQ29" s="1686">
        <f t="shared" si="13"/>
        <v>281.3704266560618</v>
      </c>
      <c r="AR29" s="1682">
        <f t="shared" si="24"/>
        <v>328700</v>
      </c>
      <c r="AS29" s="1683">
        <f t="shared" si="25"/>
        <v>200</v>
      </c>
      <c r="AT29" s="502"/>
      <c r="AU29" s="504"/>
      <c r="AV29" s="505"/>
      <c r="AW29" s="502">
        <f t="shared" si="14"/>
        <v>2</v>
      </c>
      <c r="AX29" s="502">
        <f t="shared" si="15"/>
        <v>0</v>
      </c>
      <c r="AY29" s="573">
        <f t="shared" si="26"/>
        <v>200</v>
      </c>
      <c r="AZ29" s="573">
        <f t="shared" si="16"/>
        <v>6</v>
      </c>
      <c r="BA29" s="548">
        <f t="shared" si="17"/>
        <v>2</v>
      </c>
      <c r="BB29" s="548">
        <f t="shared" si="18"/>
        <v>1</v>
      </c>
      <c r="BC29" s="548">
        <f t="shared" si="19"/>
        <v>3</v>
      </c>
      <c r="BD29" s="548">
        <f t="shared" si="20"/>
        <v>1</v>
      </c>
      <c r="BE29" s="548">
        <f t="shared" si="21"/>
        <v>2</v>
      </c>
      <c r="BF29" s="549">
        <f t="shared" si="27"/>
        <v>328700</v>
      </c>
      <c r="BH29" s="578" t="s">
        <v>822</v>
      </c>
      <c r="BI29" s="578" t="s">
        <v>706</v>
      </c>
      <c r="BJ29" s="1163">
        <v>29803</v>
      </c>
      <c r="BK29" s="587" t="s">
        <v>705</v>
      </c>
      <c r="BL29" s="745">
        <v>100741029</v>
      </c>
    </row>
    <row r="30" spans="1:64" ht="46.5" customHeight="1">
      <c r="A30" s="1369">
        <v>24</v>
      </c>
      <c r="B30" s="1414" t="s">
        <v>1221</v>
      </c>
      <c r="C30" s="1329" t="s">
        <v>308</v>
      </c>
      <c r="D30" s="1841">
        <v>42121</v>
      </c>
      <c r="E30" s="1637" t="s">
        <v>260</v>
      </c>
      <c r="F30" s="1649">
        <f>13+144+17+12+8+2+4+4</f>
        <v>204</v>
      </c>
      <c r="G30" s="617">
        <f>2</f>
        <v>2</v>
      </c>
      <c r="H30" s="1001">
        <v>22</v>
      </c>
      <c r="I30" s="1408">
        <f t="shared" si="22"/>
        <v>172.61538461538461</v>
      </c>
      <c r="J30" s="618">
        <f t="shared" si="0"/>
        <v>172.61538461538461</v>
      </c>
      <c r="K30" s="1001">
        <v>68</v>
      </c>
      <c r="L30" s="510">
        <f t="shared" si="1"/>
        <v>1.471153846153846</v>
      </c>
      <c r="M30" s="1096">
        <f t="shared" si="2"/>
        <v>100.03846153846153</v>
      </c>
      <c r="N30" s="1001">
        <v>0</v>
      </c>
      <c r="O30" s="510">
        <f t="shared" si="3"/>
        <v>1.9615384615384615</v>
      </c>
      <c r="P30" s="503">
        <f t="shared" si="4"/>
        <v>0</v>
      </c>
      <c r="Q30" s="1001">
        <v>24</v>
      </c>
      <c r="R30" s="510">
        <f t="shared" si="5"/>
        <v>1.9615384615384615</v>
      </c>
      <c r="S30" s="618">
        <f t="shared" si="6"/>
        <v>47.076923076923073</v>
      </c>
      <c r="T30" s="1001">
        <v>5</v>
      </c>
      <c r="U30" s="510">
        <f t="shared" si="7"/>
        <v>7.8461538461538458</v>
      </c>
      <c r="V30" s="1096">
        <f t="shared" si="8"/>
        <v>39.230769230769226</v>
      </c>
      <c r="W30" s="1001">
        <v>0</v>
      </c>
      <c r="X30" s="1096">
        <f>'S5 Salary'!T31*'S5'!W30</f>
        <v>0</v>
      </c>
      <c r="Y30" s="1001">
        <v>0</v>
      </c>
      <c r="Z30" s="510">
        <f t="shared" si="9"/>
        <v>3.9230769230769229</v>
      </c>
      <c r="AA30" s="618">
        <f t="shared" si="95"/>
        <v>0</v>
      </c>
      <c r="AB30" s="1001">
        <v>0</v>
      </c>
      <c r="AC30" s="1467">
        <f t="shared" si="11"/>
        <v>27</v>
      </c>
      <c r="AD30" s="1408">
        <v>0</v>
      </c>
      <c r="AE30" s="1121">
        <v>0</v>
      </c>
      <c r="AF30" s="1412">
        <v>0</v>
      </c>
      <c r="AG30" s="511">
        <v>0</v>
      </c>
      <c r="AH30" s="618">
        <v>10</v>
      </c>
      <c r="AI30" s="618">
        <v>10</v>
      </c>
      <c r="AJ30" s="618">
        <v>10</v>
      </c>
      <c r="AK30" s="618">
        <v>10</v>
      </c>
      <c r="AL30" s="1148">
        <f t="shared" si="12"/>
        <v>400.96153846153845</v>
      </c>
      <c r="AM30" s="1281">
        <v>0.5</v>
      </c>
      <c r="AN30" s="1404">
        <v>102</v>
      </c>
      <c r="AO30" s="1096">
        <f>'Tax Calulation    '!P30</f>
        <v>0.28884501761163667</v>
      </c>
      <c r="AP30" s="1096">
        <f>'Tax Calulation    '!W30</f>
        <v>5.9084194977843429</v>
      </c>
      <c r="AQ30" s="1686">
        <f t="shared" si="13"/>
        <v>292.26427394614245</v>
      </c>
      <c r="AR30" s="1682">
        <f t="shared" si="24"/>
        <v>372700</v>
      </c>
      <c r="AS30" s="1683">
        <f t="shared" si="25"/>
        <v>200</v>
      </c>
      <c r="AT30" s="502"/>
      <c r="AU30" s="504"/>
      <c r="AV30" s="505">
        <f>(J30+M30+P30+S30+V30+AA30+AH30+AI30+AJ30+AK30)*4000</f>
        <v>1595846.1538461538</v>
      </c>
      <c r="AW30" s="502">
        <f t="shared" si="14"/>
        <v>2</v>
      </c>
      <c r="AX30" s="502">
        <f t="shared" si="15"/>
        <v>0</v>
      </c>
      <c r="AY30" s="573">
        <f t="shared" si="26"/>
        <v>200</v>
      </c>
      <c r="AZ30" s="573">
        <f t="shared" si="16"/>
        <v>7</v>
      </c>
      <c r="BA30" s="548">
        <f t="shared" si="17"/>
        <v>2</v>
      </c>
      <c r="BB30" s="548">
        <f t="shared" si="18"/>
        <v>0</v>
      </c>
      <c r="BC30" s="548">
        <f t="shared" si="19"/>
        <v>2</v>
      </c>
      <c r="BD30" s="548">
        <f t="shared" si="20"/>
        <v>1</v>
      </c>
      <c r="BE30" s="548">
        <f t="shared" si="21"/>
        <v>2</v>
      </c>
      <c r="BF30" s="549">
        <f t="shared" si="27"/>
        <v>372700</v>
      </c>
      <c r="BH30" s="578" t="s">
        <v>825</v>
      </c>
      <c r="BI30" s="578" t="s">
        <v>574</v>
      </c>
      <c r="BJ30" s="1154">
        <v>33639</v>
      </c>
      <c r="BK30" s="587" t="s">
        <v>637</v>
      </c>
      <c r="BL30" s="745">
        <v>110352342</v>
      </c>
    </row>
    <row r="31" spans="1:64" ht="46.5" customHeight="1">
      <c r="A31" s="1369">
        <v>25</v>
      </c>
      <c r="B31" s="1414" t="s">
        <v>1613</v>
      </c>
      <c r="C31" s="1329" t="s">
        <v>310</v>
      </c>
      <c r="D31" s="1841">
        <v>42125</v>
      </c>
      <c r="E31" s="1637" t="s">
        <v>260</v>
      </c>
      <c r="F31" s="617">
        <f>13+154+17+12+8+2</f>
        <v>206</v>
      </c>
      <c r="G31" s="617">
        <f>2</f>
        <v>2</v>
      </c>
      <c r="H31" s="1001">
        <v>21.5</v>
      </c>
      <c r="I31" s="1408">
        <f t="shared" si="22"/>
        <v>170.34615384615384</v>
      </c>
      <c r="J31" s="618">
        <f t="shared" si="0"/>
        <v>170.34615384615384</v>
      </c>
      <c r="K31" s="1001">
        <v>67</v>
      </c>
      <c r="L31" s="510">
        <f t="shared" si="1"/>
        <v>1.4855769230769231</v>
      </c>
      <c r="M31" s="1096">
        <f t="shared" si="2"/>
        <v>99.533653846153854</v>
      </c>
      <c r="N31" s="1001">
        <v>0</v>
      </c>
      <c r="O31" s="510">
        <f t="shared" si="3"/>
        <v>1.9807692307692308</v>
      </c>
      <c r="P31" s="503">
        <f t="shared" si="4"/>
        <v>0</v>
      </c>
      <c r="Q31" s="1001">
        <v>24</v>
      </c>
      <c r="R31" s="510">
        <f t="shared" si="5"/>
        <v>1.9807692307692308</v>
      </c>
      <c r="S31" s="618">
        <f t="shared" si="6"/>
        <v>47.53846153846154</v>
      </c>
      <c r="T31" s="1001">
        <v>5.5</v>
      </c>
      <c r="U31" s="510">
        <f t="shared" si="7"/>
        <v>7.9230769230769234</v>
      </c>
      <c r="V31" s="1096">
        <f t="shared" si="8"/>
        <v>43.57692307692308</v>
      </c>
      <c r="W31" s="1001">
        <v>0</v>
      </c>
      <c r="X31" s="1096">
        <f>'S5 Salary'!T32*'S5'!W31</f>
        <v>0</v>
      </c>
      <c r="Y31" s="1001">
        <v>0</v>
      </c>
      <c r="Z31" s="510">
        <f t="shared" si="9"/>
        <v>3.9615384615384617</v>
      </c>
      <c r="AA31" s="618">
        <f t="shared" si="95"/>
        <v>0</v>
      </c>
      <c r="AB31" s="1001">
        <v>0</v>
      </c>
      <c r="AC31" s="1467">
        <f t="shared" si="11"/>
        <v>27</v>
      </c>
      <c r="AD31" s="1408">
        <v>0</v>
      </c>
      <c r="AE31" s="1121">
        <v>0</v>
      </c>
      <c r="AF31" s="1412">
        <f>4+4</f>
        <v>8</v>
      </c>
      <c r="AG31" s="511">
        <v>0</v>
      </c>
      <c r="AH31" s="618">
        <v>10</v>
      </c>
      <c r="AI31" s="618">
        <v>10</v>
      </c>
      <c r="AJ31" s="618">
        <v>10</v>
      </c>
      <c r="AK31" s="618">
        <v>10</v>
      </c>
      <c r="AL31" s="1148">
        <f t="shared" si="12"/>
        <v>410.99519230769232</v>
      </c>
      <c r="AM31" s="1278">
        <v>0</v>
      </c>
      <c r="AN31" s="1404">
        <v>102</v>
      </c>
      <c r="AO31" s="1096">
        <f>'Tax Calulation    '!P31</f>
        <v>0</v>
      </c>
      <c r="AP31" s="1096">
        <f>'Tax Calulation    '!W31</f>
        <v>5.9084194977843429</v>
      </c>
      <c r="AQ31" s="1686">
        <f t="shared" si="13"/>
        <v>303.08677280990798</v>
      </c>
      <c r="AR31" s="1682">
        <f t="shared" si="24"/>
        <v>12500</v>
      </c>
      <c r="AS31" s="1683">
        <f t="shared" si="25"/>
        <v>300</v>
      </c>
      <c r="AT31" s="502"/>
      <c r="AU31" s="504"/>
      <c r="AV31" s="505">
        <f>(J31+M31+P31+S31+V31+AA31+AH31+AI31+AJ31+AK31)*4000</f>
        <v>1603980.7692307692</v>
      </c>
      <c r="AW31" s="502">
        <f t="shared" si="14"/>
        <v>3</v>
      </c>
      <c r="AX31" s="502">
        <f t="shared" si="15"/>
        <v>0</v>
      </c>
      <c r="AY31" s="573">
        <f t="shared" si="26"/>
        <v>300</v>
      </c>
      <c r="AZ31" s="573">
        <f t="shared" si="16"/>
        <v>0</v>
      </c>
      <c r="BA31" s="548">
        <f t="shared" si="17"/>
        <v>1</v>
      </c>
      <c r="BB31" s="548">
        <f t="shared" si="18"/>
        <v>0</v>
      </c>
      <c r="BC31" s="548">
        <f t="shared" si="19"/>
        <v>2</v>
      </c>
      <c r="BD31" s="548">
        <f t="shared" si="20"/>
        <v>1</v>
      </c>
      <c r="BE31" s="548">
        <f t="shared" si="21"/>
        <v>0</v>
      </c>
      <c r="BF31" s="549">
        <f t="shared" si="27"/>
        <v>12500</v>
      </c>
      <c r="BH31" s="578" t="s">
        <v>826</v>
      </c>
      <c r="BI31" s="578" t="s">
        <v>574</v>
      </c>
      <c r="BJ31" s="1154">
        <v>28979</v>
      </c>
      <c r="BK31" s="587" t="s">
        <v>638</v>
      </c>
      <c r="BL31" s="745">
        <v>100757119</v>
      </c>
    </row>
    <row r="32" spans="1:64" ht="46.5" customHeight="1">
      <c r="A32" s="1369">
        <v>26</v>
      </c>
      <c r="B32" s="1414" t="s">
        <v>1223</v>
      </c>
      <c r="C32" s="1329" t="s">
        <v>827</v>
      </c>
      <c r="D32" s="1841">
        <v>42163</v>
      </c>
      <c r="E32" s="1637" t="s">
        <v>260</v>
      </c>
      <c r="F32" s="617">
        <f>13+154+17+12+8+2</f>
        <v>206</v>
      </c>
      <c r="G32" s="617">
        <f>2</f>
        <v>2</v>
      </c>
      <c r="H32" s="1001">
        <v>22</v>
      </c>
      <c r="I32" s="1408">
        <f t="shared" si="22"/>
        <v>174.30769230769232</v>
      </c>
      <c r="J32" s="618">
        <f t="shared" si="0"/>
        <v>174.30769230769232</v>
      </c>
      <c r="K32" s="1001">
        <v>30</v>
      </c>
      <c r="L32" s="510">
        <f t="shared" si="1"/>
        <v>1.4855769230769231</v>
      </c>
      <c r="M32" s="1096">
        <f t="shared" si="2"/>
        <v>44.567307692307693</v>
      </c>
      <c r="N32" s="1001">
        <v>0</v>
      </c>
      <c r="O32" s="510">
        <f t="shared" si="3"/>
        <v>1.9807692307692308</v>
      </c>
      <c r="P32" s="503">
        <f t="shared" si="4"/>
        <v>0</v>
      </c>
      <c r="Q32" s="1001">
        <v>16</v>
      </c>
      <c r="R32" s="510">
        <f t="shared" si="5"/>
        <v>1.9807692307692308</v>
      </c>
      <c r="S32" s="618">
        <f t="shared" si="6"/>
        <v>31.692307692307693</v>
      </c>
      <c r="T32" s="1001">
        <v>5</v>
      </c>
      <c r="U32" s="510">
        <f t="shared" si="7"/>
        <v>7.9230769230769234</v>
      </c>
      <c r="V32" s="1096">
        <f t="shared" si="8"/>
        <v>39.615384615384613</v>
      </c>
      <c r="W32" s="1001">
        <v>0</v>
      </c>
      <c r="X32" s="1096">
        <f>'S5 Salary'!T33*'S5'!W32</f>
        <v>0</v>
      </c>
      <c r="Y32" s="1001">
        <v>0</v>
      </c>
      <c r="Z32" s="510">
        <f t="shared" si="9"/>
        <v>3.9615384615384617</v>
      </c>
      <c r="AA32" s="618">
        <f t="shared" si="95"/>
        <v>0</v>
      </c>
      <c r="AB32" s="1001">
        <v>0</v>
      </c>
      <c r="AC32" s="1467">
        <f t="shared" si="11"/>
        <v>27</v>
      </c>
      <c r="AD32" s="1408">
        <v>0</v>
      </c>
      <c r="AE32" s="1121">
        <v>0</v>
      </c>
      <c r="AF32" s="1412">
        <f>4+4</f>
        <v>8</v>
      </c>
      <c r="AG32" s="511">
        <v>0</v>
      </c>
      <c r="AH32" s="618">
        <v>10</v>
      </c>
      <c r="AI32" s="618">
        <v>10</v>
      </c>
      <c r="AJ32" s="618">
        <v>10</v>
      </c>
      <c r="AK32" s="618">
        <v>10</v>
      </c>
      <c r="AL32" s="1148">
        <f t="shared" si="12"/>
        <v>340.18269230769226</v>
      </c>
      <c r="AM32" s="1281">
        <v>0.5</v>
      </c>
      <c r="AN32" s="1404">
        <v>102</v>
      </c>
      <c r="AO32" s="1096">
        <f>'Tax Calulation    '!P32</f>
        <v>0</v>
      </c>
      <c r="AP32" s="1096">
        <f>'Tax Calulation    '!W32</f>
        <v>5.9084194977843429</v>
      </c>
      <c r="AQ32" s="1686">
        <f t="shared" si="13"/>
        <v>231.77427280990793</v>
      </c>
      <c r="AR32" s="1682">
        <f t="shared" si="24"/>
        <v>128400</v>
      </c>
      <c r="AS32" s="1683">
        <f t="shared" ref="AS32:AS33" si="133">CEILING(AQ32,(100))-100</f>
        <v>200</v>
      </c>
      <c r="AT32" s="502"/>
      <c r="AU32" s="504"/>
      <c r="AV32" s="505">
        <f>(J32+M32+P32+S32+V32+AA32+AH32+AI32+AJ32+AK32)*4000</f>
        <v>1320730.769230769</v>
      </c>
      <c r="AW32" s="502">
        <f t="shared" si="14"/>
        <v>2</v>
      </c>
      <c r="AX32" s="502">
        <f t="shared" si="15"/>
        <v>0</v>
      </c>
      <c r="AY32" s="573">
        <f t="shared" ref="AY32:AY33" si="134">AW32*100+AX32*50</f>
        <v>200</v>
      </c>
      <c r="AZ32" s="573">
        <f t="shared" si="16"/>
        <v>2</v>
      </c>
      <c r="BA32" s="548">
        <f t="shared" si="17"/>
        <v>2</v>
      </c>
      <c r="BB32" s="548">
        <f t="shared" si="18"/>
        <v>1</v>
      </c>
      <c r="BC32" s="548">
        <f t="shared" si="19"/>
        <v>3</v>
      </c>
      <c r="BD32" s="548">
        <f t="shared" si="20"/>
        <v>0</v>
      </c>
      <c r="BE32" s="548">
        <f t="shared" si="21"/>
        <v>4</v>
      </c>
      <c r="BF32" s="549">
        <f t="shared" ref="BF32:BF33" si="135">AZ32*50000+BA32*10000+BB32*5000+BC32*1000+BD32*500+BE32*100</f>
        <v>128400</v>
      </c>
      <c r="BH32" s="578" t="s">
        <v>828</v>
      </c>
      <c r="BI32" s="578" t="s">
        <v>573</v>
      </c>
      <c r="BJ32" s="1154">
        <v>33636</v>
      </c>
      <c r="BK32" s="587" t="s">
        <v>639</v>
      </c>
      <c r="BL32" s="745">
        <v>101238132</v>
      </c>
    </row>
    <row r="33" spans="1:64" ht="46.5" customHeight="1">
      <c r="A33" s="1369">
        <v>27</v>
      </c>
      <c r="B33" s="1414" t="s">
        <v>1225</v>
      </c>
      <c r="C33" s="1329" t="s">
        <v>744</v>
      </c>
      <c r="D33" s="1841">
        <v>41863</v>
      </c>
      <c r="E33" s="1637" t="s">
        <v>260</v>
      </c>
      <c r="F33" s="617">
        <f>206</f>
        <v>206</v>
      </c>
      <c r="G33" s="617">
        <f>2</f>
        <v>2</v>
      </c>
      <c r="H33" s="1001">
        <v>21</v>
      </c>
      <c r="I33" s="1408">
        <f t="shared" si="22"/>
        <v>166.38461538461539</v>
      </c>
      <c r="J33" s="618">
        <f t="shared" si="0"/>
        <v>166.38461538461539</v>
      </c>
      <c r="K33" s="1001">
        <v>30</v>
      </c>
      <c r="L33" s="510">
        <f t="shared" si="1"/>
        <v>1.4855769230769231</v>
      </c>
      <c r="M33" s="1096">
        <f t="shared" si="2"/>
        <v>44.567307692307693</v>
      </c>
      <c r="N33" s="1001">
        <v>0</v>
      </c>
      <c r="O33" s="510">
        <f t="shared" si="3"/>
        <v>1.9807692307692308</v>
      </c>
      <c r="P33" s="503">
        <f t="shared" ref="P33" si="136">N33*O33</f>
        <v>0</v>
      </c>
      <c r="Q33" s="1001">
        <v>8</v>
      </c>
      <c r="R33" s="510">
        <f t="shared" si="5"/>
        <v>1.9807692307692308</v>
      </c>
      <c r="S33" s="618">
        <f t="shared" si="6"/>
        <v>15.846153846153847</v>
      </c>
      <c r="T33" s="1001">
        <v>6</v>
      </c>
      <c r="U33" s="510">
        <f t="shared" si="7"/>
        <v>7.9230769230769234</v>
      </c>
      <c r="V33" s="1096">
        <f t="shared" si="8"/>
        <v>47.53846153846154</v>
      </c>
      <c r="W33" s="1001">
        <v>0</v>
      </c>
      <c r="X33" s="1096">
        <f>'S5 Salary'!T34*'S5'!W33</f>
        <v>0</v>
      </c>
      <c r="Y33" s="1001">
        <v>0</v>
      </c>
      <c r="Z33" s="510">
        <f t="shared" si="9"/>
        <v>3.9615384615384617</v>
      </c>
      <c r="AA33" s="618">
        <f t="shared" si="95"/>
        <v>0</v>
      </c>
      <c r="AB33" s="1001">
        <v>0</v>
      </c>
      <c r="AC33" s="1467">
        <f t="shared" ref="AC33" si="137">H33+T33+Y33+AB33+W33</f>
        <v>27</v>
      </c>
      <c r="AD33" s="1408">
        <v>0</v>
      </c>
      <c r="AE33" s="1121">
        <v>0</v>
      </c>
      <c r="AF33" s="1412">
        <f>4+4</f>
        <v>8</v>
      </c>
      <c r="AG33" s="511">
        <v>0</v>
      </c>
      <c r="AH33" s="618">
        <v>10</v>
      </c>
      <c r="AI33" s="618">
        <v>11</v>
      </c>
      <c r="AJ33" s="618">
        <v>10</v>
      </c>
      <c r="AK33" s="618">
        <v>10</v>
      </c>
      <c r="AL33" s="1148">
        <f t="shared" si="12"/>
        <v>325.33653846153845</v>
      </c>
      <c r="AM33" s="1278">
        <v>0</v>
      </c>
      <c r="AN33" s="1404">
        <v>102</v>
      </c>
      <c r="AO33" s="1096">
        <f>'Tax Calulation    '!P33</f>
        <v>0</v>
      </c>
      <c r="AP33" s="1096">
        <f>'Tax Calulation    '!W33</f>
        <v>5.9084194977843429</v>
      </c>
      <c r="AQ33" s="1686">
        <f t="shared" si="13"/>
        <v>217.42811896375412</v>
      </c>
      <c r="AR33" s="1682">
        <f t="shared" si="24"/>
        <v>70400</v>
      </c>
      <c r="AS33" s="1683">
        <f t="shared" si="133"/>
        <v>200</v>
      </c>
      <c r="AT33" s="502"/>
      <c r="AU33" s="504"/>
      <c r="AV33" s="505">
        <f>(J33+M33+P33+S33+V33+AA33+AH33+AI33+AJ33+AK33)*4000</f>
        <v>1261346.1538461538</v>
      </c>
      <c r="AW33" s="502">
        <f t="shared" ref="AW33" si="138">INT(AS33/100)</f>
        <v>2</v>
      </c>
      <c r="AX33" s="502">
        <f t="shared" ref="AX33" si="139">INT((AS33-AW33*100)/50)</f>
        <v>0</v>
      </c>
      <c r="AY33" s="1113">
        <f t="shared" si="134"/>
        <v>200</v>
      </c>
      <c r="AZ33" s="1113">
        <f t="shared" ref="AZ33" si="140">INT((AR33/50000))</f>
        <v>1</v>
      </c>
      <c r="BA33" s="548">
        <f t="shared" ref="BA33" si="141">INT((AR33-AZ33*50000)/10000)</f>
        <v>2</v>
      </c>
      <c r="BB33" s="548">
        <f t="shared" ref="BB33" si="142">INT((AR33-AZ33*50000-BA33*10000)/5000)</f>
        <v>0</v>
      </c>
      <c r="BC33" s="548">
        <f t="shared" ref="BC33" si="143">INT((AR33-AZ33*50000-BA33*10000-BB33*5000)/1000)</f>
        <v>0</v>
      </c>
      <c r="BD33" s="548">
        <f t="shared" ref="BD33" si="144">INT((AR33-AZ33*50000-BA33*10000-BB33*5000-BC33*1000)/500)</f>
        <v>0</v>
      </c>
      <c r="BE33" s="548">
        <f t="shared" ref="BE33" si="145">INT((AR33-AZ33*50000-BA33*10000-BB33*5000-BC33*1000-BD33*500)/100)</f>
        <v>4</v>
      </c>
      <c r="BF33" s="549">
        <f t="shared" si="135"/>
        <v>70400</v>
      </c>
      <c r="BH33" s="578" t="s">
        <v>829</v>
      </c>
      <c r="BI33" s="578" t="s">
        <v>574</v>
      </c>
      <c r="BJ33" s="1154">
        <v>33337</v>
      </c>
      <c r="BK33" s="587" t="s">
        <v>745</v>
      </c>
      <c r="BL33" s="745">
        <v>100957349</v>
      </c>
    </row>
    <row r="34" spans="1:64" ht="46.5" customHeight="1">
      <c r="A34" s="1369">
        <v>28</v>
      </c>
      <c r="B34" s="1600" t="s">
        <v>1975</v>
      </c>
      <c r="C34" s="1865" t="s">
        <v>1976</v>
      </c>
      <c r="D34" s="1867">
        <v>45119</v>
      </c>
      <c r="E34" s="1637" t="s">
        <v>260</v>
      </c>
      <c r="F34" s="617">
        <f>200+4</f>
        <v>204</v>
      </c>
      <c r="G34" s="617">
        <v>0</v>
      </c>
      <c r="H34" s="1001">
        <v>21</v>
      </c>
      <c r="I34" s="1408">
        <f t="shared" si="22"/>
        <v>164.76923076923077</v>
      </c>
      <c r="J34" s="618">
        <f t="shared" si="0"/>
        <v>164.76923076923077</v>
      </c>
      <c r="K34" s="1001">
        <v>59</v>
      </c>
      <c r="L34" s="510">
        <f t="shared" si="1"/>
        <v>1.471153846153846</v>
      </c>
      <c r="M34" s="1096">
        <f t="shared" si="2"/>
        <v>86.79807692307692</v>
      </c>
      <c r="N34" s="1001">
        <v>0</v>
      </c>
      <c r="O34" s="510">
        <f t="shared" si="3"/>
        <v>1.9615384615384615</v>
      </c>
      <c r="P34" s="503">
        <f t="shared" si="4"/>
        <v>0</v>
      </c>
      <c r="Q34" s="1001">
        <v>16</v>
      </c>
      <c r="R34" s="510">
        <f t="shared" si="5"/>
        <v>1.9615384615384615</v>
      </c>
      <c r="S34" s="618">
        <f t="shared" si="6"/>
        <v>31.384615384615383</v>
      </c>
      <c r="T34" s="1001">
        <v>5</v>
      </c>
      <c r="U34" s="510">
        <f t="shared" si="7"/>
        <v>7.8461538461538458</v>
      </c>
      <c r="V34" s="1096">
        <f t="shared" si="8"/>
        <v>39.230769230769226</v>
      </c>
      <c r="W34" s="1001">
        <v>1</v>
      </c>
      <c r="X34" s="1096">
        <f>'S5 Salary'!T35*'S5'!W34</f>
        <v>11.675784082031567</v>
      </c>
      <c r="Y34" s="1001">
        <v>0</v>
      </c>
      <c r="Z34" s="510">
        <f t="shared" si="9"/>
        <v>3.9230769230769229</v>
      </c>
      <c r="AA34" s="618">
        <f t="shared" ref="AA34" si="146">Y34*Z34</f>
        <v>0</v>
      </c>
      <c r="AB34" s="1001">
        <v>0</v>
      </c>
      <c r="AC34" s="1468">
        <f t="shared" si="11"/>
        <v>27</v>
      </c>
      <c r="AD34" s="1408">
        <v>0</v>
      </c>
      <c r="AE34" s="1121">
        <v>0</v>
      </c>
      <c r="AF34" s="1412">
        <v>10</v>
      </c>
      <c r="AG34" s="511">
        <v>0</v>
      </c>
      <c r="AH34" s="618">
        <v>10</v>
      </c>
      <c r="AI34" s="618">
        <v>2</v>
      </c>
      <c r="AJ34" s="618">
        <v>10</v>
      </c>
      <c r="AK34" s="618">
        <v>10</v>
      </c>
      <c r="AL34" s="1148">
        <f t="shared" si="12"/>
        <v>375.85847638972382</v>
      </c>
      <c r="AM34" s="1281">
        <v>0.5</v>
      </c>
      <c r="AN34" s="1404">
        <v>102</v>
      </c>
      <c r="AO34" s="1096">
        <f>'Tax Calulation    '!P34</f>
        <v>0</v>
      </c>
      <c r="AP34" s="1096">
        <f>'Tax Calulation    '!W34</f>
        <v>5.9084194977843429</v>
      </c>
      <c r="AQ34" s="1686">
        <f t="shared" si="13"/>
        <v>267.45005689193948</v>
      </c>
      <c r="AR34" s="1682">
        <f t="shared" si="24"/>
        <v>272500</v>
      </c>
      <c r="AS34" s="1683">
        <f t="shared" si="25"/>
        <v>200</v>
      </c>
      <c r="AT34" s="502"/>
      <c r="AU34" s="504"/>
      <c r="AV34" s="505">
        <f>(J34+M34+P34+S34+V34+AA34+AH34+AI34+AJ34+AK34)*4000</f>
        <v>1416730.769230769</v>
      </c>
      <c r="AW34" s="502">
        <f t="shared" si="14"/>
        <v>2</v>
      </c>
      <c r="AX34" s="502">
        <f t="shared" si="15"/>
        <v>0</v>
      </c>
      <c r="AY34" s="573">
        <f t="shared" si="26"/>
        <v>200</v>
      </c>
      <c r="AZ34" s="573">
        <f t="shared" si="16"/>
        <v>5</v>
      </c>
      <c r="BA34" s="548">
        <f t="shared" si="17"/>
        <v>2</v>
      </c>
      <c r="BB34" s="548">
        <f t="shared" si="18"/>
        <v>0</v>
      </c>
      <c r="BC34" s="548">
        <f t="shared" si="19"/>
        <v>2</v>
      </c>
      <c r="BD34" s="548">
        <f t="shared" si="20"/>
        <v>1</v>
      </c>
      <c r="BE34" s="548">
        <f t="shared" si="21"/>
        <v>0</v>
      </c>
      <c r="BF34" s="549">
        <f t="shared" si="27"/>
        <v>272500</v>
      </c>
      <c r="BH34" s="578" t="s">
        <v>1977</v>
      </c>
      <c r="BI34" s="578" t="s">
        <v>574</v>
      </c>
      <c r="BJ34" s="1450">
        <v>35832</v>
      </c>
      <c r="BK34" s="1451" t="s">
        <v>1978</v>
      </c>
      <c r="BL34" s="1452" t="s">
        <v>1979</v>
      </c>
    </row>
    <row r="35" spans="1:64" ht="46.5" customHeight="1">
      <c r="A35" s="749" t="s">
        <v>214</v>
      </c>
      <c r="B35" s="750"/>
      <c r="C35" s="750"/>
      <c r="D35" s="574"/>
      <c r="E35" s="750"/>
      <c r="F35" s="750"/>
      <c r="G35" s="750"/>
      <c r="H35" s="502"/>
      <c r="I35" s="750"/>
      <c r="J35" s="750"/>
      <c r="K35" s="750"/>
      <c r="L35" s="750"/>
      <c r="M35" s="750"/>
      <c r="N35" s="750"/>
      <c r="O35" s="750"/>
      <c r="P35" s="750"/>
      <c r="Q35" s="750"/>
      <c r="R35" s="750"/>
      <c r="S35" s="750"/>
      <c r="T35" s="750"/>
      <c r="U35" s="750"/>
      <c r="V35" s="750"/>
      <c r="W35" s="847"/>
      <c r="X35" s="947">
        <f>SUM(X7:X34)</f>
        <v>44.639100362978269</v>
      </c>
      <c r="Y35" s="750"/>
      <c r="Z35" s="750"/>
      <c r="AA35" s="750"/>
      <c r="AB35" s="750"/>
      <c r="AC35" s="750"/>
      <c r="AD35" s="507">
        <f>SUM(AD7:AD34)</f>
        <v>0</v>
      </c>
      <c r="AE35" s="1116">
        <f>SUM(AE7:AE34)</f>
        <v>0</v>
      </c>
      <c r="AF35" s="750"/>
      <c r="AG35" s="1291">
        <f>SUM(AG7:AG34)</f>
        <v>10</v>
      </c>
      <c r="AH35" s="750"/>
      <c r="AI35" s="750"/>
      <c r="AJ35" s="507">
        <f t="shared" ref="AJ35:AS35" si="147">SUM(AJ7:AJ34)</f>
        <v>273.84000000000003</v>
      </c>
      <c r="AK35" s="507">
        <f t="shared" si="147"/>
        <v>275</v>
      </c>
      <c r="AL35" s="503">
        <f t="shared" si="147"/>
        <v>10627.724292670669</v>
      </c>
      <c r="AM35" s="641">
        <f t="shared" si="147"/>
        <v>6.5</v>
      </c>
      <c r="AN35" s="811">
        <f t="shared" si="147"/>
        <v>2754</v>
      </c>
      <c r="AO35" s="503">
        <f t="shared" si="147"/>
        <v>7.9891029451654045</v>
      </c>
      <c r="AP35" s="503">
        <f t="shared" si="147"/>
        <v>161.76474540393127</v>
      </c>
      <c r="AQ35" s="618">
        <f t="shared" si="147"/>
        <v>7697.4704443215742</v>
      </c>
      <c r="AR35" s="1619">
        <f t="shared" si="147"/>
        <v>8069800</v>
      </c>
      <c r="AS35" s="1353">
        <f t="shared" si="147"/>
        <v>5700</v>
      </c>
      <c r="AT35" s="502"/>
      <c r="AU35" s="504"/>
      <c r="AV35" s="567"/>
      <c r="AW35" s="573">
        <f t="shared" ref="AW35:BF35" si="148">SUM(AW7:AW34)</f>
        <v>57</v>
      </c>
      <c r="AX35" s="573">
        <f t="shared" si="148"/>
        <v>0</v>
      </c>
      <c r="AY35" s="507">
        <f t="shared" si="148"/>
        <v>5700</v>
      </c>
      <c r="AZ35" s="573">
        <f t="shared" si="148"/>
        <v>146</v>
      </c>
      <c r="BA35" s="573">
        <f t="shared" si="148"/>
        <v>62</v>
      </c>
      <c r="BB35" s="573">
        <f t="shared" si="148"/>
        <v>14</v>
      </c>
      <c r="BC35" s="573">
        <f t="shared" si="148"/>
        <v>65</v>
      </c>
      <c r="BD35" s="573">
        <f t="shared" si="148"/>
        <v>15</v>
      </c>
      <c r="BE35" s="573">
        <f t="shared" si="148"/>
        <v>73</v>
      </c>
      <c r="BF35" s="579">
        <f t="shared" si="148"/>
        <v>8069800</v>
      </c>
    </row>
    <row r="36" spans="1:64">
      <c r="A36" s="567"/>
      <c r="B36" s="567"/>
      <c r="C36" s="567"/>
      <c r="D36" s="575"/>
      <c r="E36" s="567"/>
      <c r="F36" s="570"/>
      <c r="G36" s="567"/>
      <c r="H36" s="567"/>
      <c r="I36" s="567"/>
      <c r="J36" s="567"/>
      <c r="K36" s="567"/>
      <c r="L36" s="567"/>
      <c r="M36" s="567"/>
      <c r="N36" s="567"/>
      <c r="O36" s="567"/>
      <c r="P36" s="567"/>
      <c r="Q36" s="567"/>
      <c r="R36" s="567"/>
      <c r="S36" s="567"/>
      <c r="T36" s="567"/>
      <c r="U36" s="567"/>
      <c r="V36" s="567"/>
      <c r="W36" s="567"/>
      <c r="X36" s="567"/>
      <c r="Y36" s="567"/>
      <c r="Z36" s="567"/>
      <c r="AA36" s="567"/>
      <c r="AB36" s="567"/>
      <c r="AC36" s="567"/>
      <c r="AD36" s="567"/>
      <c r="AE36" s="567"/>
      <c r="AF36" s="567"/>
      <c r="AG36" s="567"/>
      <c r="AH36" s="567"/>
      <c r="AI36" s="567"/>
      <c r="AJ36" s="567"/>
      <c r="AK36" s="567"/>
      <c r="AL36" s="567"/>
      <c r="AM36" s="567"/>
      <c r="AN36" s="567"/>
      <c r="AO36" s="567"/>
      <c r="AP36" s="567"/>
      <c r="AQ36" s="567"/>
      <c r="AR36" s="567"/>
      <c r="AS36" s="567"/>
      <c r="AT36" s="567"/>
      <c r="AU36" s="567"/>
      <c r="AV36" s="567"/>
      <c r="AW36" s="567"/>
      <c r="AX36" s="567"/>
      <c r="AY36" s="567"/>
      <c r="AZ36" s="567"/>
      <c r="BA36" s="567"/>
    </row>
    <row r="37" spans="1:64" s="1358" customFormat="1" ht="27" customHeight="1">
      <c r="A37" s="1358" t="s">
        <v>213</v>
      </c>
      <c r="D37" s="1354"/>
      <c r="F37" s="1356"/>
      <c r="L37" s="1355" t="s">
        <v>2168</v>
      </c>
      <c r="AF37" s="1366" t="s">
        <v>445</v>
      </c>
      <c r="AG37" s="1366"/>
      <c r="AS37" s="1358" t="s">
        <v>212</v>
      </c>
    </row>
    <row r="38" spans="1:64">
      <c r="A38" s="567"/>
      <c r="B38" s="567"/>
      <c r="C38" s="567"/>
      <c r="D38" s="575"/>
      <c r="E38" s="567"/>
      <c r="F38" s="570"/>
      <c r="G38" s="567"/>
      <c r="H38" s="567"/>
      <c r="I38" s="567"/>
      <c r="J38" s="567"/>
      <c r="K38" s="567"/>
      <c r="L38" s="567"/>
      <c r="M38" s="567"/>
      <c r="N38" s="567"/>
      <c r="O38" s="567"/>
      <c r="P38" s="567"/>
      <c r="Q38" s="567"/>
      <c r="R38" s="567"/>
      <c r="S38" s="567"/>
      <c r="T38" s="567"/>
      <c r="U38" s="567"/>
      <c r="V38" s="567"/>
      <c r="W38" s="567"/>
      <c r="X38" s="567"/>
      <c r="Y38" s="567"/>
      <c r="Z38" s="567"/>
      <c r="AA38" s="567"/>
      <c r="AB38" s="567"/>
      <c r="AC38" s="567"/>
      <c r="AD38" s="567"/>
      <c r="AE38" s="567"/>
      <c r="AF38" s="567"/>
      <c r="AG38" s="567"/>
      <c r="AH38" s="567"/>
      <c r="AI38" s="567"/>
      <c r="AJ38" s="567"/>
      <c r="AK38" s="567"/>
      <c r="AL38" s="567"/>
      <c r="AM38" s="567"/>
      <c r="AN38" s="567"/>
      <c r="AO38" s="567"/>
      <c r="AP38" s="567"/>
      <c r="AQ38" s="567"/>
      <c r="AR38" s="567"/>
      <c r="AS38" s="567"/>
      <c r="AT38" s="567"/>
      <c r="AU38" s="567"/>
      <c r="AV38" s="567"/>
      <c r="AW38" s="567"/>
      <c r="AX38" s="567"/>
      <c r="AY38" s="567"/>
      <c r="AZ38" s="567"/>
      <c r="BA38" s="567"/>
    </row>
    <row r="39" spans="1:64" s="544" customFormat="1" ht="25.5" customHeight="1">
      <c r="C39" s="755"/>
      <c r="D39" s="755"/>
      <c r="F39" s="556"/>
      <c r="AM39" s="755"/>
      <c r="AN39" s="755"/>
      <c r="AO39" s="755"/>
      <c r="AP39" s="755"/>
    </row>
    <row r="40" spans="1:64" s="544" customFormat="1" ht="25.5" customHeight="1">
      <c r="C40" s="755"/>
      <c r="D40" s="755"/>
      <c r="F40" s="556"/>
      <c r="AM40" s="755"/>
      <c r="AN40" s="755"/>
      <c r="AO40" s="755"/>
      <c r="AP40" s="755"/>
    </row>
    <row r="41" spans="1:64" s="544" customFormat="1" ht="25.5" customHeight="1">
      <c r="C41" s="755"/>
      <c r="D41" s="755"/>
      <c r="F41" s="556"/>
      <c r="AM41" s="755"/>
      <c r="AN41" s="755"/>
      <c r="AO41" s="755"/>
      <c r="AP41" s="755"/>
    </row>
  </sheetData>
  <mergeCells count="31">
    <mergeCell ref="BI5:BI6"/>
    <mergeCell ref="BJ5:BJ6"/>
    <mergeCell ref="BK5:BK6"/>
    <mergeCell ref="BL5:BL6"/>
    <mergeCell ref="AI5:AI6"/>
    <mergeCell ref="AP5:AP6"/>
    <mergeCell ref="AT5:AT6"/>
    <mergeCell ref="AW5:AY5"/>
    <mergeCell ref="BB5:BF5"/>
    <mergeCell ref="AJ5:AJ6"/>
    <mergeCell ref="AK5:AK6"/>
    <mergeCell ref="AL5:AL6"/>
    <mergeCell ref="AM5:AM6"/>
    <mergeCell ref="AO5:AO6"/>
    <mergeCell ref="AQ5:AS5"/>
    <mergeCell ref="AN5:AN6"/>
    <mergeCell ref="Y5:AA5"/>
    <mergeCell ref="AB5:AB6"/>
    <mergeCell ref="AF5:AF6"/>
    <mergeCell ref="AH5:AH6"/>
    <mergeCell ref="H5:J5"/>
    <mergeCell ref="K5:M5"/>
    <mergeCell ref="N5:P5"/>
    <mergeCell ref="Q5:S5"/>
    <mergeCell ref="T5:V5"/>
    <mergeCell ref="W5:X5"/>
    <mergeCell ref="A1:AT1"/>
    <mergeCell ref="A2:AT2"/>
    <mergeCell ref="A3:AT3"/>
    <mergeCell ref="AW4:BF4"/>
    <mergeCell ref="C4:F4"/>
  </mergeCells>
  <phoneticPr fontId="171" type="noConversion"/>
  <pageMargins left="0" right="0" top="0" bottom="0" header="0" footer="0"/>
  <pageSetup paperSize="9" scale="33" orientation="landscape" horizontalDpi="4294967293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5"/>
  <sheetViews>
    <sheetView workbookViewId="0">
      <pane xSplit="4" ySplit="6" topLeftCell="S31" activePane="bottomRight" state="frozen"/>
      <selection pane="topRight" activeCell="E1" sqref="E1"/>
      <selection pane="bottomLeft" activeCell="A7" sqref="A7"/>
      <selection pane="bottomRight" activeCell="T34" sqref="T34"/>
    </sheetView>
  </sheetViews>
  <sheetFormatPr defaultRowHeight="15.75"/>
  <cols>
    <col min="1" max="1" width="4.125" style="474" customWidth="1"/>
    <col min="2" max="2" width="9.125" style="474" customWidth="1"/>
    <col min="3" max="3" width="11.625" style="477" customWidth="1"/>
    <col min="4" max="4" width="10.375" style="475" customWidth="1"/>
    <col min="5" max="5" width="6.375" style="500" customWidth="1"/>
    <col min="6" max="6" width="13.125" style="474" customWidth="1"/>
    <col min="7" max="7" width="9.125" style="474" bestFit="1" customWidth="1"/>
    <col min="8" max="8" width="13.75" style="474" bestFit="1" customWidth="1"/>
    <col min="9" max="10" width="7.375" style="477" customWidth="1"/>
    <col min="11" max="11" width="9" style="474"/>
    <col min="12" max="12" width="10.875" style="474" customWidth="1"/>
    <col min="13" max="13" width="9" style="474"/>
    <col min="14" max="14" width="11.875" style="474" customWidth="1"/>
    <col min="15" max="15" width="14.375" style="474" customWidth="1"/>
    <col min="16" max="16" width="15.125" style="474" customWidth="1"/>
    <col min="17" max="17" width="9" style="474"/>
    <col min="18" max="19" width="16.25" style="474" customWidth="1"/>
    <col min="20" max="20" width="14.125" style="474" customWidth="1"/>
    <col min="21" max="21" width="13.875" style="474" customWidth="1"/>
    <col min="22" max="23" width="14.625" style="474" customWidth="1"/>
    <col min="24" max="16384" width="9" style="474"/>
  </cols>
  <sheetData>
    <row r="1" spans="1:39" s="479" customFormat="1" ht="29.25" customHeight="1">
      <c r="A1" s="2127" t="s">
        <v>222</v>
      </c>
      <c r="B1" s="2127"/>
      <c r="C1" s="2127"/>
      <c r="D1" s="2127"/>
      <c r="E1" s="2127"/>
      <c r="F1" s="2127"/>
      <c r="G1" s="2127"/>
      <c r="H1" s="2127"/>
      <c r="I1" s="2127"/>
      <c r="J1" s="2127"/>
      <c r="K1" s="2127"/>
      <c r="L1" s="2127"/>
      <c r="M1" s="2127"/>
      <c r="N1" s="2127"/>
      <c r="O1" s="2127"/>
      <c r="P1" s="2127"/>
      <c r="R1" s="2169" t="s">
        <v>222</v>
      </c>
      <c r="S1" s="2169"/>
      <c r="T1" s="2169"/>
      <c r="U1" s="2169"/>
      <c r="V1" s="2169"/>
      <c r="W1" s="2169"/>
    </row>
    <row r="2" spans="1:39" s="479" customFormat="1" ht="20.25" customHeight="1">
      <c r="A2" s="2127" t="s">
        <v>221</v>
      </c>
      <c r="B2" s="2127"/>
      <c r="C2" s="2127"/>
      <c r="D2" s="2127"/>
      <c r="E2" s="2127"/>
      <c r="F2" s="2127"/>
      <c r="G2" s="2127"/>
      <c r="H2" s="2127"/>
      <c r="I2" s="2127"/>
      <c r="J2" s="2127"/>
      <c r="K2" s="2127"/>
      <c r="L2" s="2127"/>
      <c r="M2" s="2127"/>
      <c r="N2" s="2127"/>
      <c r="O2" s="2127"/>
      <c r="P2" s="2127"/>
      <c r="R2" s="2126" t="s">
        <v>1807</v>
      </c>
      <c r="S2" s="2126"/>
      <c r="T2" s="2126"/>
      <c r="U2" s="2126"/>
      <c r="V2" s="2126"/>
      <c r="W2" s="2126"/>
    </row>
    <row r="3" spans="1:39" s="479" customFormat="1" ht="19.5" customHeight="1">
      <c r="A3" s="2126" t="s">
        <v>2354</v>
      </c>
      <c r="B3" s="2126"/>
      <c r="C3" s="2126"/>
      <c r="D3" s="2126"/>
      <c r="E3" s="2126"/>
      <c r="F3" s="2126"/>
      <c r="G3" s="2126"/>
      <c r="H3" s="2126"/>
      <c r="I3" s="2126"/>
      <c r="J3" s="2126"/>
      <c r="K3" s="2126"/>
      <c r="L3" s="2126"/>
      <c r="M3" s="2126"/>
      <c r="N3" s="2126"/>
      <c r="O3" s="2126"/>
      <c r="P3" s="2126"/>
      <c r="R3" s="2126" t="s">
        <v>2351</v>
      </c>
      <c r="S3" s="2126"/>
      <c r="T3" s="2126"/>
      <c r="U3" s="2126"/>
      <c r="V3" s="2126"/>
      <c r="W3" s="2126"/>
    </row>
    <row r="4" spans="1:39" s="479" customFormat="1" ht="20.25" customHeight="1" thickBot="1">
      <c r="A4" s="2128" t="s">
        <v>298</v>
      </c>
      <c r="B4" s="2128"/>
      <c r="C4" s="2128"/>
      <c r="D4" s="2128"/>
      <c r="E4" s="2128"/>
      <c r="I4" s="564"/>
      <c r="J4" s="564"/>
    </row>
    <row r="5" spans="1:39" s="473" customFormat="1" ht="63" customHeight="1" thickTop="1">
      <c r="A5" s="482" t="s">
        <v>223</v>
      </c>
      <c r="B5" s="482" t="s">
        <v>224</v>
      </c>
      <c r="C5" s="482" t="s">
        <v>225</v>
      </c>
      <c r="D5" s="482" t="s">
        <v>226</v>
      </c>
      <c r="E5" s="498" t="s">
        <v>227</v>
      </c>
      <c r="F5" s="482" t="s">
        <v>228</v>
      </c>
      <c r="G5" s="482" t="s">
        <v>229</v>
      </c>
      <c r="H5" s="482" t="s">
        <v>230</v>
      </c>
      <c r="I5" s="482" t="s">
        <v>231</v>
      </c>
      <c r="J5" s="482" t="s">
        <v>232</v>
      </c>
      <c r="K5" s="482" t="s">
        <v>233</v>
      </c>
      <c r="L5" s="482" t="s">
        <v>234</v>
      </c>
      <c r="M5" s="482" t="s">
        <v>235</v>
      </c>
      <c r="N5" s="482" t="s">
        <v>236</v>
      </c>
      <c r="O5" s="482" t="s">
        <v>237</v>
      </c>
      <c r="P5" s="482" t="s">
        <v>238</v>
      </c>
      <c r="Q5" s="483"/>
      <c r="R5" s="1203" t="s">
        <v>1810</v>
      </c>
      <c r="S5" s="1203" t="s">
        <v>1811</v>
      </c>
      <c r="T5" s="498" t="s">
        <v>1812</v>
      </c>
      <c r="U5" s="498" t="s">
        <v>1809</v>
      </c>
      <c r="V5" s="498" t="s">
        <v>1813</v>
      </c>
      <c r="W5" s="498" t="s">
        <v>1814</v>
      </c>
      <c r="X5" s="483"/>
      <c r="Y5" s="483"/>
      <c r="Z5" s="483"/>
      <c r="AA5" s="484"/>
      <c r="AB5" s="484"/>
      <c r="AC5" s="484"/>
      <c r="AD5" s="484"/>
      <c r="AE5" s="484"/>
      <c r="AF5" s="484"/>
      <c r="AG5" s="484"/>
      <c r="AH5" s="484"/>
      <c r="AI5" s="484"/>
      <c r="AJ5" s="484"/>
      <c r="AK5" s="484"/>
      <c r="AL5" s="484"/>
      <c r="AM5" s="484"/>
    </row>
    <row r="6" spans="1:39" s="473" customFormat="1" ht="33" customHeight="1">
      <c r="A6" s="485" t="s">
        <v>111</v>
      </c>
      <c r="B6" s="485" t="s">
        <v>239</v>
      </c>
      <c r="C6" s="485" t="s">
        <v>87</v>
      </c>
      <c r="D6" s="486" t="s">
        <v>240</v>
      </c>
      <c r="E6" s="499" t="s">
        <v>218</v>
      </c>
      <c r="F6" s="492" t="s">
        <v>241</v>
      </c>
      <c r="G6" s="492" t="s">
        <v>242</v>
      </c>
      <c r="H6" s="492" t="s">
        <v>243</v>
      </c>
      <c r="I6" s="492" t="s">
        <v>244</v>
      </c>
      <c r="J6" s="493" t="s">
        <v>245</v>
      </c>
      <c r="K6" s="492" t="s">
        <v>246</v>
      </c>
      <c r="L6" s="493" t="s">
        <v>247</v>
      </c>
      <c r="M6" s="492" t="s">
        <v>248</v>
      </c>
      <c r="N6" s="492"/>
      <c r="O6" s="492" t="s">
        <v>249</v>
      </c>
      <c r="P6" s="492" t="s">
        <v>250</v>
      </c>
      <c r="Q6" s="487"/>
      <c r="R6" s="1154"/>
      <c r="S6" s="1169"/>
      <c r="T6" s="1169" t="s">
        <v>1806</v>
      </c>
      <c r="U6" s="488">
        <v>4062</v>
      </c>
      <c r="V6" s="1183">
        <v>0.02</v>
      </c>
      <c r="W6" s="488">
        <v>4062</v>
      </c>
      <c r="X6" s="487"/>
      <c r="Y6" s="487"/>
      <c r="Z6" s="487"/>
      <c r="AA6" s="481"/>
      <c r="AB6" s="481"/>
      <c r="AC6" s="481"/>
      <c r="AD6" s="481"/>
      <c r="AE6" s="481"/>
      <c r="AF6" s="481"/>
      <c r="AG6" s="484"/>
      <c r="AH6" s="484"/>
      <c r="AI6" s="484"/>
      <c r="AJ6" s="484"/>
      <c r="AK6" s="484"/>
      <c r="AL6" s="484"/>
      <c r="AM6" s="484"/>
    </row>
    <row r="7" spans="1:39" s="477" customFormat="1" ht="31.5" customHeight="1">
      <c r="A7" s="478">
        <v>1</v>
      </c>
      <c r="B7" s="514" t="s">
        <v>444</v>
      </c>
      <c r="C7" s="583" t="s">
        <v>501</v>
      </c>
      <c r="D7" s="1474">
        <v>41311</v>
      </c>
      <c r="E7" s="513" t="s">
        <v>260</v>
      </c>
      <c r="F7" s="494">
        <f>'S5'!AL7-'S5'!AD7-'S5'!AJ7-'S5'!AK7-'S5'!AE7-'S5'!AG7-W7</f>
        <v>573.76238784320117</v>
      </c>
      <c r="G7" s="495">
        <v>4062</v>
      </c>
      <c r="H7" s="488">
        <f t="shared" ref="H7:H34" si="0">F7*G7</f>
        <v>2330622.8194190832</v>
      </c>
      <c r="I7" s="480">
        <v>1</v>
      </c>
      <c r="J7" s="520">
        <v>2</v>
      </c>
      <c r="K7" s="488">
        <f>150000*(J7+I7)</f>
        <v>450000</v>
      </c>
      <c r="L7" s="488">
        <f t="shared" ref="L7:L34" si="1">H7-K7</f>
        <v>1880622.8194190832</v>
      </c>
      <c r="M7" s="489">
        <f>IF(L7&gt;=12500000,20%,IF(L7&gt;=8500001,15%,IF(L7&gt;=2000001,10%,IF(L7&gt;=1500001,5%,0%))))</f>
        <v>0.05</v>
      </c>
      <c r="N7" s="488">
        <f>IF(M7=5%,75000,IF(M7=10%,175000,0))</f>
        <v>75000</v>
      </c>
      <c r="O7" s="744">
        <f>L7*M7-N7</f>
        <v>19031.140970954162</v>
      </c>
      <c r="P7" s="491">
        <f>O7/4062</f>
        <v>4.6851651824111675</v>
      </c>
      <c r="R7" s="1186">
        <v>33649</v>
      </c>
      <c r="S7" s="1170">
        <v>44835</v>
      </c>
      <c r="T7" s="1174">
        <f>'S5'!AL7-'S5'!AE7</f>
        <v>599.67080734098556</v>
      </c>
      <c r="U7" s="1177">
        <f>T7*4062</f>
        <v>2435862.8194190832</v>
      </c>
      <c r="V7" s="1181">
        <f>IF(YEARFRAC(R7,S7)&gt;=60,"0",IF(U7&lt;400000,400000*2%,IF(U7&gt;1200000,1200000*2%,U7*2%)))</f>
        <v>24000</v>
      </c>
      <c r="W7" s="1194">
        <f>V7/4062</f>
        <v>5.9084194977843429</v>
      </c>
    </row>
    <row r="8" spans="1:39" s="477" customFormat="1" ht="31.5" customHeight="1">
      <c r="A8" s="478">
        <v>2</v>
      </c>
      <c r="B8" s="688" t="s">
        <v>560</v>
      </c>
      <c r="C8" s="625" t="s">
        <v>561</v>
      </c>
      <c r="D8" s="1474">
        <v>43976</v>
      </c>
      <c r="E8" s="557" t="s">
        <v>260</v>
      </c>
      <c r="F8" s="494">
        <f>'S5'!AL8-'S5'!AD8-'S5'!AJ8-'S5'!AK8-'S5'!AE8-'S5'!AG8-W8</f>
        <v>375.05311896375412</v>
      </c>
      <c r="G8" s="495">
        <v>4062</v>
      </c>
      <c r="H8" s="488">
        <f t="shared" si="0"/>
        <v>1523465.7692307692</v>
      </c>
      <c r="I8" s="480">
        <v>0</v>
      </c>
      <c r="J8" s="520">
        <v>1</v>
      </c>
      <c r="K8" s="488">
        <f t="shared" ref="K8:K34" si="2">150000*(J8+I8)</f>
        <v>150000</v>
      </c>
      <c r="L8" s="488">
        <f t="shared" si="1"/>
        <v>1373465.7692307692</v>
      </c>
      <c r="M8" s="489">
        <f t="shared" ref="M8:M34" si="3">IF(L8&gt;=12500000,20%,IF(L8&gt;=8500001,15%,IF(L8&gt;=2000001,10%,IF(L8&gt;=1500001,5%,0%))))</f>
        <v>0</v>
      </c>
      <c r="N8" s="488">
        <f t="shared" ref="N8:N34" si="4">IF(M8=5%,75000,IF(M8=10%,175000,0))</f>
        <v>0</v>
      </c>
      <c r="O8" s="744">
        <f t="shared" ref="O8:O34" si="5">L8*M8-N8</f>
        <v>0</v>
      </c>
      <c r="P8" s="491">
        <f t="shared" ref="P8:P34" si="6">O8/4062</f>
        <v>0</v>
      </c>
      <c r="R8" s="1186">
        <v>35287</v>
      </c>
      <c r="S8" s="1170">
        <v>44835</v>
      </c>
      <c r="T8" s="1174">
        <f>'S5'!AL8-'S5'!AE8</f>
        <v>400.96153846153845</v>
      </c>
      <c r="U8" s="1177">
        <f t="shared" ref="U8:U34" si="7">T8*4062</f>
        <v>1628705.7692307692</v>
      </c>
      <c r="V8" s="1181">
        <f t="shared" ref="V8:V34" si="8">IF(YEARFRAC(R8,S8)&gt;=60,"0",IF(U8&lt;400000,400000*2%,IF(U8&gt;1200000,1200000*2%,U8*2%)))</f>
        <v>24000</v>
      </c>
      <c r="W8" s="1194">
        <f t="shared" ref="W8:W34" si="9">V8/4062</f>
        <v>5.9084194977843429</v>
      </c>
    </row>
    <row r="9" spans="1:39" s="477" customFormat="1" ht="31.5" customHeight="1">
      <c r="A9" s="478">
        <v>3</v>
      </c>
      <c r="B9" s="688" t="s">
        <v>913</v>
      </c>
      <c r="C9" s="625" t="s">
        <v>914</v>
      </c>
      <c r="D9" s="1473">
        <v>44378</v>
      </c>
      <c r="E9" s="557" t="s">
        <v>260</v>
      </c>
      <c r="F9" s="494">
        <f>'S5'!AL9-'S5'!AD9-'S5'!AJ9-'S5'!AK9-'S5'!AE9-'S5'!AG9-W9</f>
        <v>374.05311896375412</v>
      </c>
      <c r="G9" s="495">
        <v>4062</v>
      </c>
      <c r="H9" s="488">
        <f t="shared" si="0"/>
        <v>1519403.7692307692</v>
      </c>
      <c r="I9" s="480">
        <v>0</v>
      </c>
      <c r="J9" s="520">
        <v>1</v>
      </c>
      <c r="K9" s="488">
        <f t="shared" si="2"/>
        <v>150000</v>
      </c>
      <c r="L9" s="488">
        <f t="shared" si="1"/>
        <v>1369403.7692307692</v>
      </c>
      <c r="M9" s="489">
        <f t="shared" si="3"/>
        <v>0</v>
      </c>
      <c r="N9" s="488">
        <f t="shared" si="4"/>
        <v>0</v>
      </c>
      <c r="O9" s="744">
        <f t="shared" si="5"/>
        <v>0</v>
      </c>
      <c r="P9" s="491">
        <f t="shared" si="6"/>
        <v>0</v>
      </c>
      <c r="R9" s="1186">
        <v>27124</v>
      </c>
      <c r="S9" s="1170">
        <v>44835</v>
      </c>
      <c r="T9" s="1174">
        <f>'S5'!AL9-'S5'!AE9</f>
        <v>399.96153846153845</v>
      </c>
      <c r="U9" s="1177">
        <f t="shared" si="7"/>
        <v>1624643.7692307692</v>
      </c>
      <c r="V9" s="1181">
        <f t="shared" si="8"/>
        <v>24000</v>
      </c>
      <c r="W9" s="1194">
        <f t="shared" si="9"/>
        <v>5.9084194977843429</v>
      </c>
    </row>
    <row r="10" spans="1:39" s="477" customFormat="1" ht="31.5" customHeight="1">
      <c r="A10" s="478">
        <v>4</v>
      </c>
      <c r="B10" s="688" t="s">
        <v>932</v>
      </c>
      <c r="C10" s="625" t="s">
        <v>933</v>
      </c>
      <c r="D10" s="1473">
        <v>44480</v>
      </c>
      <c r="E10" s="557" t="s">
        <v>260</v>
      </c>
      <c r="F10" s="494">
        <f>'S5'!AL10-'S5'!AD10-'S5'!AJ10-'S5'!AK10-'S5'!AE10-'S5'!AG10-W10</f>
        <v>344.13965742529251</v>
      </c>
      <c r="G10" s="495">
        <v>4062</v>
      </c>
      <c r="H10" s="488">
        <f t="shared" si="0"/>
        <v>1397895.2884615383</v>
      </c>
      <c r="I10" s="480">
        <v>0</v>
      </c>
      <c r="J10" s="520">
        <v>0</v>
      </c>
      <c r="K10" s="488">
        <f t="shared" si="2"/>
        <v>0</v>
      </c>
      <c r="L10" s="488">
        <f t="shared" si="1"/>
        <v>1397895.2884615383</v>
      </c>
      <c r="M10" s="489">
        <f t="shared" si="3"/>
        <v>0</v>
      </c>
      <c r="N10" s="488">
        <f t="shared" si="4"/>
        <v>0</v>
      </c>
      <c r="O10" s="744">
        <f t="shared" si="5"/>
        <v>0</v>
      </c>
      <c r="P10" s="491">
        <f t="shared" si="6"/>
        <v>0</v>
      </c>
      <c r="R10" s="1186">
        <v>36356</v>
      </c>
      <c r="S10" s="1170">
        <v>44835</v>
      </c>
      <c r="T10" s="1174">
        <f>'S5'!AL10-'S5'!AE10</f>
        <v>370.04807692307685</v>
      </c>
      <c r="U10" s="1177">
        <f t="shared" si="7"/>
        <v>1503135.2884615383</v>
      </c>
      <c r="V10" s="1181">
        <f t="shared" si="8"/>
        <v>24000</v>
      </c>
      <c r="W10" s="1194">
        <f t="shared" si="9"/>
        <v>5.9084194977843429</v>
      </c>
    </row>
    <row r="11" spans="1:39" s="477" customFormat="1" ht="31.5" customHeight="1">
      <c r="A11" s="478">
        <v>5</v>
      </c>
      <c r="B11" s="688" t="s">
        <v>934</v>
      </c>
      <c r="C11" s="625" t="s">
        <v>935</v>
      </c>
      <c r="D11" s="1473">
        <v>44490</v>
      </c>
      <c r="E11" s="557" t="s">
        <v>260</v>
      </c>
      <c r="F11" s="494">
        <f>'S5'!AL11-'S5'!AD11-'S5'!AJ11-'S5'!AK11-'S5'!AE11-'S5'!AG11-W11</f>
        <v>380.57234973298495</v>
      </c>
      <c r="G11" s="495">
        <v>4062</v>
      </c>
      <c r="H11" s="488">
        <f t="shared" si="0"/>
        <v>1545884.8846153847</v>
      </c>
      <c r="I11" s="480">
        <v>1</v>
      </c>
      <c r="J11" s="520">
        <v>1</v>
      </c>
      <c r="K11" s="488">
        <f t="shared" si="2"/>
        <v>300000</v>
      </c>
      <c r="L11" s="488">
        <f t="shared" si="1"/>
        <v>1245884.8846153847</v>
      </c>
      <c r="M11" s="489">
        <f t="shared" si="3"/>
        <v>0</v>
      </c>
      <c r="N11" s="488">
        <f t="shared" si="4"/>
        <v>0</v>
      </c>
      <c r="O11" s="744">
        <f t="shared" si="5"/>
        <v>0</v>
      </c>
      <c r="P11" s="491">
        <f t="shared" si="6"/>
        <v>0</v>
      </c>
      <c r="R11" s="1186">
        <v>33190</v>
      </c>
      <c r="S11" s="1170">
        <v>44835</v>
      </c>
      <c r="T11" s="1174">
        <f>'S5'!AL11-'S5'!AE11</f>
        <v>406.48076923076928</v>
      </c>
      <c r="U11" s="1177">
        <f t="shared" si="7"/>
        <v>1651124.8846153847</v>
      </c>
      <c r="V11" s="1181">
        <f t="shared" si="8"/>
        <v>24000</v>
      </c>
      <c r="W11" s="1194">
        <f t="shared" si="9"/>
        <v>5.9084194977843429</v>
      </c>
    </row>
    <row r="12" spans="1:39" s="977" customFormat="1" ht="31.5" customHeight="1">
      <c r="A12" s="478">
        <v>6</v>
      </c>
      <c r="B12" s="688" t="s">
        <v>959</v>
      </c>
      <c r="C12" s="625" t="s">
        <v>957</v>
      </c>
      <c r="D12" s="1473">
        <v>44523</v>
      </c>
      <c r="E12" s="557" t="s">
        <v>260</v>
      </c>
      <c r="F12" s="494">
        <f>'S5'!AL12-'S5'!AD12-'S5'!AJ12-'S5'!AK12-'S5'!AE12-'S5'!AG12-W12</f>
        <v>241.99923076923073</v>
      </c>
      <c r="G12" s="495">
        <v>4062</v>
      </c>
      <c r="H12" s="488">
        <f t="shared" si="0"/>
        <v>983000.87538461527</v>
      </c>
      <c r="I12" s="976">
        <v>0</v>
      </c>
      <c r="J12" s="520">
        <v>0</v>
      </c>
      <c r="K12" s="488">
        <f t="shared" si="2"/>
        <v>0</v>
      </c>
      <c r="L12" s="488">
        <f t="shared" si="1"/>
        <v>983000.87538461527</v>
      </c>
      <c r="M12" s="489">
        <f t="shared" si="3"/>
        <v>0</v>
      </c>
      <c r="N12" s="488">
        <f t="shared" si="4"/>
        <v>0</v>
      </c>
      <c r="O12" s="744">
        <f t="shared" si="5"/>
        <v>0</v>
      </c>
      <c r="P12" s="491">
        <f t="shared" si="6"/>
        <v>0</v>
      </c>
      <c r="R12" s="1212">
        <v>37021</v>
      </c>
      <c r="S12" s="1170">
        <v>44835</v>
      </c>
      <c r="T12" s="1174">
        <f>'S5'!AL12-'S5'!AE12</f>
        <v>267.34615384615381</v>
      </c>
      <c r="U12" s="1177">
        <f t="shared" si="7"/>
        <v>1085960.0769230768</v>
      </c>
      <c r="V12" s="1181">
        <f t="shared" si="8"/>
        <v>21719.201538461537</v>
      </c>
      <c r="W12" s="1194">
        <f t="shared" si="9"/>
        <v>5.3469230769230762</v>
      </c>
    </row>
    <row r="13" spans="1:39" s="477" customFormat="1" ht="31.5" customHeight="1">
      <c r="A13" s="478">
        <v>7</v>
      </c>
      <c r="B13" s="1343" t="s">
        <v>2035</v>
      </c>
      <c r="C13" s="1344" t="s">
        <v>1851</v>
      </c>
      <c r="D13" s="1473">
        <v>44544</v>
      </c>
      <c r="E13" s="557" t="s">
        <v>260</v>
      </c>
      <c r="F13" s="494">
        <f>'S5'!AL13-'S5'!AD13-'S5'!AJ13-'S5'!AK13-'S5'!AE13-'S5'!AG13-W13</f>
        <v>351.47619588683096</v>
      </c>
      <c r="G13" s="495">
        <v>4062</v>
      </c>
      <c r="H13" s="488">
        <f t="shared" si="0"/>
        <v>1427696.3076923073</v>
      </c>
      <c r="I13" s="480">
        <v>0</v>
      </c>
      <c r="J13" s="520">
        <v>2</v>
      </c>
      <c r="K13" s="488">
        <f t="shared" ref="K13" si="10">150000*(J13+I13)</f>
        <v>300000</v>
      </c>
      <c r="L13" s="488">
        <f t="shared" ref="L13" si="11">H13-K13</f>
        <v>1127696.3076923073</v>
      </c>
      <c r="M13" s="489">
        <f t="shared" ref="M13" si="12">IF(L13&gt;=12500000,20%,IF(L13&gt;=8500001,15%,IF(L13&gt;=2000001,10%,IF(L13&gt;=1500001,5%,0%))))</f>
        <v>0</v>
      </c>
      <c r="N13" s="488">
        <f t="shared" si="4"/>
        <v>0</v>
      </c>
      <c r="O13" s="744">
        <f t="shared" si="5"/>
        <v>0</v>
      </c>
      <c r="P13" s="491">
        <f t="shared" si="6"/>
        <v>0</v>
      </c>
      <c r="R13" s="1212">
        <v>31308</v>
      </c>
      <c r="S13" s="1170">
        <v>44836</v>
      </c>
      <c r="T13" s="1174">
        <f>'S5'!AL13-'S5'!AE13</f>
        <v>382.3846153846153</v>
      </c>
      <c r="U13" s="1177">
        <f t="shared" si="7"/>
        <v>1553246.3076923073</v>
      </c>
      <c r="V13" s="1181">
        <f t="shared" si="8"/>
        <v>24000</v>
      </c>
      <c r="W13" s="1194">
        <f t="shared" si="9"/>
        <v>5.9084194977843429</v>
      </c>
    </row>
    <row r="14" spans="1:39" s="477" customFormat="1" ht="31.5" customHeight="1">
      <c r="A14" s="478">
        <v>8</v>
      </c>
      <c r="B14" s="688" t="s">
        <v>1055</v>
      </c>
      <c r="C14" s="625" t="s">
        <v>1056</v>
      </c>
      <c r="D14" s="1473">
        <v>44564</v>
      </c>
      <c r="E14" s="557" t="s">
        <v>260</v>
      </c>
      <c r="F14" s="494">
        <f>'S5'!AL14-'S5'!AD14-'S5'!AJ14-'S5'!AK14-'S5'!AE14-'S5'!AG14-W14</f>
        <v>371.58196511760025</v>
      </c>
      <c r="G14" s="495">
        <v>4062</v>
      </c>
      <c r="H14" s="488">
        <f t="shared" si="0"/>
        <v>1509365.9423076923</v>
      </c>
      <c r="I14" s="480">
        <v>0</v>
      </c>
      <c r="J14" s="520">
        <v>0</v>
      </c>
      <c r="K14" s="488">
        <f t="shared" si="2"/>
        <v>0</v>
      </c>
      <c r="L14" s="488">
        <f t="shared" si="1"/>
        <v>1509365.9423076923</v>
      </c>
      <c r="M14" s="489">
        <f t="shared" si="3"/>
        <v>0.05</v>
      </c>
      <c r="N14" s="488">
        <f t="shared" si="4"/>
        <v>75000</v>
      </c>
      <c r="O14" s="744">
        <f t="shared" si="5"/>
        <v>468.29711538461561</v>
      </c>
      <c r="P14" s="491">
        <f t="shared" si="6"/>
        <v>0.11528732530394278</v>
      </c>
      <c r="R14" s="1212">
        <v>37373</v>
      </c>
      <c r="S14" s="1170">
        <v>44835</v>
      </c>
      <c r="T14" s="1174">
        <f>'S5'!AL14-'S5'!AE14</f>
        <v>397.49038461538458</v>
      </c>
      <c r="U14" s="1177">
        <f t="shared" si="7"/>
        <v>1614605.9423076923</v>
      </c>
      <c r="V14" s="1181">
        <f t="shared" si="8"/>
        <v>24000</v>
      </c>
      <c r="W14" s="1194">
        <f t="shared" si="9"/>
        <v>5.9084194977843429</v>
      </c>
    </row>
    <row r="15" spans="1:39" s="477" customFormat="1" ht="31.5" customHeight="1">
      <c r="A15" s="478">
        <v>9</v>
      </c>
      <c r="B15" s="1785" t="s">
        <v>2292</v>
      </c>
      <c r="C15" s="1784" t="s">
        <v>2293</v>
      </c>
      <c r="D15" s="1517">
        <v>45496</v>
      </c>
      <c r="E15" s="557" t="s">
        <v>260</v>
      </c>
      <c r="F15" s="494">
        <f>'S5'!AL15-'S5'!AD15-'S5'!AJ15-'S5'!AK15-'S5'!AE15-'S5'!AG15-W15</f>
        <v>368.05311896375412</v>
      </c>
      <c r="G15" s="495">
        <v>4062</v>
      </c>
      <c r="H15" s="488">
        <f t="shared" si="0"/>
        <v>1495031.7692307692</v>
      </c>
      <c r="I15" s="480">
        <v>0</v>
      </c>
      <c r="J15" s="520">
        <v>1</v>
      </c>
      <c r="K15" s="488">
        <f t="shared" ref="K15" si="13">150000*(J15+I15)</f>
        <v>150000</v>
      </c>
      <c r="L15" s="488">
        <f t="shared" ref="L15" si="14">H15-K15</f>
        <v>1345031.7692307692</v>
      </c>
      <c r="M15" s="489">
        <f t="shared" ref="M15" si="15">IF(L15&gt;=12500000,20%,IF(L15&gt;=8500001,15%,IF(L15&gt;=2000001,10%,IF(L15&gt;=1500001,5%,0%))))</f>
        <v>0</v>
      </c>
      <c r="N15" s="488">
        <f t="shared" si="4"/>
        <v>0</v>
      </c>
      <c r="O15" s="744">
        <f t="shared" si="5"/>
        <v>0</v>
      </c>
      <c r="P15" s="491">
        <f t="shared" si="6"/>
        <v>0</v>
      </c>
      <c r="R15" s="1922">
        <v>37932</v>
      </c>
      <c r="S15" s="1170">
        <v>44835</v>
      </c>
      <c r="T15" s="1174">
        <f>'S5'!AL15-'S5'!AE15</f>
        <v>398.96153846153845</v>
      </c>
      <c r="U15" s="1177">
        <f t="shared" si="7"/>
        <v>1620581.7692307692</v>
      </c>
      <c r="V15" s="1181">
        <f t="shared" si="8"/>
        <v>24000</v>
      </c>
      <c r="W15" s="1194">
        <f t="shared" si="9"/>
        <v>5.9084194977843429</v>
      </c>
    </row>
    <row r="16" spans="1:39" s="477" customFormat="1" ht="31.5" customHeight="1">
      <c r="A16" s="478"/>
      <c r="B16" s="1785" t="s">
        <v>2395</v>
      </c>
      <c r="C16" s="1435" t="s">
        <v>2396</v>
      </c>
      <c r="D16" s="1866">
        <v>45581</v>
      </c>
      <c r="E16" s="1151" t="s">
        <v>260</v>
      </c>
      <c r="F16" s="494">
        <f>'S5'!AL16-'S5'!AD16-'S5'!AJ16-'S5'!AK16-'S5'!AE16-'S5'!AG16-W16</f>
        <v>128.30685384615384</v>
      </c>
      <c r="G16" s="495">
        <v>4062</v>
      </c>
      <c r="H16" s="488">
        <f t="shared" si="0"/>
        <v>521182.44032307691</v>
      </c>
      <c r="I16" s="480">
        <v>1</v>
      </c>
      <c r="J16" s="520">
        <v>2</v>
      </c>
      <c r="K16" s="488">
        <f t="shared" ref="K16" si="16">150000*(J16+I16)</f>
        <v>450000</v>
      </c>
      <c r="L16" s="488">
        <f t="shared" ref="L16" si="17">H16-K16</f>
        <v>71182.440323076909</v>
      </c>
      <c r="M16" s="489">
        <f t="shared" ref="M16" si="18">IF(L16&gt;=12500000,20%,IF(L16&gt;=8500001,15%,IF(L16&gt;=2000001,10%,IF(L16&gt;=1500001,5%,0%))))</f>
        <v>0</v>
      </c>
      <c r="N16" s="488">
        <f t="shared" si="4"/>
        <v>0</v>
      </c>
      <c r="O16" s="744">
        <f t="shared" ref="O16" si="19">L16*M16-N16</f>
        <v>0</v>
      </c>
      <c r="P16" s="491">
        <f t="shared" si="6"/>
        <v>0</v>
      </c>
      <c r="R16" s="1779">
        <v>36625</v>
      </c>
      <c r="S16" s="1170">
        <v>44835</v>
      </c>
      <c r="T16" s="1174">
        <f>'S5'!AL16-'S5'!AE16</f>
        <v>139.94576923076923</v>
      </c>
      <c r="U16" s="1177">
        <f t="shared" si="7"/>
        <v>568459.71461538458</v>
      </c>
      <c r="V16" s="1181">
        <f t="shared" si="8"/>
        <v>11369.194292307691</v>
      </c>
      <c r="W16" s="1194">
        <f t="shared" si="9"/>
        <v>2.7989153846153845</v>
      </c>
    </row>
    <row r="17" spans="1:23" s="477" customFormat="1" ht="31.5" customHeight="1">
      <c r="A17" s="478">
        <v>10</v>
      </c>
      <c r="B17" s="514" t="s">
        <v>399</v>
      </c>
      <c r="C17" s="583" t="s">
        <v>400</v>
      </c>
      <c r="D17" s="1563">
        <v>42814</v>
      </c>
      <c r="E17" s="513" t="s">
        <v>260</v>
      </c>
      <c r="F17" s="494">
        <f>'S5'!AL17-'S5'!AD17-'S5'!AJ17-'S5'!AK17-'S5'!AE17-'S5'!AG17-W17</f>
        <v>376.58196511760025</v>
      </c>
      <c r="G17" s="495">
        <v>4062</v>
      </c>
      <c r="H17" s="488">
        <f t="shared" si="0"/>
        <v>1529675.9423076923</v>
      </c>
      <c r="I17" s="495"/>
      <c r="J17" s="563"/>
      <c r="K17" s="488">
        <f t="shared" si="2"/>
        <v>0</v>
      </c>
      <c r="L17" s="488">
        <f t="shared" si="1"/>
        <v>1529675.9423076923</v>
      </c>
      <c r="M17" s="489">
        <f t="shared" si="3"/>
        <v>0.05</v>
      </c>
      <c r="N17" s="488">
        <f t="shared" si="4"/>
        <v>75000</v>
      </c>
      <c r="O17" s="744">
        <f t="shared" si="5"/>
        <v>1483.7971153846156</v>
      </c>
      <c r="P17" s="491">
        <f t="shared" si="6"/>
        <v>0.36528732530394281</v>
      </c>
      <c r="R17" s="1186">
        <v>34768</v>
      </c>
      <c r="S17" s="1170">
        <v>44835</v>
      </c>
      <c r="T17" s="1174">
        <f>'S5'!AL17-'S5'!AE17</f>
        <v>402.49038461538458</v>
      </c>
      <c r="U17" s="1177">
        <f t="shared" si="7"/>
        <v>1634915.9423076923</v>
      </c>
      <c r="V17" s="1181">
        <f t="shared" si="8"/>
        <v>24000</v>
      </c>
      <c r="W17" s="1194">
        <f t="shared" si="9"/>
        <v>5.9084194977843429</v>
      </c>
    </row>
    <row r="18" spans="1:23" s="477" customFormat="1" ht="31.5" customHeight="1">
      <c r="A18" s="478">
        <v>11</v>
      </c>
      <c r="B18" s="514" t="s">
        <v>301</v>
      </c>
      <c r="C18" s="583" t="s">
        <v>502</v>
      </c>
      <c r="D18" s="1563">
        <v>41347</v>
      </c>
      <c r="E18" s="513" t="s">
        <v>260</v>
      </c>
      <c r="F18" s="494">
        <f>'S5'!AL18-'S5'!AD18-'S5'!AJ18-'S5'!AK18-'S5'!AE18-'S5'!AG18-W18</f>
        <v>273.07234973298489</v>
      </c>
      <c r="G18" s="495">
        <v>4062</v>
      </c>
      <c r="H18" s="488">
        <f t="shared" si="0"/>
        <v>1109219.8846153845</v>
      </c>
      <c r="I18" s="495">
        <v>0</v>
      </c>
      <c r="J18" s="520">
        <v>1</v>
      </c>
      <c r="K18" s="488">
        <f t="shared" si="2"/>
        <v>150000</v>
      </c>
      <c r="L18" s="488">
        <f t="shared" si="1"/>
        <v>959219.88461538451</v>
      </c>
      <c r="M18" s="489">
        <f t="shared" si="3"/>
        <v>0</v>
      </c>
      <c r="N18" s="488">
        <f t="shared" si="4"/>
        <v>0</v>
      </c>
      <c r="O18" s="744">
        <f t="shared" si="5"/>
        <v>0</v>
      </c>
      <c r="P18" s="491">
        <f t="shared" si="6"/>
        <v>0</v>
      </c>
      <c r="R18" s="1186">
        <v>27642</v>
      </c>
      <c r="S18" s="1170">
        <v>44835</v>
      </c>
      <c r="T18" s="1174">
        <f>'S5'!AL18-'S5'!AE18</f>
        <v>298.98076923076923</v>
      </c>
      <c r="U18" s="1177">
        <f t="shared" si="7"/>
        <v>1214459.8846153845</v>
      </c>
      <c r="V18" s="1181">
        <f t="shared" si="8"/>
        <v>24000</v>
      </c>
      <c r="W18" s="1194">
        <f t="shared" si="9"/>
        <v>5.9084194977843429</v>
      </c>
    </row>
    <row r="19" spans="1:23" s="477" customFormat="1" ht="31.5" customHeight="1">
      <c r="A19" s="478">
        <v>13</v>
      </c>
      <c r="B19" s="572" t="s">
        <v>2036</v>
      </c>
      <c r="C19" s="956" t="s">
        <v>1354</v>
      </c>
      <c r="D19" s="1474">
        <v>44604</v>
      </c>
      <c r="E19" s="513" t="s">
        <v>260</v>
      </c>
      <c r="F19" s="494">
        <f>'S5'!AL19-'S5'!AD19-'S5'!AJ19-'S5'!AK19-'S5'!AE19-'S5'!AG19-W19</f>
        <v>352.94734973298483</v>
      </c>
      <c r="G19" s="495">
        <v>4062</v>
      </c>
      <c r="H19" s="488">
        <f t="shared" si="0"/>
        <v>1433672.1346153843</v>
      </c>
      <c r="I19" s="495">
        <v>0</v>
      </c>
      <c r="J19" s="520">
        <v>0</v>
      </c>
      <c r="K19" s="488">
        <f t="shared" si="2"/>
        <v>0</v>
      </c>
      <c r="L19" s="488">
        <f t="shared" si="1"/>
        <v>1433672.1346153843</v>
      </c>
      <c r="M19" s="489">
        <f t="shared" si="3"/>
        <v>0</v>
      </c>
      <c r="N19" s="488">
        <f t="shared" si="4"/>
        <v>0</v>
      </c>
      <c r="O19" s="744">
        <f t="shared" si="5"/>
        <v>0</v>
      </c>
      <c r="P19" s="491">
        <f t="shared" si="6"/>
        <v>0</v>
      </c>
      <c r="R19" s="1212">
        <v>36557</v>
      </c>
      <c r="S19" s="1170">
        <v>44835</v>
      </c>
      <c r="T19" s="1174">
        <f>'S5'!AL19-'S5'!AE19</f>
        <v>378.85576923076917</v>
      </c>
      <c r="U19" s="1177">
        <f t="shared" si="7"/>
        <v>1538912.1346153843</v>
      </c>
      <c r="V19" s="1181">
        <f t="shared" si="8"/>
        <v>24000</v>
      </c>
      <c r="W19" s="1194">
        <f t="shared" si="9"/>
        <v>5.9084194977843429</v>
      </c>
    </row>
    <row r="20" spans="1:23" s="477" customFormat="1" ht="31.5" customHeight="1">
      <c r="A20" s="478">
        <v>14</v>
      </c>
      <c r="B20" s="572" t="s">
        <v>2037</v>
      </c>
      <c r="C20" s="956" t="s">
        <v>1566</v>
      </c>
      <c r="D20" s="1474">
        <v>44735</v>
      </c>
      <c r="E20" s="513" t="s">
        <v>260</v>
      </c>
      <c r="F20" s="494">
        <f>'S5'!AL20-'S5'!AD20-'S5'!AJ20-'S5'!AK20-'S5'!AE20-'S5'!AG20-W20</f>
        <v>371.58196511760025</v>
      </c>
      <c r="G20" s="495">
        <v>4062</v>
      </c>
      <c r="H20" s="488">
        <f t="shared" si="0"/>
        <v>1509365.9423076923</v>
      </c>
      <c r="I20" s="495">
        <v>0</v>
      </c>
      <c r="J20" s="520">
        <v>2</v>
      </c>
      <c r="K20" s="488">
        <f t="shared" ref="K20" si="20">150000*(J20+I20)</f>
        <v>300000</v>
      </c>
      <c r="L20" s="488">
        <f t="shared" ref="L20" si="21">H20-K20</f>
        <v>1209365.9423076923</v>
      </c>
      <c r="M20" s="489">
        <f t="shared" si="3"/>
        <v>0</v>
      </c>
      <c r="N20" s="488">
        <f t="shared" si="4"/>
        <v>0</v>
      </c>
      <c r="O20" s="744">
        <f t="shared" si="5"/>
        <v>0</v>
      </c>
      <c r="P20" s="491">
        <f t="shared" si="6"/>
        <v>0</v>
      </c>
      <c r="R20" s="1186">
        <v>27890</v>
      </c>
      <c r="S20" s="1170">
        <v>44835</v>
      </c>
      <c r="T20" s="1174">
        <f>'S5'!AL20-'S5'!AE20</f>
        <v>397.49038461538458</v>
      </c>
      <c r="U20" s="1177">
        <f t="shared" si="7"/>
        <v>1614605.9423076923</v>
      </c>
      <c r="V20" s="1181">
        <f t="shared" si="8"/>
        <v>24000</v>
      </c>
      <c r="W20" s="1194">
        <f t="shared" si="9"/>
        <v>5.9084194977843429</v>
      </c>
    </row>
    <row r="21" spans="1:23" s="477" customFormat="1" ht="31.5" customHeight="1">
      <c r="A21" s="478">
        <v>15</v>
      </c>
      <c r="B21" s="572" t="s">
        <v>2038</v>
      </c>
      <c r="C21" s="1079" t="s">
        <v>1578</v>
      </c>
      <c r="D21" s="1474">
        <v>44740</v>
      </c>
      <c r="E21" s="513" t="s">
        <v>260</v>
      </c>
      <c r="F21" s="494">
        <f>'S5'!AL21-'S5'!AD21-'S5'!AJ21-'S5'!AK21-'S5'!AE21-'S5'!AG21-W21</f>
        <v>356.08281290670578</v>
      </c>
      <c r="G21" s="495">
        <v>4062</v>
      </c>
      <c r="H21" s="488">
        <f t="shared" si="0"/>
        <v>1446408.3860270388</v>
      </c>
      <c r="I21" s="495">
        <v>0</v>
      </c>
      <c r="J21" s="520">
        <v>2</v>
      </c>
      <c r="K21" s="488">
        <f t="shared" ref="K21" si="22">150000*(J21+I21)</f>
        <v>300000</v>
      </c>
      <c r="L21" s="488">
        <f t="shared" ref="L21" si="23">H21-K21</f>
        <v>1146408.3860270388</v>
      </c>
      <c r="M21" s="489">
        <f t="shared" si="3"/>
        <v>0</v>
      </c>
      <c r="N21" s="488">
        <f t="shared" si="4"/>
        <v>0</v>
      </c>
      <c r="O21" s="744">
        <f t="shared" si="5"/>
        <v>0</v>
      </c>
      <c r="P21" s="491">
        <f t="shared" si="6"/>
        <v>0</v>
      </c>
      <c r="R21" s="1186">
        <v>32549</v>
      </c>
      <c r="S21" s="1170">
        <v>44835</v>
      </c>
      <c r="T21" s="1174">
        <f>'S5'!AL21-'S5'!AE21</f>
        <v>381.99123240449012</v>
      </c>
      <c r="U21" s="1177">
        <f t="shared" si="7"/>
        <v>1551648.3860270388</v>
      </c>
      <c r="V21" s="1181">
        <f t="shared" si="8"/>
        <v>24000</v>
      </c>
      <c r="W21" s="1194">
        <f t="shared" si="9"/>
        <v>5.9084194977843429</v>
      </c>
    </row>
    <row r="22" spans="1:23" s="477" customFormat="1" ht="31.5" customHeight="1">
      <c r="A22" s="478">
        <v>16</v>
      </c>
      <c r="B22" s="572" t="s">
        <v>2039</v>
      </c>
      <c r="C22" s="956" t="s">
        <v>1625</v>
      </c>
      <c r="D22" s="1474">
        <v>44740</v>
      </c>
      <c r="E22" s="513" t="s">
        <v>260</v>
      </c>
      <c r="F22" s="494">
        <f>'S5'!AL22-'S5'!AD22-'S5'!AJ22-'S5'!AK22-'S5'!AE22-'S5'!AG22-W22</f>
        <v>353.3832416530712</v>
      </c>
      <c r="G22" s="495">
        <v>4062</v>
      </c>
      <c r="H22" s="488">
        <f t="shared" si="0"/>
        <v>1435442.7275947751</v>
      </c>
      <c r="I22" s="495">
        <v>0</v>
      </c>
      <c r="J22" s="520">
        <v>3</v>
      </c>
      <c r="K22" s="488">
        <f t="shared" ref="K22" si="24">150000*(J22+I22)</f>
        <v>450000</v>
      </c>
      <c r="L22" s="488">
        <f t="shared" ref="L22" si="25">H22-K22</f>
        <v>985442.72759477515</v>
      </c>
      <c r="M22" s="489">
        <f t="shared" si="3"/>
        <v>0</v>
      </c>
      <c r="N22" s="488">
        <f t="shared" si="4"/>
        <v>0</v>
      </c>
      <c r="O22" s="744">
        <f t="shared" si="5"/>
        <v>0</v>
      </c>
      <c r="P22" s="491">
        <f t="shared" si="6"/>
        <v>0</v>
      </c>
      <c r="R22" s="1186">
        <v>31724</v>
      </c>
      <c r="S22" s="1170">
        <v>44835</v>
      </c>
      <c r="T22" s="1174">
        <f>'S5'!AL22-'S5'!AE22</f>
        <v>379.29166115085553</v>
      </c>
      <c r="U22" s="1177">
        <f t="shared" si="7"/>
        <v>1540682.7275947751</v>
      </c>
      <c r="V22" s="1181">
        <f t="shared" si="8"/>
        <v>24000</v>
      </c>
      <c r="W22" s="1194">
        <f t="shared" si="9"/>
        <v>5.9084194977843429</v>
      </c>
    </row>
    <row r="23" spans="1:23" s="477" customFormat="1" ht="31.5" customHeight="1">
      <c r="A23" s="478">
        <v>17</v>
      </c>
      <c r="B23" s="572" t="s">
        <v>2040</v>
      </c>
      <c r="C23" s="956" t="s">
        <v>1820</v>
      </c>
      <c r="D23" s="1474">
        <v>44838</v>
      </c>
      <c r="E23" s="513" t="s">
        <v>260</v>
      </c>
      <c r="F23" s="494">
        <f>'S5'!AL23-'S5'!AD23-'S5'!AJ23-'S5'!AK23-'S5'!AE23-'S5'!AG23-W23</f>
        <v>366.05311896375412</v>
      </c>
      <c r="G23" s="495">
        <v>4062</v>
      </c>
      <c r="H23" s="488">
        <f t="shared" si="0"/>
        <v>1486907.7692307692</v>
      </c>
      <c r="I23" s="495">
        <v>0</v>
      </c>
      <c r="J23" s="520">
        <v>3</v>
      </c>
      <c r="K23" s="488">
        <f t="shared" ref="K23" si="26">150000*(J23+I23)</f>
        <v>450000</v>
      </c>
      <c r="L23" s="488">
        <f t="shared" ref="L23" si="27">H23-K23</f>
        <v>1036907.7692307692</v>
      </c>
      <c r="M23" s="489">
        <f t="shared" si="3"/>
        <v>0</v>
      </c>
      <c r="N23" s="488">
        <f t="shared" si="4"/>
        <v>0</v>
      </c>
      <c r="O23" s="744">
        <f t="shared" si="5"/>
        <v>0</v>
      </c>
      <c r="P23" s="491">
        <f t="shared" si="6"/>
        <v>0</v>
      </c>
      <c r="R23" s="1186">
        <v>30247</v>
      </c>
      <c r="S23" s="1170">
        <v>44835</v>
      </c>
      <c r="T23" s="1174">
        <f>'S5'!AL23-'S5'!AE23</f>
        <v>391.96153846153845</v>
      </c>
      <c r="U23" s="1177">
        <f t="shared" si="7"/>
        <v>1592147.7692307692</v>
      </c>
      <c r="V23" s="1181">
        <f t="shared" si="8"/>
        <v>24000</v>
      </c>
      <c r="W23" s="1194">
        <f t="shared" si="9"/>
        <v>5.9084194977843429</v>
      </c>
    </row>
    <row r="24" spans="1:23" s="477" customFormat="1" ht="31.5" customHeight="1">
      <c r="A24" s="478">
        <v>18</v>
      </c>
      <c r="B24" s="514" t="s">
        <v>303</v>
      </c>
      <c r="C24" s="583" t="s">
        <v>304</v>
      </c>
      <c r="D24" s="1563">
        <v>41403</v>
      </c>
      <c r="E24" s="513" t="s">
        <v>260</v>
      </c>
      <c r="F24" s="494">
        <f>'S5'!AL24-'S5'!AD24-'S5'!AJ24-'S5'!AK24-'S5'!AE24-'S5'!AG24-W24</f>
        <v>325.14927280990798</v>
      </c>
      <c r="G24" s="495">
        <v>4062</v>
      </c>
      <c r="H24" s="488">
        <f t="shared" si="0"/>
        <v>1320756.3461538462</v>
      </c>
      <c r="I24" s="495">
        <v>0</v>
      </c>
      <c r="J24" s="520">
        <v>3</v>
      </c>
      <c r="K24" s="488">
        <f t="shared" si="2"/>
        <v>450000</v>
      </c>
      <c r="L24" s="488">
        <f t="shared" si="1"/>
        <v>870756.34615384624</v>
      </c>
      <c r="M24" s="489">
        <f t="shared" si="3"/>
        <v>0</v>
      </c>
      <c r="N24" s="488">
        <f t="shared" si="4"/>
        <v>0</v>
      </c>
      <c r="O24" s="744">
        <f t="shared" si="5"/>
        <v>0</v>
      </c>
      <c r="P24" s="491">
        <f t="shared" si="6"/>
        <v>0</v>
      </c>
      <c r="R24" s="1186">
        <v>26332</v>
      </c>
      <c r="S24" s="1170">
        <v>44835</v>
      </c>
      <c r="T24" s="1174">
        <f>'S5'!AL24-'S5'!AE24</f>
        <v>351.05769230769232</v>
      </c>
      <c r="U24" s="1177">
        <f t="shared" si="7"/>
        <v>1425996.3461538462</v>
      </c>
      <c r="V24" s="1181">
        <f t="shared" si="8"/>
        <v>24000</v>
      </c>
      <c r="W24" s="1194">
        <f t="shared" si="9"/>
        <v>5.9084194977843429</v>
      </c>
    </row>
    <row r="25" spans="1:23" s="477" customFormat="1" ht="31.5" customHeight="1">
      <c r="A25" s="478">
        <v>19</v>
      </c>
      <c r="B25" s="646" t="s">
        <v>2041</v>
      </c>
      <c r="C25" s="584" t="s">
        <v>537</v>
      </c>
      <c r="D25" s="1563">
        <v>43748</v>
      </c>
      <c r="E25" s="513" t="s">
        <v>260</v>
      </c>
      <c r="F25" s="494">
        <f>'S5'!AL25-'S5'!AD25-'S5'!AJ25-'S5'!AK25-'S5'!AE25-'S5'!AG25-W25</f>
        <v>376.63004204067721</v>
      </c>
      <c r="G25" s="495">
        <v>4062</v>
      </c>
      <c r="H25" s="488">
        <f t="shared" si="0"/>
        <v>1529871.2307692308</v>
      </c>
      <c r="I25" s="495"/>
      <c r="J25" s="520">
        <v>2</v>
      </c>
      <c r="K25" s="488">
        <f t="shared" si="2"/>
        <v>300000</v>
      </c>
      <c r="L25" s="488">
        <f t="shared" si="1"/>
        <v>1229871.2307692308</v>
      </c>
      <c r="M25" s="489">
        <f t="shared" si="3"/>
        <v>0</v>
      </c>
      <c r="N25" s="488">
        <f t="shared" si="4"/>
        <v>0</v>
      </c>
      <c r="O25" s="744">
        <f t="shared" si="5"/>
        <v>0</v>
      </c>
      <c r="P25" s="491">
        <f t="shared" si="6"/>
        <v>0</v>
      </c>
      <c r="R25" s="1186">
        <v>32730</v>
      </c>
      <c r="S25" s="1170">
        <v>44835</v>
      </c>
      <c r="T25" s="1174">
        <f>'S5'!AL25-'S5'!AE25</f>
        <v>402.53846153846155</v>
      </c>
      <c r="U25" s="1177">
        <f t="shared" si="7"/>
        <v>1635111.2307692308</v>
      </c>
      <c r="V25" s="1181">
        <f t="shared" si="8"/>
        <v>24000</v>
      </c>
      <c r="W25" s="1194">
        <f t="shared" si="9"/>
        <v>5.9084194977843429</v>
      </c>
    </row>
    <row r="26" spans="1:23" s="477" customFormat="1" ht="31.5" customHeight="1">
      <c r="A26" s="478">
        <v>20</v>
      </c>
      <c r="B26" s="1572" t="s">
        <v>305</v>
      </c>
      <c r="C26" s="584" t="s">
        <v>306</v>
      </c>
      <c r="D26" s="1563">
        <v>41944</v>
      </c>
      <c r="E26" s="513" t="s">
        <v>260</v>
      </c>
      <c r="F26" s="494">
        <f>'S5'!AL26-'S5'!AD26-'S5'!AJ26-'S5'!AK26-'S5'!AE26-'S5'!AG26-W26</f>
        <v>419.96658050221566</v>
      </c>
      <c r="G26" s="495">
        <v>4062</v>
      </c>
      <c r="H26" s="488">
        <f t="shared" si="0"/>
        <v>1705904.25</v>
      </c>
      <c r="I26" s="495"/>
      <c r="J26" s="565"/>
      <c r="K26" s="488">
        <f t="shared" si="2"/>
        <v>0</v>
      </c>
      <c r="L26" s="488">
        <f t="shared" si="1"/>
        <v>1705904.25</v>
      </c>
      <c r="M26" s="489">
        <f t="shared" si="3"/>
        <v>0.05</v>
      </c>
      <c r="N26" s="488">
        <f t="shared" si="4"/>
        <v>75000</v>
      </c>
      <c r="O26" s="744">
        <f t="shared" si="5"/>
        <v>10295.212500000009</v>
      </c>
      <c r="P26" s="491">
        <f t="shared" si="6"/>
        <v>2.5345180945347141</v>
      </c>
      <c r="R26" s="1186">
        <v>35151</v>
      </c>
      <c r="S26" s="1170">
        <v>44835</v>
      </c>
      <c r="T26" s="1174">
        <f>'S5'!AL26-'S5'!AE26</f>
        <v>445.875</v>
      </c>
      <c r="U26" s="1177">
        <f t="shared" si="7"/>
        <v>1811144.25</v>
      </c>
      <c r="V26" s="1181">
        <f t="shared" si="8"/>
        <v>24000</v>
      </c>
      <c r="W26" s="1194">
        <f t="shared" si="9"/>
        <v>5.9084194977843429</v>
      </c>
    </row>
    <row r="27" spans="1:23" s="477" customFormat="1" ht="31.5" customHeight="1">
      <c r="A27" s="478">
        <v>21</v>
      </c>
      <c r="B27" s="515" t="s">
        <v>410</v>
      </c>
      <c r="C27" s="581" t="s">
        <v>411</v>
      </c>
      <c r="D27" s="1474">
        <v>42850</v>
      </c>
      <c r="E27" s="513" t="s">
        <v>260</v>
      </c>
      <c r="F27" s="494">
        <f>'S5'!AL27-'S5'!AD27-'S5'!AJ27-'S5'!AK27-'S5'!AE27-'S5'!AG27-W27</f>
        <v>362.36081127144638</v>
      </c>
      <c r="G27" s="495">
        <v>4062</v>
      </c>
      <c r="H27" s="488">
        <f t="shared" si="0"/>
        <v>1471909.6153846153</v>
      </c>
      <c r="I27" s="495"/>
      <c r="J27" s="520">
        <v>0</v>
      </c>
      <c r="K27" s="488">
        <f t="shared" si="2"/>
        <v>0</v>
      </c>
      <c r="L27" s="488">
        <f t="shared" si="1"/>
        <v>1471909.6153846153</v>
      </c>
      <c r="M27" s="489">
        <f t="shared" si="3"/>
        <v>0</v>
      </c>
      <c r="N27" s="488">
        <f t="shared" si="4"/>
        <v>0</v>
      </c>
      <c r="O27" s="744">
        <f t="shared" si="5"/>
        <v>0</v>
      </c>
      <c r="P27" s="491">
        <f t="shared" si="6"/>
        <v>0</v>
      </c>
      <c r="R27" s="1186">
        <v>34037</v>
      </c>
      <c r="S27" s="1170">
        <v>44835</v>
      </c>
      <c r="T27" s="1174">
        <f>'S5'!AL27-'S5'!AE27</f>
        <v>388.26923076923072</v>
      </c>
      <c r="U27" s="1177">
        <f t="shared" si="7"/>
        <v>1577149.6153846153</v>
      </c>
      <c r="V27" s="1181">
        <f t="shared" si="8"/>
        <v>24000</v>
      </c>
      <c r="W27" s="1194">
        <f t="shared" si="9"/>
        <v>5.9084194977843429</v>
      </c>
    </row>
    <row r="28" spans="1:23" s="477" customFormat="1" ht="31.5" customHeight="1">
      <c r="A28" s="478">
        <v>22</v>
      </c>
      <c r="B28" s="515" t="s">
        <v>418</v>
      </c>
      <c r="C28" s="581" t="s">
        <v>419</v>
      </c>
      <c r="D28" s="1474">
        <v>42949</v>
      </c>
      <c r="E28" s="513" t="s">
        <v>260</v>
      </c>
      <c r="F28" s="494">
        <f>'S5'!AL28-'S5'!AD28-'S5'!AJ28-'S5'!AK28-'S5'!AE28-'S5'!AG28-W28</f>
        <v>376.64927280990804</v>
      </c>
      <c r="G28" s="495">
        <v>4062</v>
      </c>
      <c r="H28" s="488">
        <f t="shared" si="0"/>
        <v>1529949.3461538465</v>
      </c>
      <c r="I28" s="495">
        <v>1</v>
      </c>
      <c r="J28" s="520">
        <v>2</v>
      </c>
      <c r="K28" s="488">
        <f t="shared" si="2"/>
        <v>450000</v>
      </c>
      <c r="L28" s="488">
        <f t="shared" si="1"/>
        <v>1079949.3461538465</v>
      </c>
      <c r="M28" s="489">
        <f t="shared" si="3"/>
        <v>0</v>
      </c>
      <c r="N28" s="488">
        <f t="shared" si="4"/>
        <v>0</v>
      </c>
      <c r="O28" s="744">
        <f t="shared" si="5"/>
        <v>0</v>
      </c>
      <c r="P28" s="491">
        <f t="shared" si="6"/>
        <v>0</v>
      </c>
      <c r="R28" s="1186">
        <v>34045</v>
      </c>
      <c r="S28" s="1170">
        <v>44835</v>
      </c>
      <c r="T28" s="1174">
        <f>'S5'!AL28-'S5'!AE28</f>
        <v>402.55769230769238</v>
      </c>
      <c r="U28" s="1177">
        <f t="shared" si="7"/>
        <v>1635189.3461538465</v>
      </c>
      <c r="V28" s="1181">
        <f t="shared" si="8"/>
        <v>24000</v>
      </c>
      <c r="W28" s="1194">
        <f t="shared" si="9"/>
        <v>5.9084194977843429</v>
      </c>
    </row>
    <row r="29" spans="1:23" s="477" customFormat="1" ht="31.5" customHeight="1">
      <c r="A29" s="478">
        <v>23</v>
      </c>
      <c r="B29" s="572" t="s">
        <v>2042</v>
      </c>
      <c r="C29" s="578" t="s">
        <v>704</v>
      </c>
      <c r="D29" s="1474">
        <v>43294</v>
      </c>
      <c r="E29" s="557" t="s">
        <v>260</v>
      </c>
      <c r="F29" s="494">
        <f>'S5'!AL29-'S5'!AD29-'S5'!AJ29-'S5'!AK29-'S5'!AE29-'S5'!AG29-W29</f>
        <v>363.8704266560618</v>
      </c>
      <c r="G29" s="495">
        <v>4062</v>
      </c>
      <c r="H29" s="488">
        <f t="shared" si="0"/>
        <v>1478041.673076923</v>
      </c>
      <c r="I29" s="495"/>
      <c r="J29" s="520">
        <v>2</v>
      </c>
      <c r="K29" s="488">
        <f t="shared" si="2"/>
        <v>300000</v>
      </c>
      <c r="L29" s="488">
        <f t="shared" si="1"/>
        <v>1178041.673076923</v>
      </c>
      <c r="M29" s="489">
        <f t="shared" si="3"/>
        <v>0</v>
      </c>
      <c r="N29" s="488">
        <f t="shared" si="4"/>
        <v>0</v>
      </c>
      <c r="O29" s="744">
        <f t="shared" si="5"/>
        <v>0</v>
      </c>
      <c r="P29" s="491">
        <f t="shared" si="6"/>
        <v>0</v>
      </c>
      <c r="R29" s="1186">
        <v>29803</v>
      </c>
      <c r="S29" s="1170">
        <v>44835</v>
      </c>
      <c r="T29" s="1174">
        <f>'S5'!AL29-'S5'!AE29</f>
        <v>389.77884615384613</v>
      </c>
      <c r="U29" s="1177">
        <f t="shared" si="7"/>
        <v>1583281.673076923</v>
      </c>
      <c r="V29" s="1181">
        <f t="shared" si="8"/>
        <v>24000</v>
      </c>
      <c r="W29" s="1194">
        <f t="shared" si="9"/>
        <v>5.9084194977843429</v>
      </c>
    </row>
    <row r="30" spans="1:23" s="477" customFormat="1" ht="31.5" customHeight="1">
      <c r="A30" s="478">
        <v>24</v>
      </c>
      <c r="B30" s="518" t="s">
        <v>307</v>
      </c>
      <c r="C30" s="578" t="s">
        <v>308</v>
      </c>
      <c r="D30" s="1474">
        <v>42121</v>
      </c>
      <c r="E30" s="513" t="s">
        <v>260</v>
      </c>
      <c r="F30" s="494">
        <f>'S5'!AL30-'S5'!AD30-'S5'!AJ30-'S5'!AK30-'S5'!AE30-'S5'!AG30-W30</f>
        <v>375.05311896375412</v>
      </c>
      <c r="G30" s="495">
        <v>4062</v>
      </c>
      <c r="H30" s="488">
        <f t="shared" si="0"/>
        <v>1523465.7692307692</v>
      </c>
      <c r="I30" s="495"/>
      <c r="J30" s="520">
        <v>0</v>
      </c>
      <c r="K30" s="488">
        <f t="shared" si="2"/>
        <v>0</v>
      </c>
      <c r="L30" s="488">
        <f t="shared" si="1"/>
        <v>1523465.7692307692</v>
      </c>
      <c r="M30" s="489">
        <f t="shared" si="3"/>
        <v>0.05</v>
      </c>
      <c r="N30" s="488">
        <f t="shared" si="4"/>
        <v>75000</v>
      </c>
      <c r="O30" s="744">
        <f t="shared" si="5"/>
        <v>1173.2884615384683</v>
      </c>
      <c r="P30" s="491">
        <f t="shared" si="6"/>
        <v>0.28884501761163667</v>
      </c>
      <c r="R30" s="1186">
        <v>33639</v>
      </c>
      <c r="S30" s="1170">
        <v>44835</v>
      </c>
      <c r="T30" s="1174">
        <f>'S5'!AL30-'S5'!AE30</f>
        <v>400.96153846153845</v>
      </c>
      <c r="U30" s="1177">
        <f t="shared" si="7"/>
        <v>1628705.7692307692</v>
      </c>
      <c r="V30" s="1181">
        <f t="shared" si="8"/>
        <v>24000</v>
      </c>
      <c r="W30" s="1194">
        <f t="shared" si="9"/>
        <v>5.9084194977843429</v>
      </c>
    </row>
    <row r="31" spans="1:23" s="477" customFormat="1" ht="31.5" customHeight="1">
      <c r="A31" s="478">
        <v>25</v>
      </c>
      <c r="B31" s="518" t="s">
        <v>309</v>
      </c>
      <c r="C31" s="578" t="s">
        <v>310</v>
      </c>
      <c r="D31" s="1563">
        <v>42125</v>
      </c>
      <c r="E31" s="513" t="s">
        <v>260</v>
      </c>
      <c r="F31" s="494">
        <f>'S5'!AL31-'S5'!AD31-'S5'!AJ31-'S5'!AK31-'S5'!AE31-'S5'!AG31-W31</f>
        <v>385.08677280990798</v>
      </c>
      <c r="G31" s="495">
        <v>4062</v>
      </c>
      <c r="H31" s="488">
        <f t="shared" si="0"/>
        <v>1564222.4711538462</v>
      </c>
      <c r="I31" s="495">
        <v>0</v>
      </c>
      <c r="J31" s="520">
        <v>3</v>
      </c>
      <c r="K31" s="488">
        <f t="shared" si="2"/>
        <v>450000</v>
      </c>
      <c r="L31" s="488">
        <f t="shared" si="1"/>
        <v>1114222.4711538462</v>
      </c>
      <c r="M31" s="489">
        <f t="shared" si="3"/>
        <v>0</v>
      </c>
      <c r="N31" s="488">
        <f t="shared" si="4"/>
        <v>0</v>
      </c>
      <c r="O31" s="744">
        <f t="shared" si="5"/>
        <v>0</v>
      </c>
      <c r="P31" s="491">
        <f t="shared" si="6"/>
        <v>0</v>
      </c>
      <c r="R31" s="1186">
        <v>28979</v>
      </c>
      <c r="S31" s="1170">
        <v>44835</v>
      </c>
      <c r="T31" s="1174">
        <f>'S5'!AL31-'S5'!AE31</f>
        <v>410.99519230769232</v>
      </c>
      <c r="U31" s="1177">
        <f t="shared" si="7"/>
        <v>1669462.4711538462</v>
      </c>
      <c r="V31" s="1181">
        <f t="shared" si="8"/>
        <v>24000</v>
      </c>
      <c r="W31" s="1194">
        <f t="shared" si="9"/>
        <v>5.9084194977843429</v>
      </c>
    </row>
    <row r="32" spans="1:23" s="477" customFormat="1" ht="31.5" customHeight="1">
      <c r="A32" s="478">
        <v>26</v>
      </c>
      <c r="B32" s="518" t="s">
        <v>423</v>
      </c>
      <c r="C32" s="578" t="s">
        <v>424</v>
      </c>
      <c r="D32" s="1474">
        <v>42163</v>
      </c>
      <c r="E32" s="513" t="s">
        <v>260</v>
      </c>
      <c r="F32" s="494">
        <f>'S5'!AL32-'S5'!AD32-'S5'!AJ32-'S5'!AK32-'S5'!AE32-'S5'!AG32-W32</f>
        <v>314.27427280990793</v>
      </c>
      <c r="G32" s="495">
        <v>4062</v>
      </c>
      <c r="H32" s="488">
        <f t="shared" si="0"/>
        <v>1276582.096153846</v>
      </c>
      <c r="I32" s="495">
        <v>0</v>
      </c>
      <c r="J32" s="520">
        <v>4</v>
      </c>
      <c r="K32" s="488">
        <f t="shared" si="2"/>
        <v>600000</v>
      </c>
      <c r="L32" s="488">
        <f t="shared" si="1"/>
        <v>676582.09615384601</v>
      </c>
      <c r="M32" s="489">
        <f t="shared" si="3"/>
        <v>0</v>
      </c>
      <c r="N32" s="488">
        <f t="shared" si="4"/>
        <v>0</v>
      </c>
      <c r="O32" s="744">
        <f t="shared" si="5"/>
        <v>0</v>
      </c>
      <c r="P32" s="491">
        <f t="shared" si="6"/>
        <v>0</v>
      </c>
      <c r="R32" s="1186">
        <v>33636</v>
      </c>
      <c r="S32" s="1170">
        <v>44835</v>
      </c>
      <c r="T32" s="1174">
        <f>'S5'!AL32-'S5'!AE32</f>
        <v>340.18269230769226</v>
      </c>
      <c r="U32" s="1177">
        <f t="shared" si="7"/>
        <v>1381822.096153846</v>
      </c>
      <c r="V32" s="1181">
        <f t="shared" si="8"/>
        <v>24000</v>
      </c>
      <c r="W32" s="1194">
        <f t="shared" si="9"/>
        <v>5.9084194977843429</v>
      </c>
    </row>
    <row r="33" spans="1:23" s="477" customFormat="1" ht="31.5" customHeight="1">
      <c r="A33" s="478">
        <v>27</v>
      </c>
      <c r="B33" s="1572" t="s">
        <v>743</v>
      </c>
      <c r="C33" s="584" t="s">
        <v>744</v>
      </c>
      <c r="D33" s="1563">
        <v>41863</v>
      </c>
      <c r="E33" s="513" t="s">
        <v>260</v>
      </c>
      <c r="F33" s="494">
        <f>'S5'!AL33-'S5'!AD33-'S5'!AJ33-'S5'!AK33-'S5'!AE33-'S5'!AG33-W33</f>
        <v>299.42811896375412</v>
      </c>
      <c r="G33" s="495">
        <v>4062</v>
      </c>
      <c r="H33" s="488">
        <f t="shared" si="0"/>
        <v>1216277.0192307692</v>
      </c>
      <c r="I33" s="495">
        <v>0</v>
      </c>
      <c r="J33" s="520">
        <v>4</v>
      </c>
      <c r="K33" s="488">
        <f t="shared" ref="K33" si="28">150000*(J33+I33)</f>
        <v>600000</v>
      </c>
      <c r="L33" s="488">
        <f t="shared" ref="L33" si="29">H33-K33</f>
        <v>616277.01923076925</v>
      </c>
      <c r="M33" s="489">
        <f t="shared" ref="M33" si="30">IF(L33&gt;=12500000,20%,IF(L33&gt;=8500001,15%,IF(L33&gt;=2000001,10%,IF(L33&gt;=1500001,5%,0%))))</f>
        <v>0</v>
      </c>
      <c r="N33" s="488">
        <f t="shared" si="4"/>
        <v>0</v>
      </c>
      <c r="O33" s="744">
        <f t="shared" si="5"/>
        <v>0</v>
      </c>
      <c r="P33" s="491">
        <f t="shared" si="6"/>
        <v>0</v>
      </c>
      <c r="R33" s="1208">
        <v>33337</v>
      </c>
      <c r="S33" s="1170">
        <v>44835</v>
      </c>
      <c r="T33" s="1174">
        <f>'S5'!AL33-'S5'!AE33</f>
        <v>325.33653846153845</v>
      </c>
      <c r="U33" s="1177">
        <f t="shared" si="7"/>
        <v>1321517.0192307692</v>
      </c>
      <c r="V33" s="1181">
        <f t="shared" si="8"/>
        <v>24000</v>
      </c>
      <c r="W33" s="1194">
        <f t="shared" si="9"/>
        <v>5.9084194977843429</v>
      </c>
    </row>
    <row r="34" spans="1:23" s="477" customFormat="1" ht="31.5" customHeight="1">
      <c r="A34" s="478">
        <v>28</v>
      </c>
      <c r="B34" s="1573" t="s">
        <v>2043</v>
      </c>
      <c r="C34" s="1453" t="s">
        <v>1976</v>
      </c>
      <c r="D34" s="1567">
        <v>45119</v>
      </c>
      <c r="E34" s="557" t="s">
        <v>260</v>
      </c>
      <c r="F34" s="494">
        <f>'S5'!AL34-'S5'!AD34-'S5'!AJ34-'S5'!AK34-'S5'!AE34-'S5'!AG34-W34</f>
        <v>349.95005689193948</v>
      </c>
      <c r="G34" s="495">
        <v>4062</v>
      </c>
      <c r="H34" s="488">
        <f t="shared" si="0"/>
        <v>1421497.1310950583</v>
      </c>
      <c r="I34" s="495">
        <v>0</v>
      </c>
      <c r="J34" s="520">
        <v>0</v>
      </c>
      <c r="K34" s="488">
        <f t="shared" si="2"/>
        <v>0</v>
      </c>
      <c r="L34" s="488">
        <f t="shared" si="1"/>
        <v>1421497.1310950583</v>
      </c>
      <c r="M34" s="489">
        <f t="shared" si="3"/>
        <v>0</v>
      </c>
      <c r="N34" s="488">
        <f t="shared" si="4"/>
        <v>0</v>
      </c>
      <c r="O34" s="744">
        <f t="shared" si="5"/>
        <v>0</v>
      </c>
      <c r="P34" s="491">
        <f t="shared" si="6"/>
        <v>0</v>
      </c>
      <c r="R34" s="1561">
        <v>35832</v>
      </c>
      <c r="S34" s="1170">
        <v>44835</v>
      </c>
      <c r="T34" s="1174">
        <f>'S5'!AL34-'S5'!AE34</f>
        <v>375.85847638972382</v>
      </c>
      <c r="U34" s="1177">
        <f t="shared" si="7"/>
        <v>1526737.1310950581</v>
      </c>
      <c r="V34" s="1181">
        <f t="shared" si="8"/>
        <v>24000</v>
      </c>
      <c r="W34" s="1194">
        <f t="shared" si="9"/>
        <v>5.9084194977843429</v>
      </c>
    </row>
    <row r="35" spans="1:23" ht="38.25" customHeight="1">
      <c r="A35" s="1338"/>
      <c r="B35" s="1339"/>
      <c r="C35" s="1339"/>
      <c r="D35" s="1339"/>
      <c r="E35" s="1339"/>
      <c r="F35" s="1346">
        <f>SUM(F7:F34)</f>
        <v>9907.1195472667387</v>
      </c>
      <c r="G35" s="1339"/>
      <c r="H35" s="1339"/>
      <c r="I35" s="1339"/>
      <c r="J35" s="1339"/>
      <c r="K35" s="1339"/>
      <c r="L35" s="2129" t="s">
        <v>251</v>
      </c>
      <c r="M35" s="2130"/>
      <c r="N35" s="2131"/>
      <c r="O35" s="496">
        <f>SUM(O7:O34)</f>
        <v>32451.73616326187</v>
      </c>
      <c r="P35" s="497">
        <f>SUM(P7:P34)</f>
        <v>7.9891029451654045</v>
      </c>
      <c r="R35" s="1193"/>
      <c r="S35" s="1193"/>
      <c r="T35" s="1193"/>
      <c r="U35" s="1193"/>
      <c r="V35" s="1180">
        <f>SUM(V7:V34)</f>
        <v>657088.39583076921</v>
      </c>
      <c r="W35" s="1196">
        <f>SUM(W7:W34)</f>
        <v>161.76474540393127</v>
      </c>
    </row>
  </sheetData>
  <mergeCells count="8">
    <mergeCell ref="L35:N35"/>
    <mergeCell ref="A4:E4"/>
    <mergeCell ref="R1:W1"/>
    <mergeCell ref="R2:W2"/>
    <mergeCell ref="R3:W3"/>
    <mergeCell ref="A1:P1"/>
    <mergeCell ref="A2:P2"/>
    <mergeCell ref="A3:P3"/>
  </mergeCells>
  <phoneticPr fontId="171" type="noConversion"/>
  <conditionalFormatting sqref="M34 M14 M7:M12 M17:M32">
    <cfRule type="cellIs" dxfId="57" priority="39" stopIfTrue="1" operator="equal">
      <formula>0</formula>
    </cfRule>
  </conditionalFormatting>
  <conditionalFormatting sqref="M13">
    <cfRule type="cellIs" dxfId="56" priority="6" stopIfTrue="1" operator="equal">
      <formula>0</formula>
    </cfRule>
  </conditionalFormatting>
  <conditionalFormatting sqref="M33">
    <cfRule type="cellIs" dxfId="55" priority="5" stopIfTrue="1" operator="equal">
      <formula>0</formula>
    </cfRule>
  </conditionalFormatting>
  <conditionalFormatting sqref="M15">
    <cfRule type="cellIs" dxfId="54" priority="2" stopIfTrue="1" operator="equal">
      <formula>0</formula>
    </cfRule>
  </conditionalFormatting>
  <conditionalFormatting sqref="M16">
    <cfRule type="cellIs" dxfId="53" priority="1" stopIfTrue="1" operator="equal">
      <formula>0</formula>
    </cfRule>
  </conditionalFormatting>
  <printOptions horizontalCentered="1"/>
  <pageMargins left="0.2" right="0.19" top="0.2" bottom="0.2" header="0.3" footer="0.31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0"/>
  <sheetViews>
    <sheetView topLeftCell="A5" workbookViewId="0">
      <pane xSplit="2" ySplit="3" topLeftCell="P34" activePane="bottomRight" state="frozen"/>
      <selection activeCell="A5" sqref="A5"/>
      <selection pane="topRight" activeCell="C5" sqref="C5"/>
      <selection pane="bottomLeft" activeCell="A8" sqref="A8"/>
      <selection pane="bottomRight" activeCell="U39" sqref="U39"/>
    </sheetView>
  </sheetViews>
  <sheetFormatPr defaultRowHeight="14.25"/>
  <cols>
    <col min="1" max="1" width="4.75" customWidth="1"/>
    <col min="2" max="2" width="9" customWidth="1"/>
    <col min="3" max="3" width="10.5" customWidth="1"/>
    <col min="5" max="5" width="7.875" customWidth="1"/>
  </cols>
  <sheetData>
    <row r="1" spans="1:37" s="839" customFormat="1" ht="42" hidden="1" customHeight="1">
      <c r="A1" s="2134" t="s">
        <v>222</v>
      </c>
      <c r="B1" s="2134"/>
      <c r="C1" s="2134"/>
      <c r="D1" s="2134"/>
      <c r="E1" s="2134"/>
      <c r="F1" s="2134"/>
      <c r="G1" s="2134"/>
      <c r="H1" s="2134"/>
      <c r="I1" s="2134"/>
      <c r="J1" s="2134"/>
      <c r="K1" s="2134"/>
      <c r="L1" s="2134"/>
      <c r="M1" s="2134"/>
      <c r="N1" s="2134"/>
      <c r="O1" s="2134"/>
      <c r="P1" s="2134"/>
      <c r="Q1" s="2134"/>
      <c r="R1" s="2134"/>
      <c r="S1" s="2134"/>
      <c r="T1" s="2134"/>
      <c r="U1" s="844"/>
      <c r="V1" s="844"/>
    </row>
    <row r="2" spans="1:37" s="871" customFormat="1" ht="42.75" hidden="1" customHeight="1">
      <c r="A2" s="2134" t="s">
        <v>221</v>
      </c>
      <c r="B2" s="2134"/>
      <c r="C2" s="2134"/>
      <c r="D2" s="2134"/>
      <c r="E2" s="2134"/>
      <c r="F2" s="2134"/>
      <c r="G2" s="2134"/>
      <c r="H2" s="2134"/>
      <c r="I2" s="2134"/>
      <c r="J2" s="2134"/>
      <c r="K2" s="2134"/>
      <c r="L2" s="2134"/>
      <c r="M2" s="2134"/>
      <c r="N2" s="2134"/>
      <c r="O2" s="2134"/>
      <c r="P2" s="2134"/>
      <c r="Q2" s="2134"/>
      <c r="R2" s="2134"/>
      <c r="S2" s="2134"/>
      <c r="T2" s="2134"/>
      <c r="U2" s="844"/>
      <c r="V2" s="844"/>
    </row>
    <row r="3" spans="1:37" s="871" customFormat="1" ht="37.5" hidden="1" customHeight="1">
      <c r="A3" s="2135" t="s">
        <v>1070</v>
      </c>
      <c r="B3" s="2135"/>
      <c r="C3" s="2135"/>
      <c r="D3" s="2135"/>
      <c r="E3" s="2135"/>
      <c r="F3" s="2135"/>
      <c r="G3" s="2135"/>
      <c r="H3" s="2135"/>
      <c r="I3" s="2135"/>
      <c r="J3" s="2135"/>
      <c r="K3" s="2135"/>
      <c r="L3" s="2135"/>
      <c r="M3" s="2135"/>
      <c r="N3" s="2135"/>
      <c r="O3" s="2135"/>
      <c r="P3" s="2135"/>
      <c r="Q3" s="2135"/>
      <c r="R3" s="2135"/>
      <c r="S3" s="2135"/>
      <c r="T3" s="2135"/>
      <c r="U3" s="845"/>
      <c r="V3" s="845"/>
    </row>
    <row r="4" spans="1:37" s="871" customFormat="1" ht="28.5" hidden="1" customHeight="1">
      <c r="A4" s="2135" t="s">
        <v>1071</v>
      </c>
      <c r="B4" s="2135"/>
      <c r="C4" s="2135"/>
      <c r="D4" s="2135"/>
      <c r="E4" s="2135"/>
      <c r="F4" s="2135"/>
      <c r="G4" s="2135"/>
      <c r="H4" s="2135"/>
      <c r="I4" s="2135"/>
      <c r="J4" s="2135"/>
      <c r="K4" s="2135"/>
      <c r="L4" s="2135"/>
      <c r="M4" s="2135"/>
      <c r="N4" s="2135"/>
      <c r="O4" s="2135"/>
      <c r="P4" s="2135"/>
      <c r="Q4" s="2135"/>
      <c r="R4" s="2135"/>
      <c r="S4" s="2135"/>
      <c r="T4" s="2135"/>
      <c r="U4" s="845"/>
      <c r="V4" s="845"/>
    </row>
    <row r="5" spans="1:37" s="856" customFormat="1" ht="20.25" customHeight="1">
      <c r="A5" s="2136" t="s">
        <v>1302</v>
      </c>
      <c r="B5" s="2136"/>
      <c r="C5" s="2136"/>
      <c r="D5" s="817"/>
      <c r="E5" s="817"/>
      <c r="F5" s="817"/>
      <c r="G5" s="817"/>
      <c r="H5" s="817"/>
      <c r="I5" s="817"/>
      <c r="J5" s="817"/>
      <c r="K5" s="817"/>
      <c r="L5" s="2136" t="s">
        <v>2347</v>
      </c>
      <c r="M5" s="2136"/>
      <c r="N5" s="2136"/>
      <c r="O5" s="2136"/>
      <c r="P5" s="2136"/>
      <c r="Q5" s="2136"/>
      <c r="R5" s="2136"/>
      <c r="S5" s="817"/>
      <c r="T5" s="817"/>
      <c r="U5" s="817"/>
      <c r="V5" s="819"/>
      <c r="W5" s="855"/>
    </row>
    <row r="6" spans="1:37" s="871" customFormat="1" ht="45" customHeight="1">
      <c r="A6" s="820" t="s">
        <v>252</v>
      </c>
      <c r="B6" s="820" t="s">
        <v>1072</v>
      </c>
      <c r="C6" s="820" t="s">
        <v>1073</v>
      </c>
      <c r="D6" s="820" t="s">
        <v>254</v>
      </c>
      <c r="E6" s="821" t="s">
        <v>227</v>
      </c>
      <c r="F6" s="2138" t="s">
        <v>1074</v>
      </c>
      <c r="G6" s="2139"/>
      <c r="H6" s="2139"/>
      <c r="I6" s="2139"/>
      <c r="J6" s="2139"/>
      <c r="K6" s="2139"/>
      <c r="L6" s="2139"/>
      <c r="M6" s="2139"/>
      <c r="N6" s="2139"/>
      <c r="O6" s="2139"/>
      <c r="P6" s="2139"/>
      <c r="Q6" s="2140"/>
      <c r="R6" s="822" t="s">
        <v>1075</v>
      </c>
      <c r="S6" s="900" t="s">
        <v>1076</v>
      </c>
      <c r="T6" s="822" t="s">
        <v>1077</v>
      </c>
      <c r="U6" s="822" t="s">
        <v>1126</v>
      </c>
      <c r="V6" s="850" t="s">
        <v>1128</v>
      </c>
      <c r="W6" s="823" t="s">
        <v>1078</v>
      </c>
      <c r="X6" s="504"/>
    </row>
    <row r="7" spans="1:37" s="839" customFormat="1" ht="42" customHeight="1">
      <c r="A7" s="824" t="s">
        <v>41</v>
      </c>
      <c r="B7" s="824" t="s">
        <v>42</v>
      </c>
      <c r="C7" s="824" t="s">
        <v>1079</v>
      </c>
      <c r="D7" s="824" t="s">
        <v>1080</v>
      </c>
      <c r="E7" s="825" t="s">
        <v>1081</v>
      </c>
      <c r="F7" s="1085" t="s">
        <v>1082</v>
      </c>
      <c r="G7" s="859" t="s">
        <v>1083</v>
      </c>
      <c r="H7" s="859" t="s">
        <v>1084</v>
      </c>
      <c r="I7" s="859" t="s">
        <v>1085</v>
      </c>
      <c r="J7" s="859" t="s">
        <v>1086</v>
      </c>
      <c r="K7" s="825" t="s">
        <v>1087</v>
      </c>
      <c r="L7" s="825" t="s">
        <v>1088</v>
      </c>
      <c r="M7" s="825" t="s">
        <v>1089</v>
      </c>
      <c r="N7" s="825" t="s">
        <v>1090</v>
      </c>
      <c r="O7" s="825" t="s">
        <v>1091</v>
      </c>
      <c r="P7" s="825" t="s">
        <v>1092</v>
      </c>
      <c r="Q7" s="825" t="s">
        <v>1093</v>
      </c>
      <c r="R7" s="826" t="s">
        <v>1094</v>
      </c>
      <c r="S7" s="827" t="s">
        <v>1095</v>
      </c>
      <c r="T7" s="827" t="s">
        <v>1096</v>
      </c>
      <c r="U7" s="852" t="s">
        <v>1125</v>
      </c>
      <c r="V7" s="908" t="s">
        <v>1127</v>
      </c>
      <c r="W7" s="861" t="s">
        <v>1097</v>
      </c>
      <c r="X7" s="893"/>
      <c r="Y7" s="1701">
        <v>1</v>
      </c>
      <c r="Z7" s="1701">
        <v>2</v>
      </c>
      <c r="AA7" s="1701">
        <v>3</v>
      </c>
      <c r="AB7" s="1701">
        <v>4</v>
      </c>
      <c r="AC7" s="1701">
        <v>5</v>
      </c>
      <c r="AD7" s="1701">
        <v>6</v>
      </c>
      <c r="AE7" s="1701">
        <v>7</v>
      </c>
      <c r="AF7" s="1701">
        <v>8</v>
      </c>
      <c r="AG7" s="1701">
        <v>9</v>
      </c>
      <c r="AH7" s="1701">
        <v>10</v>
      </c>
      <c r="AI7" s="1701">
        <v>11</v>
      </c>
      <c r="AJ7" s="1701">
        <v>12</v>
      </c>
      <c r="AK7" s="1701" t="s">
        <v>74</v>
      </c>
    </row>
    <row r="8" spans="1:37" s="871" customFormat="1" ht="45" customHeight="1">
      <c r="A8" s="502">
        <v>1</v>
      </c>
      <c r="B8" s="1534" t="s">
        <v>1227</v>
      </c>
      <c r="C8" s="1536" t="s">
        <v>503</v>
      </c>
      <c r="D8" s="1517">
        <v>41316</v>
      </c>
      <c r="E8" s="880" t="s">
        <v>1119</v>
      </c>
      <c r="F8" s="1718">
        <v>214.47673314339983</v>
      </c>
      <c r="G8" s="1718">
        <v>301.72649572649573</v>
      </c>
      <c r="H8" s="1719">
        <v>269.10034918880734</v>
      </c>
      <c r="I8" s="1718">
        <v>299.8260664430835</v>
      </c>
      <c r="J8" s="1718">
        <v>331.69630616907841</v>
      </c>
      <c r="K8" s="1718">
        <v>126.06797410510281</v>
      </c>
      <c r="L8" s="1718">
        <v>321.71949602122015</v>
      </c>
      <c r="M8" s="1718">
        <v>342.37966488956584</v>
      </c>
      <c r="N8" s="1718">
        <v>270.13409823706689</v>
      </c>
      <c r="O8" s="1306">
        <v>311.77471250378954</v>
      </c>
      <c r="P8" s="1306">
        <v>212.23076923076923</v>
      </c>
      <c r="Q8" s="1306">
        <v>30</v>
      </c>
      <c r="R8" s="882">
        <f>SUM(F8:Q8)</f>
        <v>3031.1326656583797</v>
      </c>
      <c r="S8" s="882">
        <f>R8/12</f>
        <v>252.59438880486496</v>
      </c>
      <c r="T8" s="882">
        <f t="shared" ref="T8:T37" si="0">S8/26</f>
        <v>9.7151688001871133</v>
      </c>
      <c r="U8" s="883">
        <f>'S6'!W7</f>
        <v>0</v>
      </c>
      <c r="V8" s="911">
        <f t="shared" ref="V8:V37" si="1">T8*U8</f>
        <v>0</v>
      </c>
      <c r="W8" s="502"/>
      <c r="X8" s="505"/>
      <c r="Y8" s="1708">
        <v>0</v>
      </c>
      <c r="Z8" s="883">
        <v>0</v>
      </c>
      <c r="AA8" s="1694">
        <v>2</v>
      </c>
      <c r="AB8" s="883">
        <v>1.5</v>
      </c>
      <c r="AC8" s="1694"/>
      <c r="AD8" s="883">
        <v>0</v>
      </c>
      <c r="AE8" s="883">
        <v>0</v>
      </c>
      <c r="AF8" s="1694"/>
      <c r="AG8" s="883">
        <v>1</v>
      </c>
      <c r="AH8" s="1694"/>
      <c r="AI8" s="1694"/>
      <c r="AJ8" s="1694"/>
      <c r="AK8" s="1699">
        <f>SUM(Y8:AJ8)</f>
        <v>4.5</v>
      </c>
    </row>
    <row r="9" spans="1:37" s="871" customFormat="1" ht="45" customHeight="1">
      <c r="A9" s="502">
        <v>2</v>
      </c>
      <c r="B9" s="1535" t="s">
        <v>1228</v>
      </c>
      <c r="C9" s="1536" t="s">
        <v>1229</v>
      </c>
      <c r="D9" s="1517">
        <v>43974</v>
      </c>
      <c r="E9" s="880" t="s">
        <v>1098</v>
      </c>
      <c r="F9" s="1718">
        <v>299.12084520417852</v>
      </c>
      <c r="G9" s="1718">
        <v>283.74382716049382</v>
      </c>
      <c r="H9" s="1719">
        <v>268.10553136930929</v>
      </c>
      <c r="I9" s="1718">
        <v>279.17038915188454</v>
      </c>
      <c r="J9" s="1718">
        <v>394.0725437928408</v>
      </c>
      <c r="K9" s="1718">
        <v>490.50542650418885</v>
      </c>
      <c r="L9" s="1718">
        <v>347.41303524062147</v>
      </c>
      <c r="M9" s="1718">
        <v>330.65575019040364</v>
      </c>
      <c r="N9" s="1718">
        <v>247.30374803968928</v>
      </c>
      <c r="O9" s="1306">
        <v>317.67496094711464</v>
      </c>
      <c r="P9" s="1306">
        <v>213.94230769230768</v>
      </c>
      <c r="Q9" s="1306">
        <v>30</v>
      </c>
      <c r="R9" s="882">
        <f t="shared" ref="R9:R37" si="2">SUM(F9:Q9)</f>
        <v>3501.7083652930323</v>
      </c>
      <c r="S9" s="882">
        <f>R9/12</f>
        <v>291.80903044108601</v>
      </c>
      <c r="T9" s="882">
        <f t="shared" si="0"/>
        <v>11.223424247734076</v>
      </c>
      <c r="U9" s="883">
        <f>'S6'!W8</f>
        <v>7</v>
      </c>
      <c r="V9" s="911">
        <f t="shared" si="1"/>
        <v>78.563969734138539</v>
      </c>
      <c r="W9" s="502"/>
      <c r="X9" s="505"/>
      <c r="Y9" s="1708">
        <v>0</v>
      </c>
      <c r="Z9" s="883">
        <v>0</v>
      </c>
      <c r="AA9" s="1694">
        <v>2</v>
      </c>
      <c r="AB9" s="883">
        <v>1.5</v>
      </c>
      <c r="AC9" s="1694"/>
      <c r="AD9" s="883">
        <v>0</v>
      </c>
      <c r="AE9" s="883">
        <v>0</v>
      </c>
      <c r="AF9" s="1694"/>
      <c r="AG9" s="883">
        <v>1</v>
      </c>
      <c r="AH9" s="1694"/>
      <c r="AI9" s="1694"/>
      <c r="AJ9" s="1694"/>
      <c r="AK9" s="1699">
        <f t="shared" ref="AK9:AK36" si="3">SUM(Y9:AJ9)</f>
        <v>4.5</v>
      </c>
    </row>
    <row r="10" spans="1:37" s="1590" customFormat="1" ht="45" customHeight="1">
      <c r="A10" s="502">
        <v>3</v>
      </c>
      <c r="B10" s="515" t="s">
        <v>2094</v>
      </c>
      <c r="C10" s="581" t="s">
        <v>2095</v>
      </c>
      <c r="D10" s="517">
        <v>44354</v>
      </c>
      <c r="E10" s="880" t="s">
        <v>1098</v>
      </c>
      <c r="F10" s="1718">
        <v>298.12084520417852</v>
      </c>
      <c r="G10" s="1718">
        <v>307.70916429249758</v>
      </c>
      <c r="H10" s="1719">
        <v>265.74128687764915</v>
      </c>
      <c r="I10" s="1718">
        <v>303.60122053061269</v>
      </c>
      <c r="J10" s="1718">
        <v>398.26142421934497</v>
      </c>
      <c r="K10" s="1718">
        <v>295.96629855293219</v>
      </c>
      <c r="L10" s="1718">
        <v>372.41455096627504</v>
      </c>
      <c r="M10" s="1718">
        <v>337.13994668697637</v>
      </c>
      <c r="N10" s="1718">
        <v>251.01981904641431</v>
      </c>
      <c r="O10" s="1306">
        <v>37.235596768096769</v>
      </c>
      <c r="P10" s="1306">
        <v>209.07692307692309</v>
      </c>
      <c r="Q10" s="1306">
        <v>30</v>
      </c>
      <c r="R10" s="882">
        <f t="shared" si="2"/>
        <v>3106.2870762219009</v>
      </c>
      <c r="S10" s="882">
        <f>R10/12</f>
        <v>258.85725635182507</v>
      </c>
      <c r="T10" s="882">
        <f t="shared" si="0"/>
        <v>9.956048321224042</v>
      </c>
      <c r="U10" s="883">
        <f>'S6'!W9</f>
        <v>0</v>
      </c>
      <c r="V10" s="911">
        <f t="shared" si="1"/>
        <v>0</v>
      </c>
      <c r="W10" s="502"/>
      <c r="X10" s="505"/>
      <c r="Y10" s="1708">
        <v>0</v>
      </c>
      <c r="Z10" s="883">
        <v>0</v>
      </c>
      <c r="AA10" s="1694">
        <v>2</v>
      </c>
      <c r="AB10" s="883">
        <v>1.5</v>
      </c>
      <c r="AC10" s="1694"/>
      <c r="AD10" s="883">
        <v>0</v>
      </c>
      <c r="AE10" s="883">
        <v>0</v>
      </c>
      <c r="AF10" s="1694"/>
      <c r="AG10" s="883">
        <v>1</v>
      </c>
      <c r="AH10" s="1694"/>
      <c r="AI10" s="1694"/>
      <c r="AJ10" s="1694"/>
      <c r="AK10" s="1699">
        <f t="shared" si="3"/>
        <v>4.5</v>
      </c>
    </row>
    <row r="11" spans="1:37" s="871" customFormat="1" ht="45" customHeight="1">
      <c r="A11" s="502">
        <v>4</v>
      </c>
      <c r="B11" s="1535" t="s">
        <v>1230</v>
      </c>
      <c r="C11" s="1536" t="s">
        <v>937</v>
      </c>
      <c r="D11" s="1517">
        <v>44480</v>
      </c>
      <c r="E11" s="880" t="s">
        <v>1098</v>
      </c>
      <c r="F11" s="1718">
        <v>298.12084520417852</v>
      </c>
      <c r="G11" s="1718">
        <v>307.70916429249758</v>
      </c>
      <c r="H11" s="1719">
        <v>267.9629545507554</v>
      </c>
      <c r="I11" s="1718">
        <v>326.69547098540806</v>
      </c>
      <c r="J11" s="1718">
        <v>419.79093678598622</v>
      </c>
      <c r="K11" s="1718">
        <v>499.56007235338916</v>
      </c>
      <c r="L11" s="1718">
        <v>472.79376657824935</v>
      </c>
      <c r="M11" s="1718">
        <v>350.06302361005328</v>
      </c>
      <c r="N11" s="1718">
        <v>269.53000291727642</v>
      </c>
      <c r="O11" s="1306">
        <v>318.10086810417016</v>
      </c>
      <c r="P11" s="1306">
        <v>203.71153846153848</v>
      </c>
      <c r="Q11" s="1306">
        <v>30</v>
      </c>
      <c r="R11" s="882">
        <f t="shared" si="2"/>
        <v>3764.0386438435025</v>
      </c>
      <c r="S11" s="882">
        <f t="shared" ref="S11" si="4">R11/12</f>
        <v>313.66988698695855</v>
      </c>
      <c r="T11" s="882">
        <f t="shared" si="0"/>
        <v>12.064226422575329</v>
      </c>
      <c r="U11" s="883">
        <f>'S6'!W10</f>
        <v>0</v>
      </c>
      <c r="V11" s="911">
        <f t="shared" si="1"/>
        <v>0</v>
      </c>
      <c r="W11" s="502"/>
      <c r="X11" s="505"/>
      <c r="Y11" s="1708">
        <v>0</v>
      </c>
      <c r="Z11" s="883">
        <v>0</v>
      </c>
      <c r="AA11" s="1694">
        <v>2</v>
      </c>
      <c r="AB11" s="883">
        <v>1.5</v>
      </c>
      <c r="AC11" s="1694"/>
      <c r="AD11" s="883">
        <v>0</v>
      </c>
      <c r="AE11" s="883">
        <v>0</v>
      </c>
      <c r="AF11" s="1694"/>
      <c r="AG11" s="883">
        <v>1</v>
      </c>
      <c r="AH11" s="1694"/>
      <c r="AI11" s="1694"/>
      <c r="AJ11" s="1694"/>
      <c r="AK11" s="1699">
        <f t="shared" si="3"/>
        <v>4.5</v>
      </c>
    </row>
    <row r="12" spans="1:37" s="1436" customFormat="1" ht="45" customHeight="1">
      <c r="A12" s="502">
        <v>5</v>
      </c>
      <c r="B12" s="515" t="s">
        <v>1954</v>
      </c>
      <c r="C12" s="581" t="s">
        <v>1955</v>
      </c>
      <c r="D12" s="1476">
        <v>44501</v>
      </c>
      <c r="E12" s="880" t="s">
        <v>1098</v>
      </c>
      <c r="F12" s="1718">
        <v>285.86033950617286</v>
      </c>
      <c r="G12" s="1718">
        <v>309.63034188034186</v>
      </c>
      <c r="H12" s="1719">
        <v>256.0032960509476</v>
      </c>
      <c r="I12" s="1718">
        <v>269.51077623235841</v>
      </c>
      <c r="J12" s="1718">
        <v>408.32187738004569</v>
      </c>
      <c r="K12" s="1718">
        <v>407.93616717440972</v>
      </c>
      <c r="L12" s="1718">
        <v>365.83533061765826</v>
      </c>
      <c r="M12" s="1718">
        <v>308.9428789032749</v>
      </c>
      <c r="N12" s="1718">
        <v>269.84155740470538</v>
      </c>
      <c r="O12" s="1306">
        <v>270.05097575846082</v>
      </c>
      <c r="P12" s="1306">
        <v>213.30769230769232</v>
      </c>
      <c r="Q12" s="1306">
        <v>30</v>
      </c>
      <c r="R12" s="882">
        <f t="shared" si="2"/>
        <v>3395.2412332160679</v>
      </c>
      <c r="S12" s="882">
        <f>R12/12</f>
        <v>282.93676943467233</v>
      </c>
      <c r="T12" s="882">
        <f t="shared" si="0"/>
        <v>10.882183439795089</v>
      </c>
      <c r="U12" s="883">
        <f>'S6'!W11</f>
        <v>0</v>
      </c>
      <c r="V12" s="911">
        <f t="shared" si="1"/>
        <v>0</v>
      </c>
      <c r="W12" s="502"/>
      <c r="X12" s="505"/>
      <c r="Y12" s="1708">
        <v>0</v>
      </c>
      <c r="Z12" s="883">
        <v>0</v>
      </c>
      <c r="AA12" s="1694">
        <v>2</v>
      </c>
      <c r="AB12" s="883">
        <v>1.5</v>
      </c>
      <c r="AC12" s="1694"/>
      <c r="AD12" s="883">
        <v>0</v>
      </c>
      <c r="AE12" s="883">
        <v>0</v>
      </c>
      <c r="AF12" s="1694"/>
      <c r="AG12" s="883">
        <v>1</v>
      </c>
      <c r="AH12" s="1694"/>
      <c r="AI12" s="1694"/>
      <c r="AJ12" s="1694"/>
      <c r="AK12" s="1699">
        <f t="shared" si="3"/>
        <v>4.5</v>
      </c>
    </row>
    <row r="13" spans="1:37" s="1667" customFormat="1" ht="45" customHeight="1">
      <c r="A13" s="502">
        <v>6</v>
      </c>
      <c r="B13" s="515" t="s">
        <v>2122</v>
      </c>
      <c r="C13" s="581" t="s">
        <v>2123</v>
      </c>
      <c r="D13" s="517">
        <v>44526</v>
      </c>
      <c r="E13" s="880" t="s">
        <v>1098</v>
      </c>
      <c r="F13" s="1718">
        <v>298.12084520417852</v>
      </c>
      <c r="G13" s="1718">
        <v>307.70916429249758</v>
      </c>
      <c r="H13" s="1719">
        <v>267.8980932261673</v>
      </c>
      <c r="I13" s="1718">
        <v>326.60846615570972</v>
      </c>
      <c r="J13" s="1718">
        <v>387.70030464584914</v>
      </c>
      <c r="K13" s="1718">
        <v>474.16051028179737</v>
      </c>
      <c r="L13" s="1718">
        <v>468.74531072375896</v>
      </c>
      <c r="M13" s="1718">
        <v>350.06302361005328</v>
      </c>
      <c r="N13" s="1718">
        <v>269.96075897148773</v>
      </c>
      <c r="O13" s="1097" t="s">
        <v>1102</v>
      </c>
      <c r="P13" s="1097" t="s">
        <v>1102</v>
      </c>
      <c r="Q13" s="1306">
        <v>30</v>
      </c>
      <c r="R13" s="882">
        <f t="shared" si="2"/>
        <v>3180.9664771114999</v>
      </c>
      <c r="S13" s="882">
        <f>R13/10</f>
        <v>318.09664771115001</v>
      </c>
      <c r="T13" s="882">
        <f t="shared" si="0"/>
        <v>12.234486450428847</v>
      </c>
      <c r="U13" s="883">
        <f>'S6'!W12</f>
        <v>0</v>
      </c>
      <c r="V13" s="911">
        <f t="shared" si="1"/>
        <v>0</v>
      </c>
      <c r="W13" s="502"/>
      <c r="X13" s="505"/>
      <c r="Y13" s="1708">
        <v>0</v>
      </c>
      <c r="Z13" s="883">
        <v>0</v>
      </c>
      <c r="AA13" s="1694">
        <v>2</v>
      </c>
      <c r="AB13" s="883">
        <v>1.5</v>
      </c>
      <c r="AC13" s="1694"/>
      <c r="AD13" s="883">
        <v>0</v>
      </c>
      <c r="AE13" s="883">
        <v>0</v>
      </c>
      <c r="AF13" s="1694"/>
      <c r="AG13" s="883">
        <v>1</v>
      </c>
      <c r="AH13" s="1694"/>
      <c r="AI13" s="1694"/>
      <c r="AJ13" s="1694"/>
      <c r="AK13" s="1699">
        <f t="shared" si="3"/>
        <v>4.5</v>
      </c>
    </row>
    <row r="14" spans="1:37" s="1379" customFormat="1" ht="45" customHeight="1">
      <c r="A14" s="502">
        <v>7</v>
      </c>
      <c r="B14" s="688" t="s">
        <v>1891</v>
      </c>
      <c r="C14" s="625" t="s">
        <v>1892</v>
      </c>
      <c r="D14" s="1477">
        <v>44537</v>
      </c>
      <c r="E14" s="880" t="s">
        <v>1098</v>
      </c>
      <c r="F14" s="1718">
        <v>299.98433048433048</v>
      </c>
      <c r="G14" s="1718">
        <v>305.32908895486401</v>
      </c>
      <c r="H14" s="1731">
        <v>270.34138072175273</v>
      </c>
      <c r="I14" s="1718">
        <v>327.04128001580398</v>
      </c>
      <c r="J14" s="1718">
        <v>408.32187738004569</v>
      </c>
      <c r="K14" s="1718">
        <v>426.14880045696884</v>
      </c>
      <c r="L14" s="1718">
        <v>399.67634520651762</v>
      </c>
      <c r="M14" s="1718">
        <v>360.6980376542391</v>
      </c>
      <c r="N14" s="1718">
        <v>279.1568905918337</v>
      </c>
      <c r="O14" s="1306">
        <v>319.42</v>
      </c>
      <c r="P14" s="1306">
        <v>201.38461538461542</v>
      </c>
      <c r="Q14" s="1306">
        <v>30</v>
      </c>
      <c r="R14" s="882">
        <f t="shared" si="2"/>
        <v>3627.5026468509714</v>
      </c>
      <c r="S14" s="882">
        <f>R14/12</f>
        <v>302.29188723758097</v>
      </c>
      <c r="T14" s="882">
        <f t="shared" si="0"/>
        <v>11.626611047599267</v>
      </c>
      <c r="U14" s="883">
        <f>'S6'!W13</f>
        <v>0</v>
      </c>
      <c r="V14" s="911">
        <f t="shared" si="1"/>
        <v>0</v>
      </c>
      <c r="W14" s="502"/>
      <c r="X14" s="505"/>
      <c r="Y14" s="1708">
        <v>0</v>
      </c>
      <c r="Z14" s="883">
        <v>2</v>
      </c>
      <c r="AA14" s="1694">
        <v>2</v>
      </c>
      <c r="AB14" s="883">
        <v>1.5</v>
      </c>
      <c r="AC14" s="1694"/>
      <c r="AD14" s="883">
        <v>0</v>
      </c>
      <c r="AE14" s="883">
        <v>0</v>
      </c>
      <c r="AF14" s="883">
        <v>1</v>
      </c>
      <c r="AG14" s="883">
        <v>1</v>
      </c>
      <c r="AH14" s="1694"/>
      <c r="AI14" s="1694"/>
      <c r="AJ14" s="1694"/>
      <c r="AK14" s="1699">
        <f t="shared" si="3"/>
        <v>7.5</v>
      </c>
    </row>
    <row r="15" spans="1:37" s="871" customFormat="1" ht="45" customHeight="1">
      <c r="A15" s="502">
        <v>8</v>
      </c>
      <c r="B15" s="1534" t="s">
        <v>1231</v>
      </c>
      <c r="C15" s="1536" t="s">
        <v>1002</v>
      </c>
      <c r="D15" s="1517">
        <v>44537</v>
      </c>
      <c r="E15" s="880" t="s">
        <v>1098</v>
      </c>
      <c r="F15" s="1718">
        <v>280.71509971509965</v>
      </c>
      <c r="G15" s="1718">
        <v>311.70916429249758</v>
      </c>
      <c r="H15" s="1719">
        <v>271.25089379852932</v>
      </c>
      <c r="I15" s="1718">
        <v>324.75229038254855</v>
      </c>
      <c r="J15" s="1718">
        <v>416.66869763899462</v>
      </c>
      <c r="K15" s="1718">
        <v>454.35586443259712</v>
      </c>
      <c r="L15" s="1718">
        <v>468.822233800682</v>
      </c>
      <c r="M15" s="1718">
        <v>361.30317637099796</v>
      </c>
      <c r="N15" s="1718">
        <v>267.89973419847496</v>
      </c>
      <c r="O15" s="1306">
        <v>297.81</v>
      </c>
      <c r="P15" s="1306">
        <v>216.80902411169566</v>
      </c>
      <c r="Q15" s="1306">
        <v>30</v>
      </c>
      <c r="R15" s="882">
        <f t="shared" si="2"/>
        <v>3702.0961787421174</v>
      </c>
      <c r="S15" s="882">
        <f t="shared" ref="S15:S19" si="5">R15/12</f>
        <v>308.50801489517647</v>
      </c>
      <c r="T15" s="882">
        <f t="shared" si="0"/>
        <v>11.86569288058371</v>
      </c>
      <c r="U15" s="883">
        <f>'S6'!W14</f>
        <v>0</v>
      </c>
      <c r="V15" s="911">
        <f t="shared" si="1"/>
        <v>0</v>
      </c>
      <c r="W15" s="502"/>
      <c r="X15" s="505"/>
      <c r="Y15" s="1708">
        <v>0</v>
      </c>
      <c r="Z15" s="883">
        <v>0</v>
      </c>
      <c r="AA15" s="1694">
        <v>2</v>
      </c>
      <c r="AB15" s="883">
        <v>1.5</v>
      </c>
      <c r="AC15" s="1694"/>
      <c r="AD15" s="883">
        <v>0</v>
      </c>
      <c r="AE15" s="883">
        <v>0</v>
      </c>
      <c r="AF15" s="883">
        <v>1</v>
      </c>
      <c r="AG15" s="883">
        <v>1</v>
      </c>
      <c r="AH15" s="1694"/>
      <c r="AI15" s="1694"/>
      <c r="AJ15" s="1694"/>
      <c r="AK15" s="1699">
        <f t="shared" si="3"/>
        <v>5.5</v>
      </c>
    </row>
    <row r="16" spans="1:37" s="871" customFormat="1" ht="45" customHeight="1">
      <c r="A16" s="502">
        <v>9</v>
      </c>
      <c r="B16" s="1534" t="s">
        <v>1232</v>
      </c>
      <c r="C16" s="1536" t="s">
        <v>1004</v>
      </c>
      <c r="D16" s="1517">
        <v>44537</v>
      </c>
      <c r="E16" s="880" t="s">
        <v>1098</v>
      </c>
      <c r="F16" s="1718">
        <v>298.12084520417852</v>
      </c>
      <c r="G16" s="1718">
        <v>302.28608736942067</v>
      </c>
      <c r="H16" s="1719">
        <v>268.13011193902776</v>
      </c>
      <c r="I16" s="1718">
        <v>326.8216426679021</v>
      </c>
      <c r="J16" s="1718">
        <v>416.22981721249039</v>
      </c>
      <c r="K16" s="1718">
        <v>459.07301980198019</v>
      </c>
      <c r="L16" s="1718">
        <v>458.07554945054943</v>
      </c>
      <c r="M16" s="1718">
        <v>353.62414318354917</v>
      </c>
      <c r="N16" s="1718">
        <v>269.34989722704285</v>
      </c>
      <c r="O16" s="1306">
        <v>317.02999999999997</v>
      </c>
      <c r="P16" s="1306">
        <v>208.07692307692309</v>
      </c>
      <c r="Q16" s="1306">
        <v>30</v>
      </c>
      <c r="R16" s="882">
        <f t="shared" si="2"/>
        <v>3706.8180371330636</v>
      </c>
      <c r="S16" s="882">
        <f t="shared" si="5"/>
        <v>308.90150309442197</v>
      </c>
      <c r="T16" s="882">
        <f t="shared" si="0"/>
        <v>11.880827042093152</v>
      </c>
      <c r="U16" s="883">
        <f>'S6'!W15</f>
        <v>0</v>
      </c>
      <c r="V16" s="911">
        <f t="shared" si="1"/>
        <v>0</v>
      </c>
      <c r="W16" s="502"/>
      <c r="X16" s="505"/>
      <c r="Y16" s="1708">
        <v>0</v>
      </c>
      <c r="Z16" s="883">
        <v>0</v>
      </c>
      <c r="AA16" s="1694">
        <v>2</v>
      </c>
      <c r="AB16" s="883">
        <v>1.5</v>
      </c>
      <c r="AC16" s="1694"/>
      <c r="AD16" s="883">
        <v>0</v>
      </c>
      <c r="AE16" s="883">
        <v>0</v>
      </c>
      <c r="AF16" s="1694"/>
      <c r="AG16" s="883">
        <v>1</v>
      </c>
      <c r="AH16" s="1694"/>
      <c r="AI16" s="1694"/>
      <c r="AJ16" s="1694"/>
      <c r="AK16" s="1699">
        <f t="shared" si="3"/>
        <v>4.5</v>
      </c>
    </row>
    <row r="17" spans="1:37" s="871" customFormat="1" ht="45" customHeight="1">
      <c r="A17" s="502">
        <v>10</v>
      </c>
      <c r="B17" s="1534" t="s">
        <v>1233</v>
      </c>
      <c r="C17" s="1536" t="s">
        <v>1234</v>
      </c>
      <c r="D17" s="1517">
        <v>44544</v>
      </c>
      <c r="E17" s="880" t="s">
        <v>1098</v>
      </c>
      <c r="F17" s="1718">
        <v>303.57276828110162</v>
      </c>
      <c r="G17" s="1718">
        <v>313.21877967711305</v>
      </c>
      <c r="H17" s="1719">
        <v>262.13408634222361</v>
      </c>
      <c r="I17" s="1718">
        <v>332.25634098776999</v>
      </c>
      <c r="J17" s="1718">
        <v>422.6817402894136</v>
      </c>
      <c r="K17" s="1718">
        <v>404.26418507235343</v>
      </c>
      <c r="L17" s="1718">
        <v>432.70784388025766</v>
      </c>
      <c r="M17" s="1718">
        <v>351.62414318354911</v>
      </c>
      <c r="N17" s="1718">
        <v>274.28707703353291</v>
      </c>
      <c r="O17" s="1306">
        <v>319.2197947024975</v>
      </c>
      <c r="P17" s="1306">
        <v>212.30769230769232</v>
      </c>
      <c r="Q17" s="1306">
        <v>30</v>
      </c>
      <c r="R17" s="882">
        <f t="shared" si="2"/>
        <v>3658.2744517575052</v>
      </c>
      <c r="S17" s="882">
        <f t="shared" si="5"/>
        <v>304.85620431312543</v>
      </c>
      <c r="T17" s="882">
        <f t="shared" si="0"/>
        <v>11.725238627427901</v>
      </c>
      <c r="U17" s="883">
        <f>'S6'!W16</f>
        <v>0</v>
      </c>
      <c r="V17" s="911">
        <f t="shared" si="1"/>
        <v>0</v>
      </c>
      <c r="W17" s="502"/>
      <c r="X17" s="505"/>
      <c r="Y17" s="1708">
        <v>0</v>
      </c>
      <c r="Z17" s="883">
        <v>0</v>
      </c>
      <c r="AA17" s="1694">
        <v>2</v>
      </c>
      <c r="AB17" s="883">
        <v>1.5</v>
      </c>
      <c r="AC17" s="1694"/>
      <c r="AD17" s="883">
        <v>0</v>
      </c>
      <c r="AE17" s="883">
        <v>0</v>
      </c>
      <c r="AF17" s="1694"/>
      <c r="AG17" s="883">
        <v>1</v>
      </c>
      <c r="AH17" s="1694"/>
      <c r="AI17" s="1694"/>
      <c r="AJ17" s="1694"/>
      <c r="AK17" s="1699">
        <f t="shared" si="3"/>
        <v>4.5</v>
      </c>
    </row>
    <row r="18" spans="1:37" s="871" customFormat="1" ht="45" customHeight="1">
      <c r="A18" s="502">
        <v>11</v>
      </c>
      <c r="B18" s="1534" t="s">
        <v>1235</v>
      </c>
      <c r="C18" s="1536" t="s">
        <v>1008</v>
      </c>
      <c r="D18" s="1517">
        <v>44540</v>
      </c>
      <c r="E18" s="880" t="s">
        <v>1119</v>
      </c>
      <c r="F18" s="1718">
        <v>298.12084520417852</v>
      </c>
      <c r="G18" s="1718">
        <v>307.70916429249758</v>
      </c>
      <c r="H18" s="1719">
        <v>246.32226857998981</v>
      </c>
      <c r="I18" s="1718">
        <v>326.65418397862828</v>
      </c>
      <c r="J18" s="1718">
        <v>416.22981721249039</v>
      </c>
      <c r="K18" s="1718">
        <v>495.99895277989333</v>
      </c>
      <c r="L18" s="1718">
        <v>469.11922129594541</v>
      </c>
      <c r="M18" s="1718">
        <v>353.62414318354917</v>
      </c>
      <c r="N18" s="1718">
        <v>269.45085259390004</v>
      </c>
      <c r="O18" s="1306">
        <v>317.08</v>
      </c>
      <c r="P18" s="1306">
        <v>208.07692307692309</v>
      </c>
      <c r="Q18" s="1306">
        <v>30</v>
      </c>
      <c r="R18" s="882">
        <f t="shared" si="2"/>
        <v>3738.3863721979951</v>
      </c>
      <c r="S18" s="882">
        <f t="shared" si="5"/>
        <v>311.53219768316626</v>
      </c>
      <c r="T18" s="882">
        <f t="shared" si="0"/>
        <v>11.982007603198703</v>
      </c>
      <c r="U18" s="883">
        <f>'S6'!W17</f>
        <v>1</v>
      </c>
      <c r="V18" s="911">
        <f t="shared" si="1"/>
        <v>11.982007603198703</v>
      </c>
      <c r="W18" s="502"/>
      <c r="X18" s="505"/>
      <c r="Y18" s="1708">
        <v>0</v>
      </c>
      <c r="Z18" s="883">
        <v>0</v>
      </c>
      <c r="AA18" s="1694">
        <v>2</v>
      </c>
      <c r="AB18" s="883">
        <v>1.5</v>
      </c>
      <c r="AC18" s="1694"/>
      <c r="AD18" s="883">
        <v>0</v>
      </c>
      <c r="AE18" s="883">
        <v>0</v>
      </c>
      <c r="AF18" s="1694"/>
      <c r="AG18" s="883">
        <v>1</v>
      </c>
      <c r="AH18" s="1694"/>
      <c r="AI18" s="1694"/>
      <c r="AJ18" s="1694"/>
      <c r="AK18" s="1699">
        <f t="shared" si="3"/>
        <v>4.5</v>
      </c>
    </row>
    <row r="19" spans="1:37" s="871" customFormat="1" ht="45" customHeight="1">
      <c r="A19" s="502">
        <v>12</v>
      </c>
      <c r="B19" s="1534" t="s">
        <v>1236</v>
      </c>
      <c r="C19" s="1536" t="s">
        <v>504</v>
      </c>
      <c r="D19" s="1517">
        <v>41334</v>
      </c>
      <c r="E19" s="880" t="s">
        <v>1113</v>
      </c>
      <c r="F19" s="1718">
        <v>511.38509572685905</v>
      </c>
      <c r="G19" s="1718">
        <v>518.97358736942067</v>
      </c>
      <c r="H19" s="1719">
        <v>467.1334175496151</v>
      </c>
      <c r="I19" s="1718">
        <v>550.13039701376329</v>
      </c>
      <c r="J19" s="1718">
        <v>707.55397943640526</v>
      </c>
      <c r="K19" s="1718">
        <v>800.07689927646618</v>
      </c>
      <c r="L19" s="1718">
        <v>766.25310250094731</v>
      </c>
      <c r="M19" s="1718">
        <v>587.00875856816447</v>
      </c>
      <c r="N19" s="1718">
        <v>467.11339422846606</v>
      </c>
      <c r="O19" s="1306">
        <v>551.78604852996216</v>
      </c>
      <c r="P19" s="1306">
        <v>380.15384615384619</v>
      </c>
      <c r="Q19" s="1306">
        <v>30</v>
      </c>
      <c r="R19" s="882">
        <f t="shared" si="2"/>
        <v>6337.5685263539162</v>
      </c>
      <c r="S19" s="882">
        <f t="shared" si="5"/>
        <v>528.13071052949306</v>
      </c>
      <c r="T19" s="882">
        <f t="shared" si="0"/>
        <v>20.312719635749733</v>
      </c>
      <c r="U19" s="883">
        <f>'S6'!W18</f>
        <v>0</v>
      </c>
      <c r="V19" s="911">
        <f t="shared" si="1"/>
        <v>0</v>
      </c>
      <c r="W19" s="502"/>
      <c r="X19" s="505"/>
      <c r="Y19" s="1708">
        <v>3</v>
      </c>
      <c r="Z19" s="883">
        <v>0</v>
      </c>
      <c r="AA19" s="1694">
        <v>2</v>
      </c>
      <c r="AB19" s="883">
        <v>1.5</v>
      </c>
      <c r="AC19" s="1694"/>
      <c r="AD19" s="883">
        <v>0</v>
      </c>
      <c r="AE19" s="883">
        <v>0</v>
      </c>
      <c r="AF19" s="1694"/>
      <c r="AG19" s="883">
        <v>1</v>
      </c>
      <c r="AH19" s="1694"/>
      <c r="AI19" s="1694"/>
      <c r="AJ19" s="1694"/>
      <c r="AK19" s="1699">
        <f t="shared" si="3"/>
        <v>7.5</v>
      </c>
    </row>
    <row r="20" spans="1:37" s="871" customFormat="1" ht="45" customHeight="1">
      <c r="A20" s="502">
        <v>13</v>
      </c>
      <c r="B20" s="514" t="s">
        <v>1404</v>
      </c>
      <c r="C20" s="583" t="s">
        <v>1059</v>
      </c>
      <c r="D20" s="1480">
        <v>44574</v>
      </c>
      <c r="E20" s="880" t="s">
        <v>1098</v>
      </c>
      <c r="F20" s="1718">
        <v>298.12084520417852</v>
      </c>
      <c r="G20" s="1718">
        <v>307.70916429249758</v>
      </c>
      <c r="H20" s="1719">
        <v>267.92136817490962</v>
      </c>
      <c r="I20" s="1718">
        <v>324.68976081784103</v>
      </c>
      <c r="J20" s="1718">
        <v>419.79093678598622</v>
      </c>
      <c r="K20" s="1718">
        <v>428.998476770754</v>
      </c>
      <c r="L20" s="1718">
        <v>448.62173171655934</v>
      </c>
      <c r="M20" s="1718">
        <v>353.62414318354917</v>
      </c>
      <c r="N20" s="1718">
        <v>265.67865721231595</v>
      </c>
      <c r="O20" s="1306">
        <v>316.31730120689042</v>
      </c>
      <c r="P20" s="1306">
        <v>208.23076923076923</v>
      </c>
      <c r="Q20" s="1306">
        <v>30</v>
      </c>
      <c r="R20" s="882">
        <f t="shared" si="2"/>
        <v>3669.7031545962514</v>
      </c>
      <c r="S20" s="882">
        <f t="shared" ref="S20:S23" si="6">R20/12</f>
        <v>305.80859621635426</v>
      </c>
      <c r="T20" s="882">
        <f t="shared" si="0"/>
        <v>11.761869085244395</v>
      </c>
      <c r="U20" s="883">
        <f>'S6'!W19</f>
        <v>0</v>
      </c>
      <c r="V20" s="911">
        <f t="shared" si="1"/>
        <v>0</v>
      </c>
      <c r="W20" s="502"/>
      <c r="X20" s="505"/>
      <c r="Y20" s="1708">
        <v>0</v>
      </c>
      <c r="Z20" s="883">
        <v>0</v>
      </c>
      <c r="AA20" s="1694">
        <v>2</v>
      </c>
      <c r="AB20" s="883">
        <v>1.5</v>
      </c>
      <c r="AC20" s="1694"/>
      <c r="AD20" s="883">
        <v>0</v>
      </c>
      <c r="AE20" s="883">
        <v>0</v>
      </c>
      <c r="AF20" s="1694"/>
      <c r="AG20" s="883">
        <v>1</v>
      </c>
      <c r="AH20" s="1694"/>
      <c r="AI20" s="1694"/>
      <c r="AJ20" s="1694"/>
      <c r="AK20" s="1699">
        <f t="shared" si="3"/>
        <v>4.5</v>
      </c>
    </row>
    <row r="21" spans="1:37" s="871" customFormat="1" ht="45" customHeight="1">
      <c r="A21" s="502">
        <v>14</v>
      </c>
      <c r="B21" s="514" t="s">
        <v>1405</v>
      </c>
      <c r="C21" s="583" t="s">
        <v>1060</v>
      </c>
      <c r="D21" s="1480">
        <v>44576</v>
      </c>
      <c r="E21" s="880" t="s">
        <v>1098</v>
      </c>
      <c r="F21" s="1718">
        <v>294.56125356125358</v>
      </c>
      <c r="G21" s="1718">
        <v>304.14957264957263</v>
      </c>
      <c r="H21" s="1719">
        <v>267.21468289829897</v>
      </c>
      <c r="I21" s="1718">
        <v>308.1832442278855</v>
      </c>
      <c r="J21" s="1718">
        <v>394.35757806549879</v>
      </c>
      <c r="K21" s="1718">
        <v>393.94687738004563</v>
      </c>
      <c r="L21" s="1718">
        <v>393.76402046229634</v>
      </c>
      <c r="M21" s="1718">
        <v>311.88611434079331</v>
      </c>
      <c r="N21" s="1718">
        <v>268.60305923946999</v>
      </c>
      <c r="O21" s="1306">
        <v>315.98367872081684</v>
      </c>
      <c r="P21" s="1306">
        <v>208.07692307692309</v>
      </c>
      <c r="Q21" s="1306">
        <v>30</v>
      </c>
      <c r="R21" s="882">
        <f t="shared" si="2"/>
        <v>3490.727004622855</v>
      </c>
      <c r="S21" s="882">
        <f t="shared" si="6"/>
        <v>290.89391705190457</v>
      </c>
      <c r="T21" s="882">
        <f t="shared" si="0"/>
        <v>11.188227578919406</v>
      </c>
      <c r="U21" s="883">
        <f>'S6'!W20</f>
        <v>0</v>
      </c>
      <c r="V21" s="911">
        <f t="shared" si="1"/>
        <v>0</v>
      </c>
      <c r="W21" s="502"/>
      <c r="X21" s="505"/>
      <c r="Y21" s="1708">
        <v>0</v>
      </c>
      <c r="Z21" s="883">
        <v>0</v>
      </c>
      <c r="AA21" s="1694">
        <v>2</v>
      </c>
      <c r="AB21" s="883">
        <v>1.5</v>
      </c>
      <c r="AC21" s="1694"/>
      <c r="AD21" s="883">
        <v>0</v>
      </c>
      <c r="AE21" s="883">
        <v>0</v>
      </c>
      <c r="AF21" s="883">
        <v>1</v>
      </c>
      <c r="AG21" s="883">
        <v>1</v>
      </c>
      <c r="AH21" s="1694"/>
      <c r="AI21" s="1694"/>
      <c r="AJ21" s="1694"/>
      <c r="AK21" s="1699">
        <f t="shared" si="3"/>
        <v>5.5</v>
      </c>
    </row>
    <row r="22" spans="1:37" s="964" customFormat="1" ht="45" customHeight="1">
      <c r="A22" s="502">
        <v>15</v>
      </c>
      <c r="B22" s="973" t="s">
        <v>1355</v>
      </c>
      <c r="C22" s="956" t="s">
        <v>1356</v>
      </c>
      <c r="D22" s="1476">
        <v>44600</v>
      </c>
      <c r="E22" s="880" t="s">
        <v>1098</v>
      </c>
      <c r="F22" s="1718">
        <v>307.57276828110162</v>
      </c>
      <c r="G22" s="1718">
        <v>298.7072649572649</v>
      </c>
      <c r="H22" s="1719">
        <v>273.16834730695194</v>
      </c>
      <c r="I22" s="1718">
        <v>320.67835491508839</v>
      </c>
      <c r="J22" s="1718">
        <v>363.03960396039605</v>
      </c>
      <c r="K22" s="1718">
        <v>418.47216260351092</v>
      </c>
      <c r="L22" s="1718">
        <v>419.46973285335355</v>
      </c>
      <c r="M22" s="1718">
        <v>334.44421172886518</v>
      </c>
      <c r="N22" s="1718">
        <v>248.15885314593635</v>
      </c>
      <c r="O22" s="1306">
        <v>306.92477894275152</v>
      </c>
      <c r="P22" s="1306">
        <v>217.30769230769232</v>
      </c>
      <c r="Q22" s="1306">
        <v>30</v>
      </c>
      <c r="R22" s="882">
        <f t="shared" si="2"/>
        <v>3537.9437710029129</v>
      </c>
      <c r="S22" s="882">
        <f t="shared" si="6"/>
        <v>294.82864758357607</v>
      </c>
      <c r="T22" s="882">
        <f t="shared" si="0"/>
        <v>11.33956336859908</v>
      </c>
      <c r="U22" s="883">
        <f>'S6'!W21</f>
        <v>0</v>
      </c>
      <c r="V22" s="911">
        <f t="shared" si="1"/>
        <v>0</v>
      </c>
      <c r="W22" s="502"/>
      <c r="X22" s="505"/>
      <c r="Y22" s="1708">
        <v>0</v>
      </c>
      <c r="Z22" s="883">
        <v>0</v>
      </c>
      <c r="AA22" s="1694">
        <v>2</v>
      </c>
      <c r="AB22" s="883">
        <v>3.5</v>
      </c>
      <c r="AC22" s="1694"/>
      <c r="AD22" s="883">
        <v>1</v>
      </c>
      <c r="AE22" s="883">
        <v>0</v>
      </c>
      <c r="AF22" s="1694"/>
      <c r="AG22" s="883">
        <v>1</v>
      </c>
      <c r="AH22" s="1694"/>
      <c r="AI22" s="1694"/>
      <c r="AJ22" s="1694"/>
      <c r="AK22" s="1699">
        <f t="shared" si="3"/>
        <v>7.5</v>
      </c>
    </row>
    <row r="23" spans="1:37" s="871" customFormat="1" ht="45" customHeight="1">
      <c r="A23" s="502">
        <v>16</v>
      </c>
      <c r="B23" s="1534" t="s">
        <v>1237</v>
      </c>
      <c r="C23" s="1536" t="s">
        <v>565</v>
      </c>
      <c r="D23" s="1517">
        <v>41334</v>
      </c>
      <c r="E23" s="880" t="s">
        <v>1098</v>
      </c>
      <c r="F23" s="1718">
        <v>336.96219135802471</v>
      </c>
      <c r="G23" s="1718">
        <v>347.04089506172841</v>
      </c>
      <c r="H23" s="1719">
        <v>306.11273296534262</v>
      </c>
      <c r="I23" s="1718">
        <v>368.61584737008724</v>
      </c>
      <c r="J23" s="1718">
        <v>488.77291316872157</v>
      </c>
      <c r="K23" s="1718">
        <v>550.9832920792079</v>
      </c>
      <c r="L23" s="1718">
        <v>529.41656403940885</v>
      </c>
      <c r="M23" s="1718">
        <v>396.47029702970298</v>
      </c>
      <c r="N23" s="1718">
        <v>307.11569261846336</v>
      </c>
      <c r="O23" s="1306">
        <v>368.94409589169868</v>
      </c>
      <c r="P23" s="1306">
        <v>257.75</v>
      </c>
      <c r="Q23" s="1306">
        <v>30</v>
      </c>
      <c r="R23" s="882">
        <f t="shared" si="2"/>
        <v>4288.1845215823869</v>
      </c>
      <c r="S23" s="882">
        <f t="shared" si="6"/>
        <v>357.34871013186557</v>
      </c>
      <c r="T23" s="882">
        <f t="shared" si="0"/>
        <v>13.744181158917907</v>
      </c>
      <c r="U23" s="883">
        <f>'S6'!W22</f>
        <v>0</v>
      </c>
      <c r="V23" s="911">
        <f t="shared" si="1"/>
        <v>0</v>
      </c>
      <c r="W23" s="502"/>
      <c r="X23" s="505"/>
      <c r="Y23" s="1708">
        <v>0</v>
      </c>
      <c r="Z23" s="883">
        <v>0</v>
      </c>
      <c r="AA23" s="1694">
        <v>2</v>
      </c>
      <c r="AB23" s="883">
        <v>1.5</v>
      </c>
      <c r="AC23" s="883">
        <v>1</v>
      </c>
      <c r="AD23" s="883">
        <v>0</v>
      </c>
      <c r="AE23" s="883">
        <v>0</v>
      </c>
      <c r="AF23" s="1694"/>
      <c r="AG23" s="883">
        <v>1</v>
      </c>
      <c r="AH23" s="1694"/>
      <c r="AI23" s="1694"/>
      <c r="AJ23" s="1694"/>
      <c r="AK23" s="1699">
        <f t="shared" si="3"/>
        <v>5.5</v>
      </c>
    </row>
    <row r="24" spans="1:37" s="1070" customFormat="1" ht="45" customHeight="1">
      <c r="A24" s="502">
        <v>17</v>
      </c>
      <c r="B24" s="572" t="s">
        <v>1512</v>
      </c>
      <c r="C24" s="578" t="s">
        <v>1511</v>
      </c>
      <c r="D24" s="1476">
        <v>44652</v>
      </c>
      <c r="E24" s="880" t="s">
        <v>1098</v>
      </c>
      <c r="F24" s="1718">
        <v>292.12084520417852</v>
      </c>
      <c r="G24" s="1718">
        <v>294.58998100664769</v>
      </c>
      <c r="H24" s="1719">
        <v>237.43259389395641</v>
      </c>
      <c r="I24" s="1718">
        <v>306.42364609924084</v>
      </c>
      <c r="J24" s="1718">
        <v>380.67421934501141</v>
      </c>
      <c r="K24" s="1718">
        <v>375.51351865955826</v>
      </c>
      <c r="L24" s="1718">
        <v>335.37713148920045</v>
      </c>
      <c r="M24" s="1718">
        <v>346.32445526649474</v>
      </c>
      <c r="N24" s="1718">
        <v>259.67353429121016</v>
      </c>
      <c r="O24" s="1306">
        <v>299.28520007417637</v>
      </c>
      <c r="P24" s="1306">
        <v>203.23076923076923</v>
      </c>
      <c r="Q24" s="1306">
        <v>30</v>
      </c>
      <c r="R24" s="882">
        <f t="shared" si="2"/>
        <v>3360.6458945604436</v>
      </c>
      <c r="S24" s="882">
        <f t="shared" ref="S24:S27" si="7">R24/12</f>
        <v>280.05382454670365</v>
      </c>
      <c r="T24" s="882">
        <f t="shared" si="0"/>
        <v>10.771300944103986</v>
      </c>
      <c r="U24" s="883">
        <f>'S6'!W23</f>
        <v>1</v>
      </c>
      <c r="V24" s="911">
        <f t="shared" si="1"/>
        <v>10.771300944103986</v>
      </c>
      <c r="W24" s="502"/>
      <c r="X24" s="505"/>
      <c r="Y24" s="1708">
        <v>0</v>
      </c>
      <c r="Z24" s="883">
        <v>0</v>
      </c>
      <c r="AA24" s="1694">
        <v>3</v>
      </c>
      <c r="AB24" s="883">
        <v>1.5</v>
      </c>
      <c r="AC24" s="1694"/>
      <c r="AD24" s="883">
        <v>0</v>
      </c>
      <c r="AE24" s="883">
        <v>0</v>
      </c>
      <c r="AF24" s="883">
        <v>0.5</v>
      </c>
      <c r="AG24" s="883">
        <v>1</v>
      </c>
      <c r="AH24" s="1694"/>
      <c r="AI24" s="1694"/>
      <c r="AJ24" s="1694"/>
      <c r="AK24" s="1699">
        <f t="shared" si="3"/>
        <v>6</v>
      </c>
    </row>
    <row r="25" spans="1:37" s="1589" customFormat="1" ht="45" customHeight="1">
      <c r="A25" s="502">
        <v>18</v>
      </c>
      <c r="B25" s="973" t="s">
        <v>2092</v>
      </c>
      <c r="C25" s="956" t="s">
        <v>2093</v>
      </c>
      <c r="D25" s="517">
        <v>44684</v>
      </c>
      <c r="E25" s="880" t="s">
        <v>1098</v>
      </c>
      <c r="F25" s="1718">
        <v>303.98433048433048</v>
      </c>
      <c r="G25" s="1718">
        <v>311.75724121557454</v>
      </c>
      <c r="H25" s="1719">
        <v>276.6984487131175</v>
      </c>
      <c r="I25" s="1718">
        <v>321.5907700277341</v>
      </c>
      <c r="J25" s="1718">
        <v>424.09177456207163</v>
      </c>
      <c r="K25" s="1718">
        <v>511.7379569687738</v>
      </c>
      <c r="L25" s="1718">
        <v>432.41449802293027</v>
      </c>
      <c r="M25" s="1718">
        <v>334.03075019040364</v>
      </c>
      <c r="N25" s="1718">
        <v>267.58703588772511</v>
      </c>
      <c r="O25" s="1306">
        <v>311.358009317533</v>
      </c>
      <c r="P25" s="1306">
        <v>217.30769230769232</v>
      </c>
      <c r="Q25" s="1306">
        <v>30</v>
      </c>
      <c r="R25" s="882">
        <f t="shared" si="2"/>
        <v>3742.5585076978859</v>
      </c>
      <c r="S25" s="882">
        <f>R25/12</f>
        <v>311.87987564149051</v>
      </c>
      <c r="T25" s="882">
        <f t="shared" si="0"/>
        <v>11.995379832365019</v>
      </c>
      <c r="U25" s="883">
        <f>'S6'!W24</f>
        <v>0</v>
      </c>
      <c r="V25" s="911">
        <f t="shared" si="1"/>
        <v>0</v>
      </c>
      <c r="W25" s="502"/>
      <c r="X25" s="505"/>
      <c r="Y25" s="1708">
        <v>0</v>
      </c>
      <c r="Z25" s="883">
        <v>0</v>
      </c>
      <c r="AA25" s="1694">
        <v>2</v>
      </c>
      <c r="AB25" s="883">
        <v>1.5</v>
      </c>
      <c r="AC25" s="1694"/>
      <c r="AD25" s="883">
        <v>0</v>
      </c>
      <c r="AE25" s="883">
        <v>1.5</v>
      </c>
      <c r="AF25" s="1694"/>
      <c r="AG25" s="883">
        <v>1</v>
      </c>
      <c r="AH25" s="1694"/>
      <c r="AI25" s="1694"/>
      <c r="AJ25" s="1694"/>
      <c r="AK25" s="1699">
        <f t="shared" si="3"/>
        <v>6</v>
      </c>
    </row>
    <row r="26" spans="1:37" s="768" customFormat="1" ht="45" customHeight="1">
      <c r="A26" s="502">
        <v>19</v>
      </c>
      <c r="B26" s="973" t="s">
        <v>1525</v>
      </c>
      <c r="C26" s="956" t="s">
        <v>1526</v>
      </c>
      <c r="D26" s="1477">
        <v>44692</v>
      </c>
      <c r="E26" s="1286" t="s">
        <v>1098</v>
      </c>
      <c r="F26" s="1718">
        <v>302.57276828110162</v>
      </c>
      <c r="G26" s="1718">
        <v>259.76115859449192</v>
      </c>
      <c r="H26" s="1719">
        <v>271.03837632336632</v>
      </c>
      <c r="I26" s="1718">
        <v>308.88167300958804</v>
      </c>
      <c r="J26" s="1718">
        <v>409.80674028941365</v>
      </c>
      <c r="K26" s="1718">
        <v>482.72177265803509</v>
      </c>
      <c r="L26" s="1718">
        <v>397.78107237590001</v>
      </c>
      <c r="M26" s="1718">
        <v>359.54722010662607</v>
      </c>
      <c r="N26" s="1718">
        <v>252.63044995659095</v>
      </c>
      <c r="O26" s="1306">
        <v>306.58</v>
      </c>
      <c r="P26" s="1306">
        <v>212.30769230769232</v>
      </c>
      <c r="Q26" s="1306">
        <v>30</v>
      </c>
      <c r="R26" s="882">
        <f t="shared" si="2"/>
        <v>3593.6289239028056</v>
      </c>
      <c r="S26" s="1076">
        <f t="shared" si="7"/>
        <v>299.46907699190047</v>
      </c>
      <c r="T26" s="882">
        <f t="shared" si="0"/>
        <v>11.518041422765403</v>
      </c>
      <c r="U26" s="883">
        <f>'S6'!W25</f>
        <v>0</v>
      </c>
      <c r="V26" s="911">
        <f t="shared" si="1"/>
        <v>0</v>
      </c>
      <c r="W26" s="612"/>
      <c r="X26" s="764"/>
      <c r="Y26" s="1708">
        <v>0</v>
      </c>
      <c r="Z26" s="883">
        <v>0</v>
      </c>
      <c r="AA26" s="1696">
        <v>2</v>
      </c>
      <c r="AB26" s="883">
        <v>1.5</v>
      </c>
      <c r="AC26" s="1696"/>
      <c r="AD26" s="883">
        <v>0</v>
      </c>
      <c r="AE26" s="883">
        <v>0</v>
      </c>
      <c r="AF26" s="1696"/>
      <c r="AG26" s="883">
        <v>1</v>
      </c>
      <c r="AH26" s="1696"/>
      <c r="AI26" s="1696"/>
      <c r="AJ26" s="1696"/>
      <c r="AK26" s="1699">
        <f t="shared" si="3"/>
        <v>4.5</v>
      </c>
    </row>
    <row r="27" spans="1:37" s="1090" customFormat="1" ht="45" customHeight="1">
      <c r="A27" s="502">
        <v>20</v>
      </c>
      <c r="B27" s="1110" t="s">
        <v>1567</v>
      </c>
      <c r="C27" s="966" t="s">
        <v>1568</v>
      </c>
      <c r="D27" s="1477">
        <v>44720</v>
      </c>
      <c r="E27" s="880" t="s">
        <v>1098</v>
      </c>
      <c r="F27" s="1718">
        <v>297.12084520417852</v>
      </c>
      <c r="G27" s="1718">
        <v>306.70916429249758</v>
      </c>
      <c r="H27" s="1719">
        <v>266.8789541240871</v>
      </c>
      <c r="I27" s="1718">
        <v>323.66091297104788</v>
      </c>
      <c r="J27" s="1718">
        <v>418.79093678598622</v>
      </c>
      <c r="K27" s="1718">
        <v>466.93783320639756</v>
      </c>
      <c r="L27" s="1718">
        <v>445.32554945054943</v>
      </c>
      <c r="M27" s="1718">
        <v>350.06302361005328</v>
      </c>
      <c r="N27" s="1718">
        <v>269.32571068115755</v>
      </c>
      <c r="O27" s="1306">
        <v>316.77999999999997</v>
      </c>
      <c r="P27" s="1306">
        <v>208.07692307692309</v>
      </c>
      <c r="Q27" s="1306">
        <v>30</v>
      </c>
      <c r="R27" s="882">
        <f t="shared" si="2"/>
        <v>3699.6698534028774</v>
      </c>
      <c r="S27" s="882">
        <f t="shared" si="7"/>
        <v>308.30582111690643</v>
      </c>
      <c r="T27" s="882">
        <f t="shared" si="0"/>
        <v>11.857916196804094</v>
      </c>
      <c r="U27" s="883">
        <f>'S6'!W26</f>
        <v>0</v>
      </c>
      <c r="V27" s="911">
        <f t="shared" si="1"/>
        <v>0</v>
      </c>
      <c r="W27" s="502"/>
      <c r="X27" s="505"/>
      <c r="Y27" s="1708">
        <v>0</v>
      </c>
      <c r="Z27" s="883">
        <v>0</v>
      </c>
      <c r="AA27" s="1694">
        <v>2</v>
      </c>
      <c r="AB27" s="883">
        <v>1.5</v>
      </c>
      <c r="AC27" s="1694"/>
      <c r="AD27" s="883">
        <v>0</v>
      </c>
      <c r="AE27" s="883">
        <v>0</v>
      </c>
      <c r="AF27" s="1694"/>
      <c r="AG27" s="883">
        <v>1</v>
      </c>
      <c r="AH27" s="1694"/>
      <c r="AI27" s="1694"/>
      <c r="AJ27" s="1694"/>
      <c r="AK27" s="1699">
        <f t="shared" si="3"/>
        <v>4.5</v>
      </c>
    </row>
    <row r="28" spans="1:37" s="871" customFormat="1" ht="45" customHeight="1">
      <c r="A28" s="502">
        <v>21</v>
      </c>
      <c r="B28" s="1535" t="s">
        <v>1238</v>
      </c>
      <c r="C28" s="1536" t="s">
        <v>1239</v>
      </c>
      <c r="D28" s="1517">
        <v>43872</v>
      </c>
      <c r="E28" s="880" t="s">
        <v>1098</v>
      </c>
      <c r="F28" s="1718">
        <v>304.57276828110162</v>
      </c>
      <c r="G28" s="1718">
        <v>315.21877967711305</v>
      </c>
      <c r="H28" s="1719">
        <v>275.65094174761282</v>
      </c>
      <c r="I28" s="1718">
        <v>334.72930888959945</v>
      </c>
      <c r="J28" s="1718">
        <v>444.73667174409758</v>
      </c>
      <c r="K28" s="1718">
        <v>477.01815481218824</v>
      </c>
      <c r="L28" s="1718">
        <v>462.87059235972367</v>
      </c>
      <c r="M28" s="1718">
        <v>340.03958821155027</v>
      </c>
      <c r="N28" s="1718">
        <v>276.750422349438</v>
      </c>
      <c r="O28" s="1306">
        <v>325.83912328119158</v>
      </c>
      <c r="P28" s="1306">
        <v>214.30769230769232</v>
      </c>
      <c r="Q28" s="1306">
        <v>30</v>
      </c>
      <c r="R28" s="882">
        <f t="shared" si="2"/>
        <v>3801.7340436613085</v>
      </c>
      <c r="S28" s="882">
        <f t="shared" ref="S28:S34" si="8">R28/12</f>
        <v>316.81117030510904</v>
      </c>
      <c r="T28" s="882">
        <f t="shared" si="0"/>
        <v>12.185045011734964</v>
      </c>
      <c r="U28" s="883">
        <f>'S6'!W27</f>
        <v>0</v>
      </c>
      <c r="V28" s="911">
        <f t="shared" si="1"/>
        <v>0</v>
      </c>
      <c r="W28" s="502"/>
      <c r="X28" s="505"/>
      <c r="Y28" s="1708">
        <v>0</v>
      </c>
      <c r="Z28" s="883">
        <v>0</v>
      </c>
      <c r="AA28" s="1694">
        <v>2</v>
      </c>
      <c r="AB28" s="883">
        <v>1.5</v>
      </c>
      <c r="AC28" s="1694"/>
      <c r="AD28" s="883">
        <v>1</v>
      </c>
      <c r="AE28" s="883">
        <v>2</v>
      </c>
      <c r="AF28" s="883">
        <v>5</v>
      </c>
      <c r="AG28" s="883">
        <v>1</v>
      </c>
      <c r="AH28" s="1694"/>
      <c r="AI28" s="1694"/>
      <c r="AJ28" s="1694"/>
      <c r="AK28" s="1699">
        <f t="shared" si="3"/>
        <v>12.5</v>
      </c>
    </row>
    <row r="29" spans="1:37" s="871" customFormat="1" ht="45" customHeight="1">
      <c r="A29" s="502">
        <v>22</v>
      </c>
      <c r="B29" s="1534" t="s">
        <v>1240</v>
      </c>
      <c r="C29" s="1536" t="s">
        <v>505</v>
      </c>
      <c r="D29" s="1517">
        <v>41362</v>
      </c>
      <c r="E29" s="880" t="s">
        <v>1098</v>
      </c>
      <c r="F29" s="1718">
        <v>304.39589268755935</v>
      </c>
      <c r="G29" s="1718">
        <v>318.04873384365749</v>
      </c>
      <c r="H29" s="1719">
        <v>280.0732035906201</v>
      </c>
      <c r="I29" s="1718">
        <v>303.66362455122788</v>
      </c>
      <c r="J29" s="1718">
        <v>242.16955445544554</v>
      </c>
      <c r="K29" s="1718">
        <v>277.08025514089871</v>
      </c>
      <c r="L29" s="1718">
        <v>283.45912277377795</v>
      </c>
      <c r="M29" s="1718">
        <v>340.31235719725817</v>
      </c>
      <c r="N29" s="1718">
        <v>280.69481644513866</v>
      </c>
      <c r="O29" s="1306">
        <v>306.88343059422044</v>
      </c>
      <c r="P29" s="1306">
        <v>210.38461538461542</v>
      </c>
      <c r="Q29" s="1306">
        <v>30</v>
      </c>
      <c r="R29" s="882">
        <f t="shared" si="2"/>
        <v>3177.1656066644196</v>
      </c>
      <c r="S29" s="882">
        <f t="shared" si="8"/>
        <v>264.76380055536828</v>
      </c>
      <c r="T29" s="882">
        <f t="shared" si="0"/>
        <v>10.183223098283396</v>
      </c>
      <c r="U29" s="883">
        <f>'S6'!W28</f>
        <v>1</v>
      </c>
      <c r="V29" s="911">
        <f t="shared" si="1"/>
        <v>10.183223098283396</v>
      </c>
      <c r="W29" s="502"/>
      <c r="X29" s="505"/>
      <c r="Y29" s="1708">
        <v>0</v>
      </c>
      <c r="Z29" s="883">
        <v>3</v>
      </c>
      <c r="AA29" s="1694">
        <v>2</v>
      </c>
      <c r="AB29" s="883">
        <v>1.5</v>
      </c>
      <c r="AC29" s="1694"/>
      <c r="AD29" s="883">
        <v>0</v>
      </c>
      <c r="AE29" s="883">
        <v>0</v>
      </c>
      <c r="AF29" s="1694"/>
      <c r="AG29" s="883">
        <v>1</v>
      </c>
      <c r="AH29" s="1694"/>
      <c r="AI29" s="1694"/>
      <c r="AJ29" s="1694"/>
      <c r="AK29" s="1699">
        <f t="shared" si="3"/>
        <v>7.5</v>
      </c>
    </row>
    <row r="30" spans="1:37" s="871" customFormat="1" ht="45" customHeight="1">
      <c r="A30" s="502">
        <v>23</v>
      </c>
      <c r="B30" s="1534" t="s">
        <v>1241</v>
      </c>
      <c r="C30" s="1536" t="s">
        <v>1242</v>
      </c>
      <c r="D30" s="1480">
        <v>42542</v>
      </c>
      <c r="E30" s="1084" t="s">
        <v>1098</v>
      </c>
      <c r="F30" s="1718">
        <v>279.54973884140549</v>
      </c>
      <c r="G30" s="1718">
        <v>314.63034188034186</v>
      </c>
      <c r="H30" s="1719">
        <v>279.83130274110022</v>
      </c>
      <c r="I30" s="1718">
        <v>311.61465183586631</v>
      </c>
      <c r="J30" s="1718">
        <v>339.49781035795888</v>
      </c>
      <c r="K30" s="1718">
        <v>493.67426694592541</v>
      </c>
      <c r="L30" s="1718">
        <v>417.18633952254646</v>
      </c>
      <c r="M30" s="1718">
        <v>363.65620757133098</v>
      </c>
      <c r="N30" s="1718">
        <v>280.20192733159024</v>
      </c>
      <c r="O30" s="1306">
        <v>320.89588467643392</v>
      </c>
      <c r="P30" s="1306">
        <v>218.30769230769232</v>
      </c>
      <c r="Q30" s="1306">
        <v>30</v>
      </c>
      <c r="R30" s="882">
        <f t="shared" si="2"/>
        <v>3649.0461640121916</v>
      </c>
      <c r="S30" s="882">
        <f t="shared" si="8"/>
        <v>304.08718033434928</v>
      </c>
      <c r="T30" s="882">
        <f t="shared" si="0"/>
        <v>11.695660782090357</v>
      </c>
      <c r="U30" s="883">
        <f>'S6'!W29</f>
        <v>0</v>
      </c>
      <c r="V30" s="911">
        <f t="shared" si="1"/>
        <v>0</v>
      </c>
      <c r="W30" s="502"/>
      <c r="X30" s="505"/>
      <c r="Y30" s="1708">
        <v>0</v>
      </c>
      <c r="Z30" s="883">
        <v>0</v>
      </c>
      <c r="AA30" s="1694">
        <v>3</v>
      </c>
      <c r="AB30" s="883">
        <v>1.5</v>
      </c>
      <c r="AC30" s="1694"/>
      <c r="AD30" s="883">
        <v>0</v>
      </c>
      <c r="AE30" s="883">
        <v>0</v>
      </c>
      <c r="AF30" s="883">
        <v>0.5</v>
      </c>
      <c r="AG30" s="883">
        <v>1</v>
      </c>
      <c r="AH30" s="1694"/>
      <c r="AI30" s="1694"/>
      <c r="AJ30" s="1694"/>
      <c r="AK30" s="1699">
        <f t="shared" si="3"/>
        <v>6</v>
      </c>
    </row>
    <row r="31" spans="1:37" s="871" customFormat="1" ht="45" customHeight="1">
      <c r="A31" s="502">
        <v>24</v>
      </c>
      <c r="B31" s="1534" t="s">
        <v>1243</v>
      </c>
      <c r="C31" s="1536" t="s">
        <v>314</v>
      </c>
      <c r="D31" s="1517">
        <v>41411</v>
      </c>
      <c r="E31" s="880" t="s">
        <v>1098</v>
      </c>
      <c r="F31" s="1718">
        <v>306.12084520417852</v>
      </c>
      <c r="G31" s="1718">
        <v>315.70916429249758</v>
      </c>
      <c r="H31" s="1719">
        <v>274.72865438935429</v>
      </c>
      <c r="I31" s="1718">
        <v>305.30355198831882</v>
      </c>
      <c r="J31" s="1718">
        <v>327.50742574257418</v>
      </c>
      <c r="K31" s="1718">
        <v>332.41127189642037</v>
      </c>
      <c r="L31" s="1718">
        <v>360.93217127699882</v>
      </c>
      <c r="M31" s="1718">
        <v>334.6296648895659</v>
      </c>
      <c r="N31" s="1718">
        <v>276.25254299747297</v>
      </c>
      <c r="O31" s="1306">
        <v>300.82268004839699</v>
      </c>
      <c r="P31" s="1306">
        <v>217.07692307692309</v>
      </c>
      <c r="Q31" s="1306">
        <v>30</v>
      </c>
      <c r="R31" s="882">
        <f t="shared" si="2"/>
        <v>3381.4948958027016</v>
      </c>
      <c r="S31" s="882">
        <f t="shared" si="8"/>
        <v>281.79124131689179</v>
      </c>
      <c r="T31" s="882">
        <f t="shared" si="0"/>
        <v>10.8381246660343</v>
      </c>
      <c r="U31" s="883">
        <f>'S6'!W30</f>
        <v>0</v>
      </c>
      <c r="V31" s="911">
        <f t="shared" si="1"/>
        <v>0</v>
      </c>
      <c r="W31" s="502"/>
      <c r="X31" s="505"/>
      <c r="Y31" s="1708">
        <v>0</v>
      </c>
      <c r="Z31" s="883">
        <v>0</v>
      </c>
      <c r="AA31" s="1694">
        <v>2</v>
      </c>
      <c r="AB31" s="883">
        <v>1.5</v>
      </c>
      <c r="AC31" s="1694"/>
      <c r="AD31" s="883">
        <v>0</v>
      </c>
      <c r="AE31" s="883">
        <v>0</v>
      </c>
      <c r="AF31" s="1694"/>
      <c r="AG31" s="883">
        <v>1</v>
      </c>
      <c r="AH31" s="1694"/>
      <c r="AI31" s="1694"/>
      <c r="AJ31" s="1694"/>
      <c r="AK31" s="1699">
        <f t="shared" si="3"/>
        <v>4.5</v>
      </c>
    </row>
    <row r="32" spans="1:37" s="871" customFormat="1" ht="45" customHeight="1">
      <c r="A32" s="502">
        <v>25</v>
      </c>
      <c r="B32" s="1534" t="s">
        <v>1244</v>
      </c>
      <c r="C32" s="1536" t="s">
        <v>316</v>
      </c>
      <c r="D32" s="1517">
        <v>42552</v>
      </c>
      <c r="E32" s="880" t="s">
        <v>1098</v>
      </c>
      <c r="F32" s="1718">
        <v>283.13817663817667</v>
      </c>
      <c r="G32" s="1718">
        <v>318.21877967711299</v>
      </c>
      <c r="H32" s="1719">
        <v>206.55976639977004</v>
      </c>
      <c r="I32" s="1718">
        <v>281.40257650609658</v>
      </c>
      <c r="J32" s="1718">
        <v>414.80674028941365</v>
      </c>
      <c r="K32" s="1718">
        <v>511.7379569687738</v>
      </c>
      <c r="L32" s="1718">
        <v>438.08038966941854</v>
      </c>
      <c r="M32" s="1718">
        <v>349.08225437928405</v>
      </c>
      <c r="N32" s="1718">
        <v>269.36874983045487</v>
      </c>
      <c r="O32" s="1306">
        <v>322.01525399109283</v>
      </c>
      <c r="P32" s="1306">
        <v>222.72230407713326</v>
      </c>
      <c r="Q32" s="1306">
        <v>30</v>
      </c>
      <c r="R32" s="882">
        <f t="shared" si="2"/>
        <v>3647.1329484267276</v>
      </c>
      <c r="S32" s="882">
        <f t="shared" si="8"/>
        <v>303.9277457022273</v>
      </c>
      <c r="T32" s="882">
        <f t="shared" si="0"/>
        <v>11.689528680854895</v>
      </c>
      <c r="U32" s="883">
        <f>'S6'!W31</f>
        <v>0</v>
      </c>
      <c r="V32" s="911">
        <f t="shared" si="1"/>
        <v>0</v>
      </c>
      <c r="W32" s="502"/>
      <c r="X32" s="505"/>
      <c r="Y32" s="1708">
        <v>0</v>
      </c>
      <c r="Z32" s="883">
        <v>0</v>
      </c>
      <c r="AA32" s="1694">
        <v>3</v>
      </c>
      <c r="AB32" s="883">
        <v>1.5</v>
      </c>
      <c r="AC32" s="1694"/>
      <c r="AD32" s="883">
        <v>0</v>
      </c>
      <c r="AE32" s="883">
        <v>1</v>
      </c>
      <c r="AF32" s="1694"/>
      <c r="AG32" s="883">
        <v>1</v>
      </c>
      <c r="AH32" s="1694"/>
      <c r="AI32" s="1694"/>
      <c r="AJ32" s="1694"/>
      <c r="AK32" s="1699">
        <f t="shared" si="3"/>
        <v>6.5</v>
      </c>
    </row>
    <row r="33" spans="1:37" s="1423" customFormat="1" ht="45" customHeight="1">
      <c r="A33" s="502">
        <v>26</v>
      </c>
      <c r="B33" s="515" t="s">
        <v>1939</v>
      </c>
      <c r="C33" s="581" t="s">
        <v>1940</v>
      </c>
      <c r="D33" s="1476">
        <v>41466</v>
      </c>
      <c r="E33" s="880" t="s">
        <v>1098</v>
      </c>
      <c r="F33" s="1718">
        <v>305.04866815774238</v>
      </c>
      <c r="G33" s="1718">
        <v>308.58998100664763</v>
      </c>
      <c r="H33" s="1731">
        <v>255.2990115973418</v>
      </c>
      <c r="I33" s="1718">
        <v>309.55782866482144</v>
      </c>
      <c r="J33" s="1718">
        <v>370.81302361005322</v>
      </c>
      <c r="K33" s="1718">
        <v>372.59624904798176</v>
      </c>
      <c r="L33" s="1718">
        <v>479.0785335354301</v>
      </c>
      <c r="M33" s="1718">
        <v>361.62414318354917</v>
      </c>
      <c r="N33" s="1718">
        <v>276.80629274404106</v>
      </c>
      <c r="O33" s="1306">
        <v>277.88631306142037</v>
      </c>
      <c r="P33" s="1306">
        <v>200.98076923076925</v>
      </c>
      <c r="Q33" s="1306">
        <v>30</v>
      </c>
      <c r="R33" s="882">
        <f t="shared" si="2"/>
        <v>3548.2808138397982</v>
      </c>
      <c r="S33" s="882">
        <f>R33/12</f>
        <v>295.6900678199832</v>
      </c>
      <c r="T33" s="882">
        <f t="shared" si="0"/>
        <v>11.3726949161532</v>
      </c>
      <c r="U33" s="883">
        <f>'S6'!W32</f>
        <v>0</v>
      </c>
      <c r="V33" s="911">
        <f t="shared" si="1"/>
        <v>0</v>
      </c>
      <c r="W33" s="502"/>
      <c r="X33" s="505"/>
      <c r="Y33" s="1708">
        <v>6</v>
      </c>
      <c r="Z33" s="883">
        <v>0</v>
      </c>
      <c r="AA33" s="1694">
        <v>2</v>
      </c>
      <c r="AB33" s="883">
        <v>1.5</v>
      </c>
      <c r="AC33" s="1694"/>
      <c r="AD33" s="883">
        <v>0</v>
      </c>
      <c r="AE33" s="883">
        <v>0</v>
      </c>
      <c r="AF33" s="1694"/>
      <c r="AG33" s="883">
        <v>1</v>
      </c>
      <c r="AH33" s="1694"/>
      <c r="AI33" s="1694"/>
      <c r="AJ33" s="1694"/>
      <c r="AK33" s="1699">
        <f t="shared" si="3"/>
        <v>10.5</v>
      </c>
    </row>
    <row r="34" spans="1:37" s="871" customFormat="1" ht="45" customHeight="1">
      <c r="A34" s="502">
        <v>27</v>
      </c>
      <c r="B34" s="1534" t="s">
        <v>1245</v>
      </c>
      <c r="C34" s="1536" t="s">
        <v>506</v>
      </c>
      <c r="D34" s="1517">
        <v>41526</v>
      </c>
      <c r="E34" s="880" t="s">
        <v>1098</v>
      </c>
      <c r="F34" s="1718">
        <v>306.12084520417852</v>
      </c>
      <c r="G34" s="1718">
        <v>312.14957264957263</v>
      </c>
      <c r="H34" s="1719">
        <v>275.52876952913061</v>
      </c>
      <c r="I34" s="1718">
        <v>305.88260260487283</v>
      </c>
      <c r="J34" s="1718">
        <v>361.42963867066874</v>
      </c>
      <c r="K34" s="1718">
        <v>397.65575019040364</v>
      </c>
      <c r="L34" s="1718">
        <v>370.12410003789313</v>
      </c>
      <c r="M34" s="1718">
        <v>340.25742574257424</v>
      </c>
      <c r="N34" s="1718">
        <v>276.7209587213394</v>
      </c>
      <c r="O34" s="1306">
        <v>317.82103530426264</v>
      </c>
      <c r="P34" s="1306">
        <v>217.07692307692309</v>
      </c>
      <c r="Q34" s="1306">
        <v>30</v>
      </c>
      <c r="R34" s="882">
        <f t="shared" si="2"/>
        <v>3510.7676217318194</v>
      </c>
      <c r="S34" s="882">
        <f t="shared" si="8"/>
        <v>292.5639684776516</v>
      </c>
      <c r="T34" s="882">
        <f t="shared" si="0"/>
        <v>11.252460326063524</v>
      </c>
      <c r="U34" s="883">
        <f>'S6'!W33</f>
        <v>0</v>
      </c>
      <c r="V34" s="911">
        <f t="shared" si="1"/>
        <v>0</v>
      </c>
      <c r="W34" s="502"/>
      <c r="X34" s="505"/>
      <c r="Y34" s="1708">
        <v>0</v>
      </c>
      <c r="Z34" s="883">
        <v>0</v>
      </c>
      <c r="AA34" s="1694">
        <v>2</v>
      </c>
      <c r="AB34" s="883">
        <v>1.5</v>
      </c>
      <c r="AC34" s="883">
        <v>0.5</v>
      </c>
      <c r="AD34" s="883">
        <v>0</v>
      </c>
      <c r="AE34" s="883">
        <v>0</v>
      </c>
      <c r="AF34" s="1694"/>
      <c r="AG34" s="883">
        <v>1</v>
      </c>
      <c r="AH34" s="1694"/>
      <c r="AI34" s="1694"/>
      <c r="AJ34" s="1694"/>
      <c r="AK34" s="1699">
        <f t="shared" si="3"/>
        <v>5</v>
      </c>
    </row>
    <row r="35" spans="1:37" s="1713" customFormat="1" ht="45" customHeight="1">
      <c r="A35" s="502">
        <v>28</v>
      </c>
      <c r="B35" s="1534" t="s">
        <v>2183</v>
      </c>
      <c r="C35" s="1536" t="s">
        <v>2184</v>
      </c>
      <c r="D35" s="1517">
        <v>43582</v>
      </c>
      <c r="E35" s="880" t="s">
        <v>1098</v>
      </c>
      <c r="F35" s="1097" t="s">
        <v>1918</v>
      </c>
      <c r="G35" s="1718">
        <v>82.839230769230767</v>
      </c>
      <c r="H35" s="1718">
        <v>211.48185834268008</v>
      </c>
      <c r="I35" s="1718">
        <v>268.02173744953978</v>
      </c>
      <c r="J35" s="1718">
        <v>259.75609291698402</v>
      </c>
      <c r="K35" s="1718">
        <v>275.70525514089871</v>
      </c>
      <c r="L35" s="1718">
        <v>341.69988632057596</v>
      </c>
      <c r="M35" s="1718">
        <v>259.39413556740288</v>
      </c>
      <c r="N35" s="1718">
        <v>213.22505845151687</v>
      </c>
      <c r="O35" s="1380">
        <v>283.98116206642896</v>
      </c>
      <c r="P35" s="1306">
        <v>126.5</v>
      </c>
      <c r="Q35" s="1097" t="s">
        <v>1918</v>
      </c>
      <c r="R35" s="882">
        <f t="shared" si="2"/>
        <v>2322.604417025258</v>
      </c>
      <c r="S35" s="882">
        <f>R35/10</f>
        <v>232.26044170252581</v>
      </c>
      <c r="T35" s="882">
        <f t="shared" si="0"/>
        <v>8.9330939116356074</v>
      </c>
      <c r="U35" s="883">
        <f>'S6'!W34</f>
        <v>0.5</v>
      </c>
      <c r="V35" s="911">
        <f t="shared" si="1"/>
        <v>4.4665469558178037</v>
      </c>
      <c r="W35" s="502"/>
      <c r="X35" s="505"/>
      <c r="Y35" s="1708"/>
      <c r="Z35" s="883">
        <v>0</v>
      </c>
      <c r="AA35" s="1694">
        <v>2</v>
      </c>
      <c r="AB35" s="883">
        <v>2.5</v>
      </c>
      <c r="AC35" s="1694"/>
      <c r="AD35" s="883">
        <v>0</v>
      </c>
      <c r="AE35" s="883">
        <v>0</v>
      </c>
      <c r="AF35" s="1694"/>
      <c r="AG35" s="883">
        <v>1</v>
      </c>
      <c r="AH35" s="1694"/>
      <c r="AI35" s="1694"/>
      <c r="AJ35" s="1694"/>
      <c r="AK35" s="1699"/>
    </row>
    <row r="36" spans="1:37" s="1462" customFormat="1" ht="45" customHeight="1">
      <c r="A36" s="502">
        <v>29</v>
      </c>
      <c r="B36" s="1534" t="s">
        <v>1246</v>
      </c>
      <c r="C36" s="1536" t="s">
        <v>1247</v>
      </c>
      <c r="D36" s="1517">
        <v>42956</v>
      </c>
      <c r="E36" s="880" t="s">
        <v>1098</v>
      </c>
      <c r="F36" s="1718">
        <v>307.57276828110162</v>
      </c>
      <c r="G36" s="1718">
        <v>291.78418803418799</v>
      </c>
      <c r="H36" s="1719">
        <v>261.25689600012964</v>
      </c>
      <c r="I36" s="1718">
        <v>328.65219222864181</v>
      </c>
      <c r="J36" s="1718">
        <v>393.6289032749429</v>
      </c>
      <c r="K36" s="1718">
        <v>453.79369763899473</v>
      </c>
      <c r="L36" s="1718">
        <v>430.76295471769618</v>
      </c>
      <c r="M36" s="1718">
        <v>357.98610053313024</v>
      </c>
      <c r="N36" s="1718">
        <v>279.10373387318589</v>
      </c>
      <c r="O36" s="1306">
        <v>255.55701380215885</v>
      </c>
      <c r="P36" s="1306">
        <v>217.30769230769232</v>
      </c>
      <c r="Q36" s="1306">
        <v>30</v>
      </c>
      <c r="R36" s="882">
        <f t="shared" si="2"/>
        <v>3607.4061406918622</v>
      </c>
      <c r="S36" s="882">
        <f t="shared" ref="S36" si="9">R36/12</f>
        <v>300.6171783909885</v>
      </c>
      <c r="T36" s="882">
        <f t="shared" si="0"/>
        <v>11.562199168884174</v>
      </c>
      <c r="U36" s="883">
        <f>'S6'!W35</f>
        <v>0</v>
      </c>
      <c r="V36" s="911">
        <f t="shared" si="1"/>
        <v>0</v>
      </c>
      <c r="W36" s="502"/>
      <c r="X36" s="505"/>
      <c r="Y36" s="1708">
        <v>0</v>
      </c>
      <c r="Z36" s="883">
        <v>0</v>
      </c>
      <c r="AA36" s="1694">
        <v>2</v>
      </c>
      <c r="AB36" s="883">
        <v>2.5</v>
      </c>
      <c r="AC36" s="1694"/>
      <c r="AD36" s="883">
        <v>0</v>
      </c>
      <c r="AE36" s="883">
        <v>0</v>
      </c>
      <c r="AF36" s="1694"/>
      <c r="AG36" s="883">
        <v>1</v>
      </c>
      <c r="AH36" s="1694"/>
      <c r="AI36" s="1694"/>
      <c r="AJ36" s="1694"/>
      <c r="AK36" s="1699">
        <f t="shared" si="3"/>
        <v>5.5</v>
      </c>
    </row>
    <row r="37" spans="1:37" s="1800" customFormat="1" ht="45" customHeight="1">
      <c r="A37" s="502">
        <v>30</v>
      </c>
      <c r="B37" s="572" t="s">
        <v>2000</v>
      </c>
      <c r="C37" s="1401" t="s">
        <v>2001</v>
      </c>
      <c r="D37" s="1478">
        <v>45127</v>
      </c>
      <c r="E37" s="880" t="s">
        <v>1098</v>
      </c>
      <c r="F37" s="1718">
        <v>288.12084520417852</v>
      </c>
      <c r="G37" s="1718">
        <v>292.28608736942067</v>
      </c>
      <c r="H37" s="1719">
        <v>247.77794253541654</v>
      </c>
      <c r="I37" s="1718">
        <v>312.33151425822598</v>
      </c>
      <c r="J37" s="1718">
        <v>409.79093678598622</v>
      </c>
      <c r="K37" s="1718">
        <v>424.83320639756278</v>
      </c>
      <c r="L37" s="1718">
        <v>445.8391727233024</v>
      </c>
      <c r="M37" s="1718">
        <v>343.62414318354917</v>
      </c>
      <c r="N37" s="1718">
        <v>258.56880694646378</v>
      </c>
      <c r="O37" s="1306">
        <v>235.08315153591727</v>
      </c>
      <c r="P37" s="1306">
        <v>199.23076923076923</v>
      </c>
      <c r="Q37" s="1306">
        <v>30</v>
      </c>
      <c r="R37" s="882">
        <f t="shared" si="2"/>
        <v>3487.486576170792</v>
      </c>
      <c r="S37" s="882">
        <f>R37/12</f>
        <v>290.623881347566</v>
      </c>
      <c r="T37" s="882">
        <f t="shared" si="0"/>
        <v>11.177841590290999</v>
      </c>
      <c r="U37" s="883">
        <f>'S6'!W36</f>
        <v>0</v>
      </c>
      <c r="V37" s="911">
        <f t="shared" si="1"/>
        <v>0</v>
      </c>
      <c r="W37" s="502"/>
      <c r="X37" s="505"/>
      <c r="Y37" s="1708">
        <v>0</v>
      </c>
      <c r="Z37" s="883">
        <v>0</v>
      </c>
      <c r="AA37" s="1694">
        <v>2</v>
      </c>
      <c r="AB37" s="883">
        <v>1.5</v>
      </c>
      <c r="AC37" s="1694"/>
      <c r="AD37" s="883">
        <v>0</v>
      </c>
      <c r="AE37" s="883">
        <v>1</v>
      </c>
      <c r="AF37" s="1694"/>
      <c r="AG37" s="883">
        <v>1</v>
      </c>
      <c r="AH37" s="1694"/>
      <c r="AI37" s="1694"/>
      <c r="AJ37" s="1694"/>
      <c r="AK37" s="1699">
        <f t="shared" ref="AK37" si="10">SUM(Y37:AJ37)</f>
        <v>5.5</v>
      </c>
    </row>
    <row r="38" spans="1:37" s="871" customFormat="1" ht="31.5" customHeight="1">
      <c r="A38" s="2160" t="s">
        <v>214</v>
      </c>
      <c r="B38" s="2152"/>
      <c r="C38" s="2152"/>
      <c r="D38" s="2152"/>
      <c r="E38" s="2152"/>
      <c r="F38" s="2152"/>
      <c r="G38" s="2152"/>
      <c r="H38" s="2152"/>
      <c r="I38" s="2152"/>
      <c r="J38" s="2152"/>
      <c r="K38" s="2152"/>
      <c r="L38" s="2152"/>
      <c r="M38" s="2152"/>
      <c r="N38" s="2152"/>
      <c r="O38" s="2152"/>
      <c r="P38" s="2152"/>
      <c r="Q38" s="2152"/>
      <c r="R38" s="2170"/>
      <c r="S38" s="507"/>
      <c r="T38" s="507"/>
      <c r="U38" s="910"/>
      <c r="V38" s="948">
        <f>SUM(V8:V37)</f>
        <v>115.96704833554242</v>
      </c>
      <c r="W38" s="504"/>
      <c r="X38" s="842"/>
    </row>
    <row r="39" spans="1:37" s="871" customFormat="1" ht="15.75">
      <c r="A39" s="842"/>
      <c r="B39" s="842"/>
      <c r="C39" s="842"/>
      <c r="D39" s="567"/>
      <c r="E39" s="842"/>
      <c r="F39" s="842"/>
      <c r="G39" s="842"/>
      <c r="H39" s="842"/>
      <c r="I39" s="842"/>
      <c r="J39" s="842"/>
      <c r="K39" s="842"/>
      <c r="L39" s="842"/>
      <c r="M39" s="842"/>
      <c r="N39" s="842"/>
      <c r="O39" s="842"/>
      <c r="P39" s="842"/>
      <c r="Q39" s="842"/>
      <c r="R39" s="870"/>
      <c r="S39" s="870"/>
      <c r="T39" s="870"/>
      <c r="U39" s="896"/>
      <c r="V39" s="896"/>
      <c r="W39" s="842"/>
      <c r="X39" s="842"/>
    </row>
    <row r="40" spans="1:37" s="871" customFormat="1" ht="27" customHeight="1">
      <c r="A40" s="2132" t="s">
        <v>1155</v>
      </c>
      <c r="B40" s="2132"/>
      <c r="C40" s="2132"/>
      <c r="D40" s="872"/>
      <c r="H40" s="2132" t="s">
        <v>1156</v>
      </c>
      <c r="I40" s="2132"/>
      <c r="J40" s="2132"/>
      <c r="K40" s="2132"/>
      <c r="R40" s="2133" t="s">
        <v>1157</v>
      </c>
      <c r="S40" s="2133"/>
      <c r="T40" s="2133"/>
      <c r="U40" s="898"/>
      <c r="V40" s="898"/>
      <c r="X40" s="843"/>
    </row>
  </sheetData>
  <mergeCells count="11">
    <mergeCell ref="A1:T1"/>
    <mergeCell ref="A2:T2"/>
    <mergeCell ref="A3:T3"/>
    <mergeCell ref="A38:R38"/>
    <mergeCell ref="A40:C40"/>
    <mergeCell ref="H40:K40"/>
    <mergeCell ref="R40:T40"/>
    <mergeCell ref="A4:T4"/>
    <mergeCell ref="F6:Q6"/>
    <mergeCell ref="A5:C5"/>
    <mergeCell ref="L5:R5"/>
  </mergeCells>
  <pageMargins left="0.7" right="0.7" top="0.75" bottom="0.75" header="0.3" footer="0.3"/>
  <pageSetup paperSize="9" orientation="portrait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BP40"/>
  <sheetViews>
    <sheetView view="pageBreakPreview" topLeftCell="A3" zoomScale="80" zoomScaleNormal="100" zoomScaleSheetLayoutView="80" workbookViewId="0">
      <pane xSplit="7" ySplit="3" topLeftCell="AJ32" activePane="bottomRight" state="frozen"/>
      <selection activeCell="A3" sqref="A3"/>
      <selection pane="topRight" activeCell="H3" sqref="H3"/>
      <selection pane="bottomLeft" activeCell="A6" sqref="A6"/>
      <selection pane="bottomRight" activeCell="I31" sqref="I31"/>
    </sheetView>
  </sheetViews>
  <sheetFormatPr defaultRowHeight="15.75"/>
  <cols>
    <col min="1" max="1" width="4.875" style="544" customWidth="1"/>
    <col min="2" max="2" width="11.625" style="544" customWidth="1"/>
    <col min="3" max="3" width="11.5" style="755" customWidth="1"/>
    <col min="4" max="4" width="11.75" style="755" customWidth="1"/>
    <col min="5" max="5" width="7.5" style="755" customWidth="1"/>
    <col min="6" max="6" width="8.375" style="571" customWidth="1"/>
    <col min="7" max="7" width="6.75" style="755" customWidth="1"/>
    <col min="8" max="8" width="5.25" style="755" customWidth="1"/>
    <col min="9" max="10" width="8.25" style="755" customWidth="1"/>
    <col min="11" max="11" width="5.5" style="755" customWidth="1"/>
    <col min="12" max="12" width="5.625" style="755" customWidth="1"/>
    <col min="13" max="13" width="8.25" style="755" customWidth="1"/>
    <col min="14" max="14" width="5.875" style="755" customWidth="1"/>
    <col min="15" max="15" width="5.625" style="755" customWidth="1"/>
    <col min="16" max="16" width="7.875" style="755" customWidth="1"/>
    <col min="17" max="17" width="5.25" style="755" customWidth="1"/>
    <col min="18" max="18" width="5.125" style="755" customWidth="1"/>
    <col min="19" max="19" width="7.625" style="755" customWidth="1"/>
    <col min="20" max="20" width="5.125" style="755" customWidth="1"/>
    <col min="21" max="21" width="5.75" style="755" customWidth="1"/>
    <col min="22" max="22" width="8.625" style="755" customWidth="1"/>
    <col min="23" max="23" width="5.75" style="755" customWidth="1"/>
    <col min="24" max="24" width="9.125" style="755" customWidth="1"/>
    <col min="25" max="25" width="6" style="755" customWidth="1"/>
    <col min="26" max="26" width="6.625" style="755" customWidth="1"/>
    <col min="27" max="27" width="8.125" style="755" customWidth="1"/>
    <col min="28" max="28" width="5.25" style="755" customWidth="1"/>
    <col min="29" max="29" width="6.5" style="755" customWidth="1"/>
    <col min="30" max="30" width="8.375" style="755" customWidth="1"/>
    <col min="31" max="31" width="7.5" style="755" customWidth="1"/>
    <col min="32" max="33" width="6.125" style="755" customWidth="1"/>
    <col min="34" max="35" width="7.25" style="755" customWidth="1"/>
    <col min="36" max="36" width="10.375" style="755" customWidth="1"/>
    <col min="37" max="37" width="10.125" style="755" customWidth="1"/>
    <col min="38" max="38" width="11.5" style="755" customWidth="1"/>
    <col min="39" max="39" width="7.875" style="755" customWidth="1"/>
    <col min="40" max="40" width="9.875" style="755" customWidth="1"/>
    <col min="41" max="41" width="7.875" style="755" customWidth="1"/>
    <col min="42" max="42" width="10.25" style="755" customWidth="1"/>
    <col min="43" max="43" width="11.25" style="755" customWidth="1"/>
    <col min="44" max="44" width="15.75" style="755" customWidth="1"/>
    <col min="45" max="45" width="11.375" style="755" customWidth="1"/>
    <col min="46" max="46" width="17.5" style="755" customWidth="1"/>
    <col min="47" max="47" width="15.25" style="755" customWidth="1"/>
    <col min="48" max="48" width="10.5" style="755" hidden="1" customWidth="1"/>
    <col min="49" max="50" width="9" style="755"/>
    <col min="51" max="53" width="8.875" style="755" customWidth="1"/>
    <col min="54" max="54" width="8.75" style="755" customWidth="1"/>
    <col min="55" max="57" width="9" style="755"/>
    <col min="58" max="58" width="10.875" style="755" bestFit="1" customWidth="1"/>
    <col min="59" max="59" width="9" style="755"/>
    <col min="60" max="60" width="16.375" style="755" customWidth="1"/>
    <col min="61" max="61" width="9" style="755"/>
    <col min="62" max="64" width="14" style="755" customWidth="1"/>
    <col min="65" max="68" width="9" style="755"/>
    <col min="69" max="16384" width="9" style="544"/>
  </cols>
  <sheetData>
    <row r="1" spans="1:68" s="541" customFormat="1" ht="29.25" customHeight="1">
      <c r="A1" s="2110" t="s">
        <v>222</v>
      </c>
      <c r="B1" s="2110"/>
      <c r="C1" s="2110"/>
      <c r="D1" s="2110"/>
      <c r="E1" s="2110"/>
      <c r="F1" s="2110"/>
      <c r="G1" s="2110"/>
      <c r="H1" s="2110"/>
      <c r="I1" s="2110"/>
      <c r="J1" s="2110"/>
      <c r="K1" s="2110"/>
      <c r="L1" s="2110"/>
      <c r="M1" s="2110"/>
      <c r="N1" s="2110"/>
      <c r="O1" s="2110"/>
      <c r="P1" s="2110"/>
      <c r="Q1" s="2110"/>
      <c r="R1" s="2110"/>
      <c r="S1" s="2110"/>
      <c r="T1" s="2110"/>
      <c r="U1" s="2110"/>
      <c r="V1" s="2110"/>
      <c r="W1" s="2110"/>
      <c r="X1" s="2110"/>
      <c r="Y1" s="2110"/>
      <c r="Z1" s="2110"/>
      <c r="AA1" s="2110"/>
      <c r="AB1" s="2110"/>
      <c r="AC1" s="2110"/>
      <c r="AD1" s="2110"/>
      <c r="AE1" s="2110"/>
      <c r="AF1" s="2110"/>
      <c r="AG1" s="2110"/>
      <c r="AH1" s="2110"/>
      <c r="AI1" s="2110"/>
      <c r="AJ1" s="2110"/>
      <c r="AK1" s="2110"/>
      <c r="AL1" s="2110"/>
      <c r="AM1" s="2110"/>
      <c r="AN1" s="2110"/>
      <c r="AO1" s="2110"/>
      <c r="AP1" s="2110"/>
      <c r="AQ1" s="2110"/>
      <c r="AR1" s="2110"/>
      <c r="AS1" s="2110"/>
      <c r="AT1" s="2110"/>
      <c r="AU1" s="751"/>
      <c r="AV1" s="732"/>
      <c r="AW1" s="732"/>
      <c r="AX1" s="732"/>
      <c r="AY1" s="732"/>
      <c r="AZ1" s="732"/>
      <c r="BA1" s="732"/>
      <c r="BB1" s="732"/>
      <c r="BC1" s="732"/>
      <c r="BD1" s="732"/>
      <c r="BE1" s="732"/>
      <c r="BF1" s="732"/>
      <c r="BG1" s="732"/>
      <c r="BH1" s="732"/>
      <c r="BI1" s="732"/>
      <c r="BJ1" s="732"/>
      <c r="BK1" s="732"/>
      <c r="BL1" s="732"/>
      <c r="BM1" s="732"/>
      <c r="BN1" s="732"/>
      <c r="BO1" s="732"/>
      <c r="BP1" s="732"/>
    </row>
    <row r="2" spans="1:68" s="541" customFormat="1" ht="20.25" customHeight="1">
      <c r="A2" s="2110" t="s">
        <v>221</v>
      </c>
      <c r="B2" s="2110"/>
      <c r="C2" s="2110"/>
      <c r="D2" s="2110"/>
      <c r="E2" s="2110"/>
      <c r="F2" s="2110"/>
      <c r="G2" s="2110"/>
      <c r="H2" s="2110"/>
      <c r="I2" s="2110"/>
      <c r="J2" s="2110"/>
      <c r="K2" s="2110"/>
      <c r="L2" s="2110"/>
      <c r="M2" s="2110"/>
      <c r="N2" s="2110"/>
      <c r="O2" s="2110"/>
      <c r="P2" s="2110"/>
      <c r="Q2" s="2110"/>
      <c r="R2" s="2110"/>
      <c r="S2" s="2110"/>
      <c r="T2" s="2110"/>
      <c r="U2" s="2110"/>
      <c r="V2" s="2110"/>
      <c r="W2" s="2110"/>
      <c r="X2" s="2110"/>
      <c r="Y2" s="2110"/>
      <c r="Z2" s="2110"/>
      <c r="AA2" s="2110"/>
      <c r="AB2" s="2110"/>
      <c r="AC2" s="2110"/>
      <c r="AD2" s="2110"/>
      <c r="AE2" s="2110"/>
      <c r="AF2" s="2110"/>
      <c r="AG2" s="2110"/>
      <c r="AH2" s="2110"/>
      <c r="AI2" s="2110"/>
      <c r="AJ2" s="2110"/>
      <c r="AK2" s="2110"/>
      <c r="AL2" s="2110"/>
      <c r="AM2" s="2110"/>
      <c r="AN2" s="2110"/>
      <c r="AO2" s="2110"/>
      <c r="AP2" s="2110"/>
      <c r="AQ2" s="2110"/>
      <c r="AR2" s="2110"/>
      <c r="AS2" s="2110"/>
      <c r="AT2" s="2110"/>
      <c r="AU2" s="751"/>
      <c r="AV2" s="732"/>
      <c r="AW2" s="732"/>
      <c r="AX2" s="732"/>
      <c r="AY2" s="732"/>
      <c r="AZ2" s="732"/>
      <c r="BA2" s="732"/>
      <c r="BB2" s="732"/>
      <c r="BC2" s="732"/>
      <c r="BD2" s="732"/>
      <c r="BE2" s="732"/>
      <c r="BF2" s="732"/>
      <c r="BG2" s="732"/>
      <c r="BH2" s="732"/>
      <c r="BI2" s="732"/>
      <c r="BJ2" s="732"/>
      <c r="BK2" s="732"/>
      <c r="BL2" s="732"/>
      <c r="BM2" s="732"/>
      <c r="BN2" s="732"/>
      <c r="BO2" s="732"/>
      <c r="BP2" s="732"/>
    </row>
    <row r="3" spans="1:68" s="541" customFormat="1" ht="19.5" customHeight="1">
      <c r="A3" s="2111" t="s">
        <v>2342</v>
      </c>
      <c r="B3" s="2111"/>
      <c r="C3" s="2111"/>
      <c r="D3" s="2111"/>
      <c r="E3" s="2111"/>
      <c r="F3" s="2111"/>
      <c r="G3" s="2111"/>
      <c r="H3" s="2111"/>
      <c r="I3" s="2111"/>
      <c r="J3" s="2111"/>
      <c r="K3" s="2111"/>
      <c r="L3" s="2111"/>
      <c r="M3" s="2111"/>
      <c r="N3" s="2111"/>
      <c r="O3" s="2111"/>
      <c r="P3" s="2111"/>
      <c r="Q3" s="2111"/>
      <c r="R3" s="2111"/>
      <c r="S3" s="2111"/>
      <c r="T3" s="2111"/>
      <c r="U3" s="2111"/>
      <c r="V3" s="2111"/>
      <c r="W3" s="2111"/>
      <c r="X3" s="2111"/>
      <c r="Y3" s="2111"/>
      <c r="Z3" s="2111"/>
      <c r="AA3" s="2111"/>
      <c r="AB3" s="2111"/>
      <c r="AC3" s="2111"/>
      <c r="AD3" s="2111"/>
      <c r="AE3" s="2111"/>
      <c r="AF3" s="2111"/>
      <c r="AG3" s="2111"/>
      <c r="AH3" s="2111"/>
      <c r="AI3" s="2111"/>
      <c r="AJ3" s="2111"/>
      <c r="AK3" s="2111"/>
      <c r="AL3" s="2111"/>
      <c r="AM3" s="2111"/>
      <c r="AN3" s="2111"/>
      <c r="AO3" s="2111"/>
      <c r="AP3" s="2111"/>
      <c r="AQ3" s="2111"/>
      <c r="AR3" s="2111"/>
      <c r="AS3" s="2111"/>
      <c r="AT3" s="2111"/>
      <c r="AU3" s="752"/>
    </row>
    <row r="4" spans="1:68" s="1040" customFormat="1" ht="20.25" customHeight="1">
      <c r="A4" s="1373" t="s">
        <v>300</v>
      </c>
      <c r="B4" s="1373"/>
      <c r="C4" s="2091" t="s">
        <v>2341</v>
      </c>
      <c r="D4" s="2092"/>
      <c r="E4" s="2092"/>
      <c r="F4" s="2092"/>
      <c r="G4" s="1375"/>
      <c r="H4" s="1375"/>
      <c r="I4" s="1375"/>
      <c r="J4" s="1375"/>
      <c r="K4" s="1375"/>
      <c r="L4" s="1375"/>
      <c r="M4" s="1375"/>
      <c r="N4" s="1375"/>
      <c r="O4" s="1375"/>
      <c r="P4" s="1375"/>
      <c r="Q4" s="1375"/>
      <c r="R4" s="1375"/>
      <c r="S4" s="1375"/>
      <c r="T4" s="1375"/>
      <c r="U4" s="1375"/>
      <c r="V4" s="1375"/>
      <c r="W4" s="1375"/>
      <c r="X4" s="1375"/>
      <c r="Y4" s="1375"/>
      <c r="Z4" s="1375"/>
      <c r="AA4" s="1375"/>
      <c r="AB4" s="1375"/>
      <c r="AC4" s="1375"/>
      <c r="AD4" s="1375"/>
      <c r="AE4" s="1375"/>
      <c r="AF4" s="1375"/>
      <c r="AG4" s="1375"/>
      <c r="AH4" s="1375"/>
      <c r="AI4" s="1375"/>
      <c r="AJ4" s="1375"/>
      <c r="AK4" s="1375"/>
      <c r="AL4" s="1375"/>
      <c r="AM4" s="1375"/>
      <c r="AN4" s="1375"/>
      <c r="AO4" s="1375"/>
      <c r="AP4" s="1375"/>
      <c r="AQ4" s="1375"/>
      <c r="AR4" s="1375"/>
      <c r="AS4" s="1375"/>
      <c r="AT4" s="1375"/>
      <c r="AU4" s="1374"/>
      <c r="AV4" s="1370"/>
      <c r="AW4" s="2075" t="s">
        <v>472</v>
      </c>
      <c r="AX4" s="2075"/>
      <c r="AY4" s="2075"/>
      <c r="AZ4" s="2075"/>
      <c r="BA4" s="2075"/>
      <c r="BB4" s="2075"/>
      <c r="BC4" s="2075"/>
      <c r="BD4" s="2075"/>
      <c r="BE4" s="2075"/>
      <c r="BF4" s="2075"/>
      <c r="BG4" s="1370"/>
      <c r="BH4" s="1370"/>
      <c r="BI4" s="1370"/>
      <c r="BJ4" s="1370"/>
      <c r="BK4" s="1370"/>
      <c r="BL4" s="1370"/>
      <c r="BM4" s="1370"/>
      <c r="BN4" s="1370"/>
      <c r="BO4" s="1370"/>
      <c r="BP4" s="1370"/>
    </row>
    <row r="5" spans="1:68" ht="69.95" customHeight="1">
      <c r="A5" s="722" t="s">
        <v>252</v>
      </c>
      <c r="B5" s="722" t="s">
        <v>253</v>
      </c>
      <c r="C5" s="722" t="s">
        <v>911</v>
      </c>
      <c r="D5" s="722" t="s">
        <v>254</v>
      </c>
      <c r="E5" s="1138" t="s">
        <v>227</v>
      </c>
      <c r="F5" s="724" t="s">
        <v>255</v>
      </c>
      <c r="G5" s="643" t="s">
        <v>256</v>
      </c>
      <c r="H5" s="2120" t="s">
        <v>1686</v>
      </c>
      <c r="I5" s="2094"/>
      <c r="J5" s="2095"/>
      <c r="K5" s="2120" t="s">
        <v>1744</v>
      </c>
      <c r="L5" s="2094"/>
      <c r="M5" s="2095"/>
      <c r="N5" s="2120" t="s">
        <v>1689</v>
      </c>
      <c r="O5" s="2094"/>
      <c r="P5" s="2095"/>
      <c r="Q5" s="2120" t="s">
        <v>1776</v>
      </c>
      <c r="R5" s="2094"/>
      <c r="S5" s="2095"/>
      <c r="T5" s="2117" t="s">
        <v>1777</v>
      </c>
      <c r="U5" s="2118"/>
      <c r="V5" s="2119"/>
      <c r="W5" s="2102" t="s">
        <v>1674</v>
      </c>
      <c r="X5" s="2103"/>
      <c r="Y5" s="2093" t="s">
        <v>1675</v>
      </c>
      <c r="Z5" s="2094"/>
      <c r="AA5" s="2095"/>
      <c r="AB5" s="2096" t="s">
        <v>1779</v>
      </c>
      <c r="AC5" s="1126" t="s">
        <v>258</v>
      </c>
      <c r="AD5" s="2098" t="s">
        <v>220</v>
      </c>
      <c r="AE5" s="1117" t="s">
        <v>1835</v>
      </c>
      <c r="AF5" s="2100" t="s">
        <v>1840</v>
      </c>
      <c r="AG5" s="1268" t="s">
        <v>1832</v>
      </c>
      <c r="AH5" s="2080" t="s">
        <v>1666</v>
      </c>
      <c r="AI5" s="2080" t="s">
        <v>1665</v>
      </c>
      <c r="AJ5" s="2076" t="s">
        <v>1653</v>
      </c>
      <c r="AK5" s="2114" t="s">
        <v>1723</v>
      </c>
      <c r="AL5" s="2148" t="s">
        <v>1724</v>
      </c>
      <c r="AM5" s="2084" t="s">
        <v>1668</v>
      </c>
      <c r="AN5" s="2171" t="s">
        <v>1669</v>
      </c>
      <c r="AO5" s="2116" t="s">
        <v>1670</v>
      </c>
      <c r="AP5" s="2089" t="s">
        <v>1805</v>
      </c>
      <c r="AQ5" s="2154" t="s">
        <v>1673</v>
      </c>
      <c r="AR5" s="2154"/>
      <c r="AS5" s="2155"/>
      <c r="AT5" s="2153" t="s">
        <v>1672</v>
      </c>
      <c r="AU5" s="543"/>
      <c r="AV5" s="504"/>
      <c r="AW5" s="2081" t="s">
        <v>219</v>
      </c>
      <c r="AX5" s="2082"/>
      <c r="AY5" s="2083"/>
      <c r="AZ5" s="750"/>
      <c r="BA5" s="750"/>
      <c r="BB5" s="2086"/>
      <c r="BC5" s="2086"/>
      <c r="BD5" s="2086"/>
      <c r="BE5" s="2086"/>
      <c r="BF5" s="2087"/>
      <c r="BH5" s="690" t="s">
        <v>789</v>
      </c>
      <c r="BI5" s="2156" t="s">
        <v>714</v>
      </c>
      <c r="BJ5" s="2156" t="s">
        <v>569</v>
      </c>
      <c r="BK5" s="2162" t="s">
        <v>570</v>
      </c>
      <c r="BL5" s="2158" t="s">
        <v>713</v>
      </c>
    </row>
    <row r="6" spans="1:68" ht="99.95" customHeight="1">
      <c r="A6" s="725" t="s">
        <v>111</v>
      </c>
      <c r="B6" s="725" t="s">
        <v>1778</v>
      </c>
      <c r="C6" s="725" t="s">
        <v>1708</v>
      </c>
      <c r="D6" s="1122" t="s">
        <v>1722</v>
      </c>
      <c r="E6" s="607" t="s">
        <v>1655</v>
      </c>
      <c r="F6" s="1124" t="s">
        <v>1641</v>
      </c>
      <c r="G6" s="607" t="s">
        <v>1656</v>
      </c>
      <c r="H6" s="545" t="s">
        <v>1657</v>
      </c>
      <c r="I6" s="546" t="s">
        <v>1658</v>
      </c>
      <c r="J6" s="546" t="s">
        <v>1644</v>
      </c>
      <c r="K6" s="547" t="s">
        <v>1645</v>
      </c>
      <c r="L6" s="546" t="s">
        <v>1659</v>
      </c>
      <c r="M6" s="546" t="s">
        <v>1662</v>
      </c>
      <c r="N6" s="547" t="s">
        <v>1660</v>
      </c>
      <c r="O6" s="546" t="s">
        <v>1659</v>
      </c>
      <c r="P6" s="546" t="s">
        <v>1662</v>
      </c>
      <c r="Q6" s="547" t="s">
        <v>1660</v>
      </c>
      <c r="R6" s="546" t="s">
        <v>1659</v>
      </c>
      <c r="S6" s="546" t="s">
        <v>1662</v>
      </c>
      <c r="T6" s="546" t="s">
        <v>1682</v>
      </c>
      <c r="U6" s="546" t="s">
        <v>1661</v>
      </c>
      <c r="V6" s="546" t="s">
        <v>1662</v>
      </c>
      <c r="W6" s="546" t="s">
        <v>1683</v>
      </c>
      <c r="X6" s="546" t="s">
        <v>1663</v>
      </c>
      <c r="Y6" s="546" t="s">
        <v>1649</v>
      </c>
      <c r="Z6" s="546" t="s">
        <v>1661</v>
      </c>
      <c r="AA6" s="546" t="s">
        <v>1725</v>
      </c>
      <c r="AB6" s="2097"/>
      <c r="AC6" s="1127" t="s">
        <v>1651</v>
      </c>
      <c r="AD6" s="2099"/>
      <c r="AE6" s="1118" t="s">
        <v>1678</v>
      </c>
      <c r="AF6" s="2101"/>
      <c r="AG6" s="1269" t="s">
        <v>1833</v>
      </c>
      <c r="AH6" s="2077"/>
      <c r="AI6" s="2077"/>
      <c r="AJ6" s="2077"/>
      <c r="AK6" s="2115"/>
      <c r="AL6" s="2149"/>
      <c r="AM6" s="2085"/>
      <c r="AN6" s="2172"/>
      <c r="AO6" s="2116"/>
      <c r="AP6" s="2090"/>
      <c r="AQ6" s="1135" t="s">
        <v>1671</v>
      </c>
      <c r="AR6" s="1134" t="s">
        <v>1707</v>
      </c>
      <c r="AS6" s="1136" t="s">
        <v>1702</v>
      </c>
      <c r="AT6" s="2153"/>
      <c r="AU6" s="543"/>
      <c r="AV6" s="504"/>
      <c r="AW6" s="539" t="s">
        <v>215</v>
      </c>
      <c r="AX6" s="539" t="s">
        <v>217</v>
      </c>
      <c r="AY6" s="573" t="s">
        <v>125</v>
      </c>
      <c r="AZ6" s="502" t="s">
        <v>721</v>
      </c>
      <c r="BA6" s="502" t="s">
        <v>722</v>
      </c>
      <c r="BB6" s="548" t="s">
        <v>723</v>
      </c>
      <c r="BC6" s="548" t="s">
        <v>730</v>
      </c>
      <c r="BD6" s="548" t="s">
        <v>731</v>
      </c>
      <c r="BE6" s="548" t="s">
        <v>215</v>
      </c>
      <c r="BF6" s="549" t="s">
        <v>125</v>
      </c>
      <c r="BH6" s="730" t="s">
        <v>761</v>
      </c>
      <c r="BI6" s="2157"/>
      <c r="BJ6" s="2157"/>
      <c r="BK6" s="2163"/>
      <c r="BL6" s="2173"/>
    </row>
    <row r="7" spans="1:68" s="755" customFormat="1" ht="51" customHeight="1">
      <c r="A7" s="1369">
        <v>1</v>
      </c>
      <c r="B7" s="1576" t="s">
        <v>1227</v>
      </c>
      <c r="C7" s="1854" t="s">
        <v>503</v>
      </c>
      <c r="D7" s="1841">
        <v>41316</v>
      </c>
      <c r="E7" s="1637" t="s">
        <v>260</v>
      </c>
      <c r="F7" s="1649">
        <f>13+144+17+12+8+2+4+4</f>
        <v>204</v>
      </c>
      <c r="G7" s="617">
        <f>2</f>
        <v>2</v>
      </c>
      <c r="H7" s="1001">
        <v>22</v>
      </c>
      <c r="I7" s="1408">
        <f t="shared" ref="I7:I36" si="0">F7/26*H7</f>
        <v>172.61538461538461</v>
      </c>
      <c r="J7" s="618">
        <f t="shared" ref="J7:J36" si="1">F7/26*H7</f>
        <v>172.61538461538461</v>
      </c>
      <c r="K7" s="1001">
        <v>30</v>
      </c>
      <c r="L7" s="510">
        <f t="shared" ref="L7:L35" si="2">F7/26/8*1.5</f>
        <v>1.471153846153846</v>
      </c>
      <c r="M7" s="618">
        <f t="shared" ref="M7:M36" si="3">K7*L7</f>
        <v>44.13461538461538</v>
      </c>
      <c r="N7" s="1001">
        <v>0</v>
      </c>
      <c r="O7" s="510">
        <f t="shared" ref="O7:O35" si="4">F7/26/8*2</f>
        <v>1.9615384615384615</v>
      </c>
      <c r="P7" s="503">
        <f t="shared" ref="P7:P34" si="5">N7*O7</f>
        <v>0</v>
      </c>
      <c r="Q7" s="1001">
        <v>24</v>
      </c>
      <c r="R7" s="510">
        <f t="shared" ref="R7:R35" si="6">F7/26/8*2</f>
        <v>1.9615384615384615</v>
      </c>
      <c r="S7" s="618">
        <f t="shared" ref="S7:S35" si="7">R7*Q7</f>
        <v>47.076923076923073</v>
      </c>
      <c r="T7" s="1001">
        <v>5</v>
      </c>
      <c r="U7" s="510">
        <f t="shared" ref="U7:U35" si="8">F7/26</f>
        <v>7.8461538461538458</v>
      </c>
      <c r="V7" s="618">
        <f t="shared" ref="V7:V36" si="9">U7*T7</f>
        <v>39.230769230769226</v>
      </c>
      <c r="W7" s="1001">
        <v>0</v>
      </c>
      <c r="X7" s="618">
        <f>'S6 Salary'!T8*'S6'!W7</f>
        <v>0</v>
      </c>
      <c r="Y7" s="1001">
        <v>0</v>
      </c>
      <c r="Z7" s="510">
        <f t="shared" ref="Z7:Z35" si="10">F7/26/2</f>
        <v>3.9230769230769229</v>
      </c>
      <c r="AA7" s="618">
        <f t="shared" ref="AA7:AA34" si="11">Y7*Z7</f>
        <v>0</v>
      </c>
      <c r="AB7" s="1001">
        <v>0</v>
      </c>
      <c r="AC7" s="1467">
        <f t="shared" ref="AC7:AC36" si="12">H7+T7+Y7+AB7+W7</f>
        <v>27</v>
      </c>
      <c r="AD7" s="1724">
        <v>0</v>
      </c>
      <c r="AE7" s="1121">
        <v>0</v>
      </c>
      <c r="AF7" s="1629">
        <v>0</v>
      </c>
      <c r="AG7" s="1412">
        <v>0</v>
      </c>
      <c r="AH7" s="618">
        <v>10</v>
      </c>
      <c r="AI7" s="618">
        <v>11</v>
      </c>
      <c r="AJ7" s="618">
        <v>10</v>
      </c>
      <c r="AK7" s="618">
        <v>10</v>
      </c>
      <c r="AL7" s="1148">
        <f t="shared" ref="AL7:AL36" si="13">G7+J7+M7+P7+S7+V7+AA7+AD7+AF7+AH7+AI7+AJ7+AK7+X7+AE7+AG7</f>
        <v>346.05769230769232</v>
      </c>
      <c r="AM7" s="1278">
        <v>0.5</v>
      </c>
      <c r="AN7" s="1018">
        <v>102</v>
      </c>
      <c r="AO7" s="1096">
        <f>'Tax Calulation     '!P7</f>
        <v>0</v>
      </c>
      <c r="AP7" s="1096">
        <f>'Tax Calulation     '!W7</f>
        <v>5.9084194977843429</v>
      </c>
      <c r="AQ7" s="1686">
        <f t="shared" ref="AQ7:AQ36" si="14">AL7-AO7-AN7-AP7-AM7</f>
        <v>237.64927280990798</v>
      </c>
      <c r="AR7" s="1682">
        <f>ROUND((AQ7-AS7)*4040,-2)</f>
        <v>152100</v>
      </c>
      <c r="AS7" s="1683">
        <f>CEILING(AQ7,(100))-100</f>
        <v>200</v>
      </c>
      <c r="AT7" s="502"/>
      <c r="AU7" s="504"/>
      <c r="AV7" s="505">
        <f>(J7+M7+P7+S7+V7+AA7+AH7+AI7+AJ7+AK7)*4000</f>
        <v>1376230.7692307692</v>
      </c>
      <c r="AW7" s="502">
        <f t="shared" ref="AW7:AW34" si="15">INT(AS7/100)</f>
        <v>2</v>
      </c>
      <c r="AX7" s="502">
        <f t="shared" ref="AX7:AX34" si="16">INT((AS7-AW7*100)/50)</f>
        <v>0</v>
      </c>
      <c r="AY7" s="573">
        <f>AW7*100+AX7*50</f>
        <v>200</v>
      </c>
      <c r="AZ7" s="573">
        <f t="shared" ref="AZ7:AZ34" si="17">INT((AR7/50000))</f>
        <v>3</v>
      </c>
      <c r="BA7" s="548">
        <f t="shared" ref="BA7:BA34" si="18">INT((AR7-AZ7*50000)/10000)</f>
        <v>0</v>
      </c>
      <c r="BB7" s="548">
        <f t="shared" ref="BB7:BB34" si="19">INT((AR7-AZ7*50000-BA7*10000)/5000)</f>
        <v>0</v>
      </c>
      <c r="BC7" s="548">
        <f t="shared" ref="BC7:BC34" si="20">INT((AR7-AZ7*50000-BA7*10000-BB7*5000)/1000)</f>
        <v>2</v>
      </c>
      <c r="BD7" s="548">
        <f t="shared" ref="BD7:BD34" si="21">INT((AR7-AZ7*50000-BA7*10000-BB7*5000-BC7*1000)/500)</f>
        <v>0</v>
      </c>
      <c r="BE7" s="548">
        <f t="shared" ref="BE7:BE34" si="22">INT((AR7-AZ7*50000-BA7*10000-BB7*5000-BC7*1000-BD7*500)/100)</f>
        <v>1</v>
      </c>
      <c r="BF7" s="549">
        <f>AZ7*50000+BA7*10000+BB7*5000+BC7*1000+BD7*500+BE7*100</f>
        <v>152100</v>
      </c>
      <c r="BH7" s="581" t="s">
        <v>830</v>
      </c>
      <c r="BI7" s="581" t="s">
        <v>573</v>
      </c>
      <c r="BJ7" s="1154">
        <v>27915</v>
      </c>
      <c r="BK7" s="587" t="s">
        <v>640</v>
      </c>
      <c r="BL7" s="745">
        <v>30126382</v>
      </c>
    </row>
    <row r="8" spans="1:68" s="755" customFormat="1" ht="51" customHeight="1">
      <c r="A8" s="1369">
        <v>2</v>
      </c>
      <c r="B8" s="1576" t="s">
        <v>1228</v>
      </c>
      <c r="C8" s="1854" t="s">
        <v>563</v>
      </c>
      <c r="D8" s="1841">
        <v>43974</v>
      </c>
      <c r="E8" s="1637" t="s">
        <v>260</v>
      </c>
      <c r="F8" s="617">
        <f>199+2+3</f>
        <v>204</v>
      </c>
      <c r="G8" s="617">
        <f>2</f>
        <v>2</v>
      </c>
      <c r="H8" s="1001">
        <v>13</v>
      </c>
      <c r="I8" s="1408">
        <f t="shared" si="0"/>
        <v>102</v>
      </c>
      <c r="J8" s="618">
        <f t="shared" si="1"/>
        <v>102</v>
      </c>
      <c r="K8" s="1001">
        <v>26</v>
      </c>
      <c r="L8" s="510">
        <f t="shared" si="2"/>
        <v>1.471153846153846</v>
      </c>
      <c r="M8" s="618">
        <f t="shared" si="3"/>
        <v>38.25</v>
      </c>
      <c r="N8" s="1001">
        <v>0</v>
      </c>
      <c r="O8" s="510">
        <f t="shared" si="4"/>
        <v>1.9615384615384615</v>
      </c>
      <c r="P8" s="503">
        <f t="shared" si="5"/>
        <v>0</v>
      </c>
      <c r="Q8" s="1001">
        <v>8</v>
      </c>
      <c r="R8" s="510">
        <f t="shared" si="6"/>
        <v>1.9615384615384615</v>
      </c>
      <c r="S8" s="618">
        <f t="shared" si="7"/>
        <v>15.692307692307692</v>
      </c>
      <c r="T8" s="1001">
        <v>5</v>
      </c>
      <c r="U8" s="510">
        <f t="shared" si="8"/>
        <v>7.8461538461538458</v>
      </c>
      <c r="V8" s="618">
        <f t="shared" si="9"/>
        <v>39.230769230769226</v>
      </c>
      <c r="W8" s="1001">
        <v>7</v>
      </c>
      <c r="X8" s="618">
        <f>'S6 Salary'!T9*'S6'!W8</f>
        <v>78.563969734138539</v>
      </c>
      <c r="Y8" s="1001">
        <v>0</v>
      </c>
      <c r="Z8" s="510">
        <f t="shared" si="10"/>
        <v>3.9230769230769229</v>
      </c>
      <c r="AA8" s="618">
        <f>Y8*Z8</f>
        <v>0</v>
      </c>
      <c r="AB8" s="1001">
        <v>2</v>
      </c>
      <c r="AC8" s="1467">
        <f t="shared" si="12"/>
        <v>27</v>
      </c>
      <c r="AD8" s="1724">
        <v>0</v>
      </c>
      <c r="AE8" s="1121">
        <v>0</v>
      </c>
      <c r="AF8" s="1629">
        <v>5</v>
      </c>
      <c r="AG8" s="1412">
        <v>0</v>
      </c>
      <c r="AH8" s="618">
        <v>0</v>
      </c>
      <c r="AI8" s="618">
        <v>5</v>
      </c>
      <c r="AJ8" s="618">
        <v>10</v>
      </c>
      <c r="AK8" s="618">
        <v>10</v>
      </c>
      <c r="AL8" s="1148">
        <f t="shared" si="13"/>
        <v>305.73704665721544</v>
      </c>
      <c r="AM8" s="1278">
        <v>0</v>
      </c>
      <c r="AN8" s="1018">
        <v>90</v>
      </c>
      <c r="AO8" s="1096">
        <f>'Tax Calulation     '!P8</f>
        <v>0</v>
      </c>
      <c r="AP8" s="1096">
        <f>'Tax Calulation     '!W8</f>
        <v>5.9084194977843429</v>
      </c>
      <c r="AQ8" s="1686">
        <f t="shared" si="14"/>
        <v>209.82862715943111</v>
      </c>
      <c r="AR8" s="1682">
        <f t="shared" ref="AR8:AR36" si="23">ROUND((AQ8-AS8)*4040,-2)</f>
        <v>39700</v>
      </c>
      <c r="AS8" s="1683">
        <f t="shared" ref="AS8:AS34" si="24">CEILING(AQ8,(100))-100</f>
        <v>200</v>
      </c>
      <c r="AT8" s="502"/>
      <c r="AU8" s="504"/>
      <c r="AV8" s="505"/>
      <c r="AW8" s="502">
        <f t="shared" si="15"/>
        <v>2</v>
      </c>
      <c r="AX8" s="502">
        <f t="shared" si="16"/>
        <v>0</v>
      </c>
      <c r="AY8" s="573">
        <f t="shared" ref="AY8:AY34" si="25">AW8*100+AX8*50</f>
        <v>200</v>
      </c>
      <c r="AZ8" s="573">
        <f t="shared" si="17"/>
        <v>0</v>
      </c>
      <c r="BA8" s="548">
        <f t="shared" si="18"/>
        <v>3</v>
      </c>
      <c r="BB8" s="548">
        <f t="shared" si="19"/>
        <v>1</v>
      </c>
      <c r="BC8" s="548">
        <f t="shared" si="20"/>
        <v>4</v>
      </c>
      <c r="BD8" s="548">
        <f t="shared" si="21"/>
        <v>1</v>
      </c>
      <c r="BE8" s="548">
        <f t="shared" si="22"/>
        <v>2</v>
      </c>
      <c r="BF8" s="549">
        <f t="shared" ref="BF8:BF34" si="26">AZ8*50000+BA8*10000+BB8*5000+BC8*1000+BD8*500+BE8*100</f>
        <v>39700</v>
      </c>
      <c r="BH8" s="581" t="s">
        <v>831</v>
      </c>
      <c r="BI8" s="581" t="s">
        <v>574</v>
      </c>
      <c r="BJ8" s="1154">
        <v>32665</v>
      </c>
      <c r="BK8" s="559" t="s">
        <v>641</v>
      </c>
      <c r="BL8" s="745">
        <v>150658033</v>
      </c>
    </row>
    <row r="9" spans="1:68" s="755" customFormat="1" ht="51" customHeight="1">
      <c r="A9" s="1369">
        <v>3</v>
      </c>
      <c r="B9" s="1576" t="s">
        <v>2094</v>
      </c>
      <c r="C9" s="1854" t="s">
        <v>2095</v>
      </c>
      <c r="D9" s="1326">
        <v>44354</v>
      </c>
      <c r="E9" s="1637" t="s">
        <v>260</v>
      </c>
      <c r="F9" s="617">
        <f>201+3</f>
        <v>204</v>
      </c>
      <c r="G9" s="617">
        <f>2</f>
        <v>2</v>
      </c>
      <c r="H9" s="1001">
        <v>22</v>
      </c>
      <c r="I9" s="1408">
        <f t="shared" si="0"/>
        <v>172.61538461538461</v>
      </c>
      <c r="J9" s="618">
        <f t="shared" si="1"/>
        <v>172.61538461538461</v>
      </c>
      <c r="K9" s="1001">
        <v>61</v>
      </c>
      <c r="L9" s="510">
        <f t="shared" ref="L9" si="27">F9/26/8*1.5</f>
        <v>1.471153846153846</v>
      </c>
      <c r="M9" s="618">
        <f t="shared" si="3"/>
        <v>89.740384615384613</v>
      </c>
      <c r="N9" s="1001">
        <v>0</v>
      </c>
      <c r="O9" s="510">
        <f t="shared" ref="O9" si="28">F9/26/8*2</f>
        <v>1.9615384615384615</v>
      </c>
      <c r="P9" s="503">
        <f t="shared" ref="P9" si="29">N9*O9</f>
        <v>0</v>
      </c>
      <c r="Q9" s="1001">
        <v>16</v>
      </c>
      <c r="R9" s="510">
        <f t="shared" ref="R9" si="30">F9/26/8*2</f>
        <v>1.9615384615384615</v>
      </c>
      <c r="S9" s="618">
        <f t="shared" ref="S9" si="31">R9*Q9</f>
        <v>31.384615384615383</v>
      </c>
      <c r="T9" s="1001">
        <v>5</v>
      </c>
      <c r="U9" s="510">
        <f t="shared" ref="U9" si="32">F9/26</f>
        <v>7.8461538461538458</v>
      </c>
      <c r="V9" s="618">
        <f t="shared" si="9"/>
        <v>39.230769230769226</v>
      </c>
      <c r="W9" s="1001">
        <v>0</v>
      </c>
      <c r="X9" s="618">
        <f>'S6 Salary'!T10*'S6'!W9</f>
        <v>0</v>
      </c>
      <c r="Y9" s="1001">
        <v>0</v>
      </c>
      <c r="Z9" s="510">
        <f t="shared" ref="Z9" si="33">F9/26/2</f>
        <v>3.9230769230769229</v>
      </c>
      <c r="AA9" s="618">
        <f t="shared" ref="AA9" si="34">Y9*Z9</f>
        <v>0</v>
      </c>
      <c r="AB9" s="1001">
        <v>0</v>
      </c>
      <c r="AC9" s="1467">
        <f t="shared" si="12"/>
        <v>27</v>
      </c>
      <c r="AD9" s="1724">
        <v>0</v>
      </c>
      <c r="AE9" s="1121">
        <v>0</v>
      </c>
      <c r="AF9" s="1629">
        <f>4+1</f>
        <v>5</v>
      </c>
      <c r="AG9" s="1412">
        <v>0</v>
      </c>
      <c r="AH9" s="618">
        <v>10</v>
      </c>
      <c r="AI9" s="618">
        <v>4</v>
      </c>
      <c r="AJ9" s="618">
        <v>10</v>
      </c>
      <c r="AK9" s="618">
        <v>10</v>
      </c>
      <c r="AL9" s="1148">
        <f t="shared" si="13"/>
        <v>373.97115384615381</v>
      </c>
      <c r="AM9" s="1278">
        <v>0</v>
      </c>
      <c r="AN9" s="1018">
        <v>102</v>
      </c>
      <c r="AO9" s="1096">
        <f>'Tax Calulation     '!P9</f>
        <v>0</v>
      </c>
      <c r="AP9" s="1096">
        <f>'Tax Calulation     '!W9</f>
        <v>5.9084194977843429</v>
      </c>
      <c r="AQ9" s="1686">
        <f t="shared" si="14"/>
        <v>266.06273434836947</v>
      </c>
      <c r="AR9" s="1682">
        <f t="shared" si="23"/>
        <v>266900</v>
      </c>
      <c r="AS9" s="1683">
        <f t="shared" ref="AS9" si="35">CEILING(AQ9,(100))-100</f>
        <v>200</v>
      </c>
      <c r="AT9" s="502"/>
      <c r="AU9" s="504"/>
      <c r="AV9" s="505"/>
      <c r="AW9" s="502">
        <f t="shared" ref="AW9" si="36">INT(AS9/100)</f>
        <v>2</v>
      </c>
      <c r="AX9" s="502">
        <f t="shared" ref="AX9" si="37">INT((AS9-AW9*100)/50)</f>
        <v>0</v>
      </c>
      <c r="AY9" s="1113">
        <f t="shared" ref="AY9" si="38">AW9*100+AX9*50</f>
        <v>200</v>
      </c>
      <c r="AZ9" s="1113">
        <f t="shared" ref="AZ9" si="39">INT((AR9/50000))</f>
        <v>5</v>
      </c>
      <c r="BA9" s="548">
        <f t="shared" ref="BA9" si="40">INT((AR9-AZ9*50000)/10000)</f>
        <v>1</v>
      </c>
      <c r="BB9" s="548">
        <f t="shared" ref="BB9" si="41">INT((AR9-AZ9*50000-BA9*10000)/5000)</f>
        <v>1</v>
      </c>
      <c r="BC9" s="548">
        <f t="shared" ref="BC9" si="42">INT((AR9-AZ9*50000-BA9*10000-BB9*5000)/1000)</f>
        <v>1</v>
      </c>
      <c r="BD9" s="548">
        <f t="shared" ref="BD9" si="43">INT((AR9-AZ9*50000-BA9*10000-BB9*5000-BC9*1000)/500)</f>
        <v>1</v>
      </c>
      <c r="BE9" s="548">
        <f t="shared" ref="BE9" si="44">INT((AR9-AZ9*50000-BA9*10000-BB9*5000-BC9*1000-BD9*500)/100)</f>
        <v>4</v>
      </c>
      <c r="BF9" s="549">
        <f t="shared" ref="BF9" si="45">AZ9*50000+BA9*10000+BB9*5000+BC9*1000+BD9*500+BE9*100</f>
        <v>266900</v>
      </c>
      <c r="BH9" s="581" t="s">
        <v>2096</v>
      </c>
      <c r="BI9" s="578" t="s">
        <v>2097</v>
      </c>
      <c r="BJ9" s="1154">
        <v>33569</v>
      </c>
      <c r="BK9" s="572" t="s">
        <v>2098</v>
      </c>
      <c r="BL9" s="745">
        <v>250259243</v>
      </c>
    </row>
    <row r="10" spans="1:68" s="755" customFormat="1" ht="51" customHeight="1">
      <c r="A10" s="1369">
        <v>4</v>
      </c>
      <c r="B10" s="1576" t="s">
        <v>1230</v>
      </c>
      <c r="C10" s="1854" t="s">
        <v>937</v>
      </c>
      <c r="D10" s="1841">
        <v>44480</v>
      </c>
      <c r="E10" s="1637" t="s">
        <v>260</v>
      </c>
      <c r="F10" s="617">
        <f>201+3</f>
        <v>204</v>
      </c>
      <c r="G10" s="617">
        <f>2</f>
        <v>2</v>
      </c>
      <c r="H10" s="1001">
        <v>22</v>
      </c>
      <c r="I10" s="1408">
        <f t="shared" si="0"/>
        <v>172.61538461538461</v>
      </c>
      <c r="J10" s="618">
        <f t="shared" si="1"/>
        <v>172.61538461538461</v>
      </c>
      <c r="K10" s="1001">
        <v>68</v>
      </c>
      <c r="L10" s="510">
        <f t="shared" si="2"/>
        <v>1.471153846153846</v>
      </c>
      <c r="M10" s="618">
        <f t="shared" si="3"/>
        <v>100.03846153846153</v>
      </c>
      <c r="N10" s="1001">
        <v>0</v>
      </c>
      <c r="O10" s="510">
        <f t="shared" si="4"/>
        <v>1.9615384615384615</v>
      </c>
      <c r="P10" s="503">
        <f t="shared" si="5"/>
        <v>0</v>
      </c>
      <c r="Q10" s="1001">
        <v>24</v>
      </c>
      <c r="R10" s="510">
        <f t="shared" si="6"/>
        <v>1.9615384615384615</v>
      </c>
      <c r="S10" s="618">
        <f t="shared" si="7"/>
        <v>47.076923076923073</v>
      </c>
      <c r="T10" s="1001">
        <v>5</v>
      </c>
      <c r="U10" s="510">
        <f t="shared" si="8"/>
        <v>7.8461538461538458</v>
      </c>
      <c r="V10" s="618">
        <f t="shared" si="9"/>
        <v>39.230769230769226</v>
      </c>
      <c r="W10" s="1001">
        <v>0</v>
      </c>
      <c r="X10" s="618">
        <f>'S6 Salary'!T11*'S6'!W10</f>
        <v>0</v>
      </c>
      <c r="Y10" s="1001">
        <v>0</v>
      </c>
      <c r="Z10" s="510">
        <f t="shared" si="10"/>
        <v>3.9230769230769229</v>
      </c>
      <c r="AA10" s="618">
        <f t="shared" si="11"/>
        <v>0</v>
      </c>
      <c r="AB10" s="1001">
        <v>0</v>
      </c>
      <c r="AC10" s="1467">
        <f t="shared" si="12"/>
        <v>27</v>
      </c>
      <c r="AD10" s="1724">
        <v>0</v>
      </c>
      <c r="AE10" s="1121">
        <v>0</v>
      </c>
      <c r="AF10" s="1629">
        <f>4+1</f>
        <v>5</v>
      </c>
      <c r="AG10" s="1412">
        <v>0</v>
      </c>
      <c r="AH10" s="618">
        <v>10</v>
      </c>
      <c r="AI10" s="618">
        <v>4</v>
      </c>
      <c r="AJ10" s="618">
        <v>10</v>
      </c>
      <c r="AK10" s="618">
        <v>10</v>
      </c>
      <c r="AL10" s="1148">
        <f t="shared" si="13"/>
        <v>399.96153846153845</v>
      </c>
      <c r="AM10" s="1278">
        <v>0</v>
      </c>
      <c r="AN10" s="1018">
        <v>102</v>
      </c>
      <c r="AO10" s="1096">
        <f>'Tax Calulation     '!P10</f>
        <v>0</v>
      </c>
      <c r="AP10" s="1096">
        <f>'Tax Calulation     '!W10</f>
        <v>5.9084194977843429</v>
      </c>
      <c r="AQ10" s="1686">
        <f t="shared" si="14"/>
        <v>292.05311896375412</v>
      </c>
      <c r="AR10" s="1682">
        <f t="shared" si="23"/>
        <v>371900</v>
      </c>
      <c r="AS10" s="1683">
        <f t="shared" ref="AS10" si="46">CEILING(AQ10,(100))-100</f>
        <v>200</v>
      </c>
      <c r="AT10" s="502"/>
      <c r="AU10" s="504"/>
      <c r="AV10" s="505"/>
      <c r="AW10" s="502">
        <f t="shared" si="15"/>
        <v>2</v>
      </c>
      <c r="AX10" s="502">
        <f t="shared" si="16"/>
        <v>0</v>
      </c>
      <c r="AY10" s="573">
        <f t="shared" ref="AY10" si="47">AW10*100+AX10*50</f>
        <v>200</v>
      </c>
      <c r="AZ10" s="573">
        <f t="shared" si="17"/>
        <v>7</v>
      </c>
      <c r="BA10" s="548">
        <f t="shared" si="18"/>
        <v>2</v>
      </c>
      <c r="BB10" s="548">
        <f t="shared" si="19"/>
        <v>0</v>
      </c>
      <c r="BC10" s="548">
        <f t="shared" si="20"/>
        <v>1</v>
      </c>
      <c r="BD10" s="548">
        <f t="shared" si="21"/>
        <v>1</v>
      </c>
      <c r="BE10" s="548">
        <f t="shared" si="22"/>
        <v>4</v>
      </c>
      <c r="BF10" s="549">
        <f t="shared" ref="BF10" si="48">AZ10*50000+BA10*10000+BB10*5000+BC10*1000+BD10*500+BE10*100</f>
        <v>371900</v>
      </c>
      <c r="BH10" s="581" t="s">
        <v>944</v>
      </c>
      <c r="BI10" s="578" t="s">
        <v>573</v>
      </c>
      <c r="BJ10" s="1154">
        <v>31298</v>
      </c>
      <c r="BK10" s="572" t="s">
        <v>945</v>
      </c>
      <c r="BL10" s="745" t="s">
        <v>946</v>
      </c>
    </row>
    <row r="11" spans="1:68" s="755" customFormat="1" ht="51" customHeight="1">
      <c r="A11" s="1369">
        <v>5</v>
      </c>
      <c r="B11" s="1576" t="s">
        <v>1954</v>
      </c>
      <c r="C11" s="1854" t="s">
        <v>1955</v>
      </c>
      <c r="D11" s="1841">
        <v>44501</v>
      </c>
      <c r="E11" s="1637" t="s">
        <v>260</v>
      </c>
      <c r="F11" s="617">
        <f>206</f>
        <v>206</v>
      </c>
      <c r="G11" s="617">
        <f>2</f>
        <v>2</v>
      </c>
      <c r="H11" s="1001">
        <v>22</v>
      </c>
      <c r="I11" s="1408">
        <f t="shared" si="0"/>
        <v>174.30769230769232</v>
      </c>
      <c r="J11" s="618">
        <f t="shared" si="1"/>
        <v>174.30769230769232</v>
      </c>
      <c r="K11" s="1001">
        <v>46</v>
      </c>
      <c r="L11" s="510">
        <f t="shared" si="2"/>
        <v>1.4855769230769231</v>
      </c>
      <c r="M11" s="618">
        <f t="shared" si="3"/>
        <v>68.336538461538467</v>
      </c>
      <c r="N11" s="1001">
        <v>0</v>
      </c>
      <c r="O11" s="510">
        <f t="shared" si="4"/>
        <v>1.9807692307692308</v>
      </c>
      <c r="P11" s="503">
        <f t="shared" ref="P11" si="49">N11*O11</f>
        <v>0</v>
      </c>
      <c r="Q11" s="1001">
        <v>16</v>
      </c>
      <c r="R11" s="510">
        <f t="shared" si="6"/>
        <v>1.9807692307692308</v>
      </c>
      <c r="S11" s="618">
        <f t="shared" si="7"/>
        <v>31.692307692307693</v>
      </c>
      <c r="T11" s="1001">
        <v>5</v>
      </c>
      <c r="U11" s="510">
        <f t="shared" si="8"/>
        <v>7.9230769230769234</v>
      </c>
      <c r="V11" s="618">
        <f t="shared" si="9"/>
        <v>39.615384615384613</v>
      </c>
      <c r="W11" s="1001">
        <v>0</v>
      </c>
      <c r="X11" s="618">
        <f>'S6 Salary'!T12*'S6'!W11</f>
        <v>0</v>
      </c>
      <c r="Y11" s="1001">
        <v>0</v>
      </c>
      <c r="Z11" s="510">
        <f t="shared" si="10"/>
        <v>3.9615384615384617</v>
      </c>
      <c r="AA11" s="618">
        <f t="shared" ref="AA11" si="50">Y11*Z11</f>
        <v>0</v>
      </c>
      <c r="AB11" s="1001">
        <v>0</v>
      </c>
      <c r="AC11" s="1467">
        <f t="shared" si="12"/>
        <v>27</v>
      </c>
      <c r="AD11" s="1724">
        <v>0</v>
      </c>
      <c r="AE11" s="1121">
        <v>0</v>
      </c>
      <c r="AF11" s="1629">
        <f>4+4</f>
        <v>8</v>
      </c>
      <c r="AG11" s="1412">
        <v>0</v>
      </c>
      <c r="AH11" s="618">
        <v>10</v>
      </c>
      <c r="AI11" s="618">
        <v>3</v>
      </c>
      <c r="AJ11" s="618">
        <v>10</v>
      </c>
      <c r="AK11" s="618">
        <v>10</v>
      </c>
      <c r="AL11" s="1148">
        <f t="shared" si="13"/>
        <v>356.95192307692309</v>
      </c>
      <c r="AM11" s="1281">
        <v>0.5</v>
      </c>
      <c r="AN11" s="1018">
        <v>102</v>
      </c>
      <c r="AO11" s="1096">
        <f>'Tax Calulation     '!P11</f>
        <v>0</v>
      </c>
      <c r="AP11" s="1096">
        <f>'Tax Calulation     '!W11</f>
        <v>5.9084194977843429</v>
      </c>
      <c r="AQ11" s="1686">
        <f t="shared" si="14"/>
        <v>248.54350357913876</v>
      </c>
      <c r="AR11" s="1682">
        <f t="shared" si="23"/>
        <v>196100</v>
      </c>
      <c r="AS11" s="1683">
        <f t="shared" ref="AS11" si="51">CEILING(AQ11,(100))-100</f>
        <v>200</v>
      </c>
      <c r="AT11" s="502"/>
      <c r="AU11" s="504"/>
      <c r="AV11" s="505"/>
      <c r="AW11" s="502">
        <f t="shared" ref="AW11" si="52">INT(AS11/100)</f>
        <v>2</v>
      </c>
      <c r="AX11" s="502">
        <f t="shared" ref="AX11" si="53">INT((AS11-AW11*100)/50)</f>
        <v>0</v>
      </c>
      <c r="AY11" s="1113">
        <f t="shared" ref="AY11" si="54">AW11*100+AX11*50</f>
        <v>200</v>
      </c>
      <c r="AZ11" s="1113">
        <f t="shared" ref="AZ11" si="55">INT((AR11/50000))</f>
        <v>3</v>
      </c>
      <c r="BA11" s="548">
        <f t="shared" ref="BA11" si="56">INT((AR11-AZ11*50000)/10000)</f>
        <v>4</v>
      </c>
      <c r="BB11" s="548">
        <f t="shared" ref="BB11" si="57">INT((AR11-AZ11*50000-BA11*10000)/5000)</f>
        <v>1</v>
      </c>
      <c r="BC11" s="548">
        <f t="shared" ref="BC11" si="58">INT((AR11-AZ11*50000-BA11*10000-BB11*5000)/1000)</f>
        <v>1</v>
      </c>
      <c r="BD11" s="548">
        <f t="shared" ref="BD11" si="59">INT((AR11-AZ11*50000-BA11*10000-BB11*5000-BC11*1000)/500)</f>
        <v>0</v>
      </c>
      <c r="BE11" s="548">
        <f t="shared" ref="BE11" si="60">INT((AR11-AZ11*50000-BA11*10000-BB11*5000-BC11*1000-BD11*500)/100)</f>
        <v>1</v>
      </c>
      <c r="BF11" s="549">
        <f t="shared" ref="BF11" si="61">AZ11*50000+BA11*10000+BB11*5000+BC11*1000+BD11*500+BE11*100</f>
        <v>196100</v>
      </c>
      <c r="BH11" s="581" t="s">
        <v>1956</v>
      </c>
      <c r="BI11" s="578" t="s">
        <v>1957</v>
      </c>
      <c r="BJ11" s="1154">
        <v>30632</v>
      </c>
      <c r="BK11" s="572" t="s">
        <v>1958</v>
      </c>
      <c r="BL11" s="745" t="s">
        <v>1959</v>
      </c>
    </row>
    <row r="12" spans="1:68" s="768" customFormat="1" ht="51" customHeight="1">
      <c r="A12" s="1369">
        <v>6</v>
      </c>
      <c r="B12" s="1576" t="s">
        <v>2122</v>
      </c>
      <c r="C12" s="1854" t="s">
        <v>2123</v>
      </c>
      <c r="D12" s="1326">
        <v>44526</v>
      </c>
      <c r="E12" s="557" t="s">
        <v>260</v>
      </c>
      <c r="F12" s="617">
        <f>201+3</f>
        <v>204</v>
      </c>
      <c r="G12" s="617">
        <v>2</v>
      </c>
      <c r="H12" s="1001">
        <v>22</v>
      </c>
      <c r="I12" s="1408">
        <f t="shared" si="0"/>
        <v>172.61538461538461</v>
      </c>
      <c r="J12" s="618">
        <f t="shared" si="1"/>
        <v>172.61538461538461</v>
      </c>
      <c r="K12" s="1001">
        <v>68</v>
      </c>
      <c r="L12" s="510">
        <f t="shared" ref="L12" si="62">F12/26/8*1.5</f>
        <v>1.471153846153846</v>
      </c>
      <c r="M12" s="618">
        <f t="shared" si="3"/>
        <v>100.03846153846153</v>
      </c>
      <c r="N12" s="1001">
        <v>0</v>
      </c>
      <c r="O12" s="510">
        <f t="shared" ref="O12" si="63">F12/26/8*2</f>
        <v>1.9615384615384615</v>
      </c>
      <c r="P12" s="760">
        <f t="shared" ref="P12" si="64">N12*O12</f>
        <v>0</v>
      </c>
      <c r="Q12" s="1001">
        <v>16</v>
      </c>
      <c r="R12" s="510">
        <f t="shared" ref="R12" si="65">F12/26/8*2</f>
        <v>1.9615384615384615</v>
      </c>
      <c r="S12" s="618">
        <f t="shared" ref="S12" si="66">R12*Q12</f>
        <v>31.384615384615383</v>
      </c>
      <c r="T12" s="1001">
        <v>5</v>
      </c>
      <c r="U12" s="510">
        <f t="shared" ref="U12" si="67">F12/26</f>
        <v>7.8461538461538458</v>
      </c>
      <c r="V12" s="618">
        <f t="shared" si="9"/>
        <v>39.230769230769226</v>
      </c>
      <c r="W12" s="1001">
        <v>0</v>
      </c>
      <c r="X12" s="618">
        <f>'S6 Salary'!T13*'S6'!W12</f>
        <v>0</v>
      </c>
      <c r="Y12" s="1001">
        <v>0</v>
      </c>
      <c r="Z12" s="510">
        <f t="shared" ref="Z12" si="68">F12/26/2</f>
        <v>3.9230769230769229</v>
      </c>
      <c r="AA12" s="788">
        <f t="shared" ref="AA12" si="69">Y12*Z12</f>
        <v>0</v>
      </c>
      <c r="AB12" s="1001">
        <v>0</v>
      </c>
      <c r="AC12" s="1467">
        <f t="shared" si="12"/>
        <v>27</v>
      </c>
      <c r="AD12" s="1724">
        <v>0</v>
      </c>
      <c r="AE12" s="1121">
        <v>0</v>
      </c>
      <c r="AF12" s="1630">
        <f>4+1</f>
        <v>5</v>
      </c>
      <c r="AG12" s="1413">
        <v>0</v>
      </c>
      <c r="AH12" s="618">
        <v>10</v>
      </c>
      <c r="AI12" s="788">
        <v>3</v>
      </c>
      <c r="AJ12" s="618">
        <v>10</v>
      </c>
      <c r="AK12" s="618">
        <v>10</v>
      </c>
      <c r="AL12" s="1148">
        <f t="shared" si="13"/>
        <v>383.26923076923072</v>
      </c>
      <c r="AM12" s="1280">
        <v>0</v>
      </c>
      <c r="AN12" s="1018">
        <v>102</v>
      </c>
      <c r="AO12" s="1096">
        <f>'Tax Calulation     '!P12</f>
        <v>0</v>
      </c>
      <c r="AP12" s="1096">
        <f>'Tax Calulation     '!W12</f>
        <v>5.9084194977843429</v>
      </c>
      <c r="AQ12" s="1686">
        <f t="shared" si="14"/>
        <v>275.36081127144638</v>
      </c>
      <c r="AR12" s="1682">
        <f t="shared" si="23"/>
        <v>304500</v>
      </c>
      <c r="AS12" s="1684">
        <f t="shared" ref="AS12" si="70">CEILING(AQ12,(100))-100</f>
        <v>200</v>
      </c>
      <c r="AT12" s="612"/>
      <c r="AU12" s="763"/>
      <c r="AV12" s="764"/>
      <c r="AW12" s="502">
        <f t="shared" si="15"/>
        <v>2</v>
      </c>
      <c r="AX12" s="502">
        <f t="shared" si="16"/>
        <v>0</v>
      </c>
      <c r="AY12" s="1113">
        <f t="shared" ref="AY12" si="71">AW12*100+AX12*50</f>
        <v>200</v>
      </c>
      <c r="AZ12" s="1113">
        <f t="shared" si="17"/>
        <v>6</v>
      </c>
      <c r="BA12" s="548">
        <f t="shared" si="18"/>
        <v>0</v>
      </c>
      <c r="BB12" s="548">
        <f t="shared" si="19"/>
        <v>0</v>
      </c>
      <c r="BC12" s="548">
        <f t="shared" si="20"/>
        <v>4</v>
      </c>
      <c r="BD12" s="548">
        <f t="shared" si="21"/>
        <v>1</v>
      </c>
      <c r="BE12" s="548">
        <f t="shared" si="22"/>
        <v>0</v>
      </c>
      <c r="BF12" s="549">
        <f t="shared" ref="BF12" si="72">AZ12*50000+BA12*10000+BB12*5000+BC12*1000+BD12*500+BE12*100</f>
        <v>304500</v>
      </c>
      <c r="BH12" s="581" t="s">
        <v>2124</v>
      </c>
      <c r="BI12" s="578" t="s">
        <v>2125</v>
      </c>
      <c r="BJ12" s="1154">
        <v>35531</v>
      </c>
      <c r="BK12" s="572" t="s">
        <v>2126</v>
      </c>
      <c r="BL12" s="745" t="s">
        <v>2127</v>
      </c>
    </row>
    <row r="13" spans="1:68" s="755" customFormat="1" ht="51" customHeight="1">
      <c r="A13" s="1369">
        <v>7</v>
      </c>
      <c r="B13" s="1595" t="s">
        <v>1891</v>
      </c>
      <c r="C13" s="1855" t="s">
        <v>1892</v>
      </c>
      <c r="D13" s="1851">
        <v>44537</v>
      </c>
      <c r="E13" s="1151" t="s">
        <v>260</v>
      </c>
      <c r="F13" s="758">
        <f>206</f>
        <v>206</v>
      </c>
      <c r="G13" s="758">
        <v>2</v>
      </c>
      <c r="H13" s="1001">
        <v>22</v>
      </c>
      <c r="I13" s="1408">
        <f t="shared" si="0"/>
        <v>174.30769230769232</v>
      </c>
      <c r="J13" s="618">
        <f t="shared" si="1"/>
        <v>174.30769230769232</v>
      </c>
      <c r="K13" s="1001">
        <v>58</v>
      </c>
      <c r="L13" s="510">
        <f t="shared" si="2"/>
        <v>1.4855769230769231</v>
      </c>
      <c r="M13" s="618">
        <f t="shared" si="3"/>
        <v>86.163461538461547</v>
      </c>
      <c r="N13" s="1001">
        <v>0</v>
      </c>
      <c r="O13" s="510">
        <f t="shared" si="4"/>
        <v>1.9807692307692308</v>
      </c>
      <c r="P13" s="503">
        <f t="shared" ref="P13" si="73">N13*O13</f>
        <v>0</v>
      </c>
      <c r="Q13" s="1001">
        <v>16</v>
      </c>
      <c r="R13" s="510">
        <f t="shared" si="6"/>
        <v>1.9807692307692308</v>
      </c>
      <c r="S13" s="618">
        <f t="shared" si="7"/>
        <v>31.692307692307693</v>
      </c>
      <c r="T13" s="1001">
        <v>5</v>
      </c>
      <c r="U13" s="510">
        <f t="shared" si="8"/>
        <v>7.9230769230769234</v>
      </c>
      <c r="V13" s="618">
        <f t="shared" si="9"/>
        <v>39.615384615384613</v>
      </c>
      <c r="W13" s="1001">
        <v>0</v>
      </c>
      <c r="X13" s="618">
        <f>'S6 Salary'!T14*'S6'!W13</f>
        <v>0</v>
      </c>
      <c r="Y13" s="1001">
        <v>0</v>
      </c>
      <c r="Z13" s="510">
        <f t="shared" si="10"/>
        <v>3.9615384615384617</v>
      </c>
      <c r="AA13" s="618">
        <f t="shared" ref="AA13" si="74">Y13*Z13</f>
        <v>0</v>
      </c>
      <c r="AB13" s="1001">
        <v>0</v>
      </c>
      <c r="AC13" s="1467">
        <f t="shared" si="12"/>
        <v>27</v>
      </c>
      <c r="AD13" s="1724">
        <v>0</v>
      </c>
      <c r="AE13" s="1121">
        <v>0</v>
      </c>
      <c r="AF13" s="1629">
        <f>4+4</f>
        <v>8</v>
      </c>
      <c r="AG13" s="1412">
        <v>5</v>
      </c>
      <c r="AH13" s="618">
        <v>10</v>
      </c>
      <c r="AI13" s="618">
        <v>3</v>
      </c>
      <c r="AJ13" s="618">
        <v>10</v>
      </c>
      <c r="AK13" s="618">
        <v>10</v>
      </c>
      <c r="AL13" s="1148">
        <f t="shared" si="13"/>
        <v>379.77884615384619</v>
      </c>
      <c r="AM13" s="1278">
        <v>0</v>
      </c>
      <c r="AN13" s="1018">
        <v>102</v>
      </c>
      <c r="AO13" s="1096">
        <f>'Tax Calulation     '!P13</f>
        <v>0</v>
      </c>
      <c r="AP13" s="1096">
        <f>'Tax Calulation     '!W13</f>
        <v>5.9084194977843429</v>
      </c>
      <c r="AQ13" s="1686">
        <f t="shared" si="14"/>
        <v>271.87042665606185</v>
      </c>
      <c r="AR13" s="1682">
        <f t="shared" si="23"/>
        <v>290400</v>
      </c>
      <c r="AS13" s="1683">
        <f t="shared" ref="AS13" si="75">CEILING(AQ13,(100))-100</f>
        <v>200</v>
      </c>
      <c r="AT13" s="502"/>
      <c r="AU13" s="504"/>
      <c r="AV13" s="505"/>
      <c r="AW13" s="502">
        <f t="shared" ref="AW13" si="76">INT(AS13/100)</f>
        <v>2</v>
      </c>
      <c r="AX13" s="502">
        <f t="shared" ref="AX13" si="77">INT((AS13-AW13*100)/50)</f>
        <v>0</v>
      </c>
      <c r="AY13" s="1113">
        <f t="shared" ref="AY13" si="78">AW13*100+AX13*50</f>
        <v>200</v>
      </c>
      <c r="AZ13" s="1113">
        <f t="shared" ref="AZ13" si="79">INT((AR13/50000))</f>
        <v>5</v>
      </c>
      <c r="BA13" s="548">
        <f t="shared" ref="BA13" si="80">INT((AR13-AZ13*50000)/10000)</f>
        <v>4</v>
      </c>
      <c r="BB13" s="548">
        <f t="shared" ref="BB13" si="81">INT((AR13-AZ13*50000-BA13*10000)/5000)</f>
        <v>0</v>
      </c>
      <c r="BC13" s="548">
        <f t="shared" ref="BC13" si="82">INT((AR13-AZ13*50000-BA13*10000-BB13*5000)/1000)</f>
        <v>0</v>
      </c>
      <c r="BD13" s="548">
        <f t="shared" ref="BD13" si="83">INT((AR13-AZ13*50000-BA13*10000-BB13*5000-BC13*1000)/500)</f>
        <v>0</v>
      </c>
      <c r="BE13" s="548">
        <f t="shared" ref="BE13" si="84">INT((AR13-AZ13*50000-BA13*10000-BB13*5000-BC13*1000-BD13*500)/100)</f>
        <v>4</v>
      </c>
      <c r="BF13" s="549">
        <f t="shared" ref="BF13" si="85">AZ13*50000+BA13*10000+BB13*5000+BC13*1000+BD13*500+BE13*100</f>
        <v>290400</v>
      </c>
      <c r="BH13" s="625" t="s">
        <v>1904</v>
      </c>
      <c r="BI13" s="628" t="s">
        <v>572</v>
      </c>
      <c r="BJ13" s="1155">
        <v>35111</v>
      </c>
      <c r="BK13" s="785" t="s">
        <v>1905</v>
      </c>
      <c r="BL13" s="757" t="s">
        <v>1906</v>
      </c>
    </row>
    <row r="14" spans="1:68" s="768" customFormat="1" ht="51" customHeight="1">
      <c r="A14" s="1369">
        <v>8</v>
      </c>
      <c r="B14" s="1595" t="s">
        <v>1231</v>
      </c>
      <c r="C14" s="1855" t="s">
        <v>1002</v>
      </c>
      <c r="D14" s="1851">
        <v>44537</v>
      </c>
      <c r="E14" s="1151" t="s">
        <v>260</v>
      </c>
      <c r="F14" s="758">
        <f>201+3</f>
        <v>204</v>
      </c>
      <c r="G14" s="758">
        <v>2</v>
      </c>
      <c r="H14" s="1001">
        <v>22</v>
      </c>
      <c r="I14" s="1408">
        <f t="shared" si="0"/>
        <v>172.61538461538461</v>
      </c>
      <c r="J14" s="618">
        <f t="shared" si="1"/>
        <v>172.61538461538461</v>
      </c>
      <c r="K14" s="1001">
        <v>67</v>
      </c>
      <c r="L14" s="510">
        <f t="shared" si="2"/>
        <v>1.471153846153846</v>
      </c>
      <c r="M14" s="618">
        <f t="shared" si="3"/>
        <v>98.567307692307679</v>
      </c>
      <c r="N14" s="1001">
        <v>0</v>
      </c>
      <c r="O14" s="510">
        <f t="shared" si="4"/>
        <v>1.9615384615384615</v>
      </c>
      <c r="P14" s="503">
        <f t="shared" si="5"/>
        <v>0</v>
      </c>
      <c r="Q14" s="1001">
        <v>16</v>
      </c>
      <c r="R14" s="510">
        <f t="shared" si="6"/>
        <v>1.9615384615384615</v>
      </c>
      <c r="S14" s="618">
        <f t="shared" si="7"/>
        <v>31.384615384615383</v>
      </c>
      <c r="T14" s="1001">
        <v>5</v>
      </c>
      <c r="U14" s="510">
        <f t="shared" si="8"/>
        <v>7.8461538461538458</v>
      </c>
      <c r="V14" s="618">
        <f t="shared" si="9"/>
        <v>39.230769230769226</v>
      </c>
      <c r="W14" s="1001">
        <v>0</v>
      </c>
      <c r="X14" s="618">
        <f>'S6 Salary'!T15*'S6'!W14</f>
        <v>0</v>
      </c>
      <c r="Y14" s="1001">
        <v>0</v>
      </c>
      <c r="Z14" s="510">
        <f t="shared" si="10"/>
        <v>3.9230769230769229</v>
      </c>
      <c r="AA14" s="618">
        <f t="shared" si="11"/>
        <v>0</v>
      </c>
      <c r="AB14" s="1001">
        <v>0</v>
      </c>
      <c r="AC14" s="1467">
        <f t="shared" si="12"/>
        <v>27</v>
      </c>
      <c r="AD14" s="1724">
        <v>0</v>
      </c>
      <c r="AE14" s="1121">
        <v>0</v>
      </c>
      <c r="AF14" s="1629">
        <v>9</v>
      </c>
      <c r="AG14" s="1591">
        <v>0</v>
      </c>
      <c r="AH14" s="618">
        <v>10</v>
      </c>
      <c r="AI14" s="788">
        <v>3</v>
      </c>
      <c r="AJ14" s="618">
        <v>10</v>
      </c>
      <c r="AK14" s="618">
        <v>10</v>
      </c>
      <c r="AL14" s="1148">
        <f t="shared" si="13"/>
        <v>385.79807692307685</v>
      </c>
      <c r="AM14" s="1280">
        <v>0</v>
      </c>
      <c r="AN14" s="1018">
        <v>102</v>
      </c>
      <c r="AO14" s="1096">
        <f>'Tax Calulation     '!P14</f>
        <v>0</v>
      </c>
      <c r="AP14" s="1096">
        <f>'Tax Calulation     '!W14</f>
        <v>5.9084194977843429</v>
      </c>
      <c r="AQ14" s="1686">
        <f t="shared" si="14"/>
        <v>277.88965742529251</v>
      </c>
      <c r="AR14" s="1682">
        <f t="shared" si="23"/>
        <v>314700</v>
      </c>
      <c r="AS14" s="1684">
        <f t="shared" ref="AS14:AS17" si="86">CEILING(AQ14,(100))-100</f>
        <v>200</v>
      </c>
      <c r="AT14" s="612"/>
      <c r="AU14" s="763"/>
      <c r="AV14" s="764"/>
      <c r="AW14" s="502">
        <f t="shared" si="15"/>
        <v>2</v>
      </c>
      <c r="AX14" s="502">
        <f t="shared" si="16"/>
        <v>0</v>
      </c>
      <c r="AY14" s="573">
        <f t="shared" ref="AY14:AY17" si="87">AW14*100+AX14*50</f>
        <v>200</v>
      </c>
      <c r="AZ14" s="573">
        <f t="shared" si="17"/>
        <v>6</v>
      </c>
      <c r="BA14" s="548">
        <f t="shared" si="18"/>
        <v>1</v>
      </c>
      <c r="BB14" s="548">
        <f t="shared" si="19"/>
        <v>0</v>
      </c>
      <c r="BC14" s="548">
        <f t="shared" si="20"/>
        <v>4</v>
      </c>
      <c r="BD14" s="548">
        <f t="shared" si="21"/>
        <v>1</v>
      </c>
      <c r="BE14" s="548">
        <f t="shared" si="22"/>
        <v>2</v>
      </c>
      <c r="BF14" s="549">
        <f t="shared" ref="BF14:BF17" si="88">AZ14*50000+BA14*10000+BB14*5000+BC14*1000+BD14*500+BE14*100</f>
        <v>314700</v>
      </c>
      <c r="BH14" s="625" t="s">
        <v>1009</v>
      </c>
      <c r="BI14" s="628" t="s">
        <v>572</v>
      </c>
      <c r="BJ14" s="1155">
        <v>35978</v>
      </c>
      <c r="BK14" s="785" t="s">
        <v>1012</v>
      </c>
      <c r="BL14" s="806" t="s">
        <v>1039</v>
      </c>
    </row>
    <row r="15" spans="1:68" s="768" customFormat="1" ht="51" customHeight="1">
      <c r="A15" s="1369">
        <v>9</v>
      </c>
      <c r="B15" s="1595" t="s">
        <v>1232</v>
      </c>
      <c r="C15" s="1855" t="s">
        <v>1004</v>
      </c>
      <c r="D15" s="1851">
        <v>44537</v>
      </c>
      <c r="E15" s="1151" t="s">
        <v>260</v>
      </c>
      <c r="F15" s="758">
        <f>201+3</f>
        <v>204</v>
      </c>
      <c r="G15" s="758">
        <v>2</v>
      </c>
      <c r="H15" s="1001">
        <v>22</v>
      </c>
      <c r="I15" s="1408">
        <f t="shared" si="0"/>
        <v>172.61538461538461</v>
      </c>
      <c r="J15" s="618">
        <f t="shared" si="1"/>
        <v>172.61538461538461</v>
      </c>
      <c r="K15" s="1001">
        <v>63</v>
      </c>
      <c r="L15" s="510">
        <f t="shared" si="2"/>
        <v>1.471153846153846</v>
      </c>
      <c r="M15" s="618">
        <f t="shared" si="3"/>
        <v>92.682692307692307</v>
      </c>
      <c r="N15" s="1001">
        <v>0</v>
      </c>
      <c r="O15" s="510">
        <f t="shared" si="4"/>
        <v>1.9615384615384615</v>
      </c>
      <c r="P15" s="760">
        <f t="shared" si="5"/>
        <v>0</v>
      </c>
      <c r="Q15" s="1001">
        <v>24</v>
      </c>
      <c r="R15" s="510">
        <f t="shared" si="6"/>
        <v>1.9615384615384615</v>
      </c>
      <c r="S15" s="618">
        <f t="shared" si="7"/>
        <v>47.076923076923073</v>
      </c>
      <c r="T15" s="1001">
        <v>5</v>
      </c>
      <c r="U15" s="510">
        <f t="shared" si="8"/>
        <v>7.8461538461538458</v>
      </c>
      <c r="V15" s="618">
        <f t="shared" si="9"/>
        <v>39.230769230769226</v>
      </c>
      <c r="W15" s="1001">
        <v>0</v>
      </c>
      <c r="X15" s="618">
        <f>'S6 Salary'!T16*'S6'!W15</f>
        <v>0</v>
      </c>
      <c r="Y15" s="1001">
        <v>0</v>
      </c>
      <c r="Z15" s="510">
        <f t="shared" si="10"/>
        <v>3.9230769230769229</v>
      </c>
      <c r="AA15" s="788">
        <f t="shared" si="11"/>
        <v>0</v>
      </c>
      <c r="AB15" s="1001">
        <v>0</v>
      </c>
      <c r="AC15" s="1467">
        <f t="shared" si="12"/>
        <v>27</v>
      </c>
      <c r="AD15" s="1724">
        <v>0</v>
      </c>
      <c r="AE15" s="1121">
        <v>0</v>
      </c>
      <c r="AF15" s="1630">
        <f>4+1</f>
        <v>5</v>
      </c>
      <c r="AG15" s="1413">
        <v>0</v>
      </c>
      <c r="AH15" s="618">
        <v>10</v>
      </c>
      <c r="AI15" s="788">
        <v>3</v>
      </c>
      <c r="AJ15" s="618">
        <v>10</v>
      </c>
      <c r="AK15" s="618">
        <v>10</v>
      </c>
      <c r="AL15" s="1148">
        <f t="shared" si="13"/>
        <v>391.60576923076923</v>
      </c>
      <c r="AM15" s="1280">
        <v>0</v>
      </c>
      <c r="AN15" s="1018">
        <v>102</v>
      </c>
      <c r="AO15" s="1096">
        <f>'Tax Calulation     '!P15</f>
        <v>0</v>
      </c>
      <c r="AP15" s="1096">
        <f>'Tax Calulation     '!W15</f>
        <v>5.9084194977843429</v>
      </c>
      <c r="AQ15" s="1686">
        <f t="shared" si="14"/>
        <v>283.69734973298489</v>
      </c>
      <c r="AR15" s="1682">
        <f t="shared" si="23"/>
        <v>338100</v>
      </c>
      <c r="AS15" s="1684">
        <f t="shared" si="86"/>
        <v>200</v>
      </c>
      <c r="AT15" s="612"/>
      <c r="AU15" s="763"/>
      <c r="AV15" s="764"/>
      <c r="AW15" s="612">
        <f t="shared" si="15"/>
        <v>2</v>
      </c>
      <c r="AX15" s="612">
        <f t="shared" si="16"/>
        <v>0</v>
      </c>
      <c r="AY15" s="765">
        <f t="shared" si="87"/>
        <v>200</v>
      </c>
      <c r="AZ15" s="765">
        <f t="shared" si="17"/>
        <v>6</v>
      </c>
      <c r="BA15" s="766">
        <f t="shared" si="18"/>
        <v>3</v>
      </c>
      <c r="BB15" s="766">
        <f t="shared" si="19"/>
        <v>1</v>
      </c>
      <c r="BC15" s="766">
        <f t="shared" si="20"/>
        <v>3</v>
      </c>
      <c r="BD15" s="766">
        <f t="shared" si="21"/>
        <v>0</v>
      </c>
      <c r="BE15" s="766">
        <f t="shared" si="22"/>
        <v>1</v>
      </c>
      <c r="BF15" s="767">
        <f t="shared" si="88"/>
        <v>338100</v>
      </c>
      <c r="BH15" s="625" t="s">
        <v>1010</v>
      </c>
      <c r="BI15" s="628" t="s">
        <v>572</v>
      </c>
      <c r="BJ15" s="1155">
        <v>36011</v>
      </c>
      <c r="BK15" s="785" t="s">
        <v>1013</v>
      </c>
      <c r="BL15" s="757" t="s">
        <v>1042</v>
      </c>
    </row>
    <row r="16" spans="1:68" s="768" customFormat="1" ht="51" customHeight="1">
      <c r="A16" s="1369">
        <v>10</v>
      </c>
      <c r="B16" s="1595" t="s">
        <v>1233</v>
      </c>
      <c r="C16" s="1855" t="s">
        <v>1006</v>
      </c>
      <c r="D16" s="1851">
        <v>44544</v>
      </c>
      <c r="E16" s="1151" t="s">
        <v>260</v>
      </c>
      <c r="F16" s="758">
        <f>206</f>
        <v>206</v>
      </c>
      <c r="G16" s="758">
        <v>2</v>
      </c>
      <c r="H16" s="1001">
        <v>22</v>
      </c>
      <c r="I16" s="1408">
        <f t="shared" si="0"/>
        <v>174.30769230769232</v>
      </c>
      <c r="J16" s="618">
        <f t="shared" si="1"/>
        <v>174.30769230769232</v>
      </c>
      <c r="K16" s="1001">
        <v>58</v>
      </c>
      <c r="L16" s="510">
        <f t="shared" si="2"/>
        <v>1.4855769230769231</v>
      </c>
      <c r="M16" s="618">
        <f t="shared" si="3"/>
        <v>86.163461538461547</v>
      </c>
      <c r="N16" s="1001">
        <v>0</v>
      </c>
      <c r="O16" s="510">
        <f t="shared" si="4"/>
        <v>1.9807692307692308</v>
      </c>
      <c r="P16" s="503">
        <f t="shared" si="5"/>
        <v>0</v>
      </c>
      <c r="Q16" s="1001">
        <v>16</v>
      </c>
      <c r="R16" s="510">
        <f t="shared" si="6"/>
        <v>1.9807692307692308</v>
      </c>
      <c r="S16" s="618">
        <f t="shared" si="7"/>
        <v>31.692307692307693</v>
      </c>
      <c r="T16" s="1001">
        <v>5</v>
      </c>
      <c r="U16" s="510">
        <f t="shared" si="8"/>
        <v>7.9230769230769234</v>
      </c>
      <c r="V16" s="618">
        <f t="shared" si="9"/>
        <v>39.615384615384613</v>
      </c>
      <c r="W16" s="1001">
        <v>0</v>
      </c>
      <c r="X16" s="618">
        <f>'S6 Salary'!T17*'S6'!W16</f>
        <v>0</v>
      </c>
      <c r="Y16" s="1001">
        <v>0</v>
      </c>
      <c r="Z16" s="510">
        <f t="shared" si="10"/>
        <v>3.9615384615384617</v>
      </c>
      <c r="AA16" s="618">
        <f t="shared" si="11"/>
        <v>0</v>
      </c>
      <c r="AB16" s="1001">
        <v>0</v>
      </c>
      <c r="AC16" s="1467">
        <f t="shared" si="12"/>
        <v>27</v>
      </c>
      <c r="AD16" s="1724">
        <v>0</v>
      </c>
      <c r="AE16" s="1121">
        <v>0</v>
      </c>
      <c r="AF16" s="1629">
        <f>4+4</f>
        <v>8</v>
      </c>
      <c r="AG16" s="1413">
        <v>0</v>
      </c>
      <c r="AH16" s="618">
        <v>10</v>
      </c>
      <c r="AI16" s="788">
        <v>3</v>
      </c>
      <c r="AJ16" s="618">
        <v>10</v>
      </c>
      <c r="AK16" s="618">
        <v>10</v>
      </c>
      <c r="AL16" s="1148">
        <f t="shared" si="13"/>
        <v>374.77884615384619</v>
      </c>
      <c r="AM16" s="1280">
        <v>0</v>
      </c>
      <c r="AN16" s="1018">
        <v>102</v>
      </c>
      <c r="AO16" s="1096">
        <f>'Tax Calulation     '!P16</f>
        <v>0</v>
      </c>
      <c r="AP16" s="1096">
        <f>'Tax Calulation     '!W16</f>
        <v>5.9084194977843429</v>
      </c>
      <c r="AQ16" s="1686">
        <f t="shared" si="14"/>
        <v>266.87042665606185</v>
      </c>
      <c r="AR16" s="1682">
        <f t="shared" si="23"/>
        <v>270200</v>
      </c>
      <c r="AS16" s="1684">
        <f t="shared" si="86"/>
        <v>200</v>
      </c>
      <c r="AT16" s="612"/>
      <c r="AU16" s="763"/>
      <c r="AV16" s="764"/>
      <c r="AW16" s="502">
        <f t="shared" si="15"/>
        <v>2</v>
      </c>
      <c r="AX16" s="502">
        <f t="shared" si="16"/>
        <v>0</v>
      </c>
      <c r="AY16" s="573">
        <f t="shared" si="87"/>
        <v>200</v>
      </c>
      <c r="AZ16" s="573">
        <f t="shared" si="17"/>
        <v>5</v>
      </c>
      <c r="BA16" s="548">
        <f t="shared" si="18"/>
        <v>2</v>
      </c>
      <c r="BB16" s="548">
        <f t="shared" si="19"/>
        <v>0</v>
      </c>
      <c r="BC16" s="548">
        <f t="shared" si="20"/>
        <v>0</v>
      </c>
      <c r="BD16" s="548">
        <f t="shared" si="21"/>
        <v>0</v>
      </c>
      <c r="BE16" s="548">
        <f t="shared" si="22"/>
        <v>2</v>
      </c>
      <c r="BF16" s="549">
        <f t="shared" si="88"/>
        <v>270200</v>
      </c>
      <c r="BH16" s="625" t="s">
        <v>1011</v>
      </c>
      <c r="BI16" s="628" t="s">
        <v>572</v>
      </c>
      <c r="BJ16" s="1155">
        <v>33826</v>
      </c>
      <c r="BK16" s="785" t="s">
        <v>1014</v>
      </c>
      <c r="BL16" s="757" t="s">
        <v>1036</v>
      </c>
    </row>
    <row r="17" spans="1:64" s="768" customFormat="1" ht="51" customHeight="1">
      <c r="A17" s="1369">
        <v>11</v>
      </c>
      <c r="B17" s="1595" t="s">
        <v>1235</v>
      </c>
      <c r="C17" s="1855" t="s">
        <v>1008</v>
      </c>
      <c r="D17" s="1851">
        <v>44540</v>
      </c>
      <c r="E17" s="1151" t="s">
        <v>260</v>
      </c>
      <c r="F17" s="758">
        <f>201+3</f>
        <v>204</v>
      </c>
      <c r="G17" s="758">
        <v>2</v>
      </c>
      <c r="H17" s="1001">
        <v>21</v>
      </c>
      <c r="I17" s="1408">
        <f t="shared" si="0"/>
        <v>164.76923076923077</v>
      </c>
      <c r="J17" s="618">
        <f t="shared" si="1"/>
        <v>164.76923076923077</v>
      </c>
      <c r="K17" s="1001">
        <v>67</v>
      </c>
      <c r="L17" s="510">
        <f t="shared" si="2"/>
        <v>1.471153846153846</v>
      </c>
      <c r="M17" s="618">
        <f t="shared" si="3"/>
        <v>98.567307692307679</v>
      </c>
      <c r="N17" s="1001">
        <v>0</v>
      </c>
      <c r="O17" s="510">
        <f t="shared" si="4"/>
        <v>1.9615384615384615</v>
      </c>
      <c r="P17" s="503">
        <f t="shared" si="5"/>
        <v>0</v>
      </c>
      <c r="Q17" s="1001">
        <v>24</v>
      </c>
      <c r="R17" s="510">
        <f t="shared" si="6"/>
        <v>1.9615384615384615</v>
      </c>
      <c r="S17" s="618">
        <f t="shared" si="7"/>
        <v>47.076923076923073</v>
      </c>
      <c r="T17" s="1001">
        <v>5</v>
      </c>
      <c r="U17" s="510">
        <f t="shared" si="8"/>
        <v>7.8461538461538458</v>
      </c>
      <c r="V17" s="618">
        <f t="shared" si="9"/>
        <v>39.230769230769226</v>
      </c>
      <c r="W17" s="1001">
        <v>1</v>
      </c>
      <c r="X17" s="618">
        <f>'S6 Salary'!T18*'S6'!W17</f>
        <v>11.982007603198703</v>
      </c>
      <c r="Y17" s="1001">
        <v>0</v>
      </c>
      <c r="Z17" s="510">
        <f t="shared" si="10"/>
        <v>3.9230769230769229</v>
      </c>
      <c r="AA17" s="618">
        <f t="shared" si="11"/>
        <v>0</v>
      </c>
      <c r="AB17" s="1001">
        <v>0</v>
      </c>
      <c r="AC17" s="1467">
        <f t="shared" si="12"/>
        <v>27</v>
      </c>
      <c r="AD17" s="1724">
        <v>0</v>
      </c>
      <c r="AE17" s="1121">
        <v>0</v>
      </c>
      <c r="AF17" s="1629">
        <f>4+1</f>
        <v>5</v>
      </c>
      <c r="AG17" s="1413">
        <v>0</v>
      </c>
      <c r="AH17" s="618">
        <v>10</v>
      </c>
      <c r="AI17" s="788">
        <v>3</v>
      </c>
      <c r="AJ17" s="618">
        <v>10</v>
      </c>
      <c r="AK17" s="618">
        <v>10</v>
      </c>
      <c r="AL17" s="1148">
        <f t="shared" si="13"/>
        <v>401.6262383724295</v>
      </c>
      <c r="AM17" s="1280">
        <v>0</v>
      </c>
      <c r="AN17" s="1018">
        <v>102</v>
      </c>
      <c r="AO17" s="1096">
        <f>'Tax Calulation     '!P17</f>
        <v>0.32208001315618651</v>
      </c>
      <c r="AP17" s="1096">
        <f>'Tax Calulation     '!W17</f>
        <v>5.9084194977843429</v>
      </c>
      <c r="AQ17" s="1686">
        <f t="shared" si="14"/>
        <v>293.39573886148895</v>
      </c>
      <c r="AR17" s="1682">
        <f t="shared" si="23"/>
        <v>377300</v>
      </c>
      <c r="AS17" s="1684">
        <f t="shared" si="86"/>
        <v>200</v>
      </c>
      <c r="AT17" s="612"/>
      <c r="AU17" s="763"/>
      <c r="AV17" s="764"/>
      <c r="AW17" s="502">
        <f t="shared" si="15"/>
        <v>2</v>
      </c>
      <c r="AX17" s="502">
        <f t="shared" si="16"/>
        <v>0</v>
      </c>
      <c r="AY17" s="573">
        <f t="shared" si="87"/>
        <v>200</v>
      </c>
      <c r="AZ17" s="573">
        <f t="shared" si="17"/>
        <v>7</v>
      </c>
      <c r="BA17" s="548">
        <f t="shared" si="18"/>
        <v>2</v>
      </c>
      <c r="BB17" s="548">
        <f t="shared" si="19"/>
        <v>1</v>
      </c>
      <c r="BC17" s="548">
        <f t="shared" si="20"/>
        <v>2</v>
      </c>
      <c r="BD17" s="548">
        <f t="shared" si="21"/>
        <v>0</v>
      </c>
      <c r="BE17" s="548">
        <f t="shared" si="22"/>
        <v>3</v>
      </c>
      <c r="BF17" s="549">
        <f t="shared" si="88"/>
        <v>377300</v>
      </c>
      <c r="BH17" s="628" t="s">
        <v>1342</v>
      </c>
      <c r="BI17" s="628" t="s">
        <v>572</v>
      </c>
      <c r="BJ17" s="1155">
        <v>37453</v>
      </c>
      <c r="BK17" s="785" t="s">
        <v>1013</v>
      </c>
      <c r="BL17" s="757" t="s">
        <v>1037</v>
      </c>
    </row>
    <row r="18" spans="1:64" s="755" customFormat="1" ht="51" customHeight="1">
      <c r="A18" s="1369">
        <v>12</v>
      </c>
      <c r="B18" s="1576" t="s">
        <v>1236</v>
      </c>
      <c r="C18" s="1854" t="s">
        <v>504</v>
      </c>
      <c r="D18" s="1841">
        <v>41334</v>
      </c>
      <c r="E18" s="1637" t="s">
        <v>1113</v>
      </c>
      <c r="F18" s="617">
        <f>13+259+17+12+8+2</f>
        <v>311</v>
      </c>
      <c r="G18" s="617">
        <f>70+2</f>
        <v>72</v>
      </c>
      <c r="H18" s="1001">
        <v>22</v>
      </c>
      <c r="I18" s="1408">
        <f t="shared" si="0"/>
        <v>263.15384615384613</v>
      </c>
      <c r="J18" s="618">
        <f t="shared" si="1"/>
        <v>263.15384615384613</v>
      </c>
      <c r="K18" s="1001">
        <v>68</v>
      </c>
      <c r="L18" s="510">
        <f t="shared" si="2"/>
        <v>2.2427884615384617</v>
      </c>
      <c r="M18" s="618">
        <f t="shared" si="3"/>
        <v>152.50961538461539</v>
      </c>
      <c r="N18" s="1001">
        <v>0</v>
      </c>
      <c r="O18" s="510">
        <f t="shared" si="4"/>
        <v>2.9903846153846154</v>
      </c>
      <c r="P18" s="503">
        <f t="shared" si="5"/>
        <v>0</v>
      </c>
      <c r="Q18" s="1001">
        <v>24</v>
      </c>
      <c r="R18" s="510">
        <f t="shared" si="6"/>
        <v>2.9903846153846154</v>
      </c>
      <c r="S18" s="618">
        <f t="shared" si="7"/>
        <v>71.769230769230774</v>
      </c>
      <c r="T18" s="1001">
        <v>5</v>
      </c>
      <c r="U18" s="510">
        <f t="shared" si="8"/>
        <v>11.961538461538462</v>
      </c>
      <c r="V18" s="618">
        <f t="shared" si="9"/>
        <v>59.807692307692307</v>
      </c>
      <c r="W18" s="1001">
        <v>0</v>
      </c>
      <c r="X18" s="618">
        <f>'S6 Salary'!T19*'S6'!W18</f>
        <v>0</v>
      </c>
      <c r="Y18" s="1001">
        <v>0</v>
      </c>
      <c r="Z18" s="510">
        <f t="shared" si="10"/>
        <v>5.9807692307692308</v>
      </c>
      <c r="AA18" s="618">
        <f t="shared" si="11"/>
        <v>0</v>
      </c>
      <c r="AB18" s="1001">
        <v>0</v>
      </c>
      <c r="AC18" s="1467">
        <f t="shared" si="12"/>
        <v>27</v>
      </c>
      <c r="AD18" s="1724">
        <v>0</v>
      </c>
      <c r="AE18" s="1121">
        <v>0</v>
      </c>
      <c r="AF18" s="1629">
        <v>4</v>
      </c>
      <c r="AG18" s="1412">
        <v>0</v>
      </c>
      <c r="AH18" s="618">
        <v>10</v>
      </c>
      <c r="AI18" s="618">
        <v>11</v>
      </c>
      <c r="AJ18" s="618">
        <v>10</v>
      </c>
      <c r="AK18" s="618">
        <v>10</v>
      </c>
      <c r="AL18" s="1148">
        <f t="shared" si="13"/>
        <v>664.24038461538464</v>
      </c>
      <c r="AM18" s="1278">
        <v>0</v>
      </c>
      <c r="AN18" s="1018">
        <v>102</v>
      </c>
      <c r="AO18" s="1096">
        <f>'Tax Calulation     '!P18</f>
        <v>6.0672629530735112</v>
      </c>
      <c r="AP18" s="1096">
        <f>'Tax Calulation     '!W18</f>
        <v>5.9084194977843429</v>
      </c>
      <c r="AQ18" s="1686">
        <f t="shared" si="14"/>
        <v>550.26470216452674</v>
      </c>
      <c r="AR18" s="1682">
        <f t="shared" si="23"/>
        <v>203100</v>
      </c>
      <c r="AS18" s="1683">
        <f t="shared" si="24"/>
        <v>500</v>
      </c>
      <c r="AT18" s="502"/>
      <c r="AU18" s="504"/>
      <c r="AV18" s="505">
        <f>(J18+M18+P18+S18+V18+AA18+AH18+AI18+AJ18+AK18)*4000</f>
        <v>2352961.5384615385</v>
      </c>
      <c r="AW18" s="502">
        <f t="shared" si="15"/>
        <v>5</v>
      </c>
      <c r="AX18" s="502">
        <f t="shared" si="16"/>
        <v>0</v>
      </c>
      <c r="AY18" s="573">
        <f t="shared" si="25"/>
        <v>500</v>
      </c>
      <c r="AZ18" s="573">
        <f t="shared" si="17"/>
        <v>4</v>
      </c>
      <c r="BA18" s="548">
        <f t="shared" si="18"/>
        <v>0</v>
      </c>
      <c r="BB18" s="548">
        <f t="shared" si="19"/>
        <v>0</v>
      </c>
      <c r="BC18" s="548">
        <f t="shared" si="20"/>
        <v>3</v>
      </c>
      <c r="BD18" s="548">
        <f t="shared" si="21"/>
        <v>0</v>
      </c>
      <c r="BE18" s="548">
        <f t="shared" si="22"/>
        <v>1</v>
      </c>
      <c r="BF18" s="549">
        <f t="shared" si="26"/>
        <v>203100</v>
      </c>
      <c r="BH18" s="581" t="s">
        <v>832</v>
      </c>
      <c r="BI18" s="581" t="s">
        <v>574</v>
      </c>
      <c r="BJ18" s="1154">
        <v>29137</v>
      </c>
      <c r="BK18" s="587" t="s">
        <v>642</v>
      </c>
      <c r="BL18" s="745" t="s">
        <v>1804</v>
      </c>
    </row>
    <row r="19" spans="1:64" s="755" customFormat="1" ht="51" customHeight="1">
      <c r="A19" s="1369">
        <v>13</v>
      </c>
      <c r="B19" s="1576" t="s">
        <v>1609</v>
      </c>
      <c r="C19" s="1854" t="s">
        <v>1059</v>
      </c>
      <c r="D19" s="1841">
        <v>44574</v>
      </c>
      <c r="E19" s="1637" t="s">
        <v>260</v>
      </c>
      <c r="F19" s="617">
        <f>196+4+4</f>
        <v>204</v>
      </c>
      <c r="G19" s="758">
        <v>2</v>
      </c>
      <c r="H19" s="1001">
        <v>22</v>
      </c>
      <c r="I19" s="1408">
        <f t="shared" si="0"/>
        <v>172.61538461538461</v>
      </c>
      <c r="J19" s="618">
        <f t="shared" si="1"/>
        <v>172.61538461538461</v>
      </c>
      <c r="K19" s="1001">
        <v>60</v>
      </c>
      <c r="L19" s="510">
        <f t="shared" si="2"/>
        <v>1.471153846153846</v>
      </c>
      <c r="M19" s="618">
        <f t="shared" si="3"/>
        <v>88.269230769230759</v>
      </c>
      <c r="N19" s="1001">
        <v>0</v>
      </c>
      <c r="O19" s="510">
        <f t="shared" si="4"/>
        <v>1.9615384615384615</v>
      </c>
      <c r="P19" s="503">
        <f t="shared" si="5"/>
        <v>0</v>
      </c>
      <c r="Q19" s="1001">
        <v>16</v>
      </c>
      <c r="R19" s="510">
        <f t="shared" si="6"/>
        <v>1.9615384615384615</v>
      </c>
      <c r="S19" s="618">
        <f t="shared" si="7"/>
        <v>31.384615384615383</v>
      </c>
      <c r="T19" s="1001">
        <v>5</v>
      </c>
      <c r="U19" s="510">
        <f t="shared" si="8"/>
        <v>7.8461538461538458</v>
      </c>
      <c r="V19" s="618">
        <f t="shared" si="9"/>
        <v>39.230769230769226</v>
      </c>
      <c r="W19" s="1001">
        <v>0</v>
      </c>
      <c r="X19" s="618">
        <f>'S6 Salary'!T20*'S6'!W19</f>
        <v>0</v>
      </c>
      <c r="Y19" s="1001">
        <v>0</v>
      </c>
      <c r="Z19" s="510">
        <f t="shared" si="10"/>
        <v>3.9230769230769229</v>
      </c>
      <c r="AA19" s="618">
        <f t="shared" si="11"/>
        <v>0</v>
      </c>
      <c r="AB19" s="1001">
        <v>0</v>
      </c>
      <c r="AC19" s="1467">
        <f t="shared" si="12"/>
        <v>27</v>
      </c>
      <c r="AD19" s="1724">
        <v>0</v>
      </c>
      <c r="AE19" s="1121">
        <v>0</v>
      </c>
      <c r="AF19" s="1629">
        <v>5</v>
      </c>
      <c r="AG19" s="1412">
        <v>0</v>
      </c>
      <c r="AH19" s="618">
        <v>10</v>
      </c>
      <c r="AI19" s="788">
        <v>3</v>
      </c>
      <c r="AJ19" s="618">
        <v>10</v>
      </c>
      <c r="AK19" s="618">
        <v>10</v>
      </c>
      <c r="AL19" s="1148">
        <f t="shared" si="13"/>
        <v>371.49999999999994</v>
      </c>
      <c r="AM19" s="1280">
        <v>0</v>
      </c>
      <c r="AN19" s="1018">
        <v>102</v>
      </c>
      <c r="AO19" s="1096">
        <f>'Tax Calulation     '!P19</f>
        <v>0</v>
      </c>
      <c r="AP19" s="1096">
        <f>'Tax Calulation     '!W19</f>
        <v>5.9084194977843429</v>
      </c>
      <c r="AQ19" s="1686">
        <f t="shared" si="14"/>
        <v>263.59158050221561</v>
      </c>
      <c r="AR19" s="1682">
        <f t="shared" si="23"/>
        <v>256900</v>
      </c>
      <c r="AS19" s="1684">
        <f t="shared" ref="AS19:AS20" si="89">CEILING(AQ19,(100))-100</f>
        <v>200</v>
      </c>
      <c r="AT19" s="612"/>
      <c r="AU19" s="504"/>
      <c r="AV19" s="505"/>
      <c r="AW19" s="502">
        <f t="shared" si="15"/>
        <v>2</v>
      </c>
      <c r="AX19" s="502">
        <f t="shared" si="16"/>
        <v>0</v>
      </c>
      <c r="AY19" s="1113">
        <f t="shared" ref="AY19:AY20" si="90">AW19*100+AX19*50</f>
        <v>200</v>
      </c>
      <c r="AZ19" s="1113">
        <f t="shared" si="17"/>
        <v>5</v>
      </c>
      <c r="BA19" s="548">
        <f t="shared" si="18"/>
        <v>0</v>
      </c>
      <c r="BB19" s="548">
        <f t="shared" si="19"/>
        <v>1</v>
      </c>
      <c r="BC19" s="548">
        <f t="shared" si="20"/>
        <v>1</v>
      </c>
      <c r="BD19" s="548">
        <f t="shared" si="21"/>
        <v>1</v>
      </c>
      <c r="BE19" s="548">
        <f t="shared" si="22"/>
        <v>4</v>
      </c>
      <c r="BF19" s="549">
        <f t="shared" ref="BF19:BF20" si="91">AZ19*50000+BA19*10000+BB19*5000+BC19*1000+BD19*500+BE19*100</f>
        <v>256900</v>
      </c>
      <c r="BH19" s="581" t="s">
        <v>1061</v>
      </c>
      <c r="BI19" s="581" t="s">
        <v>572</v>
      </c>
      <c r="BJ19" s="1154">
        <v>36245</v>
      </c>
      <c r="BK19" s="587" t="s">
        <v>1063</v>
      </c>
      <c r="BL19" s="745" t="s">
        <v>1327</v>
      </c>
    </row>
    <row r="20" spans="1:64" s="755" customFormat="1" ht="51" customHeight="1">
      <c r="A20" s="1369">
        <v>14</v>
      </c>
      <c r="B20" s="1601" t="s">
        <v>1610</v>
      </c>
      <c r="C20" s="1868" t="s">
        <v>1060</v>
      </c>
      <c r="D20" s="1869">
        <v>44576</v>
      </c>
      <c r="E20" s="1637" t="s">
        <v>260</v>
      </c>
      <c r="F20" s="617">
        <f>201+3</f>
        <v>204</v>
      </c>
      <c r="G20" s="758">
        <v>2</v>
      </c>
      <c r="H20" s="1001">
        <v>20.5</v>
      </c>
      <c r="I20" s="1408">
        <f t="shared" si="0"/>
        <v>160.84615384615384</v>
      </c>
      <c r="J20" s="618">
        <f t="shared" si="1"/>
        <v>160.84615384615384</v>
      </c>
      <c r="K20" s="1001">
        <v>42</v>
      </c>
      <c r="L20" s="510">
        <f t="shared" si="2"/>
        <v>1.471153846153846</v>
      </c>
      <c r="M20" s="618">
        <f t="shared" si="3"/>
        <v>61.788461538461533</v>
      </c>
      <c r="N20" s="1001">
        <v>0</v>
      </c>
      <c r="O20" s="510">
        <f t="shared" si="4"/>
        <v>1.9615384615384615</v>
      </c>
      <c r="P20" s="503">
        <f t="shared" si="5"/>
        <v>0</v>
      </c>
      <c r="Q20" s="1001">
        <v>8</v>
      </c>
      <c r="R20" s="510">
        <f t="shared" si="6"/>
        <v>1.9615384615384615</v>
      </c>
      <c r="S20" s="618">
        <f t="shared" si="7"/>
        <v>15.692307692307692</v>
      </c>
      <c r="T20" s="1001">
        <v>5.5</v>
      </c>
      <c r="U20" s="510">
        <f t="shared" si="8"/>
        <v>7.8461538461538458</v>
      </c>
      <c r="V20" s="618">
        <f t="shared" si="9"/>
        <v>43.153846153846153</v>
      </c>
      <c r="W20" s="1001">
        <v>0</v>
      </c>
      <c r="X20" s="618">
        <f>'S6 Salary'!T21*'S6'!W20</f>
        <v>0</v>
      </c>
      <c r="Y20" s="1001">
        <v>0</v>
      </c>
      <c r="Z20" s="510">
        <f t="shared" si="10"/>
        <v>3.9230769230769229</v>
      </c>
      <c r="AA20" s="618">
        <f t="shared" si="11"/>
        <v>0</v>
      </c>
      <c r="AB20" s="1001">
        <v>1</v>
      </c>
      <c r="AC20" s="1467">
        <f t="shared" si="12"/>
        <v>27</v>
      </c>
      <c r="AD20" s="1724">
        <v>0</v>
      </c>
      <c r="AE20" s="1121">
        <v>0</v>
      </c>
      <c r="AF20" s="1629">
        <v>5</v>
      </c>
      <c r="AG20" s="1413">
        <v>0</v>
      </c>
      <c r="AH20" s="618">
        <v>7</v>
      </c>
      <c r="AI20" s="788">
        <v>3</v>
      </c>
      <c r="AJ20" s="618">
        <v>10</v>
      </c>
      <c r="AK20" s="618">
        <v>10</v>
      </c>
      <c r="AL20" s="1148">
        <f t="shared" si="13"/>
        <v>318.48076923076917</v>
      </c>
      <c r="AM20" s="1280">
        <v>0</v>
      </c>
      <c r="AN20" s="1018">
        <v>102</v>
      </c>
      <c r="AO20" s="1096">
        <f>'Tax Calulation     '!P20</f>
        <v>0</v>
      </c>
      <c r="AP20" s="1096">
        <f>'Tax Calulation     '!W20</f>
        <v>5.9084194977843429</v>
      </c>
      <c r="AQ20" s="1686">
        <f t="shared" si="14"/>
        <v>210.57234973298483</v>
      </c>
      <c r="AR20" s="1682">
        <f t="shared" si="23"/>
        <v>42700</v>
      </c>
      <c r="AS20" s="1684">
        <f t="shared" si="89"/>
        <v>200</v>
      </c>
      <c r="AT20" s="612"/>
      <c r="AU20" s="504"/>
      <c r="AV20" s="505"/>
      <c r="AW20" s="502">
        <f t="shared" si="15"/>
        <v>2</v>
      </c>
      <c r="AX20" s="502">
        <f t="shared" si="16"/>
        <v>0</v>
      </c>
      <c r="AY20" s="944">
        <f t="shared" si="90"/>
        <v>200</v>
      </c>
      <c r="AZ20" s="944">
        <f t="shared" si="17"/>
        <v>0</v>
      </c>
      <c r="BA20" s="548">
        <f t="shared" si="18"/>
        <v>4</v>
      </c>
      <c r="BB20" s="548">
        <f t="shared" si="19"/>
        <v>0</v>
      </c>
      <c r="BC20" s="548">
        <f t="shared" si="20"/>
        <v>2</v>
      </c>
      <c r="BD20" s="548">
        <f t="shared" si="21"/>
        <v>1</v>
      </c>
      <c r="BE20" s="548">
        <f t="shared" si="22"/>
        <v>2</v>
      </c>
      <c r="BF20" s="549">
        <f t="shared" si="91"/>
        <v>42700</v>
      </c>
      <c r="BH20" s="581" t="s">
        <v>1062</v>
      </c>
      <c r="BI20" s="581" t="s">
        <v>572</v>
      </c>
      <c r="BJ20" s="1154">
        <v>36506</v>
      </c>
      <c r="BK20" s="587" t="s">
        <v>1064</v>
      </c>
      <c r="BL20" s="745" t="s">
        <v>1323</v>
      </c>
    </row>
    <row r="21" spans="1:64" s="755" customFormat="1" ht="51" customHeight="1">
      <c r="A21" s="1369">
        <v>15</v>
      </c>
      <c r="B21" s="1602" t="s">
        <v>1355</v>
      </c>
      <c r="C21" s="1153" t="s">
        <v>1356</v>
      </c>
      <c r="D21" s="1841">
        <v>44600</v>
      </c>
      <c r="E21" s="1637" t="s">
        <v>260</v>
      </c>
      <c r="F21" s="617">
        <f>206</f>
        <v>206</v>
      </c>
      <c r="G21" s="758">
        <v>2</v>
      </c>
      <c r="H21" s="1001">
        <v>18</v>
      </c>
      <c r="I21" s="1408">
        <f t="shared" si="0"/>
        <v>142.61538461538461</v>
      </c>
      <c r="J21" s="618">
        <f t="shared" si="1"/>
        <v>142.61538461538461</v>
      </c>
      <c r="K21" s="1001">
        <v>42</v>
      </c>
      <c r="L21" s="510">
        <f t="shared" si="2"/>
        <v>1.4855769230769231</v>
      </c>
      <c r="M21" s="618">
        <f t="shared" si="3"/>
        <v>62.394230769230774</v>
      </c>
      <c r="N21" s="1001">
        <v>0</v>
      </c>
      <c r="O21" s="510">
        <f t="shared" si="4"/>
        <v>1.9807692307692308</v>
      </c>
      <c r="P21" s="503">
        <f t="shared" si="5"/>
        <v>0</v>
      </c>
      <c r="Q21" s="1001">
        <v>16</v>
      </c>
      <c r="R21" s="510">
        <f t="shared" si="6"/>
        <v>1.9807692307692308</v>
      </c>
      <c r="S21" s="618">
        <f t="shared" si="7"/>
        <v>31.692307692307693</v>
      </c>
      <c r="T21" s="1001">
        <v>5</v>
      </c>
      <c r="U21" s="510">
        <f t="shared" si="8"/>
        <v>7.9230769230769234</v>
      </c>
      <c r="V21" s="618">
        <f t="shared" si="9"/>
        <v>39.615384615384613</v>
      </c>
      <c r="W21" s="1001">
        <v>0</v>
      </c>
      <c r="X21" s="618">
        <f>'S6 Salary'!T22*'S6'!W21</f>
        <v>0</v>
      </c>
      <c r="Y21" s="1001">
        <v>0</v>
      </c>
      <c r="Z21" s="510">
        <f t="shared" si="10"/>
        <v>3.9615384615384617</v>
      </c>
      <c r="AA21" s="618">
        <f t="shared" si="11"/>
        <v>0</v>
      </c>
      <c r="AB21" s="1001">
        <v>4</v>
      </c>
      <c r="AC21" s="1467">
        <f t="shared" si="12"/>
        <v>27</v>
      </c>
      <c r="AD21" s="1724">
        <v>0</v>
      </c>
      <c r="AE21" s="1121">
        <v>0</v>
      </c>
      <c r="AF21" s="1629">
        <f>4+4</f>
        <v>8</v>
      </c>
      <c r="AG21" s="1413">
        <v>0</v>
      </c>
      <c r="AH21" s="618">
        <v>0</v>
      </c>
      <c r="AI21" s="788">
        <v>3</v>
      </c>
      <c r="AJ21" s="618">
        <v>10</v>
      </c>
      <c r="AK21" s="618">
        <v>10</v>
      </c>
      <c r="AL21" s="1148">
        <f t="shared" si="13"/>
        <v>309.31730769230774</v>
      </c>
      <c r="AM21" s="1280">
        <v>0</v>
      </c>
      <c r="AN21" s="1018">
        <v>90</v>
      </c>
      <c r="AO21" s="1096">
        <f>'Tax Calulation     '!P21</f>
        <v>0</v>
      </c>
      <c r="AP21" s="1096">
        <f>'Tax Calulation     '!W21</f>
        <v>5.9084194977843429</v>
      </c>
      <c r="AQ21" s="1686">
        <f t="shared" si="14"/>
        <v>213.4088881945234</v>
      </c>
      <c r="AR21" s="1682">
        <f t="shared" si="23"/>
        <v>54200</v>
      </c>
      <c r="AS21" s="1684">
        <f t="shared" ref="AS21" si="92">CEILING(AQ21,(100))-100</f>
        <v>200</v>
      </c>
      <c r="AT21" s="612"/>
      <c r="AU21" s="504"/>
      <c r="AV21" s="505"/>
      <c r="AW21" s="502">
        <f t="shared" si="15"/>
        <v>2</v>
      </c>
      <c r="AX21" s="502">
        <f t="shared" si="16"/>
        <v>0</v>
      </c>
      <c r="AY21" s="965">
        <f t="shared" ref="AY21:AY22" si="93">AW21*100+AX21*50</f>
        <v>200</v>
      </c>
      <c r="AZ21" s="965">
        <f t="shared" si="17"/>
        <v>1</v>
      </c>
      <c r="BA21" s="548">
        <f t="shared" si="18"/>
        <v>0</v>
      </c>
      <c r="BB21" s="548">
        <f t="shared" si="19"/>
        <v>0</v>
      </c>
      <c r="BC21" s="548">
        <f t="shared" si="20"/>
        <v>4</v>
      </c>
      <c r="BD21" s="548">
        <f t="shared" si="21"/>
        <v>0</v>
      </c>
      <c r="BE21" s="548">
        <f t="shared" si="22"/>
        <v>2</v>
      </c>
      <c r="BF21" s="549">
        <f t="shared" ref="BF21:BF22" si="94">AZ21*50000+BA21*10000+BB21*5000+BC21*1000+BD21*500+BE21*100</f>
        <v>54200</v>
      </c>
      <c r="BH21" s="581" t="s">
        <v>1379</v>
      </c>
      <c r="BI21" s="581" t="s">
        <v>572</v>
      </c>
      <c r="BJ21" s="1154">
        <v>33707</v>
      </c>
      <c r="BK21" s="969" t="s">
        <v>1380</v>
      </c>
      <c r="BL21" s="970" t="s">
        <v>1381</v>
      </c>
    </row>
    <row r="22" spans="1:64" s="755" customFormat="1" ht="51" customHeight="1">
      <c r="A22" s="1369">
        <v>16</v>
      </c>
      <c r="B22" s="1415" t="s">
        <v>1237</v>
      </c>
      <c r="C22" s="1329" t="s">
        <v>565</v>
      </c>
      <c r="D22" s="1841">
        <v>41334</v>
      </c>
      <c r="E22" s="1637" t="s">
        <v>260</v>
      </c>
      <c r="F22" s="617">
        <f>219+2</f>
        <v>221</v>
      </c>
      <c r="G22" s="617">
        <f>15+2</f>
        <v>17</v>
      </c>
      <c r="H22" s="1001">
        <v>22</v>
      </c>
      <c r="I22" s="1408">
        <f t="shared" si="0"/>
        <v>187</v>
      </c>
      <c r="J22" s="618">
        <f t="shared" si="1"/>
        <v>187</v>
      </c>
      <c r="K22" s="1001">
        <v>68</v>
      </c>
      <c r="L22" s="510">
        <f t="shared" si="2"/>
        <v>1.59375</v>
      </c>
      <c r="M22" s="618">
        <f t="shared" si="3"/>
        <v>108.375</v>
      </c>
      <c r="N22" s="1001">
        <v>0</v>
      </c>
      <c r="O22" s="510">
        <f t="shared" si="4"/>
        <v>2.125</v>
      </c>
      <c r="P22" s="503">
        <f t="shared" si="5"/>
        <v>0</v>
      </c>
      <c r="Q22" s="1001">
        <v>24</v>
      </c>
      <c r="R22" s="510">
        <f t="shared" si="6"/>
        <v>2.125</v>
      </c>
      <c r="S22" s="618">
        <f t="shared" si="7"/>
        <v>51</v>
      </c>
      <c r="T22" s="1001">
        <v>5</v>
      </c>
      <c r="U22" s="510">
        <f t="shared" si="8"/>
        <v>8.5</v>
      </c>
      <c r="V22" s="618">
        <f t="shared" si="9"/>
        <v>42.5</v>
      </c>
      <c r="W22" s="1001">
        <v>0</v>
      </c>
      <c r="X22" s="618">
        <f>'S6 Salary'!T23*'S6'!W22</f>
        <v>0</v>
      </c>
      <c r="Y22" s="1001">
        <v>0</v>
      </c>
      <c r="Z22" s="510">
        <f t="shared" si="10"/>
        <v>4.25</v>
      </c>
      <c r="AA22" s="618">
        <f t="shared" si="11"/>
        <v>0</v>
      </c>
      <c r="AB22" s="1001">
        <v>0</v>
      </c>
      <c r="AC22" s="1467">
        <f t="shared" si="12"/>
        <v>27</v>
      </c>
      <c r="AD22" s="1724">
        <v>0</v>
      </c>
      <c r="AE22" s="1121">
        <v>0</v>
      </c>
      <c r="AF22" s="1629">
        <v>0</v>
      </c>
      <c r="AG22" s="1412">
        <v>0</v>
      </c>
      <c r="AH22" s="618">
        <v>10</v>
      </c>
      <c r="AI22" s="618">
        <v>11</v>
      </c>
      <c r="AJ22" s="618">
        <v>10</v>
      </c>
      <c r="AK22" s="618">
        <v>10</v>
      </c>
      <c r="AL22" s="1148">
        <f t="shared" si="13"/>
        <v>446.875</v>
      </c>
      <c r="AM22" s="1278">
        <v>0</v>
      </c>
      <c r="AN22" s="1018">
        <v>102</v>
      </c>
      <c r="AO22" s="1096">
        <f>'Tax Calulation     '!P22</f>
        <v>0</v>
      </c>
      <c r="AP22" s="1096">
        <f>'Tax Calulation     '!W22</f>
        <v>5.9084194977843429</v>
      </c>
      <c r="AQ22" s="1686">
        <f t="shared" si="14"/>
        <v>338.96658050221566</v>
      </c>
      <c r="AR22" s="1682">
        <f t="shared" si="23"/>
        <v>157400</v>
      </c>
      <c r="AS22" s="1683">
        <f t="shared" si="24"/>
        <v>300</v>
      </c>
      <c r="AT22" s="502"/>
      <c r="AU22" s="504"/>
      <c r="AV22" s="505"/>
      <c r="AW22" s="502">
        <f t="shared" si="15"/>
        <v>3</v>
      </c>
      <c r="AX22" s="502">
        <f t="shared" si="16"/>
        <v>0</v>
      </c>
      <c r="AY22" s="965">
        <f t="shared" si="93"/>
        <v>300</v>
      </c>
      <c r="AZ22" s="965">
        <f t="shared" si="17"/>
        <v>3</v>
      </c>
      <c r="BA22" s="548">
        <f t="shared" si="18"/>
        <v>0</v>
      </c>
      <c r="BB22" s="548">
        <f t="shared" si="19"/>
        <v>1</v>
      </c>
      <c r="BC22" s="548">
        <f t="shared" si="20"/>
        <v>2</v>
      </c>
      <c r="BD22" s="548">
        <f t="shared" si="21"/>
        <v>0</v>
      </c>
      <c r="BE22" s="548">
        <f t="shared" si="22"/>
        <v>4</v>
      </c>
      <c r="BF22" s="549">
        <f t="shared" si="94"/>
        <v>157400</v>
      </c>
      <c r="BH22" s="578" t="s">
        <v>833</v>
      </c>
      <c r="BI22" s="578" t="s">
        <v>574</v>
      </c>
      <c r="BJ22" s="1154">
        <v>30909</v>
      </c>
      <c r="BK22" s="587" t="s">
        <v>643</v>
      </c>
      <c r="BL22" s="745">
        <v>20441016</v>
      </c>
    </row>
    <row r="23" spans="1:64" s="755" customFormat="1" ht="51" customHeight="1">
      <c r="A23" s="1369">
        <v>17</v>
      </c>
      <c r="B23" s="1415" t="s">
        <v>1611</v>
      </c>
      <c r="C23" s="1329" t="s">
        <v>1511</v>
      </c>
      <c r="D23" s="1841">
        <v>44652</v>
      </c>
      <c r="E23" s="1637" t="s">
        <v>260</v>
      </c>
      <c r="F23" s="1649">
        <f>196+4+4</f>
        <v>204</v>
      </c>
      <c r="G23" s="617">
        <v>2</v>
      </c>
      <c r="H23" s="1001">
        <v>21</v>
      </c>
      <c r="I23" s="1408">
        <f t="shared" si="0"/>
        <v>164.76923076923077</v>
      </c>
      <c r="J23" s="618">
        <f t="shared" si="1"/>
        <v>164.76923076923077</v>
      </c>
      <c r="K23" s="1001">
        <v>54</v>
      </c>
      <c r="L23" s="510">
        <f t="shared" si="2"/>
        <v>1.471153846153846</v>
      </c>
      <c r="M23" s="618">
        <f t="shared" si="3"/>
        <v>79.442307692307679</v>
      </c>
      <c r="N23" s="1001">
        <v>0</v>
      </c>
      <c r="O23" s="510">
        <f t="shared" si="4"/>
        <v>1.9615384615384615</v>
      </c>
      <c r="P23" s="503">
        <f t="shared" si="5"/>
        <v>0</v>
      </c>
      <c r="Q23" s="1001">
        <v>12</v>
      </c>
      <c r="R23" s="510">
        <f t="shared" si="6"/>
        <v>1.9615384615384615</v>
      </c>
      <c r="S23" s="618">
        <f t="shared" si="7"/>
        <v>23.538461538461537</v>
      </c>
      <c r="T23" s="1001">
        <v>5</v>
      </c>
      <c r="U23" s="510">
        <f t="shared" si="8"/>
        <v>7.8461538461538458</v>
      </c>
      <c r="V23" s="618">
        <f t="shared" si="9"/>
        <v>39.230769230769226</v>
      </c>
      <c r="W23" s="1001">
        <v>1</v>
      </c>
      <c r="X23" s="618">
        <f>'S6 Salary'!T24*'S6'!W23</f>
        <v>10.771300944103986</v>
      </c>
      <c r="Y23" s="1001">
        <v>0</v>
      </c>
      <c r="Z23" s="510">
        <f t="shared" si="10"/>
        <v>3.9230769230769229</v>
      </c>
      <c r="AA23" s="618">
        <f t="shared" si="11"/>
        <v>0</v>
      </c>
      <c r="AB23" s="1001">
        <v>0</v>
      </c>
      <c r="AC23" s="1467">
        <f t="shared" si="12"/>
        <v>27</v>
      </c>
      <c r="AD23" s="1724">
        <v>0</v>
      </c>
      <c r="AE23" s="1121">
        <v>0</v>
      </c>
      <c r="AF23" s="1629">
        <v>0</v>
      </c>
      <c r="AG23" s="1412">
        <v>0</v>
      </c>
      <c r="AH23" s="618">
        <v>10</v>
      </c>
      <c r="AI23" s="618">
        <v>3</v>
      </c>
      <c r="AJ23" s="618">
        <v>10</v>
      </c>
      <c r="AK23" s="618">
        <v>10</v>
      </c>
      <c r="AL23" s="1148">
        <f t="shared" si="13"/>
        <v>352.75207017487321</v>
      </c>
      <c r="AM23" s="1278">
        <v>0</v>
      </c>
      <c r="AN23" s="1018">
        <v>102</v>
      </c>
      <c r="AO23" s="1096">
        <f>'Tax Calulation     '!P23</f>
        <v>0</v>
      </c>
      <c r="AP23" s="1096">
        <f>'Tax Calulation     '!W23</f>
        <v>5.9084194977843429</v>
      </c>
      <c r="AQ23" s="1686">
        <f t="shared" si="14"/>
        <v>244.84365067708887</v>
      </c>
      <c r="AR23" s="1682">
        <f t="shared" si="23"/>
        <v>181200</v>
      </c>
      <c r="AS23" s="1683">
        <f t="shared" ref="AS23" si="95">CEILING(AQ23,(100))-100</f>
        <v>200</v>
      </c>
      <c r="AT23" s="502"/>
      <c r="AU23" s="504"/>
      <c r="AV23" s="505"/>
      <c r="AW23" s="502">
        <f t="shared" si="15"/>
        <v>2</v>
      </c>
      <c r="AX23" s="502">
        <f t="shared" si="16"/>
        <v>0</v>
      </c>
      <c r="AY23" s="1073">
        <f>AW23*100+AX23*50</f>
        <v>200</v>
      </c>
      <c r="AZ23" s="1073">
        <f t="shared" si="17"/>
        <v>3</v>
      </c>
      <c r="BA23" s="548">
        <f t="shared" si="18"/>
        <v>3</v>
      </c>
      <c r="BB23" s="548">
        <f t="shared" si="19"/>
        <v>0</v>
      </c>
      <c r="BC23" s="548">
        <f t="shared" si="20"/>
        <v>1</v>
      </c>
      <c r="BD23" s="548">
        <f t="shared" si="21"/>
        <v>0</v>
      </c>
      <c r="BE23" s="548">
        <f t="shared" si="22"/>
        <v>2</v>
      </c>
      <c r="BF23" s="549">
        <f t="shared" ref="BF23" si="96">AZ23*50000+BA23*10000+BB23*5000+BC23*1000+BD23*500+BE23*100</f>
        <v>181200</v>
      </c>
      <c r="BH23" s="578" t="s">
        <v>1560</v>
      </c>
      <c r="BI23" s="578" t="s">
        <v>572</v>
      </c>
      <c r="BJ23" s="1156">
        <v>31932</v>
      </c>
      <c r="BK23" s="969"/>
      <c r="BL23" s="531">
        <v>110598166</v>
      </c>
    </row>
    <row r="24" spans="1:64" s="755" customFormat="1" ht="51" customHeight="1">
      <c r="A24" s="1369">
        <v>18</v>
      </c>
      <c r="B24" s="1602" t="s">
        <v>2092</v>
      </c>
      <c r="C24" s="1153" t="s">
        <v>2093</v>
      </c>
      <c r="D24" s="1326">
        <v>44684</v>
      </c>
      <c r="E24" s="1637" t="s">
        <v>260</v>
      </c>
      <c r="F24" s="617">
        <f>206</f>
        <v>206</v>
      </c>
      <c r="G24" s="617">
        <v>2</v>
      </c>
      <c r="H24" s="1001">
        <v>22</v>
      </c>
      <c r="I24" s="1408">
        <f t="shared" si="0"/>
        <v>174.30769230769232</v>
      </c>
      <c r="J24" s="618">
        <f t="shared" si="1"/>
        <v>174.30769230769232</v>
      </c>
      <c r="K24" s="1001">
        <v>68</v>
      </c>
      <c r="L24" s="510">
        <f t="shared" ref="L24" si="97">F24/26/8*1.5</f>
        <v>1.4855769230769231</v>
      </c>
      <c r="M24" s="618">
        <f t="shared" si="3"/>
        <v>101.01923076923077</v>
      </c>
      <c r="N24" s="1001">
        <v>0</v>
      </c>
      <c r="O24" s="510">
        <f t="shared" ref="O24" si="98">F24/26/8*2</f>
        <v>1.9807692307692308</v>
      </c>
      <c r="P24" s="503">
        <f t="shared" ref="P24" si="99">N24*O24</f>
        <v>0</v>
      </c>
      <c r="Q24" s="1001">
        <v>24</v>
      </c>
      <c r="R24" s="510">
        <f t="shared" ref="R24" si="100">F24/26/8*2</f>
        <v>1.9807692307692308</v>
      </c>
      <c r="S24" s="618">
        <f t="shared" ref="S24" si="101">R24*Q24</f>
        <v>47.53846153846154</v>
      </c>
      <c r="T24" s="1001">
        <v>5</v>
      </c>
      <c r="U24" s="510">
        <f t="shared" ref="U24" si="102">F24/26</f>
        <v>7.9230769230769234</v>
      </c>
      <c r="V24" s="618">
        <f t="shared" si="9"/>
        <v>39.615384615384613</v>
      </c>
      <c r="W24" s="1001">
        <v>0</v>
      </c>
      <c r="X24" s="618">
        <f>'S6 Salary'!T25*'S6'!W24</f>
        <v>0</v>
      </c>
      <c r="Y24" s="1001">
        <v>0</v>
      </c>
      <c r="Z24" s="510">
        <f t="shared" ref="Z24" si="103">F24/26/2</f>
        <v>3.9615384615384617</v>
      </c>
      <c r="AA24" s="618">
        <f t="shared" ref="AA24" si="104">Y24*Z24</f>
        <v>0</v>
      </c>
      <c r="AB24" s="1001">
        <v>0</v>
      </c>
      <c r="AC24" s="1467">
        <f t="shared" si="12"/>
        <v>27</v>
      </c>
      <c r="AD24" s="1724">
        <v>0</v>
      </c>
      <c r="AE24" s="1121">
        <v>0</v>
      </c>
      <c r="AF24" s="1629">
        <f>4+4</f>
        <v>8</v>
      </c>
      <c r="AG24" s="1412">
        <v>0</v>
      </c>
      <c r="AH24" s="618">
        <v>10</v>
      </c>
      <c r="AI24" s="618">
        <v>3</v>
      </c>
      <c r="AJ24" s="618">
        <v>10</v>
      </c>
      <c r="AK24" s="618">
        <v>10</v>
      </c>
      <c r="AL24" s="1148">
        <f t="shared" si="13"/>
        <v>405.48076923076928</v>
      </c>
      <c r="AM24" s="1278">
        <v>0</v>
      </c>
      <c r="AN24" s="1018">
        <v>102</v>
      </c>
      <c r="AO24" s="1096">
        <f>'Tax Calulation     '!P24</f>
        <v>0</v>
      </c>
      <c r="AP24" s="1096">
        <f>'Tax Calulation     '!W24</f>
        <v>5.9084194977843429</v>
      </c>
      <c r="AQ24" s="1686">
        <f t="shared" si="14"/>
        <v>297.57234973298495</v>
      </c>
      <c r="AR24" s="1682">
        <f t="shared" si="23"/>
        <v>394200</v>
      </c>
      <c r="AS24" s="1683">
        <f t="shared" ref="AS24" si="105">CEILING(AQ24,(100))-100</f>
        <v>200</v>
      </c>
      <c r="AT24" s="502"/>
      <c r="AU24" s="504"/>
      <c r="AV24" s="505"/>
      <c r="AW24" s="502">
        <f t="shared" ref="AW24" si="106">INT(AS24/100)</f>
        <v>2</v>
      </c>
      <c r="AX24" s="502">
        <f t="shared" ref="AX24" si="107">INT((AS24-AW24*100)/50)</f>
        <v>0</v>
      </c>
      <c r="AY24" s="1113">
        <f>AW24*100+AX24*50</f>
        <v>200</v>
      </c>
      <c r="AZ24" s="1113">
        <f t="shared" ref="AZ24" si="108">INT((AR24/50000))</f>
        <v>7</v>
      </c>
      <c r="BA24" s="548">
        <f t="shared" ref="BA24" si="109">INT((AR24-AZ24*50000)/10000)</f>
        <v>4</v>
      </c>
      <c r="BB24" s="548">
        <f t="shared" ref="BB24" si="110">INT((AR24-AZ24*50000-BA24*10000)/5000)</f>
        <v>0</v>
      </c>
      <c r="BC24" s="548">
        <f t="shared" ref="BC24" si="111">INT((AR24-AZ24*50000-BA24*10000-BB24*5000)/1000)</f>
        <v>4</v>
      </c>
      <c r="BD24" s="548">
        <f t="shared" ref="BD24" si="112">INT((AR24-AZ24*50000-BA24*10000-BB24*5000-BC24*1000)/500)</f>
        <v>0</v>
      </c>
      <c r="BE24" s="548">
        <f t="shared" ref="BE24" si="113">INT((AR24-AZ24*50000-BA24*10000-BB24*5000-BC24*1000-BD24*500)/100)</f>
        <v>2</v>
      </c>
      <c r="BF24" s="549">
        <f t="shared" ref="BF24" si="114">AZ24*50000+BA24*10000+BB24*5000+BC24*1000+BD24*500+BE24*100</f>
        <v>394200</v>
      </c>
      <c r="BH24" s="578" t="s">
        <v>2099</v>
      </c>
      <c r="BI24" s="578" t="s">
        <v>572</v>
      </c>
      <c r="BJ24" s="1154">
        <v>35987</v>
      </c>
      <c r="BK24" s="969" t="s">
        <v>2100</v>
      </c>
      <c r="BL24" s="970" t="s">
        <v>2101</v>
      </c>
    </row>
    <row r="25" spans="1:64" s="755" customFormat="1" ht="51" customHeight="1">
      <c r="A25" s="1369">
        <v>19</v>
      </c>
      <c r="B25" s="1602" t="s">
        <v>1525</v>
      </c>
      <c r="C25" s="1153" t="s">
        <v>1526</v>
      </c>
      <c r="D25" s="1841">
        <v>44692</v>
      </c>
      <c r="E25" s="1637" t="s">
        <v>260</v>
      </c>
      <c r="F25" s="617">
        <f>206</f>
        <v>206</v>
      </c>
      <c r="G25" s="617">
        <v>2</v>
      </c>
      <c r="H25" s="1001">
        <v>22</v>
      </c>
      <c r="I25" s="1408">
        <f t="shared" si="0"/>
        <v>174.30769230769232</v>
      </c>
      <c r="J25" s="618">
        <f t="shared" si="1"/>
        <v>174.30769230769232</v>
      </c>
      <c r="K25" s="1001">
        <v>48</v>
      </c>
      <c r="L25" s="510">
        <f t="shared" si="2"/>
        <v>1.4855769230769231</v>
      </c>
      <c r="M25" s="618">
        <f t="shared" si="3"/>
        <v>71.307692307692307</v>
      </c>
      <c r="N25" s="1001">
        <v>0</v>
      </c>
      <c r="O25" s="510">
        <f t="shared" si="4"/>
        <v>1.9807692307692308</v>
      </c>
      <c r="P25" s="503">
        <f t="shared" si="5"/>
        <v>0</v>
      </c>
      <c r="Q25" s="1001">
        <v>0</v>
      </c>
      <c r="R25" s="510">
        <f t="shared" si="6"/>
        <v>1.9807692307692308</v>
      </c>
      <c r="S25" s="618">
        <f t="shared" si="7"/>
        <v>0</v>
      </c>
      <c r="T25" s="1001">
        <v>5</v>
      </c>
      <c r="U25" s="510">
        <f t="shared" si="8"/>
        <v>7.9230769230769234</v>
      </c>
      <c r="V25" s="618">
        <f t="shared" si="9"/>
        <v>39.615384615384613</v>
      </c>
      <c r="W25" s="1001">
        <v>0</v>
      </c>
      <c r="X25" s="618">
        <f>'S6 Salary'!T26*'S6'!W25</f>
        <v>0</v>
      </c>
      <c r="Y25" s="1001">
        <v>0</v>
      </c>
      <c r="Z25" s="510">
        <f t="shared" si="10"/>
        <v>3.9615384615384617</v>
      </c>
      <c r="AA25" s="618">
        <f t="shared" si="11"/>
        <v>0</v>
      </c>
      <c r="AB25" s="1001">
        <v>0</v>
      </c>
      <c r="AC25" s="1467">
        <f t="shared" si="12"/>
        <v>27</v>
      </c>
      <c r="AD25" s="1724">
        <v>0</v>
      </c>
      <c r="AE25" s="1121">
        <v>0</v>
      </c>
      <c r="AF25" s="1629">
        <f>4+4</f>
        <v>8</v>
      </c>
      <c r="AG25" s="1412">
        <v>0</v>
      </c>
      <c r="AH25" s="618">
        <v>10</v>
      </c>
      <c r="AI25" s="618">
        <v>3</v>
      </c>
      <c r="AJ25" s="618">
        <v>10</v>
      </c>
      <c r="AK25" s="618">
        <v>10</v>
      </c>
      <c r="AL25" s="1148">
        <f t="shared" si="13"/>
        <v>328.23076923076928</v>
      </c>
      <c r="AM25" s="1278">
        <v>0</v>
      </c>
      <c r="AN25" s="1018">
        <v>102</v>
      </c>
      <c r="AO25" s="1096">
        <f>'Tax Calulation     '!P25</f>
        <v>0</v>
      </c>
      <c r="AP25" s="1096">
        <f>'Tax Calulation     '!W25</f>
        <v>5.9084194977843429</v>
      </c>
      <c r="AQ25" s="1686">
        <f t="shared" si="14"/>
        <v>220.32234973298495</v>
      </c>
      <c r="AR25" s="1682">
        <f t="shared" si="23"/>
        <v>82100</v>
      </c>
      <c r="AS25" s="1683">
        <f t="shared" ref="AS25" si="115">CEILING(AQ25,(100))-100</f>
        <v>200</v>
      </c>
      <c r="AT25" s="502"/>
      <c r="AU25" s="504"/>
      <c r="AV25" s="505"/>
      <c r="AW25" s="502">
        <f t="shared" si="15"/>
        <v>2</v>
      </c>
      <c r="AX25" s="502">
        <f t="shared" si="16"/>
        <v>0</v>
      </c>
      <c r="AY25" s="1083">
        <f t="shared" ref="AY25" si="116">AW25*100+AX25*50</f>
        <v>200</v>
      </c>
      <c r="AZ25" s="1083">
        <f t="shared" si="17"/>
        <v>1</v>
      </c>
      <c r="BA25" s="548">
        <f t="shared" si="18"/>
        <v>3</v>
      </c>
      <c r="BB25" s="548">
        <f t="shared" si="19"/>
        <v>0</v>
      </c>
      <c r="BC25" s="548">
        <f t="shared" si="20"/>
        <v>2</v>
      </c>
      <c r="BD25" s="548">
        <f t="shared" si="21"/>
        <v>0</v>
      </c>
      <c r="BE25" s="548">
        <f t="shared" si="22"/>
        <v>1</v>
      </c>
      <c r="BF25" s="549">
        <f t="shared" ref="BF25" si="117">AZ25*50000+BA25*10000+BB25*5000+BC25*1000+BD25*500+BE25*100</f>
        <v>82100</v>
      </c>
      <c r="BH25" s="578" t="s">
        <v>1547</v>
      </c>
      <c r="BI25" s="578" t="s">
        <v>572</v>
      </c>
      <c r="BJ25" s="1154">
        <v>34441</v>
      </c>
      <c r="BK25" s="969" t="s">
        <v>1545</v>
      </c>
      <c r="BL25" s="970" t="s">
        <v>1546</v>
      </c>
    </row>
    <row r="26" spans="1:64" s="755" customFormat="1" ht="51" customHeight="1">
      <c r="A26" s="1369">
        <v>20</v>
      </c>
      <c r="B26" s="1596" t="s">
        <v>1567</v>
      </c>
      <c r="C26" s="1448" t="s">
        <v>1568</v>
      </c>
      <c r="D26" s="1851">
        <v>44720</v>
      </c>
      <c r="E26" s="1637" t="s">
        <v>260</v>
      </c>
      <c r="F26" s="617">
        <f>201+3</f>
        <v>204</v>
      </c>
      <c r="G26" s="617">
        <v>2</v>
      </c>
      <c r="H26" s="1001">
        <v>22</v>
      </c>
      <c r="I26" s="1408">
        <f t="shared" si="0"/>
        <v>172.61538461538461</v>
      </c>
      <c r="J26" s="618">
        <f t="shared" si="1"/>
        <v>172.61538461538461</v>
      </c>
      <c r="K26" s="1001">
        <v>66</v>
      </c>
      <c r="L26" s="510">
        <f t="shared" si="2"/>
        <v>1.471153846153846</v>
      </c>
      <c r="M26" s="618">
        <f t="shared" si="3"/>
        <v>97.09615384615384</v>
      </c>
      <c r="N26" s="1001">
        <v>0</v>
      </c>
      <c r="O26" s="510">
        <f t="shared" si="4"/>
        <v>1.9615384615384615</v>
      </c>
      <c r="P26" s="503">
        <f t="shared" si="5"/>
        <v>0</v>
      </c>
      <c r="Q26" s="1001">
        <v>24</v>
      </c>
      <c r="R26" s="510">
        <f t="shared" si="6"/>
        <v>1.9615384615384615</v>
      </c>
      <c r="S26" s="618">
        <f t="shared" si="7"/>
        <v>47.076923076923073</v>
      </c>
      <c r="T26" s="1001">
        <v>5</v>
      </c>
      <c r="U26" s="510">
        <f t="shared" si="8"/>
        <v>7.8461538461538458</v>
      </c>
      <c r="V26" s="618">
        <f t="shared" si="9"/>
        <v>39.230769230769226</v>
      </c>
      <c r="W26" s="1001">
        <v>0</v>
      </c>
      <c r="X26" s="618">
        <f>'S6 Salary'!T27*'S6'!W26</f>
        <v>0</v>
      </c>
      <c r="Y26" s="1001">
        <v>0</v>
      </c>
      <c r="Z26" s="510">
        <f t="shared" si="10"/>
        <v>3.9230769230769229</v>
      </c>
      <c r="AA26" s="618">
        <f t="shared" si="11"/>
        <v>0</v>
      </c>
      <c r="AB26" s="1001">
        <v>0</v>
      </c>
      <c r="AC26" s="1467">
        <f t="shared" si="12"/>
        <v>27</v>
      </c>
      <c r="AD26" s="1724">
        <v>0</v>
      </c>
      <c r="AE26" s="1121">
        <v>0</v>
      </c>
      <c r="AF26" s="1629">
        <v>5</v>
      </c>
      <c r="AG26" s="1412">
        <v>0</v>
      </c>
      <c r="AH26" s="618">
        <v>10</v>
      </c>
      <c r="AI26" s="618">
        <v>3</v>
      </c>
      <c r="AJ26" s="618">
        <v>10</v>
      </c>
      <c r="AK26" s="618">
        <v>10</v>
      </c>
      <c r="AL26" s="1148">
        <f t="shared" si="13"/>
        <v>396.01923076923077</v>
      </c>
      <c r="AM26" s="1278">
        <v>0</v>
      </c>
      <c r="AN26" s="1018">
        <v>102</v>
      </c>
      <c r="AO26" s="1096">
        <f>'Tax Calulation     '!P26</f>
        <v>0</v>
      </c>
      <c r="AP26" s="1096">
        <f>'Tax Calulation     '!W26</f>
        <v>5.9084194977843429</v>
      </c>
      <c r="AQ26" s="1686">
        <f t="shared" si="14"/>
        <v>288.11081127144644</v>
      </c>
      <c r="AR26" s="1682">
        <f t="shared" si="23"/>
        <v>356000</v>
      </c>
      <c r="AS26" s="1683">
        <f t="shared" ref="AS26" si="118">CEILING(AQ26,(100))-100</f>
        <v>200</v>
      </c>
      <c r="AT26" s="502"/>
      <c r="AU26" s="504"/>
      <c r="AV26" s="505"/>
      <c r="AW26" s="502">
        <f t="shared" si="15"/>
        <v>2</v>
      </c>
      <c r="AX26" s="502">
        <f t="shared" si="16"/>
        <v>0</v>
      </c>
      <c r="AY26" s="1094">
        <f t="shared" ref="AY26" si="119">AW26*100+AX26*50</f>
        <v>200</v>
      </c>
      <c r="AZ26" s="1094">
        <f t="shared" si="17"/>
        <v>7</v>
      </c>
      <c r="BA26" s="548">
        <f t="shared" si="18"/>
        <v>0</v>
      </c>
      <c r="BB26" s="548">
        <f t="shared" si="19"/>
        <v>1</v>
      </c>
      <c r="BC26" s="548">
        <f t="shared" si="20"/>
        <v>1</v>
      </c>
      <c r="BD26" s="548">
        <f t="shared" si="21"/>
        <v>0</v>
      </c>
      <c r="BE26" s="548">
        <f t="shared" si="22"/>
        <v>0</v>
      </c>
      <c r="BF26" s="549">
        <f t="shared" ref="BF26" si="120">AZ26*50000+BA26*10000+BB26*5000+BC26*1000+BD26*500+BE26*100</f>
        <v>356000</v>
      </c>
      <c r="BH26" s="799" t="s">
        <v>1585</v>
      </c>
      <c r="BI26" s="578" t="s">
        <v>572</v>
      </c>
      <c r="BJ26" s="1162">
        <v>30715</v>
      </c>
      <c r="BK26" s="1100" t="s">
        <v>1586</v>
      </c>
      <c r="BL26" s="1099">
        <v>110237380</v>
      </c>
    </row>
    <row r="27" spans="1:64" s="755" customFormat="1" ht="51" customHeight="1">
      <c r="A27" s="1369">
        <v>21</v>
      </c>
      <c r="B27" s="1418" t="s">
        <v>1238</v>
      </c>
      <c r="C27" s="1330" t="s">
        <v>553</v>
      </c>
      <c r="D27" s="1851">
        <v>43872</v>
      </c>
      <c r="E27" s="1637" t="s">
        <v>260</v>
      </c>
      <c r="F27" s="617">
        <f>206</f>
        <v>206</v>
      </c>
      <c r="G27" s="617">
        <f>2</f>
        <v>2</v>
      </c>
      <c r="H27" s="1001">
        <v>21</v>
      </c>
      <c r="I27" s="1408">
        <f t="shared" si="0"/>
        <v>166.38461538461539</v>
      </c>
      <c r="J27" s="618">
        <f t="shared" si="1"/>
        <v>166.38461538461539</v>
      </c>
      <c r="K27" s="1001">
        <v>60</v>
      </c>
      <c r="L27" s="510">
        <f t="shared" si="2"/>
        <v>1.4855769230769231</v>
      </c>
      <c r="M27" s="618">
        <f t="shared" si="3"/>
        <v>89.134615384615387</v>
      </c>
      <c r="N27" s="1001">
        <v>0</v>
      </c>
      <c r="O27" s="510">
        <f t="shared" si="4"/>
        <v>1.9807692307692308</v>
      </c>
      <c r="P27" s="503">
        <f t="shared" si="5"/>
        <v>0</v>
      </c>
      <c r="Q27" s="1001">
        <v>24</v>
      </c>
      <c r="R27" s="510">
        <f t="shared" si="6"/>
        <v>1.9807692307692308</v>
      </c>
      <c r="S27" s="618">
        <f t="shared" si="7"/>
        <v>47.53846153846154</v>
      </c>
      <c r="T27" s="1001">
        <v>6</v>
      </c>
      <c r="U27" s="510">
        <f t="shared" si="8"/>
        <v>7.9230769230769234</v>
      </c>
      <c r="V27" s="618">
        <f t="shared" si="9"/>
        <v>47.53846153846154</v>
      </c>
      <c r="W27" s="1001">
        <v>0</v>
      </c>
      <c r="X27" s="618">
        <f>'S6 Salary'!T28*'S6'!W27</f>
        <v>0</v>
      </c>
      <c r="Y27" s="1001">
        <v>0</v>
      </c>
      <c r="Z27" s="510">
        <f t="shared" si="10"/>
        <v>3.9615384615384617</v>
      </c>
      <c r="AA27" s="618">
        <f t="shared" si="11"/>
        <v>0</v>
      </c>
      <c r="AB27" s="1001">
        <v>0</v>
      </c>
      <c r="AC27" s="1467">
        <f t="shared" si="12"/>
        <v>27</v>
      </c>
      <c r="AD27" s="1724">
        <v>0</v>
      </c>
      <c r="AE27" s="1121">
        <v>0</v>
      </c>
      <c r="AF27" s="1629">
        <f>4+4</f>
        <v>8</v>
      </c>
      <c r="AG27" s="1412">
        <v>0</v>
      </c>
      <c r="AH27" s="618">
        <v>10</v>
      </c>
      <c r="AI27" s="618">
        <v>5</v>
      </c>
      <c r="AJ27" s="618">
        <v>10</v>
      </c>
      <c r="AK27" s="618">
        <v>10</v>
      </c>
      <c r="AL27" s="1148">
        <f t="shared" si="13"/>
        <v>395.59615384615387</v>
      </c>
      <c r="AM27" s="1278">
        <v>0.5</v>
      </c>
      <c r="AN27" s="1018">
        <v>102</v>
      </c>
      <c r="AO27" s="1096">
        <f>'Tax Calulation     '!P27</f>
        <v>0</v>
      </c>
      <c r="AP27" s="1096">
        <f>'Tax Calulation     '!W27</f>
        <v>5.9084194977843429</v>
      </c>
      <c r="AQ27" s="1686">
        <f t="shared" si="14"/>
        <v>287.18773434836953</v>
      </c>
      <c r="AR27" s="1682">
        <f t="shared" si="23"/>
        <v>352200</v>
      </c>
      <c r="AS27" s="1683">
        <f t="shared" si="24"/>
        <v>200</v>
      </c>
      <c r="AT27" s="502"/>
      <c r="AU27" s="504"/>
      <c r="AV27" s="505"/>
      <c r="AW27" s="502">
        <f t="shared" si="15"/>
        <v>2</v>
      </c>
      <c r="AX27" s="502">
        <f t="shared" si="16"/>
        <v>0</v>
      </c>
      <c r="AY27" s="573">
        <f t="shared" si="25"/>
        <v>200</v>
      </c>
      <c r="AZ27" s="573">
        <f t="shared" si="17"/>
        <v>7</v>
      </c>
      <c r="BA27" s="548">
        <f t="shared" si="18"/>
        <v>0</v>
      </c>
      <c r="BB27" s="548">
        <f t="shared" si="19"/>
        <v>0</v>
      </c>
      <c r="BC27" s="548">
        <f t="shared" si="20"/>
        <v>2</v>
      </c>
      <c r="BD27" s="548">
        <f t="shared" si="21"/>
        <v>0</v>
      </c>
      <c r="BE27" s="548">
        <f t="shared" si="22"/>
        <v>2</v>
      </c>
      <c r="BF27" s="549">
        <f t="shared" si="26"/>
        <v>352200</v>
      </c>
      <c r="BH27" s="628" t="s">
        <v>834</v>
      </c>
      <c r="BI27" s="628" t="s">
        <v>574</v>
      </c>
      <c r="BJ27" s="1155">
        <v>35374</v>
      </c>
      <c r="BK27" s="756" t="s">
        <v>644</v>
      </c>
      <c r="BL27" s="757">
        <v>50783790</v>
      </c>
    </row>
    <row r="28" spans="1:64" s="755" customFormat="1" ht="51" customHeight="1">
      <c r="A28" s="1369">
        <v>22</v>
      </c>
      <c r="B28" s="1595" t="s">
        <v>1240</v>
      </c>
      <c r="C28" s="1855" t="s">
        <v>505</v>
      </c>
      <c r="D28" s="1851">
        <v>41362</v>
      </c>
      <c r="E28" s="1637" t="s">
        <v>260</v>
      </c>
      <c r="F28" s="617">
        <f>13+154+17+12+8+2</f>
        <v>206</v>
      </c>
      <c r="G28" s="617">
        <f>2</f>
        <v>2</v>
      </c>
      <c r="H28" s="1001">
        <v>20</v>
      </c>
      <c r="I28" s="1408">
        <f t="shared" si="0"/>
        <v>158.46153846153845</v>
      </c>
      <c r="J28" s="618">
        <f t="shared" si="1"/>
        <v>158.46153846153845</v>
      </c>
      <c r="K28" s="1001">
        <v>26</v>
      </c>
      <c r="L28" s="510">
        <f t="shared" si="2"/>
        <v>1.4855769230769231</v>
      </c>
      <c r="M28" s="618">
        <f t="shared" si="3"/>
        <v>38.625</v>
      </c>
      <c r="N28" s="1001">
        <v>0</v>
      </c>
      <c r="O28" s="510">
        <f t="shared" si="4"/>
        <v>1.9807692307692308</v>
      </c>
      <c r="P28" s="503">
        <f t="shared" si="5"/>
        <v>0</v>
      </c>
      <c r="Q28" s="1001">
        <v>0</v>
      </c>
      <c r="R28" s="510">
        <f t="shared" si="6"/>
        <v>1.9807692307692308</v>
      </c>
      <c r="S28" s="618">
        <f t="shared" si="7"/>
        <v>0</v>
      </c>
      <c r="T28" s="1001">
        <v>5</v>
      </c>
      <c r="U28" s="510">
        <f t="shared" si="8"/>
        <v>7.9230769230769234</v>
      </c>
      <c r="V28" s="618">
        <f t="shared" si="9"/>
        <v>39.615384615384613</v>
      </c>
      <c r="W28" s="1001">
        <v>1</v>
      </c>
      <c r="X28" s="618">
        <f>'S6 Salary'!T29*'S6'!W28</f>
        <v>10.183223098283396</v>
      </c>
      <c r="Y28" s="1001">
        <v>0</v>
      </c>
      <c r="Z28" s="510">
        <f t="shared" si="10"/>
        <v>3.9615384615384617</v>
      </c>
      <c r="AA28" s="618">
        <f t="shared" si="11"/>
        <v>0</v>
      </c>
      <c r="AB28" s="1001">
        <v>1</v>
      </c>
      <c r="AC28" s="1467">
        <f t="shared" si="12"/>
        <v>27</v>
      </c>
      <c r="AD28" s="1724">
        <v>0</v>
      </c>
      <c r="AE28" s="1121">
        <v>0</v>
      </c>
      <c r="AF28" s="1629">
        <f>4+4</f>
        <v>8</v>
      </c>
      <c r="AG28" s="1412">
        <v>0</v>
      </c>
      <c r="AH28" s="618">
        <v>0</v>
      </c>
      <c r="AI28" s="618">
        <v>11</v>
      </c>
      <c r="AJ28" s="618">
        <v>10</v>
      </c>
      <c r="AK28" s="618">
        <v>10</v>
      </c>
      <c r="AL28" s="1148">
        <f t="shared" si="13"/>
        <v>287.8851461752065</v>
      </c>
      <c r="AM28" s="1278">
        <v>0</v>
      </c>
      <c r="AN28" s="1018">
        <v>102</v>
      </c>
      <c r="AO28" s="1096">
        <f>'Tax Calulation     '!P28</f>
        <v>0</v>
      </c>
      <c r="AP28" s="1096">
        <f>'Tax Calulation     '!W28</f>
        <v>5.7577029235041302</v>
      </c>
      <c r="AQ28" s="1686">
        <f t="shared" si="14"/>
        <v>180.12744325170237</v>
      </c>
      <c r="AR28" s="1682">
        <f t="shared" si="23"/>
        <v>323700</v>
      </c>
      <c r="AS28" s="1683">
        <f t="shared" si="24"/>
        <v>100</v>
      </c>
      <c r="AT28" s="502"/>
      <c r="AU28" s="504"/>
      <c r="AV28" s="505">
        <f t="shared" ref="AV28:AV33" si="121">(J28+M28+P28+S28+V28+AA28+AH28+AI28+AJ28+AK28)*4000</f>
        <v>1070807.6923076925</v>
      </c>
      <c r="AW28" s="502">
        <f t="shared" si="15"/>
        <v>1</v>
      </c>
      <c r="AX28" s="502">
        <f t="shared" si="16"/>
        <v>0</v>
      </c>
      <c r="AY28" s="573">
        <f t="shared" si="25"/>
        <v>100</v>
      </c>
      <c r="AZ28" s="573">
        <f t="shared" si="17"/>
        <v>6</v>
      </c>
      <c r="BA28" s="548">
        <f t="shared" si="18"/>
        <v>2</v>
      </c>
      <c r="BB28" s="548">
        <f t="shared" si="19"/>
        <v>0</v>
      </c>
      <c r="BC28" s="548">
        <f t="shared" si="20"/>
        <v>3</v>
      </c>
      <c r="BD28" s="548">
        <f t="shared" si="21"/>
        <v>1</v>
      </c>
      <c r="BE28" s="548">
        <f t="shared" si="22"/>
        <v>2</v>
      </c>
      <c r="BF28" s="549">
        <f t="shared" si="26"/>
        <v>323700</v>
      </c>
      <c r="BH28" s="625" t="s">
        <v>835</v>
      </c>
      <c r="BI28" s="625" t="s">
        <v>574</v>
      </c>
      <c r="BJ28" s="1155">
        <v>29870</v>
      </c>
      <c r="BK28" s="756" t="s">
        <v>645</v>
      </c>
      <c r="BL28" s="757">
        <v>30633825</v>
      </c>
    </row>
    <row r="29" spans="1:64" s="755" customFormat="1" ht="51" customHeight="1">
      <c r="A29" s="1369">
        <v>23</v>
      </c>
      <c r="B29" s="1418" t="s">
        <v>1241</v>
      </c>
      <c r="C29" s="1330" t="s">
        <v>302</v>
      </c>
      <c r="D29" s="1851">
        <v>42542</v>
      </c>
      <c r="E29" s="1637" t="s">
        <v>260</v>
      </c>
      <c r="F29" s="617">
        <f>13+154+17+12+8+2</f>
        <v>206</v>
      </c>
      <c r="G29" s="617">
        <f>2</f>
        <v>2</v>
      </c>
      <c r="H29" s="1001">
        <v>22</v>
      </c>
      <c r="I29" s="1408">
        <f t="shared" si="0"/>
        <v>174.30769230769232</v>
      </c>
      <c r="J29" s="618">
        <f t="shared" si="1"/>
        <v>174.30769230769232</v>
      </c>
      <c r="K29" s="1001">
        <v>54</v>
      </c>
      <c r="L29" s="510">
        <f t="shared" si="2"/>
        <v>1.4855769230769231</v>
      </c>
      <c r="M29" s="618">
        <f t="shared" si="3"/>
        <v>80.221153846153854</v>
      </c>
      <c r="N29" s="1001">
        <v>0</v>
      </c>
      <c r="O29" s="510">
        <f t="shared" si="4"/>
        <v>1.9807692307692308</v>
      </c>
      <c r="P29" s="503">
        <f t="shared" si="5"/>
        <v>0</v>
      </c>
      <c r="Q29" s="1001">
        <v>24</v>
      </c>
      <c r="R29" s="510">
        <f t="shared" si="6"/>
        <v>1.9807692307692308</v>
      </c>
      <c r="S29" s="618">
        <f t="shared" si="7"/>
        <v>47.53846153846154</v>
      </c>
      <c r="T29" s="1001">
        <v>5</v>
      </c>
      <c r="U29" s="510">
        <f t="shared" si="8"/>
        <v>7.9230769230769234</v>
      </c>
      <c r="V29" s="618">
        <f t="shared" si="9"/>
        <v>39.615384615384613</v>
      </c>
      <c r="W29" s="1001">
        <v>0</v>
      </c>
      <c r="X29" s="618">
        <f>'S6 Salary'!T30*'S6'!W29</f>
        <v>0</v>
      </c>
      <c r="Y29" s="1001">
        <v>0</v>
      </c>
      <c r="Z29" s="510">
        <f t="shared" si="10"/>
        <v>3.9615384615384617</v>
      </c>
      <c r="AA29" s="618">
        <f t="shared" si="11"/>
        <v>0</v>
      </c>
      <c r="AB29" s="1001">
        <v>0</v>
      </c>
      <c r="AC29" s="1467">
        <f t="shared" si="12"/>
        <v>27</v>
      </c>
      <c r="AD29" s="1724">
        <v>0</v>
      </c>
      <c r="AE29" s="1121">
        <v>0</v>
      </c>
      <c r="AF29" s="1629">
        <f>4+4</f>
        <v>8</v>
      </c>
      <c r="AG29" s="1412">
        <v>0</v>
      </c>
      <c r="AH29" s="618">
        <v>10</v>
      </c>
      <c r="AI29" s="618">
        <v>9</v>
      </c>
      <c r="AJ29" s="618">
        <v>10</v>
      </c>
      <c r="AK29" s="618">
        <v>10</v>
      </c>
      <c r="AL29" s="1148">
        <f t="shared" si="13"/>
        <v>390.68269230769238</v>
      </c>
      <c r="AM29" s="1278">
        <v>0</v>
      </c>
      <c r="AN29" s="1018">
        <v>102</v>
      </c>
      <c r="AO29" s="1096">
        <f>'Tax Calulation     '!P29</f>
        <v>0</v>
      </c>
      <c r="AP29" s="1096">
        <f>'Tax Calulation     '!W29</f>
        <v>5.9084194977843429</v>
      </c>
      <c r="AQ29" s="1686">
        <f t="shared" si="14"/>
        <v>282.77427280990804</v>
      </c>
      <c r="AR29" s="1682">
        <f t="shared" si="23"/>
        <v>334400</v>
      </c>
      <c r="AS29" s="1683">
        <f t="shared" si="24"/>
        <v>200</v>
      </c>
      <c r="AT29" s="502"/>
      <c r="AU29" s="504"/>
      <c r="AV29" s="505">
        <f t="shared" si="121"/>
        <v>1522730.7692307695</v>
      </c>
      <c r="AW29" s="502">
        <f t="shared" si="15"/>
        <v>2</v>
      </c>
      <c r="AX29" s="502">
        <f t="shared" si="16"/>
        <v>0</v>
      </c>
      <c r="AY29" s="573">
        <f t="shared" si="25"/>
        <v>200</v>
      </c>
      <c r="AZ29" s="573">
        <f t="shared" si="17"/>
        <v>6</v>
      </c>
      <c r="BA29" s="548">
        <f t="shared" si="18"/>
        <v>3</v>
      </c>
      <c r="BB29" s="548">
        <f t="shared" si="19"/>
        <v>0</v>
      </c>
      <c r="BC29" s="548">
        <f t="shared" si="20"/>
        <v>4</v>
      </c>
      <c r="BD29" s="548">
        <f t="shared" si="21"/>
        <v>0</v>
      </c>
      <c r="BE29" s="548">
        <f t="shared" si="22"/>
        <v>4</v>
      </c>
      <c r="BF29" s="549">
        <f t="shared" si="26"/>
        <v>334400</v>
      </c>
      <c r="BH29" s="628" t="s">
        <v>836</v>
      </c>
      <c r="BI29" s="628" t="s">
        <v>574</v>
      </c>
      <c r="BJ29" s="1155">
        <v>33215</v>
      </c>
      <c r="BK29" s="756" t="s">
        <v>646</v>
      </c>
      <c r="BL29" s="757">
        <v>20766974</v>
      </c>
    </row>
    <row r="30" spans="1:64" s="755" customFormat="1" ht="51" customHeight="1">
      <c r="A30" s="1369">
        <v>24</v>
      </c>
      <c r="B30" s="1595" t="s">
        <v>1243</v>
      </c>
      <c r="C30" s="1855" t="s">
        <v>314</v>
      </c>
      <c r="D30" s="1851">
        <v>41411</v>
      </c>
      <c r="E30" s="1637" t="s">
        <v>260</v>
      </c>
      <c r="F30" s="617">
        <f>13+149+17+12+8+2+3</f>
        <v>204</v>
      </c>
      <c r="G30" s="617">
        <f>2</f>
        <v>2</v>
      </c>
      <c r="H30" s="1001">
        <v>22</v>
      </c>
      <c r="I30" s="1408">
        <f t="shared" si="0"/>
        <v>172.61538461538461</v>
      </c>
      <c r="J30" s="618">
        <f t="shared" si="1"/>
        <v>172.61538461538461</v>
      </c>
      <c r="K30" s="1001">
        <v>30</v>
      </c>
      <c r="L30" s="510">
        <f t="shared" si="2"/>
        <v>1.471153846153846</v>
      </c>
      <c r="M30" s="618">
        <f t="shared" si="3"/>
        <v>44.13461538461538</v>
      </c>
      <c r="N30" s="1001">
        <v>0</v>
      </c>
      <c r="O30" s="510">
        <f t="shared" si="4"/>
        <v>1.9615384615384615</v>
      </c>
      <c r="P30" s="503">
        <f t="shared" si="5"/>
        <v>0</v>
      </c>
      <c r="Q30" s="1001">
        <v>0</v>
      </c>
      <c r="R30" s="510">
        <f t="shared" si="6"/>
        <v>1.9615384615384615</v>
      </c>
      <c r="S30" s="618">
        <f t="shared" si="7"/>
        <v>0</v>
      </c>
      <c r="T30" s="1001">
        <v>5</v>
      </c>
      <c r="U30" s="510">
        <f t="shared" si="8"/>
        <v>7.8461538461538458</v>
      </c>
      <c r="V30" s="618">
        <f t="shared" si="9"/>
        <v>39.230769230769226</v>
      </c>
      <c r="W30" s="1001">
        <v>0</v>
      </c>
      <c r="X30" s="618">
        <f>'S6 Salary'!T31*'S6'!W30</f>
        <v>0</v>
      </c>
      <c r="Y30" s="1001">
        <v>0</v>
      </c>
      <c r="Z30" s="510">
        <f t="shared" si="10"/>
        <v>3.9230769230769229</v>
      </c>
      <c r="AA30" s="618">
        <f t="shared" si="11"/>
        <v>0</v>
      </c>
      <c r="AB30" s="1001">
        <v>0</v>
      </c>
      <c r="AC30" s="1467">
        <f t="shared" si="12"/>
        <v>27</v>
      </c>
      <c r="AD30" s="1724">
        <v>0</v>
      </c>
      <c r="AE30" s="1121">
        <v>0</v>
      </c>
      <c r="AF30" s="1629">
        <f>4+1</f>
        <v>5</v>
      </c>
      <c r="AG30" s="1412">
        <v>0</v>
      </c>
      <c r="AH30" s="618">
        <v>10</v>
      </c>
      <c r="AI30" s="618">
        <v>11</v>
      </c>
      <c r="AJ30" s="618">
        <v>10</v>
      </c>
      <c r="AK30" s="618">
        <v>10</v>
      </c>
      <c r="AL30" s="1148">
        <f t="shared" si="13"/>
        <v>303.98076923076923</v>
      </c>
      <c r="AM30" s="1278">
        <v>0</v>
      </c>
      <c r="AN30" s="1018">
        <v>102</v>
      </c>
      <c r="AO30" s="1096">
        <f>'Tax Calulation     '!P30</f>
        <v>0</v>
      </c>
      <c r="AP30" s="1096">
        <f>'Tax Calulation     '!W30</f>
        <v>5.9084194977843429</v>
      </c>
      <c r="AQ30" s="1686">
        <f t="shared" si="14"/>
        <v>196.07234973298489</v>
      </c>
      <c r="AR30" s="1682">
        <f t="shared" si="23"/>
        <v>388100</v>
      </c>
      <c r="AS30" s="1683">
        <f t="shared" si="24"/>
        <v>100</v>
      </c>
      <c r="AT30" s="502"/>
      <c r="AU30" s="504"/>
      <c r="AV30" s="505">
        <f t="shared" si="121"/>
        <v>1187923.076923077</v>
      </c>
      <c r="AW30" s="502">
        <f t="shared" si="15"/>
        <v>1</v>
      </c>
      <c r="AX30" s="502">
        <f t="shared" si="16"/>
        <v>0</v>
      </c>
      <c r="AY30" s="573">
        <f t="shared" si="25"/>
        <v>100</v>
      </c>
      <c r="AZ30" s="573">
        <f t="shared" si="17"/>
        <v>7</v>
      </c>
      <c r="BA30" s="548">
        <f t="shared" si="18"/>
        <v>3</v>
      </c>
      <c r="BB30" s="548">
        <f t="shared" si="19"/>
        <v>1</v>
      </c>
      <c r="BC30" s="548">
        <f t="shared" si="20"/>
        <v>3</v>
      </c>
      <c r="BD30" s="548">
        <f t="shared" si="21"/>
        <v>0</v>
      </c>
      <c r="BE30" s="548">
        <f t="shared" si="22"/>
        <v>1</v>
      </c>
      <c r="BF30" s="549">
        <f t="shared" si="26"/>
        <v>388100</v>
      </c>
      <c r="BH30" s="625" t="s">
        <v>837</v>
      </c>
      <c r="BI30" s="625" t="s">
        <v>574</v>
      </c>
      <c r="BJ30" s="1155">
        <v>33415</v>
      </c>
      <c r="BK30" s="756" t="s">
        <v>647</v>
      </c>
      <c r="BL30" s="757">
        <v>21005498</v>
      </c>
    </row>
    <row r="31" spans="1:64" s="768" customFormat="1" ht="51" customHeight="1">
      <c r="A31" s="1369">
        <v>25</v>
      </c>
      <c r="B31" s="1418" t="s">
        <v>1244</v>
      </c>
      <c r="C31" s="1330" t="s">
        <v>316</v>
      </c>
      <c r="D31" s="1851">
        <v>42552</v>
      </c>
      <c r="E31" s="1151" t="s">
        <v>260</v>
      </c>
      <c r="F31" s="758">
        <f>184+12+8+2</f>
        <v>206</v>
      </c>
      <c r="G31" s="758">
        <f>2</f>
        <v>2</v>
      </c>
      <c r="H31" s="1001">
        <v>22</v>
      </c>
      <c r="I31" s="1408">
        <f t="shared" si="0"/>
        <v>174.30769230769232</v>
      </c>
      <c r="J31" s="618">
        <f t="shared" si="1"/>
        <v>174.30769230769232</v>
      </c>
      <c r="K31" s="1001">
        <v>66</v>
      </c>
      <c r="L31" s="510">
        <f t="shared" si="2"/>
        <v>1.4855769230769231</v>
      </c>
      <c r="M31" s="618">
        <f t="shared" si="3"/>
        <v>98.04807692307692</v>
      </c>
      <c r="N31" s="1001">
        <v>0</v>
      </c>
      <c r="O31" s="510">
        <f t="shared" si="4"/>
        <v>1.9807692307692308</v>
      </c>
      <c r="P31" s="503">
        <f t="shared" si="5"/>
        <v>0</v>
      </c>
      <c r="Q31" s="1001">
        <v>24</v>
      </c>
      <c r="R31" s="510">
        <f t="shared" si="6"/>
        <v>1.9807692307692308</v>
      </c>
      <c r="S31" s="618">
        <f t="shared" si="7"/>
        <v>47.53846153846154</v>
      </c>
      <c r="T31" s="1001">
        <v>5</v>
      </c>
      <c r="U31" s="510">
        <f t="shared" si="8"/>
        <v>7.9230769230769234</v>
      </c>
      <c r="V31" s="618">
        <f t="shared" si="9"/>
        <v>39.615384615384613</v>
      </c>
      <c r="W31" s="1001">
        <v>0</v>
      </c>
      <c r="X31" s="618">
        <f>'S6 Salary'!T32*'S6'!W31</f>
        <v>0</v>
      </c>
      <c r="Y31" s="1001">
        <v>0</v>
      </c>
      <c r="Z31" s="510">
        <f t="shared" si="10"/>
        <v>3.9615384615384617</v>
      </c>
      <c r="AA31" s="618">
        <f t="shared" si="11"/>
        <v>0</v>
      </c>
      <c r="AB31" s="1001">
        <v>0</v>
      </c>
      <c r="AC31" s="1467">
        <f t="shared" si="12"/>
        <v>27</v>
      </c>
      <c r="AD31" s="1724">
        <v>0</v>
      </c>
      <c r="AE31" s="1121">
        <v>0</v>
      </c>
      <c r="AF31" s="1629">
        <f>4+4</f>
        <v>8</v>
      </c>
      <c r="AG31" s="1413">
        <v>0</v>
      </c>
      <c r="AH31" s="618">
        <v>10</v>
      </c>
      <c r="AI31" s="788">
        <v>9</v>
      </c>
      <c r="AJ31" s="618">
        <v>10</v>
      </c>
      <c r="AK31" s="618">
        <v>10</v>
      </c>
      <c r="AL31" s="1148">
        <f t="shared" si="13"/>
        <v>408.50961538461536</v>
      </c>
      <c r="AM31" s="1279">
        <v>0.5</v>
      </c>
      <c r="AN31" s="1018">
        <v>102</v>
      </c>
      <c r="AO31" s="1096">
        <f>'Tax Calulation     '!P31</f>
        <v>0</v>
      </c>
      <c r="AP31" s="1096">
        <f>'Tax Calulation     '!W31</f>
        <v>5.9084194977843429</v>
      </c>
      <c r="AQ31" s="1686">
        <f t="shared" si="14"/>
        <v>300.10119588683102</v>
      </c>
      <c r="AR31" s="1682">
        <f t="shared" si="23"/>
        <v>400</v>
      </c>
      <c r="AS31" s="1684">
        <f t="shared" si="24"/>
        <v>300</v>
      </c>
      <c r="AT31" s="612"/>
      <c r="AU31" s="763"/>
      <c r="AV31" s="764">
        <f t="shared" si="121"/>
        <v>1594038.4615384615</v>
      </c>
      <c r="AW31" s="612">
        <f t="shared" si="15"/>
        <v>3</v>
      </c>
      <c r="AX31" s="612">
        <f t="shared" si="16"/>
        <v>0</v>
      </c>
      <c r="AY31" s="765">
        <f>AW31*100+AX31*50</f>
        <v>300</v>
      </c>
      <c r="AZ31" s="765">
        <f t="shared" si="17"/>
        <v>0</v>
      </c>
      <c r="BA31" s="766">
        <f t="shared" si="18"/>
        <v>0</v>
      </c>
      <c r="BB31" s="766">
        <f t="shared" si="19"/>
        <v>0</v>
      </c>
      <c r="BC31" s="766">
        <f t="shared" si="20"/>
        <v>0</v>
      </c>
      <c r="BD31" s="766">
        <f t="shared" si="21"/>
        <v>0</v>
      </c>
      <c r="BE31" s="766">
        <f t="shared" si="22"/>
        <v>4</v>
      </c>
      <c r="BF31" s="767">
        <f t="shared" si="26"/>
        <v>400</v>
      </c>
      <c r="BH31" s="628" t="s">
        <v>838</v>
      </c>
      <c r="BI31" s="628" t="s">
        <v>574</v>
      </c>
      <c r="BJ31" s="1155">
        <v>29289</v>
      </c>
      <c r="BK31" s="756" t="s">
        <v>648</v>
      </c>
      <c r="BL31" s="757">
        <v>90516492</v>
      </c>
    </row>
    <row r="32" spans="1:64" s="768" customFormat="1" ht="51" customHeight="1">
      <c r="A32" s="1369">
        <v>26</v>
      </c>
      <c r="B32" s="1576" t="s">
        <v>1939</v>
      </c>
      <c r="C32" s="1854" t="s">
        <v>1940</v>
      </c>
      <c r="D32" s="1841">
        <v>41466</v>
      </c>
      <c r="E32" s="1637" t="s">
        <v>260</v>
      </c>
      <c r="F32" s="617">
        <f>191+8+2+3</f>
        <v>204</v>
      </c>
      <c r="G32" s="617">
        <f>2</f>
        <v>2</v>
      </c>
      <c r="H32" s="1001">
        <v>22</v>
      </c>
      <c r="I32" s="1408">
        <f t="shared" si="0"/>
        <v>172.61538461538461</v>
      </c>
      <c r="J32" s="618">
        <f t="shared" si="1"/>
        <v>172.61538461538461</v>
      </c>
      <c r="K32" s="1001">
        <v>68</v>
      </c>
      <c r="L32" s="510">
        <f t="shared" si="2"/>
        <v>1.471153846153846</v>
      </c>
      <c r="M32" s="618">
        <f t="shared" si="3"/>
        <v>100.03846153846153</v>
      </c>
      <c r="N32" s="1001">
        <v>0</v>
      </c>
      <c r="O32" s="510">
        <f t="shared" si="4"/>
        <v>1.9615384615384615</v>
      </c>
      <c r="P32" s="503">
        <f t="shared" ref="P32" si="122">N32*O32</f>
        <v>0</v>
      </c>
      <c r="Q32" s="1001">
        <v>24</v>
      </c>
      <c r="R32" s="510">
        <f t="shared" si="6"/>
        <v>1.9615384615384615</v>
      </c>
      <c r="S32" s="618">
        <f t="shared" si="7"/>
        <v>47.076923076923073</v>
      </c>
      <c r="T32" s="1001">
        <v>5</v>
      </c>
      <c r="U32" s="510">
        <f t="shared" si="8"/>
        <v>7.8461538461538458</v>
      </c>
      <c r="V32" s="618">
        <f t="shared" si="9"/>
        <v>39.230769230769226</v>
      </c>
      <c r="W32" s="1001">
        <v>0</v>
      </c>
      <c r="X32" s="618">
        <f>'S6 Salary'!T33*'S6'!W32</f>
        <v>0</v>
      </c>
      <c r="Y32" s="1001">
        <v>0</v>
      </c>
      <c r="Z32" s="510">
        <f t="shared" si="10"/>
        <v>3.9230769230769229</v>
      </c>
      <c r="AA32" s="618">
        <f t="shared" ref="AA32" si="123">Y32*Z32</f>
        <v>0</v>
      </c>
      <c r="AB32" s="1001">
        <v>0</v>
      </c>
      <c r="AC32" s="1467">
        <f t="shared" si="12"/>
        <v>27</v>
      </c>
      <c r="AD32" s="1724">
        <v>0</v>
      </c>
      <c r="AE32" s="1121">
        <v>0</v>
      </c>
      <c r="AF32" s="1629">
        <f>4+1</f>
        <v>5</v>
      </c>
      <c r="AG32" s="1413">
        <v>0</v>
      </c>
      <c r="AH32" s="618">
        <v>10</v>
      </c>
      <c r="AI32" s="788">
        <v>11</v>
      </c>
      <c r="AJ32" s="618">
        <v>10</v>
      </c>
      <c r="AK32" s="618">
        <v>10</v>
      </c>
      <c r="AL32" s="1148">
        <f t="shared" si="13"/>
        <v>406.96153846153845</v>
      </c>
      <c r="AM32" s="1279">
        <v>0.5</v>
      </c>
      <c r="AN32" s="1018">
        <v>102</v>
      </c>
      <c r="AO32" s="1096">
        <f>'Tax Calulation     '!P32</f>
        <v>0</v>
      </c>
      <c r="AP32" s="1096">
        <f>'Tax Calulation     '!W32</f>
        <v>5.9084194977843429</v>
      </c>
      <c r="AQ32" s="1686">
        <f t="shared" si="14"/>
        <v>298.55311896375412</v>
      </c>
      <c r="AR32" s="1682">
        <f t="shared" si="23"/>
        <v>398200</v>
      </c>
      <c r="AS32" s="1684">
        <f t="shared" ref="AS32" si="124">CEILING(AQ32,(100))-100</f>
        <v>200</v>
      </c>
      <c r="AT32" s="612"/>
      <c r="AU32" s="763"/>
      <c r="AV32" s="764">
        <f t="shared" si="121"/>
        <v>1599846.1538461538</v>
      </c>
      <c r="AW32" s="612">
        <f t="shared" ref="AW32" si="125">INT(AS32/100)</f>
        <v>2</v>
      </c>
      <c r="AX32" s="612">
        <f t="shared" ref="AX32" si="126">INT((AS32-AW32*100)/50)</f>
        <v>0</v>
      </c>
      <c r="AY32" s="765">
        <f>AW32*100+AX32*50</f>
        <v>200</v>
      </c>
      <c r="AZ32" s="765">
        <f t="shared" ref="AZ32" si="127">INT((AR32/50000))</f>
        <v>7</v>
      </c>
      <c r="BA32" s="766">
        <f t="shared" ref="BA32" si="128">INT((AR32-AZ32*50000)/10000)</f>
        <v>4</v>
      </c>
      <c r="BB32" s="766">
        <f t="shared" ref="BB32" si="129">INT((AR32-AZ32*50000-BA32*10000)/5000)</f>
        <v>1</v>
      </c>
      <c r="BC32" s="766">
        <f t="shared" ref="BC32" si="130">INT((AR32-AZ32*50000-BA32*10000-BB32*5000)/1000)</f>
        <v>3</v>
      </c>
      <c r="BD32" s="766">
        <f t="shared" ref="BD32" si="131">INT((AR32-AZ32*50000-BA32*10000-BB32*5000-BC32*1000)/500)</f>
        <v>0</v>
      </c>
      <c r="BE32" s="766">
        <f t="shared" ref="BE32" si="132">INT((AR32-AZ32*50000-BA32*10000-BB32*5000-BC32*1000-BD32*500)/100)</f>
        <v>2</v>
      </c>
      <c r="BF32" s="767">
        <f t="shared" ref="BF32" si="133">AZ32*50000+BA32*10000+BB32*5000+BC32*1000+BD32*500+BE32*100</f>
        <v>398200</v>
      </c>
      <c r="BH32" s="581" t="s">
        <v>1941</v>
      </c>
      <c r="BI32" s="581" t="s">
        <v>1942</v>
      </c>
      <c r="BJ32" s="1154">
        <v>35801</v>
      </c>
      <c r="BK32" s="587" t="s">
        <v>1943</v>
      </c>
      <c r="BL32" s="745">
        <v>21047157</v>
      </c>
    </row>
    <row r="33" spans="1:68" s="755" customFormat="1" ht="51" customHeight="1">
      <c r="A33" s="1369">
        <v>27</v>
      </c>
      <c r="B33" s="1414" t="s">
        <v>1245</v>
      </c>
      <c r="C33" s="1329" t="s">
        <v>506</v>
      </c>
      <c r="D33" s="1841">
        <v>41526</v>
      </c>
      <c r="E33" s="1637" t="s">
        <v>260</v>
      </c>
      <c r="F33" s="617">
        <f>13+149+17+12+8+2+3</f>
        <v>204</v>
      </c>
      <c r="G33" s="617">
        <f>2</f>
        <v>2</v>
      </c>
      <c r="H33" s="1001">
        <v>22</v>
      </c>
      <c r="I33" s="1408">
        <f t="shared" si="0"/>
        <v>172.61538461538461</v>
      </c>
      <c r="J33" s="618">
        <f t="shared" si="1"/>
        <v>172.61538461538461</v>
      </c>
      <c r="K33" s="1001">
        <v>30</v>
      </c>
      <c r="L33" s="510">
        <f t="shared" si="2"/>
        <v>1.471153846153846</v>
      </c>
      <c r="M33" s="618">
        <f t="shared" si="3"/>
        <v>44.13461538461538</v>
      </c>
      <c r="N33" s="1001">
        <v>0</v>
      </c>
      <c r="O33" s="510">
        <f t="shared" si="4"/>
        <v>1.9615384615384615</v>
      </c>
      <c r="P33" s="503">
        <f t="shared" si="5"/>
        <v>0</v>
      </c>
      <c r="Q33" s="1001">
        <v>12</v>
      </c>
      <c r="R33" s="510">
        <f t="shared" si="6"/>
        <v>1.9615384615384615</v>
      </c>
      <c r="S33" s="618">
        <f t="shared" si="7"/>
        <v>23.538461538461537</v>
      </c>
      <c r="T33" s="1001">
        <v>5</v>
      </c>
      <c r="U33" s="510">
        <f t="shared" si="8"/>
        <v>7.8461538461538458</v>
      </c>
      <c r="V33" s="618">
        <f t="shared" si="9"/>
        <v>39.230769230769226</v>
      </c>
      <c r="W33" s="1001">
        <v>0</v>
      </c>
      <c r="X33" s="618">
        <f>'S6 Salary'!T34*'S6'!W33</f>
        <v>0</v>
      </c>
      <c r="Y33" s="1001">
        <v>0</v>
      </c>
      <c r="Z33" s="510">
        <f t="shared" si="10"/>
        <v>3.9230769230769229</v>
      </c>
      <c r="AA33" s="618">
        <f t="shared" si="11"/>
        <v>0</v>
      </c>
      <c r="AB33" s="1001">
        <v>0</v>
      </c>
      <c r="AC33" s="1467">
        <f t="shared" si="12"/>
        <v>27</v>
      </c>
      <c r="AD33" s="1724">
        <v>0</v>
      </c>
      <c r="AE33" s="1121">
        <v>0</v>
      </c>
      <c r="AF33" s="1629">
        <f>4+1</f>
        <v>5</v>
      </c>
      <c r="AG33" s="1412">
        <v>0</v>
      </c>
      <c r="AH33" s="618">
        <v>10</v>
      </c>
      <c r="AI33" s="618">
        <v>11</v>
      </c>
      <c r="AJ33" s="618">
        <v>10</v>
      </c>
      <c r="AK33" s="618">
        <v>10</v>
      </c>
      <c r="AL33" s="1148">
        <f t="shared" si="13"/>
        <v>327.51923076923077</v>
      </c>
      <c r="AM33" s="1281">
        <v>0.5</v>
      </c>
      <c r="AN33" s="1018">
        <v>102</v>
      </c>
      <c r="AO33" s="1096">
        <f>'Tax Calulation     '!P33</f>
        <v>0</v>
      </c>
      <c r="AP33" s="1096">
        <f>'Tax Calulation     '!W33</f>
        <v>5.9084194977843429</v>
      </c>
      <c r="AQ33" s="1686">
        <f t="shared" si="14"/>
        <v>219.11081127144644</v>
      </c>
      <c r="AR33" s="1682">
        <f t="shared" si="23"/>
        <v>77200</v>
      </c>
      <c r="AS33" s="1683">
        <f t="shared" si="24"/>
        <v>200</v>
      </c>
      <c r="AT33" s="502"/>
      <c r="AU33" s="504"/>
      <c r="AV33" s="505">
        <f t="shared" si="121"/>
        <v>1282076.923076923</v>
      </c>
      <c r="AW33" s="502">
        <f t="shared" si="15"/>
        <v>2</v>
      </c>
      <c r="AX33" s="502">
        <f t="shared" si="16"/>
        <v>0</v>
      </c>
      <c r="AY33" s="573">
        <f t="shared" si="25"/>
        <v>200</v>
      </c>
      <c r="AZ33" s="573">
        <f t="shared" si="17"/>
        <v>1</v>
      </c>
      <c r="BA33" s="548">
        <f t="shared" si="18"/>
        <v>2</v>
      </c>
      <c r="BB33" s="548">
        <f t="shared" si="19"/>
        <v>1</v>
      </c>
      <c r="BC33" s="548">
        <f t="shared" si="20"/>
        <v>2</v>
      </c>
      <c r="BD33" s="548">
        <f t="shared" si="21"/>
        <v>0</v>
      </c>
      <c r="BE33" s="548">
        <f t="shared" si="22"/>
        <v>2</v>
      </c>
      <c r="BF33" s="549">
        <f t="shared" si="26"/>
        <v>77200</v>
      </c>
      <c r="BH33" s="578" t="s">
        <v>839</v>
      </c>
      <c r="BI33" s="578" t="s">
        <v>574</v>
      </c>
      <c r="BJ33" s="1154">
        <v>28042</v>
      </c>
      <c r="BK33" s="587" t="s">
        <v>649</v>
      </c>
      <c r="BL33" s="745">
        <v>20466990</v>
      </c>
    </row>
    <row r="34" spans="1:68" s="755" customFormat="1" ht="51" customHeight="1">
      <c r="A34" s="1369">
        <v>28</v>
      </c>
      <c r="B34" s="1415" t="s">
        <v>2183</v>
      </c>
      <c r="C34" s="1329" t="s">
        <v>2184</v>
      </c>
      <c r="D34" s="1841">
        <v>43582</v>
      </c>
      <c r="E34" s="557" t="s">
        <v>260</v>
      </c>
      <c r="F34" s="617">
        <f>199+2+3</f>
        <v>204</v>
      </c>
      <c r="G34" s="617">
        <f>2</f>
        <v>2</v>
      </c>
      <c r="H34" s="1001">
        <v>21.5</v>
      </c>
      <c r="I34" s="1408">
        <f t="shared" si="0"/>
        <v>168.69230769230768</v>
      </c>
      <c r="J34" s="618">
        <f t="shared" si="1"/>
        <v>168.69230769230768</v>
      </c>
      <c r="K34" s="1001">
        <v>28</v>
      </c>
      <c r="L34" s="510">
        <f t="shared" ref="L34" si="134">F34/26/8*1.5</f>
        <v>1.471153846153846</v>
      </c>
      <c r="M34" s="618">
        <f t="shared" si="3"/>
        <v>41.192307692307686</v>
      </c>
      <c r="N34" s="1001">
        <v>0</v>
      </c>
      <c r="O34" s="510">
        <f t="shared" ref="O34" si="135">F34/26/8*2</f>
        <v>1.9615384615384615</v>
      </c>
      <c r="P34" s="503">
        <f t="shared" si="5"/>
        <v>0</v>
      </c>
      <c r="Q34" s="1001">
        <v>0</v>
      </c>
      <c r="R34" s="510">
        <f t="shared" ref="R34" si="136">F34/26/8*2</f>
        <v>1.9615384615384615</v>
      </c>
      <c r="S34" s="618">
        <f t="shared" ref="S34" si="137">R34*Q34</f>
        <v>0</v>
      </c>
      <c r="T34" s="1001">
        <v>5</v>
      </c>
      <c r="U34" s="510">
        <f t="shared" ref="U34" si="138">F34/26</f>
        <v>7.8461538461538458</v>
      </c>
      <c r="V34" s="618">
        <f t="shared" si="9"/>
        <v>39.230769230769226</v>
      </c>
      <c r="W34" s="1001">
        <v>0.5</v>
      </c>
      <c r="X34" s="618">
        <f>'S6 Salary'!T35*'S6'!W34</f>
        <v>4.4665469558178037</v>
      </c>
      <c r="Y34" s="1001">
        <v>0</v>
      </c>
      <c r="Z34" s="510">
        <f t="shared" ref="Z34" si="139">F34/26/2</f>
        <v>3.9230769230769229</v>
      </c>
      <c r="AA34" s="618">
        <f t="shared" si="11"/>
        <v>0</v>
      </c>
      <c r="AB34" s="1001">
        <v>0</v>
      </c>
      <c r="AC34" s="1467">
        <f t="shared" si="12"/>
        <v>27</v>
      </c>
      <c r="AD34" s="1724">
        <v>0</v>
      </c>
      <c r="AE34" s="1121">
        <v>0</v>
      </c>
      <c r="AF34" s="1629">
        <v>5</v>
      </c>
      <c r="AG34" s="1412">
        <v>0</v>
      </c>
      <c r="AH34" s="618">
        <v>10</v>
      </c>
      <c r="AI34" s="618">
        <v>6</v>
      </c>
      <c r="AJ34" s="618">
        <v>10</v>
      </c>
      <c r="AK34" s="618">
        <v>10</v>
      </c>
      <c r="AL34" s="1148">
        <f t="shared" si="13"/>
        <v>296.5819315712024</v>
      </c>
      <c r="AM34" s="1278">
        <v>0.5</v>
      </c>
      <c r="AN34" s="1018">
        <v>102</v>
      </c>
      <c r="AO34" s="1096">
        <f>'Tax Calulation     '!P34</f>
        <v>0</v>
      </c>
      <c r="AP34" s="1096">
        <f>'Tax Calulation     '!W34</f>
        <v>5.9084194977843429</v>
      </c>
      <c r="AQ34" s="1686">
        <f t="shared" si="14"/>
        <v>188.17351207341807</v>
      </c>
      <c r="AR34" s="1682">
        <f t="shared" si="23"/>
        <v>356200</v>
      </c>
      <c r="AS34" s="1683">
        <f t="shared" si="24"/>
        <v>100</v>
      </c>
      <c r="AT34" s="502"/>
      <c r="AU34" s="504"/>
      <c r="AV34" s="505"/>
      <c r="AW34" s="502">
        <f t="shared" si="15"/>
        <v>1</v>
      </c>
      <c r="AX34" s="502">
        <f t="shared" si="16"/>
        <v>0</v>
      </c>
      <c r="AY34" s="1113">
        <f t="shared" si="25"/>
        <v>100</v>
      </c>
      <c r="AZ34" s="1113">
        <f t="shared" si="17"/>
        <v>7</v>
      </c>
      <c r="BA34" s="548">
        <f t="shared" si="18"/>
        <v>0</v>
      </c>
      <c r="BB34" s="548">
        <f t="shared" si="19"/>
        <v>1</v>
      </c>
      <c r="BC34" s="548">
        <f t="shared" si="20"/>
        <v>1</v>
      </c>
      <c r="BD34" s="548">
        <f t="shared" si="21"/>
        <v>0</v>
      </c>
      <c r="BE34" s="548">
        <f t="shared" si="22"/>
        <v>2</v>
      </c>
      <c r="BF34" s="549">
        <f t="shared" si="26"/>
        <v>356200</v>
      </c>
      <c r="BH34" s="578" t="s">
        <v>2185</v>
      </c>
      <c r="BI34" s="578" t="s">
        <v>2186</v>
      </c>
      <c r="BJ34" s="1154">
        <v>32264</v>
      </c>
      <c r="BK34" s="587" t="s">
        <v>2187</v>
      </c>
      <c r="BL34" s="745">
        <v>150306136</v>
      </c>
    </row>
    <row r="35" spans="1:68" s="755" customFormat="1" ht="51" customHeight="1">
      <c r="A35" s="1369">
        <v>29</v>
      </c>
      <c r="B35" s="1576" t="s">
        <v>1246</v>
      </c>
      <c r="C35" s="1854" t="s">
        <v>1247</v>
      </c>
      <c r="D35" s="1841">
        <v>42956</v>
      </c>
      <c r="E35" s="1637" t="s">
        <v>260</v>
      </c>
      <c r="F35" s="617">
        <f>206</f>
        <v>206</v>
      </c>
      <c r="G35" s="617">
        <f>2</f>
        <v>2</v>
      </c>
      <c r="H35" s="1001">
        <v>21</v>
      </c>
      <c r="I35" s="1408">
        <f t="shared" si="0"/>
        <v>166.38461538461539</v>
      </c>
      <c r="J35" s="618">
        <f t="shared" si="1"/>
        <v>166.38461538461539</v>
      </c>
      <c r="K35" s="1001">
        <v>36</v>
      </c>
      <c r="L35" s="510">
        <f t="shared" si="2"/>
        <v>1.4855769230769231</v>
      </c>
      <c r="M35" s="618">
        <f t="shared" si="3"/>
        <v>53.480769230769234</v>
      </c>
      <c r="N35" s="1001">
        <v>0</v>
      </c>
      <c r="O35" s="510">
        <f t="shared" si="4"/>
        <v>1.9807692307692308</v>
      </c>
      <c r="P35" s="503">
        <f t="shared" ref="P35:P36" si="140">N35*O35</f>
        <v>0</v>
      </c>
      <c r="Q35" s="1001">
        <v>20</v>
      </c>
      <c r="R35" s="510">
        <f t="shared" si="6"/>
        <v>1.9807692307692308</v>
      </c>
      <c r="S35" s="618">
        <f t="shared" si="7"/>
        <v>39.615384615384613</v>
      </c>
      <c r="T35" s="1001">
        <v>5</v>
      </c>
      <c r="U35" s="510">
        <f t="shared" si="8"/>
        <v>7.9230769230769234</v>
      </c>
      <c r="V35" s="618">
        <f t="shared" si="9"/>
        <v>39.615384615384613</v>
      </c>
      <c r="W35" s="1001">
        <v>0</v>
      </c>
      <c r="X35" s="618">
        <f>'S6 Salary'!T36*'S6'!W35</f>
        <v>0</v>
      </c>
      <c r="Y35" s="1001">
        <v>0</v>
      </c>
      <c r="Z35" s="510">
        <f t="shared" si="10"/>
        <v>3.9615384615384617</v>
      </c>
      <c r="AA35" s="618">
        <f t="shared" ref="AA35:AA36" si="141">Y35*Z35</f>
        <v>0</v>
      </c>
      <c r="AB35" s="1001">
        <v>1</v>
      </c>
      <c r="AC35" s="1467">
        <f t="shared" si="12"/>
        <v>27</v>
      </c>
      <c r="AD35" s="1724">
        <v>0</v>
      </c>
      <c r="AE35" s="1121">
        <v>0</v>
      </c>
      <c r="AF35" s="1629">
        <f>4+4</f>
        <v>8</v>
      </c>
      <c r="AG35" s="1412">
        <v>0</v>
      </c>
      <c r="AH35" s="618">
        <v>7</v>
      </c>
      <c r="AI35" s="618">
        <v>8</v>
      </c>
      <c r="AJ35" s="618">
        <v>10</v>
      </c>
      <c r="AK35" s="618">
        <v>10</v>
      </c>
      <c r="AL35" s="1148">
        <f t="shared" si="13"/>
        <v>344.09615384615381</v>
      </c>
      <c r="AM35" s="1281">
        <v>1</v>
      </c>
      <c r="AN35" s="1018">
        <v>102</v>
      </c>
      <c r="AO35" s="1096">
        <f>'Tax Calulation     '!P35</f>
        <v>0</v>
      </c>
      <c r="AP35" s="1096">
        <f>'Tax Calulation     '!W35</f>
        <v>5.9084194977843429</v>
      </c>
      <c r="AQ35" s="1686">
        <f t="shared" si="14"/>
        <v>235.18773434836947</v>
      </c>
      <c r="AR35" s="1682">
        <f t="shared" si="23"/>
        <v>142200</v>
      </c>
      <c r="AS35" s="1683">
        <f t="shared" ref="AS35:AS36" si="142">CEILING(AQ35,(100))-100</f>
        <v>200</v>
      </c>
      <c r="AT35" s="502"/>
      <c r="AU35" s="504"/>
      <c r="AV35" s="505">
        <f>(J35+M35+P35+S35+V35+AA35+AH35+AI35+AJ35+AK35)*4000</f>
        <v>1336384.6153846153</v>
      </c>
      <c r="AW35" s="502">
        <f t="shared" ref="AW35:AW36" si="143">INT(AS35/100)</f>
        <v>2</v>
      </c>
      <c r="AX35" s="502">
        <f t="shared" ref="AX35:AX36" si="144">INT((AS35-AW35*100)/50)</f>
        <v>0</v>
      </c>
      <c r="AY35" s="1113">
        <f t="shared" ref="AY35:AY36" si="145">AW35*100+AX35*50</f>
        <v>200</v>
      </c>
      <c r="AZ35" s="1113">
        <f t="shared" ref="AZ35:AZ36" si="146">INT((AR35/50000))</f>
        <v>2</v>
      </c>
      <c r="BA35" s="548">
        <f t="shared" ref="BA35:BA36" si="147">INT((AR35-AZ35*50000)/10000)</f>
        <v>4</v>
      </c>
      <c r="BB35" s="548">
        <f t="shared" ref="BB35:BB36" si="148">INT((AR35-AZ35*50000-BA35*10000)/5000)</f>
        <v>0</v>
      </c>
      <c r="BC35" s="548">
        <f t="shared" ref="BC35:BC36" si="149">INT((AR35-AZ35*50000-BA35*10000-BB35*5000)/1000)</f>
        <v>2</v>
      </c>
      <c r="BD35" s="548">
        <f t="shared" ref="BD35:BD36" si="150">INT((AR35-AZ35*50000-BA35*10000-BB35*5000-BC35*1000)/500)</f>
        <v>0</v>
      </c>
      <c r="BE35" s="548">
        <f t="shared" ref="BE35:BE36" si="151">INT((AR35-AZ35*50000-BA35*10000-BB35*5000-BC35*1000-BD35*500)/100)</f>
        <v>2</v>
      </c>
      <c r="BF35" s="549">
        <f t="shared" ref="BF35:BF36" si="152">AZ35*50000+BA35*10000+BB35*5000+BC35*1000+BD35*500+BE35*100</f>
        <v>142200</v>
      </c>
      <c r="BH35" s="581" t="s">
        <v>840</v>
      </c>
      <c r="BI35" s="581" t="s">
        <v>571</v>
      </c>
      <c r="BJ35" s="1154">
        <v>33830</v>
      </c>
      <c r="BK35" s="587" t="s">
        <v>650</v>
      </c>
      <c r="BL35" s="745">
        <v>30516379</v>
      </c>
    </row>
    <row r="36" spans="1:68" s="755" customFormat="1" ht="51" customHeight="1">
      <c r="A36" s="1369">
        <v>30</v>
      </c>
      <c r="B36" s="1415" t="s">
        <v>2000</v>
      </c>
      <c r="C36" s="1399" t="s">
        <v>2001</v>
      </c>
      <c r="D36" s="1850">
        <v>45127</v>
      </c>
      <c r="E36" s="1637" t="s">
        <v>260</v>
      </c>
      <c r="F36" s="1649">
        <f>200+4</f>
        <v>204</v>
      </c>
      <c r="G36" s="617">
        <v>0</v>
      </c>
      <c r="H36" s="1001">
        <v>22</v>
      </c>
      <c r="I36" s="1408">
        <f t="shared" si="0"/>
        <v>172.61538461538461</v>
      </c>
      <c r="J36" s="618">
        <f t="shared" si="1"/>
        <v>172.61538461538461</v>
      </c>
      <c r="K36" s="1001">
        <v>68</v>
      </c>
      <c r="L36" s="510">
        <f t="shared" ref="L36" si="153">F36/26/8*1.5</f>
        <v>1.471153846153846</v>
      </c>
      <c r="M36" s="618">
        <f t="shared" si="3"/>
        <v>100.03846153846153</v>
      </c>
      <c r="N36" s="1001">
        <v>0</v>
      </c>
      <c r="O36" s="510">
        <f t="shared" ref="O36" si="154">F36/26/8*2</f>
        <v>1.9615384615384615</v>
      </c>
      <c r="P36" s="503">
        <f t="shared" si="140"/>
        <v>0</v>
      </c>
      <c r="Q36" s="1001">
        <v>24</v>
      </c>
      <c r="R36" s="510">
        <f t="shared" ref="R36" si="155">F36/26/8*2</f>
        <v>1.9615384615384615</v>
      </c>
      <c r="S36" s="618">
        <f t="shared" ref="S36" si="156">R36*Q36</f>
        <v>47.076923076923073</v>
      </c>
      <c r="T36" s="1001">
        <v>5</v>
      </c>
      <c r="U36" s="510">
        <f t="shared" ref="U36" si="157">F36/26</f>
        <v>7.8461538461538458</v>
      </c>
      <c r="V36" s="618">
        <f t="shared" si="9"/>
        <v>39.230769230769226</v>
      </c>
      <c r="W36" s="1001">
        <v>0</v>
      </c>
      <c r="X36" s="618">
        <f>'S6 Salary'!T37*'S6'!W36</f>
        <v>0</v>
      </c>
      <c r="Y36" s="1001">
        <v>0</v>
      </c>
      <c r="Z36" s="510">
        <f t="shared" ref="Z36" si="158">F36/26/2</f>
        <v>3.9230769230769229</v>
      </c>
      <c r="AA36" s="618">
        <f t="shared" si="141"/>
        <v>0</v>
      </c>
      <c r="AB36" s="1001">
        <v>0</v>
      </c>
      <c r="AC36" s="1467">
        <f t="shared" si="12"/>
        <v>27</v>
      </c>
      <c r="AD36" s="1724">
        <v>0</v>
      </c>
      <c r="AE36" s="1121">
        <v>0</v>
      </c>
      <c r="AF36" s="1629">
        <v>0</v>
      </c>
      <c r="AG36" s="1412">
        <v>0</v>
      </c>
      <c r="AH36" s="618">
        <v>10</v>
      </c>
      <c r="AI36" s="618">
        <v>2</v>
      </c>
      <c r="AJ36" s="618">
        <v>10</v>
      </c>
      <c r="AK36" s="618">
        <v>10</v>
      </c>
      <c r="AL36" s="1148">
        <f t="shared" si="13"/>
        <v>390.96153846153845</v>
      </c>
      <c r="AM36" s="1278">
        <v>0</v>
      </c>
      <c r="AN36" s="1018">
        <v>102</v>
      </c>
      <c r="AO36" s="1096">
        <f>'Tax Calulation     '!P36</f>
        <v>0</v>
      </c>
      <c r="AP36" s="1096">
        <f>'Tax Calulation     '!W36</f>
        <v>5.9084194977843429</v>
      </c>
      <c r="AQ36" s="1686">
        <f t="shared" si="14"/>
        <v>283.05311896375412</v>
      </c>
      <c r="AR36" s="1682">
        <f t="shared" si="23"/>
        <v>335500</v>
      </c>
      <c r="AS36" s="1683">
        <f t="shared" si="142"/>
        <v>200</v>
      </c>
      <c r="AT36" s="502"/>
      <c r="AU36" s="504"/>
      <c r="AV36" s="505">
        <f>(J36+M36+P36+S36+V36+AA36+AH36+AI36+AJ36+AK36)*4000</f>
        <v>1563846.1538461538</v>
      </c>
      <c r="AW36" s="502">
        <f t="shared" si="143"/>
        <v>2</v>
      </c>
      <c r="AX36" s="502">
        <f t="shared" si="144"/>
        <v>0</v>
      </c>
      <c r="AY36" s="1113">
        <f t="shared" si="145"/>
        <v>200</v>
      </c>
      <c r="AZ36" s="1113">
        <f t="shared" si="146"/>
        <v>6</v>
      </c>
      <c r="BA36" s="548">
        <f t="shared" si="147"/>
        <v>3</v>
      </c>
      <c r="BB36" s="548">
        <f t="shared" si="148"/>
        <v>1</v>
      </c>
      <c r="BC36" s="548">
        <f t="shared" si="149"/>
        <v>0</v>
      </c>
      <c r="BD36" s="548">
        <f t="shared" si="150"/>
        <v>1</v>
      </c>
      <c r="BE36" s="548">
        <f t="shared" si="151"/>
        <v>0</v>
      </c>
      <c r="BF36" s="549">
        <f t="shared" si="152"/>
        <v>335500</v>
      </c>
      <c r="BH36" s="1460" t="s">
        <v>2002</v>
      </c>
      <c r="BI36" s="581" t="s">
        <v>572</v>
      </c>
      <c r="BJ36" s="1385">
        <v>30716</v>
      </c>
      <c r="BK36" s="1465" t="s">
        <v>2003</v>
      </c>
      <c r="BL36" s="1466" t="s">
        <v>2004</v>
      </c>
    </row>
    <row r="37" spans="1:68" ht="51" customHeight="1">
      <c r="A37" s="535" t="s">
        <v>214</v>
      </c>
      <c r="B37" s="536"/>
      <c r="C37" s="750"/>
      <c r="D37" s="750"/>
      <c r="E37" s="750"/>
      <c r="F37" s="750"/>
      <c r="G37" s="750"/>
      <c r="H37" s="750"/>
      <c r="I37" s="750"/>
      <c r="J37" s="750"/>
      <c r="K37" s="750"/>
      <c r="L37" s="750"/>
      <c r="M37" s="750"/>
      <c r="N37" s="750"/>
      <c r="O37" s="750"/>
      <c r="P37" s="750"/>
      <c r="Q37" s="750"/>
      <c r="R37" s="750"/>
      <c r="S37" s="750"/>
      <c r="T37" s="750"/>
      <c r="U37" s="750"/>
      <c r="V37" s="750"/>
      <c r="W37" s="847"/>
      <c r="X37" s="947">
        <f>SUM(X7:X36)</f>
        <v>115.96704833554242</v>
      </c>
      <c r="Y37" s="750"/>
      <c r="Z37" s="750"/>
      <c r="AA37" s="750"/>
      <c r="AB37" s="750"/>
      <c r="AC37" s="750"/>
      <c r="AD37" s="507">
        <f>SUM(AD7:AD36)</f>
        <v>0</v>
      </c>
      <c r="AE37" s="1793">
        <f>SUM(AE7:AE36)</f>
        <v>0</v>
      </c>
      <c r="AF37" s="750"/>
      <c r="AG37" s="1291">
        <f>SUM(AG7:AG36)</f>
        <v>5</v>
      </c>
      <c r="AH37" s="750"/>
      <c r="AI37" s="750"/>
      <c r="AJ37" s="507">
        <f t="shared" ref="AJ37:AS37" si="159">SUM(AJ7:AJ36)</f>
        <v>300</v>
      </c>
      <c r="AK37" s="507">
        <f t="shared" si="159"/>
        <v>300</v>
      </c>
      <c r="AL37" s="503">
        <f t="shared" si="159"/>
        <v>11245.207432950929</v>
      </c>
      <c r="AM37" s="641">
        <f t="shared" si="159"/>
        <v>4.5</v>
      </c>
      <c r="AN37" s="1625">
        <f t="shared" si="159"/>
        <v>3036</v>
      </c>
      <c r="AO37" s="503">
        <f t="shared" si="159"/>
        <v>6.3893429662296981</v>
      </c>
      <c r="AP37" s="503">
        <f t="shared" si="159"/>
        <v>177.10186835924998</v>
      </c>
      <c r="AQ37" s="618">
        <f t="shared" si="159"/>
        <v>8021.2162216254465</v>
      </c>
      <c r="AR37" s="1619">
        <f t="shared" si="159"/>
        <v>7357800</v>
      </c>
      <c r="AS37" s="1618">
        <f t="shared" si="159"/>
        <v>6200</v>
      </c>
      <c r="AT37" s="502"/>
      <c r="AU37" s="504"/>
      <c r="AV37" s="567"/>
      <c r="AW37" s="573">
        <f t="shared" ref="AW37:BF37" si="160">SUM(AW7:AW36)</f>
        <v>62</v>
      </c>
      <c r="AX37" s="573">
        <f t="shared" si="160"/>
        <v>0</v>
      </c>
      <c r="AY37" s="507">
        <f t="shared" si="160"/>
        <v>6200</v>
      </c>
      <c r="AZ37" s="573">
        <f t="shared" si="160"/>
        <v>133</v>
      </c>
      <c r="BA37" s="573">
        <f t="shared" si="160"/>
        <v>57</v>
      </c>
      <c r="BB37" s="573">
        <f t="shared" si="160"/>
        <v>13</v>
      </c>
      <c r="BC37" s="573">
        <f t="shared" si="160"/>
        <v>62</v>
      </c>
      <c r="BD37" s="573">
        <f t="shared" si="160"/>
        <v>9</v>
      </c>
      <c r="BE37" s="573">
        <f t="shared" si="160"/>
        <v>63</v>
      </c>
      <c r="BF37" s="579">
        <f t="shared" si="160"/>
        <v>7357800</v>
      </c>
    </row>
    <row r="38" spans="1:68">
      <c r="A38" s="552"/>
      <c r="B38" s="552"/>
      <c r="C38" s="567"/>
      <c r="D38" s="567"/>
      <c r="E38" s="567"/>
      <c r="F38" s="570"/>
      <c r="G38" s="567"/>
      <c r="H38" s="567"/>
      <c r="I38" s="567"/>
      <c r="J38" s="567"/>
      <c r="K38" s="567"/>
      <c r="L38" s="567"/>
      <c r="M38" s="567"/>
      <c r="N38" s="567"/>
      <c r="O38" s="567"/>
      <c r="P38" s="567"/>
      <c r="Q38" s="567"/>
      <c r="R38" s="567"/>
      <c r="S38" s="567"/>
      <c r="T38" s="567"/>
      <c r="U38" s="567"/>
      <c r="V38" s="567"/>
      <c r="W38" s="567"/>
      <c r="X38" s="567"/>
      <c r="Y38" s="567"/>
      <c r="Z38" s="567"/>
      <c r="AA38" s="567"/>
      <c r="AB38" s="567"/>
      <c r="AC38" s="694"/>
      <c r="AD38" s="567"/>
      <c r="AE38" s="567"/>
      <c r="AF38" s="567"/>
      <c r="AG38" s="567"/>
      <c r="AH38" s="567"/>
      <c r="AI38" s="567"/>
      <c r="AJ38" s="567"/>
      <c r="AK38" s="567"/>
      <c r="AL38" s="567"/>
      <c r="AM38" s="567"/>
      <c r="AN38" s="567"/>
      <c r="AO38" s="567"/>
      <c r="AP38" s="567"/>
      <c r="AQ38" s="567"/>
      <c r="AR38" s="567"/>
      <c r="AS38" s="567"/>
      <c r="AT38" s="567"/>
      <c r="AU38" s="567"/>
      <c r="AV38" s="567"/>
      <c r="AW38" s="567"/>
      <c r="AX38" s="567"/>
      <c r="AY38" s="567"/>
      <c r="AZ38" s="567"/>
      <c r="BA38" s="567"/>
    </row>
    <row r="39" spans="1:68" s="1355" customFormat="1" ht="27" customHeight="1">
      <c r="A39" s="1355" t="s">
        <v>213</v>
      </c>
      <c r="C39" s="1358"/>
      <c r="D39" s="1358"/>
      <c r="E39" s="1358"/>
      <c r="F39" s="1356"/>
      <c r="G39" s="1358"/>
      <c r="H39" s="1358"/>
      <c r="I39" s="1358"/>
      <c r="J39" s="1358"/>
      <c r="K39" s="1358"/>
      <c r="L39" s="1355" t="s">
        <v>2168</v>
      </c>
      <c r="M39" s="1358"/>
      <c r="N39" s="1358"/>
      <c r="O39" s="1358"/>
      <c r="P39" s="1358"/>
      <c r="Q39" s="1358"/>
      <c r="R39" s="1358"/>
      <c r="S39" s="1358"/>
      <c r="T39" s="1358"/>
      <c r="U39" s="1358"/>
      <c r="V39" s="1358"/>
      <c r="W39" s="1358"/>
      <c r="X39" s="1358"/>
      <c r="Y39" s="1358"/>
      <c r="Z39" s="1358"/>
      <c r="AA39" s="1358"/>
      <c r="AB39" s="1358"/>
      <c r="AC39" s="1367"/>
      <c r="AD39" s="1358"/>
      <c r="AE39" s="1358"/>
      <c r="AF39" s="1366" t="s">
        <v>445</v>
      </c>
      <c r="AG39" s="1366"/>
      <c r="AH39" s="1358"/>
      <c r="AI39" s="1358"/>
      <c r="AJ39" s="1358"/>
      <c r="AK39" s="1358"/>
      <c r="AL39" s="1358"/>
      <c r="AM39" s="1358"/>
      <c r="AN39" s="1358"/>
      <c r="AO39" s="1358"/>
      <c r="AP39" s="1358"/>
      <c r="AQ39" s="1358"/>
      <c r="AR39" s="1358"/>
      <c r="AS39" s="1358" t="s">
        <v>212</v>
      </c>
      <c r="AT39" s="1358"/>
      <c r="AU39" s="1358"/>
      <c r="AV39" s="1358"/>
      <c r="AW39" s="1358"/>
      <c r="AX39" s="1358"/>
      <c r="AY39" s="1358"/>
      <c r="AZ39" s="1358"/>
      <c r="BA39" s="1358"/>
      <c r="BB39" s="1358"/>
      <c r="BC39" s="1358"/>
      <c r="BD39" s="1358"/>
      <c r="BE39" s="1358"/>
      <c r="BF39" s="1358"/>
      <c r="BG39" s="1358"/>
      <c r="BH39" s="1358"/>
      <c r="BI39" s="1358"/>
      <c r="BJ39" s="1358"/>
      <c r="BK39" s="1358"/>
      <c r="BL39" s="1358"/>
      <c r="BM39" s="1358"/>
      <c r="BN39" s="1358"/>
      <c r="BO39" s="1358"/>
      <c r="BP39" s="1358"/>
    </row>
    <row r="40" spans="1:68">
      <c r="A40" s="552"/>
      <c r="B40" s="552"/>
      <c r="C40" s="567"/>
      <c r="D40" s="567"/>
      <c r="E40" s="567"/>
      <c r="F40" s="570"/>
      <c r="G40" s="567"/>
      <c r="H40" s="567"/>
      <c r="I40" s="567"/>
      <c r="J40" s="567"/>
      <c r="K40" s="567"/>
      <c r="L40" s="567"/>
      <c r="M40" s="567"/>
      <c r="N40" s="567"/>
      <c r="O40" s="567"/>
      <c r="P40" s="567"/>
      <c r="Q40" s="567"/>
      <c r="R40" s="567"/>
      <c r="S40" s="567"/>
      <c r="T40" s="567"/>
      <c r="U40" s="567"/>
      <c r="V40" s="567"/>
      <c r="W40" s="567"/>
      <c r="X40" s="567"/>
      <c r="Y40" s="567"/>
      <c r="Z40" s="567"/>
      <c r="AA40" s="567"/>
      <c r="AB40" s="567"/>
      <c r="AC40" s="567"/>
      <c r="AD40" s="567"/>
      <c r="AE40" s="567"/>
      <c r="AF40" s="567"/>
      <c r="AG40" s="567"/>
      <c r="AH40" s="567"/>
      <c r="AI40" s="567"/>
      <c r="AJ40" s="567"/>
      <c r="AK40" s="567"/>
      <c r="AL40" s="567"/>
      <c r="AM40" s="567"/>
      <c r="AN40" s="567"/>
      <c r="AO40" s="567"/>
      <c r="AP40" s="567"/>
      <c r="AQ40" s="567"/>
      <c r="AR40" s="567"/>
      <c r="AS40" s="567"/>
      <c r="AT40" s="567"/>
      <c r="AU40" s="567"/>
      <c r="AV40" s="567"/>
      <c r="AW40" s="567"/>
      <c r="AX40" s="567"/>
      <c r="AY40" s="567"/>
      <c r="AZ40" s="567"/>
      <c r="BA40" s="567"/>
    </row>
  </sheetData>
  <mergeCells count="32">
    <mergeCell ref="BI5:BI6"/>
    <mergeCell ref="BJ5:BJ6"/>
    <mergeCell ref="BK5:BK6"/>
    <mergeCell ref="BL5:BL6"/>
    <mergeCell ref="AI5:AI6"/>
    <mergeCell ref="AP5:AP6"/>
    <mergeCell ref="Y5:AA5"/>
    <mergeCell ref="AB5:AB6"/>
    <mergeCell ref="AD5:AD6"/>
    <mergeCell ref="AF5:AF6"/>
    <mergeCell ref="AH5:AH6"/>
    <mergeCell ref="H5:J5"/>
    <mergeCell ref="K5:M5"/>
    <mergeCell ref="N5:P5"/>
    <mergeCell ref="Q5:S5"/>
    <mergeCell ref="T5:V5"/>
    <mergeCell ref="W5:X5"/>
    <mergeCell ref="A1:AT1"/>
    <mergeCell ref="A2:AT2"/>
    <mergeCell ref="A3:AT3"/>
    <mergeCell ref="AW4:BF4"/>
    <mergeCell ref="C4:F4"/>
    <mergeCell ref="AT5:AT6"/>
    <mergeCell ref="AW5:AY5"/>
    <mergeCell ref="BB5:BF5"/>
    <mergeCell ref="AJ5:AJ6"/>
    <mergeCell ref="AK5:AK6"/>
    <mergeCell ref="AL5:AL6"/>
    <mergeCell ref="AM5:AM6"/>
    <mergeCell ref="AO5:AO6"/>
    <mergeCell ref="AQ5:AS5"/>
    <mergeCell ref="AN5:AN6"/>
  </mergeCells>
  <phoneticPr fontId="171" type="noConversion"/>
  <pageMargins left="0" right="0" top="0" bottom="0" header="0" footer="0"/>
  <pageSetup paperSize="9" scale="36" orientation="landscape" horizontalDpi="4294967293" r:id="rId1"/>
  <rowBreaks count="1" manualBreakCount="1">
    <brk id="25" max="4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N47"/>
  <sheetViews>
    <sheetView zoomScaleSheetLayoutView="55" workbookViewId="0">
      <selection activeCell="R11" sqref="R11"/>
    </sheetView>
  </sheetViews>
  <sheetFormatPr defaultRowHeight="14.25"/>
  <cols>
    <col min="1" max="1" width="5.25" style="470" customWidth="1"/>
    <col min="2" max="2" width="5.25" style="226" customWidth="1"/>
    <col min="3" max="3" width="5.5" style="60" customWidth="1"/>
    <col min="4" max="4" width="12.25" style="333" customWidth="1"/>
    <col min="5" max="5" width="4.75" style="332" customWidth="1"/>
    <col min="6" max="6" width="3.875" style="228" customWidth="1"/>
    <col min="7" max="7" width="6.5" style="216" customWidth="1"/>
    <col min="8" max="8" width="2.75" style="258" customWidth="1"/>
    <col min="9" max="9" width="2.125" customWidth="1"/>
    <col min="10" max="10" width="2.5" customWidth="1"/>
    <col min="11" max="11" width="2.125" customWidth="1"/>
    <col min="12" max="12" width="4.125" style="331" customWidth="1"/>
    <col min="13" max="15" width="5.25" customWidth="1"/>
    <col min="16" max="16" width="3.875" style="5" customWidth="1"/>
    <col min="17" max="17" width="4.25" style="201" hidden="1" customWidth="1"/>
    <col min="18" max="18" width="6.875" style="294" customWidth="1"/>
    <col min="19" max="20" width="6" style="330" customWidth="1"/>
    <col min="21" max="21" width="6.875" style="56" customWidth="1"/>
    <col min="22" max="22" width="10.125" style="324" customWidth="1"/>
    <col min="23" max="23" width="12.5" style="324" customWidth="1"/>
    <col min="24" max="24" width="9.625" style="5" customWidth="1"/>
    <col min="25" max="25" width="5.75" customWidth="1"/>
    <col min="26" max="26" width="4.875" customWidth="1"/>
    <col min="27" max="27" width="4.125" customWidth="1"/>
    <col min="28" max="28" width="3.875" customWidth="1"/>
    <col min="29" max="29" width="3.625" customWidth="1"/>
    <col min="30" max="30" width="4.25" customWidth="1"/>
    <col min="31" max="31" width="6.25" customWidth="1"/>
    <col min="32" max="32" width="6.125" customWidth="1"/>
    <col min="33" max="33" width="5.625" customWidth="1"/>
    <col min="34" max="34" width="5.5" customWidth="1"/>
    <col min="35" max="35" width="5" customWidth="1"/>
    <col min="36" max="36" width="6.625" customWidth="1"/>
    <col min="37" max="37" width="0" hidden="1" customWidth="1"/>
    <col min="38" max="38" width="6.5" hidden="1" customWidth="1"/>
    <col min="39" max="39" width="4.25" hidden="1" customWidth="1"/>
    <col min="40" max="40" width="1.75" hidden="1" customWidth="1"/>
    <col min="41" max="41" width="3" style="329" hidden="1" customWidth="1"/>
    <col min="42" max="42" width="2.875" hidden="1" customWidth="1"/>
    <col min="43" max="43" width="4.125" hidden="1" customWidth="1"/>
    <col min="44" max="44" width="1.125" hidden="1" customWidth="1"/>
    <col min="45" max="45" width="5.5" hidden="1" customWidth="1"/>
    <col min="46" max="46" width="5.875" hidden="1" customWidth="1"/>
    <col min="47" max="47" width="7.75" hidden="1" customWidth="1"/>
    <col min="48" max="48" width="6" hidden="1" customWidth="1"/>
    <col min="49" max="49" width="5.625" hidden="1" customWidth="1"/>
    <col min="50" max="50" width="4.375" hidden="1" customWidth="1"/>
    <col min="51" max="51" width="0" hidden="1" customWidth="1"/>
    <col min="52" max="52" width="10.75" hidden="1" customWidth="1"/>
    <col min="53" max="53" width="0" hidden="1" customWidth="1"/>
    <col min="54" max="66" width="5.125" hidden="1" customWidth="1"/>
  </cols>
  <sheetData>
    <row r="1" spans="1:65" s="62" customFormat="1" ht="25.5" customHeight="1">
      <c r="A1" s="2022" t="s">
        <v>163</v>
      </c>
      <c r="B1" s="2022"/>
      <c r="C1" s="2022"/>
      <c r="D1" s="2022"/>
      <c r="E1" s="2022"/>
      <c r="F1" s="2022"/>
      <c r="G1" s="2022"/>
      <c r="H1" s="2022"/>
      <c r="I1" s="2022"/>
      <c r="J1" s="2022"/>
      <c r="K1" s="2022"/>
      <c r="L1" s="2022"/>
      <c r="M1" s="2022"/>
      <c r="N1" s="2022"/>
      <c r="O1" s="2022"/>
      <c r="P1" s="2022"/>
      <c r="Q1" s="2022"/>
      <c r="R1" s="2022"/>
      <c r="S1" s="2022"/>
      <c r="T1" s="2022"/>
      <c r="U1" s="2022"/>
      <c r="V1" s="2022"/>
      <c r="W1" s="2022"/>
      <c r="X1" s="318"/>
      <c r="Y1" s="80"/>
      <c r="AP1" s="465"/>
    </row>
    <row r="2" spans="1:65" s="102" customFormat="1" ht="17.25" customHeight="1">
      <c r="A2" s="1930" t="s">
        <v>88</v>
      </c>
      <c r="B2" s="1930"/>
      <c r="C2" s="1930"/>
      <c r="D2" s="1930"/>
      <c r="E2" s="1930"/>
      <c r="F2" s="1930"/>
      <c r="G2" s="1930"/>
      <c r="H2" s="1930"/>
      <c r="I2" s="1930"/>
      <c r="J2" s="1930"/>
      <c r="K2" s="1930"/>
      <c r="L2" s="1930"/>
      <c r="M2" s="1930"/>
      <c r="N2" s="1930"/>
      <c r="O2" s="1930"/>
      <c r="P2" s="1930"/>
      <c r="Q2" s="1930"/>
      <c r="R2" s="1930"/>
      <c r="S2" s="1930"/>
      <c r="T2" s="1930"/>
      <c r="U2" s="1930"/>
      <c r="V2" s="1930"/>
      <c r="W2" s="1930"/>
      <c r="X2" s="319"/>
      <c r="AP2" s="464"/>
    </row>
    <row r="3" spans="1:65" s="102" customFormat="1" ht="15" customHeight="1">
      <c r="A3" s="2023" t="s">
        <v>182</v>
      </c>
      <c r="B3" s="2024"/>
      <c r="C3" s="2024"/>
      <c r="D3" s="2024"/>
      <c r="E3" s="2024"/>
      <c r="F3" s="2024"/>
      <c r="G3" s="2024"/>
      <c r="H3" s="2024"/>
      <c r="I3" s="2024"/>
      <c r="J3" s="2024"/>
      <c r="K3" s="2024"/>
      <c r="L3" s="2024"/>
      <c r="M3" s="2024"/>
      <c r="N3" s="2024"/>
      <c r="O3" s="2024"/>
      <c r="P3" s="2024"/>
      <c r="Q3" s="2024"/>
      <c r="R3" s="2024"/>
      <c r="S3" s="2024"/>
      <c r="T3" s="2024"/>
      <c r="U3" s="2024"/>
      <c r="V3" s="2024"/>
      <c r="W3" s="2024"/>
      <c r="X3" s="319"/>
      <c r="AP3" s="464"/>
    </row>
    <row r="4" spans="1:65" s="324" customFormat="1" ht="17.25" customHeight="1" thickBot="1">
      <c r="A4" s="2025" t="s">
        <v>149</v>
      </c>
      <c r="B4" s="2025"/>
      <c r="C4" s="2025"/>
      <c r="D4" s="2025"/>
      <c r="E4" s="2025"/>
      <c r="F4" s="2025"/>
      <c r="G4" s="2025"/>
      <c r="H4" s="2025"/>
      <c r="I4" s="2025"/>
      <c r="J4" s="2025"/>
      <c r="K4" s="2025"/>
      <c r="L4" s="2025"/>
      <c r="M4" s="2025"/>
      <c r="N4" s="2025"/>
      <c r="O4" s="2025"/>
      <c r="P4" s="2025"/>
      <c r="Q4" s="2025"/>
      <c r="R4" s="2025"/>
      <c r="S4" s="2025"/>
      <c r="T4" s="2025"/>
      <c r="U4" s="2025"/>
      <c r="V4" s="2025"/>
      <c r="W4" s="2025"/>
      <c r="X4" s="108"/>
      <c r="Y4" s="81"/>
      <c r="AP4" s="329"/>
      <c r="AW4" s="324" t="s">
        <v>105</v>
      </c>
      <c r="AY4" s="463" t="s">
        <v>106</v>
      </c>
    </row>
    <row r="5" spans="1:65" ht="18.75" customHeight="1" thickTop="1" thickBot="1">
      <c r="A5" s="2026" t="s">
        <v>0</v>
      </c>
      <c r="B5" s="2028" t="s">
        <v>129</v>
      </c>
      <c r="C5" s="2029"/>
      <c r="D5" s="2034" t="s">
        <v>22</v>
      </c>
      <c r="E5" s="2035" t="s">
        <v>61</v>
      </c>
      <c r="F5" s="2038" t="s">
        <v>109</v>
      </c>
      <c r="G5" s="2040" t="s">
        <v>119</v>
      </c>
      <c r="H5" s="2034" t="s">
        <v>162</v>
      </c>
      <c r="I5" s="2034"/>
      <c r="J5" s="2054"/>
      <c r="K5" s="2054"/>
      <c r="L5" s="2054"/>
      <c r="M5" s="2048" t="s">
        <v>28</v>
      </c>
      <c r="N5" s="2049"/>
      <c r="O5" s="2055" t="s">
        <v>130</v>
      </c>
      <c r="P5" s="2058" t="s">
        <v>161</v>
      </c>
      <c r="Q5" s="2061"/>
      <c r="R5" s="2014" t="s">
        <v>128</v>
      </c>
      <c r="S5" s="2043" t="s">
        <v>57</v>
      </c>
      <c r="T5" s="2044"/>
      <c r="U5" s="2047" t="s">
        <v>129</v>
      </c>
      <c r="V5" s="2035" t="s">
        <v>30</v>
      </c>
      <c r="W5" s="2035" t="s">
        <v>70</v>
      </c>
      <c r="X5" s="462"/>
      <c r="BB5" s="5"/>
    </row>
    <row r="6" spans="1:65" ht="18" customHeight="1" thickTop="1">
      <c r="A6" s="2027"/>
      <c r="B6" s="2030"/>
      <c r="C6" s="2031"/>
      <c r="D6" s="2034"/>
      <c r="E6" s="2036"/>
      <c r="F6" s="2039"/>
      <c r="G6" s="2041"/>
      <c r="H6" s="2048" t="s">
        <v>136</v>
      </c>
      <c r="I6" s="2049"/>
      <c r="J6" s="2052" t="s">
        <v>160</v>
      </c>
      <c r="K6" s="2053"/>
      <c r="L6" s="2064" t="s">
        <v>159</v>
      </c>
      <c r="M6" s="2035" t="s">
        <v>158</v>
      </c>
      <c r="N6" s="2055" t="s">
        <v>157</v>
      </c>
      <c r="O6" s="2056"/>
      <c r="P6" s="2059"/>
      <c r="Q6" s="2062"/>
      <c r="R6" s="2015"/>
      <c r="S6" s="2045"/>
      <c r="T6" s="2046"/>
      <c r="U6" s="2047"/>
      <c r="V6" s="2036"/>
      <c r="W6" s="2036"/>
      <c r="X6" s="1993">
        <v>42369</v>
      </c>
      <c r="Y6" s="70">
        <v>100</v>
      </c>
      <c r="Z6" s="70">
        <v>50</v>
      </c>
      <c r="AA6" s="70">
        <v>20</v>
      </c>
      <c r="AB6" s="70">
        <v>10</v>
      </c>
      <c r="AC6" s="70">
        <v>5</v>
      </c>
      <c r="AD6" s="70">
        <v>1</v>
      </c>
      <c r="AE6" s="105">
        <v>10000</v>
      </c>
      <c r="AF6" s="105">
        <v>5000</v>
      </c>
      <c r="AG6" s="105">
        <v>2000</v>
      </c>
      <c r="AH6" s="105">
        <v>1000</v>
      </c>
      <c r="AI6" s="105">
        <v>500</v>
      </c>
      <c r="AJ6" s="105">
        <v>100</v>
      </c>
      <c r="AL6" s="1996"/>
      <c r="AM6" s="1997"/>
      <c r="AN6" s="1997"/>
      <c r="AO6" s="1997"/>
      <c r="AP6" s="1997"/>
      <c r="AQ6" s="1997"/>
      <c r="AR6" s="1998"/>
      <c r="AS6" s="461"/>
      <c r="AT6" s="461"/>
      <c r="AU6" s="136" t="s">
        <v>7</v>
      </c>
      <c r="AV6" s="1952" t="s">
        <v>57</v>
      </c>
      <c r="AW6" s="1953"/>
      <c r="AX6" s="322" t="s">
        <v>21</v>
      </c>
      <c r="AY6" s="136" t="s">
        <v>30</v>
      </c>
      <c r="AZ6" s="136" t="s">
        <v>70</v>
      </c>
      <c r="BA6" s="7"/>
    </row>
    <row r="7" spans="1:65" ht="33" customHeight="1">
      <c r="A7" s="2027"/>
      <c r="B7" s="2032"/>
      <c r="C7" s="2033"/>
      <c r="D7" s="2034"/>
      <c r="E7" s="2037"/>
      <c r="F7" s="2039"/>
      <c r="G7" s="2042"/>
      <c r="H7" s="2050"/>
      <c r="I7" s="2051"/>
      <c r="J7" s="2005"/>
      <c r="K7" s="2006"/>
      <c r="L7" s="2065"/>
      <c r="M7" s="2037"/>
      <c r="N7" s="2057"/>
      <c r="O7" s="2057"/>
      <c r="P7" s="2060"/>
      <c r="Q7" s="2063"/>
      <c r="R7" s="2016"/>
      <c r="S7" s="1999" t="s">
        <v>58</v>
      </c>
      <c r="T7" s="2000"/>
      <c r="U7" s="2047"/>
      <c r="V7" s="2036"/>
      <c r="W7" s="2036"/>
      <c r="X7" s="1994"/>
      <c r="Y7" s="70"/>
      <c r="Z7" s="70"/>
      <c r="AA7" s="70"/>
      <c r="AB7" s="70"/>
      <c r="AC7" s="70"/>
      <c r="AD7" s="70"/>
      <c r="AE7" s="71"/>
      <c r="AF7" s="71"/>
      <c r="AG7" s="71"/>
      <c r="AH7" s="71"/>
      <c r="AI7" s="71"/>
      <c r="AJ7" s="460"/>
      <c r="AL7" s="459"/>
      <c r="AM7" s="458" t="s">
        <v>12</v>
      </c>
      <c r="AN7" s="99"/>
      <c r="AO7" s="2017" t="s">
        <v>12</v>
      </c>
      <c r="AP7" s="2018"/>
      <c r="AQ7" s="457" t="s">
        <v>12</v>
      </c>
      <c r="AR7" s="457"/>
      <c r="AS7" s="456" t="s">
        <v>96</v>
      </c>
      <c r="AT7" s="456" t="s">
        <v>96</v>
      </c>
      <c r="AU7" s="455"/>
      <c r="AV7" s="454"/>
      <c r="AW7" s="453"/>
      <c r="AX7" s="296"/>
      <c r="AY7" s="7"/>
      <c r="AZ7" s="99"/>
      <c r="BA7" s="316">
        <v>4000</v>
      </c>
      <c r="BB7" s="70">
        <v>100</v>
      </c>
      <c r="BC7" s="70">
        <v>50</v>
      </c>
      <c r="BD7" s="70">
        <v>20</v>
      </c>
      <c r="BE7" s="70">
        <v>10</v>
      </c>
      <c r="BF7" s="70">
        <v>5</v>
      </c>
      <c r="BG7" s="70">
        <v>1</v>
      </c>
      <c r="BH7" s="105">
        <v>10000</v>
      </c>
      <c r="BI7" s="105">
        <v>5000</v>
      </c>
      <c r="BJ7" s="105">
        <v>2000</v>
      </c>
      <c r="BK7" s="105">
        <v>1000</v>
      </c>
      <c r="BL7" s="105">
        <v>500</v>
      </c>
      <c r="BM7" s="105">
        <v>100</v>
      </c>
    </row>
    <row r="8" spans="1:65" s="436" customFormat="1" ht="28.5" customHeight="1">
      <c r="A8" s="466" t="s">
        <v>111</v>
      </c>
      <c r="B8" s="451" t="s">
        <v>120</v>
      </c>
      <c r="C8" s="328" t="s">
        <v>107</v>
      </c>
      <c r="D8" s="451" t="s">
        <v>87</v>
      </c>
      <c r="E8" s="451" t="s">
        <v>108</v>
      </c>
      <c r="F8" s="309" t="s">
        <v>110</v>
      </c>
      <c r="G8" s="308" t="s">
        <v>112</v>
      </c>
      <c r="H8" s="2019" t="s">
        <v>156</v>
      </c>
      <c r="I8" s="2019"/>
      <c r="J8" s="2019" t="s">
        <v>135</v>
      </c>
      <c r="K8" s="2019"/>
      <c r="L8" s="452" t="s">
        <v>113</v>
      </c>
      <c r="M8" s="451" t="s">
        <v>134</v>
      </c>
      <c r="N8" s="451" t="s">
        <v>133</v>
      </c>
      <c r="O8" s="450" t="s">
        <v>155</v>
      </c>
      <c r="P8" s="432">
        <v>0.05</v>
      </c>
      <c r="Q8" s="431"/>
      <c r="R8" s="328" t="s">
        <v>122</v>
      </c>
      <c r="S8" s="449" t="s">
        <v>84</v>
      </c>
      <c r="T8" s="449" t="s">
        <v>89</v>
      </c>
      <c r="U8" s="448" t="s">
        <v>107</v>
      </c>
      <c r="V8" s="447" t="s">
        <v>123</v>
      </c>
      <c r="W8" s="446" t="s">
        <v>124</v>
      </c>
      <c r="X8" s="1994"/>
      <c r="Y8" s="438"/>
      <c r="Z8" s="438"/>
      <c r="AA8" s="438"/>
      <c r="AB8" s="438"/>
      <c r="AC8" s="438"/>
      <c r="AD8" s="438"/>
      <c r="AE8" s="437"/>
      <c r="AF8" s="437"/>
      <c r="AG8" s="437"/>
      <c r="AH8" s="437"/>
      <c r="AI8" s="437"/>
      <c r="AJ8" s="445"/>
      <c r="AL8" s="440" t="s">
        <v>100</v>
      </c>
      <c r="AM8" s="444" t="s">
        <v>13</v>
      </c>
      <c r="AN8" s="443"/>
      <c r="AO8" s="2020" t="s">
        <v>90</v>
      </c>
      <c r="AP8" s="2021"/>
      <c r="AQ8" s="442" t="s">
        <v>91</v>
      </c>
      <c r="AR8" s="442"/>
      <c r="AS8" s="440" t="s">
        <v>98</v>
      </c>
      <c r="AT8" s="442" t="s">
        <v>91</v>
      </c>
      <c r="AU8" s="441"/>
      <c r="AV8" s="2003" t="s">
        <v>58</v>
      </c>
      <c r="AW8" s="2004"/>
      <c r="AX8" s="323"/>
      <c r="AY8" s="440"/>
      <c r="AZ8" s="440"/>
      <c r="BA8" s="439"/>
      <c r="BB8" s="438"/>
      <c r="BC8" s="438"/>
      <c r="BD8" s="438"/>
      <c r="BE8" s="438"/>
      <c r="BF8" s="438"/>
      <c r="BG8" s="438"/>
      <c r="BH8" s="437"/>
      <c r="BI8" s="437"/>
      <c r="BJ8" s="437"/>
      <c r="BK8" s="437"/>
      <c r="BL8" s="437"/>
      <c r="BM8" s="437"/>
    </row>
    <row r="9" spans="1:65" ht="21" customHeight="1" thickBot="1">
      <c r="A9" s="467" t="s">
        <v>41</v>
      </c>
      <c r="B9" s="435" t="s">
        <v>101</v>
      </c>
      <c r="C9" s="325" t="s">
        <v>42</v>
      </c>
      <c r="D9" s="428" t="s">
        <v>85</v>
      </c>
      <c r="E9" s="321" t="s">
        <v>62</v>
      </c>
      <c r="F9" s="307" t="s">
        <v>44</v>
      </c>
      <c r="G9" s="306" t="s">
        <v>45</v>
      </c>
      <c r="H9" s="2005" t="s">
        <v>154</v>
      </c>
      <c r="I9" s="2006"/>
      <c r="J9" s="2001" t="s">
        <v>153</v>
      </c>
      <c r="K9" s="2002"/>
      <c r="L9" s="434" t="s">
        <v>17</v>
      </c>
      <c r="M9" s="433" t="s">
        <v>104</v>
      </c>
      <c r="N9" s="433" t="s">
        <v>132</v>
      </c>
      <c r="O9" s="433"/>
      <c r="P9" s="432">
        <v>0.05</v>
      </c>
      <c r="Q9" s="431"/>
      <c r="R9" s="305" t="s">
        <v>20</v>
      </c>
      <c r="S9" s="430" t="s">
        <v>59</v>
      </c>
      <c r="T9" s="430" t="s">
        <v>60</v>
      </c>
      <c r="U9" s="429" t="s">
        <v>42</v>
      </c>
      <c r="V9" s="428" t="s">
        <v>50</v>
      </c>
      <c r="W9" s="427" t="s">
        <v>71</v>
      </c>
      <c r="X9" s="1995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L9" s="426" t="s">
        <v>101</v>
      </c>
      <c r="AM9" s="425" t="s">
        <v>16</v>
      </c>
      <c r="AN9" s="424"/>
      <c r="AO9" s="2007" t="s">
        <v>92</v>
      </c>
      <c r="AP9" s="2008"/>
      <c r="AQ9" s="423" t="s">
        <v>93</v>
      </c>
      <c r="AR9" s="422"/>
      <c r="AS9" s="421" t="s">
        <v>97</v>
      </c>
      <c r="AT9" s="420" t="s">
        <v>99</v>
      </c>
      <c r="AU9" s="419" t="s">
        <v>20</v>
      </c>
      <c r="AV9" s="418" t="s">
        <v>59</v>
      </c>
      <c r="AW9" s="417" t="s">
        <v>60</v>
      </c>
      <c r="AX9" s="304" t="s">
        <v>42</v>
      </c>
      <c r="AY9" s="416" t="s">
        <v>50</v>
      </c>
      <c r="AZ9" s="416" t="s">
        <v>71</v>
      </c>
      <c r="BA9" s="317"/>
      <c r="BB9" s="124"/>
      <c r="BC9" s="124"/>
      <c r="BD9" s="124"/>
      <c r="BE9" s="124"/>
      <c r="BF9" s="124"/>
      <c r="BG9" s="124"/>
      <c r="BH9" s="123"/>
      <c r="BI9" s="123"/>
      <c r="BJ9" s="123"/>
      <c r="BK9" s="123"/>
      <c r="BL9" s="123"/>
      <c r="BM9" s="123"/>
    </row>
    <row r="10" spans="1:65" s="311" customFormat="1" ht="56.25" customHeight="1" thickTop="1">
      <c r="A10" s="468">
        <v>1</v>
      </c>
      <c r="B10" s="297" t="s">
        <v>69</v>
      </c>
      <c r="C10" s="405" t="s">
        <v>183</v>
      </c>
      <c r="D10" s="415" t="s">
        <v>184</v>
      </c>
      <c r="E10" s="310" t="s">
        <v>121</v>
      </c>
      <c r="F10" s="414">
        <v>133</v>
      </c>
      <c r="G10" s="412">
        <v>41582</v>
      </c>
      <c r="H10" s="400"/>
      <c r="I10" s="313" t="s">
        <v>3</v>
      </c>
      <c r="J10" s="400" t="s">
        <v>174</v>
      </c>
      <c r="K10" s="313" t="s">
        <v>95</v>
      </c>
      <c r="L10" s="399">
        <f t="shared" ref="L10:L37" si="0">H10+(J10*8)</f>
        <v>8</v>
      </c>
      <c r="M10" s="398">
        <f t="shared" ref="M10:M37" si="1">F10/208*H10*1.5</f>
        <v>0</v>
      </c>
      <c r="N10" s="398">
        <f t="shared" ref="N10:N37" si="2">F10/26*J10*2</f>
        <v>10.23076923076923</v>
      </c>
      <c r="O10" s="398"/>
      <c r="P10" s="292">
        <f t="shared" ref="P10:P37" si="3">Q10*5%</f>
        <v>0.5115384615384615</v>
      </c>
      <c r="Q10" s="397">
        <f t="shared" ref="Q10:Q37" si="4">M10+N10</f>
        <v>10.23076923076923</v>
      </c>
      <c r="R10" s="259">
        <f t="shared" ref="R10:R37" si="5">M10+N10+P10+O10</f>
        <v>10.742307692307691</v>
      </c>
      <c r="S10" s="396">
        <f t="shared" ref="S10:S37" si="6">R10-(X10/4000)</f>
        <v>9.9923076923076906</v>
      </c>
      <c r="T10" s="395">
        <f t="shared" ref="T10:T37" si="7">X10</f>
        <v>3000</v>
      </c>
      <c r="U10" s="394" t="str">
        <f t="shared" ref="U10:U37" si="8">C10</f>
        <v>01030</v>
      </c>
      <c r="V10" s="413"/>
      <c r="W10" s="413"/>
      <c r="X10" s="365">
        <f t="shared" ref="X10:X37" si="9">ROUNDUP(((R10-(Y10*100+Z10*50+AA10*20+AB10*10+AC10*5+AD10*1))*4000)/100,0)*100</f>
        <v>3000</v>
      </c>
      <c r="Y10" s="393">
        <f t="shared" ref="Y10:Y37" si="10">INT(R10/100)</f>
        <v>0</v>
      </c>
      <c r="Z10" s="392">
        <f t="shared" ref="Z10:Z37" si="11">INT((R10-(Y10*100))/50)</f>
        <v>0</v>
      </c>
      <c r="AA10" s="392">
        <f t="shared" ref="AA10:AA37" si="12">INT((R10-(Y10*100+Z10*50))/20)</f>
        <v>0</v>
      </c>
      <c r="AB10" s="392">
        <f t="shared" ref="AB10:AB37" si="13">INT((R10-(Y10*100+Z10*50+AA10*20))/10)</f>
        <v>1</v>
      </c>
      <c r="AC10" s="392">
        <f t="shared" ref="AC10:AC37" si="14">INT((R10-(Y10*100+Z10*50+AA10*20+AB10*10))/5)</f>
        <v>0</v>
      </c>
      <c r="AD10" s="392">
        <f t="shared" ref="AD10:AD37" si="15">INT((R10-(Y10*100+Z10*50+AA10*20+AB10*10+AC10*5))/1)</f>
        <v>0</v>
      </c>
      <c r="AE10" s="376">
        <f t="shared" ref="AE10:AE37" si="16">INT(T10/10000)</f>
        <v>0</v>
      </c>
      <c r="AF10" s="376">
        <f t="shared" ref="AF10:AF37" si="17">INT((T10-(AE10*10000))/5000)</f>
        <v>0</v>
      </c>
      <c r="AG10" s="376">
        <f t="shared" ref="AG10:AG37" si="18">INT((T10-(AE10*10000+AF10*5000))/2000)</f>
        <v>1</v>
      </c>
      <c r="AH10" s="376">
        <f t="shared" ref="AH10:AH37" si="19">INT((T10-(AE10*10000+AF10*5000+AG10*2000))/1000)</f>
        <v>1</v>
      </c>
      <c r="AI10" s="376">
        <f t="shared" ref="AI10:AI37" si="20">INT((T10-(AE10*10000+AF10*5000+AG10*2000+AH10*1000))/500)</f>
        <v>0</v>
      </c>
      <c r="AJ10" s="376">
        <f t="shared" ref="AJ10:AJ37" si="21">INT((T10-(AE10*10000+AF10*5000+AG10*2000+AH10*1000+AI10*500))/100)</f>
        <v>0</v>
      </c>
      <c r="AL10" s="235" t="e">
        <f>#REF!</f>
        <v>#REF!</v>
      </c>
      <c r="AM10" s="236"/>
      <c r="AN10" s="237" t="s">
        <v>94</v>
      </c>
      <c r="AO10" s="238"/>
      <c r="AP10" s="239" t="s">
        <v>95</v>
      </c>
      <c r="AQ10" s="240"/>
      <c r="AR10" s="241" t="s">
        <v>95</v>
      </c>
      <c r="AS10" s="242">
        <f t="shared" ref="AS10:AS33" si="22">((F10/208)*AM10)*1.5</f>
        <v>0</v>
      </c>
      <c r="AT10" s="242">
        <f t="shared" ref="AT10:AT33" si="23">(((F10/26)*AO10)*2)+(((F10/26)*AQ10)*2)</f>
        <v>0</v>
      </c>
      <c r="AU10" s="388">
        <f t="shared" ref="AU10:AU33" si="24">R10+AS10+AT10</f>
        <v>10.742307692307691</v>
      </c>
      <c r="AV10" s="387">
        <f t="shared" ref="AV10:AV33" si="25">AU10-(BA10/4000)</f>
        <v>9.9923076923076906</v>
      </c>
      <c r="AW10" s="243">
        <f t="shared" ref="AW10:AW33" si="26">BA10</f>
        <v>3000</v>
      </c>
      <c r="AX10" s="244" t="str">
        <f t="shared" ref="AX10:AX33" si="27">C10</f>
        <v>01030</v>
      </c>
      <c r="AY10" s="245"/>
      <c r="AZ10" s="245"/>
      <c r="BA10" s="409">
        <f t="shared" ref="BA10:BA33" si="28">ROUNDUP(((AU10-(BB10*100+BC10*50+BD10*20+BE10*10+BF10*5+BG10*1))*4000)/100,0)*100</f>
        <v>3000</v>
      </c>
      <c r="BB10" s="393">
        <f t="shared" ref="BB10:BB33" si="29">INT(AU10/100)</f>
        <v>0</v>
      </c>
      <c r="BC10" s="392">
        <f t="shared" ref="BC10:BC33" si="30">INT((AU10-(BB10*100))/50)</f>
        <v>0</v>
      </c>
      <c r="BD10" s="392">
        <f t="shared" ref="BD10:BD33" si="31">INT((AU10-(BB10*100+BC10*50))/20)</f>
        <v>0</v>
      </c>
      <c r="BE10" s="392">
        <f t="shared" ref="BE10:BE33" si="32">INT((AU10-(BB10*100+BC10*50+BD10*20))/10)</f>
        <v>1</v>
      </c>
      <c r="BF10" s="392">
        <f t="shared" ref="BF10:BF33" si="33">INT((AU10-(BB10*100+BC10*50+BD10*20+BE10*10))/5)</f>
        <v>0</v>
      </c>
      <c r="BG10" s="392">
        <f t="shared" ref="BG10:BG33" si="34">INT((AU10-(BB10*100+BC10*50+BD10*20+BE10*10+BF10*5))/1)</f>
        <v>0</v>
      </c>
      <c r="BH10" s="385">
        <f t="shared" ref="BH10:BH33" si="35">INT(AW10/10000)</f>
        <v>0</v>
      </c>
      <c r="BI10" s="385">
        <f t="shared" ref="BI10:BI33" si="36">INT((AW10-(BH10*10000))/5000)</f>
        <v>0</v>
      </c>
      <c r="BJ10" s="385">
        <f t="shared" ref="BJ10:BJ33" si="37">INT((AW10-(BH10*10000+BI10*5000))/2000)</f>
        <v>1</v>
      </c>
      <c r="BK10" s="385">
        <f t="shared" ref="BK10:BK33" si="38">INT((AW10-(BH10*10000+BI10*5000+BJ10*2000))/1000)</f>
        <v>1</v>
      </c>
      <c r="BL10" s="385">
        <f t="shared" ref="BL10:BL33" si="39">INT((AW10-(BH10*10000+BI10*5000+BJ10*2000+BK10*1000))/500)</f>
        <v>0</v>
      </c>
      <c r="BM10" s="385">
        <f t="shared" ref="BM10:BM33" si="40">INT((AW10-(BH10*10000+BI10*5000+BJ10*2000+BK10*1000+BL10*500))/100)</f>
        <v>0</v>
      </c>
    </row>
    <row r="11" spans="1:65" s="311" customFormat="1" ht="56.25" customHeight="1">
      <c r="A11" s="468">
        <v>2</v>
      </c>
      <c r="B11" s="297" t="s">
        <v>69</v>
      </c>
      <c r="C11" s="410" t="s">
        <v>139</v>
      </c>
      <c r="D11" s="411" t="s">
        <v>140</v>
      </c>
      <c r="E11" s="310" t="s">
        <v>121</v>
      </c>
      <c r="F11" s="403">
        <v>131</v>
      </c>
      <c r="G11" s="412">
        <v>42002</v>
      </c>
      <c r="H11" s="400"/>
      <c r="I11" s="313" t="s">
        <v>3</v>
      </c>
      <c r="J11" s="400" t="s">
        <v>174</v>
      </c>
      <c r="K11" s="313" t="s">
        <v>95</v>
      </c>
      <c r="L11" s="399">
        <f t="shared" si="0"/>
        <v>8</v>
      </c>
      <c r="M11" s="398">
        <f t="shared" si="1"/>
        <v>0</v>
      </c>
      <c r="N11" s="398">
        <f t="shared" si="2"/>
        <v>10.076923076923077</v>
      </c>
      <c r="O11" s="398"/>
      <c r="P11" s="292">
        <f t="shared" si="3"/>
        <v>0.50384615384615383</v>
      </c>
      <c r="Q11" s="397">
        <f t="shared" si="4"/>
        <v>10.076923076923077</v>
      </c>
      <c r="R11" s="259">
        <f t="shared" si="5"/>
        <v>10.580769230769231</v>
      </c>
      <c r="S11" s="396">
        <f t="shared" si="6"/>
        <v>9.9807692307692317</v>
      </c>
      <c r="T11" s="395">
        <f t="shared" si="7"/>
        <v>2400</v>
      </c>
      <c r="U11" s="394" t="str">
        <f t="shared" si="8"/>
        <v>01424</v>
      </c>
      <c r="V11" s="413"/>
      <c r="W11" s="413"/>
      <c r="X11" s="365">
        <f t="shared" si="9"/>
        <v>2400</v>
      </c>
      <c r="Y11" s="393">
        <f t="shared" si="10"/>
        <v>0</v>
      </c>
      <c r="Z11" s="392">
        <f t="shared" si="11"/>
        <v>0</v>
      </c>
      <c r="AA11" s="392">
        <f t="shared" si="12"/>
        <v>0</v>
      </c>
      <c r="AB11" s="392">
        <f t="shared" si="13"/>
        <v>1</v>
      </c>
      <c r="AC11" s="392">
        <f t="shared" si="14"/>
        <v>0</v>
      </c>
      <c r="AD11" s="392">
        <f t="shared" si="15"/>
        <v>0</v>
      </c>
      <c r="AE11" s="376">
        <f t="shared" si="16"/>
        <v>0</v>
      </c>
      <c r="AF11" s="376">
        <f t="shared" si="17"/>
        <v>0</v>
      </c>
      <c r="AG11" s="376">
        <f t="shared" si="18"/>
        <v>1</v>
      </c>
      <c r="AH11" s="376">
        <f t="shared" si="19"/>
        <v>0</v>
      </c>
      <c r="AI11" s="376">
        <f t="shared" si="20"/>
        <v>0</v>
      </c>
      <c r="AJ11" s="376">
        <f t="shared" si="21"/>
        <v>4</v>
      </c>
      <c r="AL11" s="235" t="e">
        <f>#REF!</f>
        <v>#REF!</v>
      </c>
      <c r="AM11" s="312"/>
      <c r="AN11" s="237" t="s">
        <v>94</v>
      </c>
      <c r="AO11" s="314"/>
      <c r="AP11" s="239" t="s">
        <v>95</v>
      </c>
      <c r="AQ11" s="246"/>
      <c r="AR11" s="241" t="s">
        <v>95</v>
      </c>
      <c r="AS11" s="242">
        <f t="shared" si="22"/>
        <v>0</v>
      </c>
      <c r="AT11" s="242">
        <f t="shared" si="23"/>
        <v>0</v>
      </c>
      <c r="AU11" s="388">
        <f t="shared" si="24"/>
        <v>10.580769230769231</v>
      </c>
      <c r="AV11" s="387">
        <f t="shared" si="25"/>
        <v>9.9807692307692317</v>
      </c>
      <c r="AW11" s="243">
        <f t="shared" si="26"/>
        <v>2400</v>
      </c>
      <c r="AX11" s="244" t="str">
        <f t="shared" si="27"/>
        <v>01424</v>
      </c>
      <c r="AY11" s="315"/>
      <c r="AZ11" s="315"/>
      <c r="BA11" s="409">
        <f t="shared" si="28"/>
        <v>2400</v>
      </c>
      <c r="BB11" s="393">
        <f t="shared" si="29"/>
        <v>0</v>
      </c>
      <c r="BC11" s="392">
        <f t="shared" si="30"/>
        <v>0</v>
      </c>
      <c r="BD11" s="392">
        <f t="shared" si="31"/>
        <v>0</v>
      </c>
      <c r="BE11" s="392">
        <f t="shared" si="32"/>
        <v>1</v>
      </c>
      <c r="BF11" s="392">
        <f t="shared" si="33"/>
        <v>0</v>
      </c>
      <c r="BG11" s="392">
        <f t="shared" si="34"/>
        <v>0</v>
      </c>
      <c r="BH11" s="385">
        <f t="shared" si="35"/>
        <v>0</v>
      </c>
      <c r="BI11" s="385">
        <f t="shared" si="36"/>
        <v>0</v>
      </c>
      <c r="BJ11" s="385">
        <f t="shared" si="37"/>
        <v>1</v>
      </c>
      <c r="BK11" s="385">
        <f t="shared" si="38"/>
        <v>0</v>
      </c>
      <c r="BL11" s="385">
        <f t="shared" si="39"/>
        <v>0</v>
      </c>
      <c r="BM11" s="385">
        <f t="shared" si="40"/>
        <v>4</v>
      </c>
    </row>
    <row r="12" spans="1:65" s="311" customFormat="1" ht="56.25" customHeight="1">
      <c r="A12" s="468">
        <v>3</v>
      </c>
      <c r="B12" s="297" t="s">
        <v>102</v>
      </c>
      <c r="C12" s="410" t="s">
        <v>185</v>
      </c>
      <c r="D12" s="411" t="s">
        <v>186</v>
      </c>
      <c r="E12" s="310" t="s">
        <v>121</v>
      </c>
      <c r="F12" s="403">
        <v>131</v>
      </c>
      <c r="G12" s="412">
        <v>41918</v>
      </c>
      <c r="H12" s="400"/>
      <c r="I12" s="313" t="s">
        <v>3</v>
      </c>
      <c r="J12" s="400" t="s">
        <v>174</v>
      </c>
      <c r="K12" s="313" t="s">
        <v>95</v>
      </c>
      <c r="L12" s="399">
        <f t="shared" si="0"/>
        <v>8</v>
      </c>
      <c r="M12" s="398">
        <f t="shared" si="1"/>
        <v>0</v>
      </c>
      <c r="N12" s="398">
        <f t="shared" si="2"/>
        <v>10.076923076923077</v>
      </c>
      <c r="O12" s="398"/>
      <c r="P12" s="292">
        <f t="shared" si="3"/>
        <v>0.50384615384615383</v>
      </c>
      <c r="Q12" s="397">
        <f t="shared" si="4"/>
        <v>10.076923076923077</v>
      </c>
      <c r="R12" s="259">
        <f t="shared" si="5"/>
        <v>10.580769230769231</v>
      </c>
      <c r="S12" s="396">
        <f t="shared" si="6"/>
        <v>9.9807692307692317</v>
      </c>
      <c r="T12" s="395">
        <f t="shared" si="7"/>
        <v>2400</v>
      </c>
      <c r="U12" s="394" t="str">
        <f t="shared" si="8"/>
        <v>01273</v>
      </c>
      <c r="V12" s="413"/>
      <c r="W12" s="413"/>
      <c r="X12" s="365">
        <f t="shared" si="9"/>
        <v>2400</v>
      </c>
      <c r="Y12" s="393">
        <f t="shared" si="10"/>
        <v>0</v>
      </c>
      <c r="Z12" s="392">
        <f t="shared" si="11"/>
        <v>0</v>
      </c>
      <c r="AA12" s="392">
        <f t="shared" si="12"/>
        <v>0</v>
      </c>
      <c r="AB12" s="392">
        <f t="shared" si="13"/>
        <v>1</v>
      </c>
      <c r="AC12" s="392">
        <f t="shared" si="14"/>
        <v>0</v>
      </c>
      <c r="AD12" s="392">
        <f t="shared" si="15"/>
        <v>0</v>
      </c>
      <c r="AE12" s="376">
        <f t="shared" si="16"/>
        <v>0</v>
      </c>
      <c r="AF12" s="376">
        <f t="shared" si="17"/>
        <v>0</v>
      </c>
      <c r="AG12" s="376">
        <f t="shared" si="18"/>
        <v>1</v>
      </c>
      <c r="AH12" s="376">
        <f t="shared" si="19"/>
        <v>0</v>
      </c>
      <c r="AI12" s="376">
        <f t="shared" si="20"/>
        <v>0</v>
      </c>
      <c r="AJ12" s="376">
        <f t="shared" si="21"/>
        <v>4</v>
      </c>
      <c r="AL12" s="235" t="e">
        <f>#REF!</f>
        <v>#REF!</v>
      </c>
      <c r="AM12" s="312"/>
      <c r="AN12" s="237" t="s">
        <v>94</v>
      </c>
      <c r="AO12" s="314"/>
      <c r="AP12" s="239" t="s">
        <v>95</v>
      </c>
      <c r="AQ12" s="246"/>
      <c r="AR12" s="241" t="s">
        <v>95</v>
      </c>
      <c r="AS12" s="242">
        <f t="shared" si="22"/>
        <v>0</v>
      </c>
      <c r="AT12" s="242">
        <f t="shared" si="23"/>
        <v>0</v>
      </c>
      <c r="AU12" s="388">
        <f t="shared" si="24"/>
        <v>10.580769230769231</v>
      </c>
      <c r="AV12" s="387">
        <f t="shared" si="25"/>
        <v>9.9807692307692317</v>
      </c>
      <c r="AW12" s="243">
        <f t="shared" si="26"/>
        <v>2400</v>
      </c>
      <c r="AX12" s="244" t="str">
        <f t="shared" si="27"/>
        <v>01273</v>
      </c>
      <c r="AY12" s="315"/>
      <c r="AZ12" s="315"/>
      <c r="BA12" s="409">
        <f t="shared" si="28"/>
        <v>2400</v>
      </c>
      <c r="BB12" s="393">
        <f t="shared" si="29"/>
        <v>0</v>
      </c>
      <c r="BC12" s="392">
        <f t="shared" si="30"/>
        <v>0</v>
      </c>
      <c r="BD12" s="392">
        <f t="shared" si="31"/>
        <v>0</v>
      </c>
      <c r="BE12" s="392">
        <f t="shared" si="32"/>
        <v>1</v>
      </c>
      <c r="BF12" s="392">
        <f t="shared" si="33"/>
        <v>0</v>
      </c>
      <c r="BG12" s="392">
        <f t="shared" si="34"/>
        <v>0</v>
      </c>
      <c r="BH12" s="385">
        <f t="shared" si="35"/>
        <v>0</v>
      </c>
      <c r="BI12" s="385">
        <f t="shared" si="36"/>
        <v>0</v>
      </c>
      <c r="BJ12" s="385">
        <f t="shared" si="37"/>
        <v>1</v>
      </c>
      <c r="BK12" s="385">
        <f t="shared" si="38"/>
        <v>0</v>
      </c>
      <c r="BL12" s="385">
        <f t="shared" si="39"/>
        <v>0</v>
      </c>
      <c r="BM12" s="385">
        <f t="shared" si="40"/>
        <v>4</v>
      </c>
    </row>
    <row r="13" spans="1:65" s="247" customFormat="1" ht="56.25" customHeight="1">
      <c r="A13" s="468">
        <v>4</v>
      </c>
      <c r="B13" s="297" t="s">
        <v>86</v>
      </c>
      <c r="C13" s="410" t="s">
        <v>187</v>
      </c>
      <c r="D13" s="411" t="s">
        <v>188</v>
      </c>
      <c r="E13" s="310" t="s">
        <v>121</v>
      </c>
      <c r="F13" s="403">
        <v>128</v>
      </c>
      <c r="G13" s="412">
        <v>42117</v>
      </c>
      <c r="H13" s="400"/>
      <c r="I13" s="313" t="s">
        <v>3</v>
      </c>
      <c r="J13" s="400" t="s">
        <v>174</v>
      </c>
      <c r="K13" s="313" t="s">
        <v>95</v>
      </c>
      <c r="L13" s="399">
        <f t="shared" si="0"/>
        <v>8</v>
      </c>
      <c r="M13" s="398">
        <f t="shared" si="1"/>
        <v>0</v>
      </c>
      <c r="N13" s="398">
        <f t="shared" si="2"/>
        <v>9.8461538461538467</v>
      </c>
      <c r="O13" s="398"/>
      <c r="P13" s="292">
        <f t="shared" si="3"/>
        <v>0.49230769230769234</v>
      </c>
      <c r="Q13" s="397">
        <f t="shared" si="4"/>
        <v>9.8461538461538467</v>
      </c>
      <c r="R13" s="259">
        <f t="shared" si="5"/>
        <v>10.338461538461539</v>
      </c>
      <c r="S13" s="396">
        <f t="shared" si="6"/>
        <v>9.9884615384615394</v>
      </c>
      <c r="T13" s="395">
        <f t="shared" si="7"/>
        <v>1400</v>
      </c>
      <c r="U13" s="394" t="str">
        <f t="shared" si="8"/>
        <v>01642</v>
      </c>
      <c r="V13" s="413"/>
      <c r="W13" s="413"/>
      <c r="X13" s="365">
        <f t="shared" si="9"/>
        <v>1400</v>
      </c>
      <c r="Y13" s="393">
        <f t="shared" si="10"/>
        <v>0</v>
      </c>
      <c r="Z13" s="392">
        <f t="shared" si="11"/>
        <v>0</v>
      </c>
      <c r="AA13" s="392">
        <f t="shared" si="12"/>
        <v>0</v>
      </c>
      <c r="AB13" s="392">
        <f t="shared" si="13"/>
        <v>1</v>
      </c>
      <c r="AC13" s="392">
        <f t="shared" si="14"/>
        <v>0</v>
      </c>
      <c r="AD13" s="392">
        <f t="shared" si="15"/>
        <v>0</v>
      </c>
      <c r="AE13" s="376">
        <f t="shared" si="16"/>
        <v>0</v>
      </c>
      <c r="AF13" s="376">
        <f t="shared" si="17"/>
        <v>0</v>
      </c>
      <c r="AG13" s="376">
        <f t="shared" si="18"/>
        <v>0</v>
      </c>
      <c r="AH13" s="376">
        <f t="shared" si="19"/>
        <v>1</v>
      </c>
      <c r="AI13" s="376">
        <f t="shared" si="20"/>
        <v>0</v>
      </c>
      <c r="AJ13" s="376">
        <f t="shared" si="21"/>
        <v>4</v>
      </c>
      <c r="AL13" s="235" t="e">
        <f>#REF!</f>
        <v>#REF!</v>
      </c>
      <c r="AM13" s="248"/>
      <c r="AN13" s="237" t="s">
        <v>94</v>
      </c>
      <c r="AO13" s="249"/>
      <c r="AP13" s="239" t="s">
        <v>95</v>
      </c>
      <c r="AQ13" s="246"/>
      <c r="AR13" s="241" t="s">
        <v>95</v>
      </c>
      <c r="AS13" s="242">
        <f t="shared" si="22"/>
        <v>0</v>
      </c>
      <c r="AT13" s="242">
        <f t="shared" si="23"/>
        <v>0</v>
      </c>
      <c r="AU13" s="388">
        <f t="shared" si="24"/>
        <v>10.338461538461539</v>
      </c>
      <c r="AV13" s="387">
        <f t="shared" si="25"/>
        <v>9.9884615384615394</v>
      </c>
      <c r="AW13" s="243">
        <f t="shared" si="26"/>
        <v>1400</v>
      </c>
      <c r="AX13" s="244" t="str">
        <f t="shared" si="27"/>
        <v>01642</v>
      </c>
      <c r="AY13" s="250"/>
      <c r="AZ13" s="250"/>
      <c r="BA13" s="409">
        <f t="shared" si="28"/>
        <v>1400</v>
      </c>
      <c r="BB13" s="393">
        <f t="shared" si="29"/>
        <v>0</v>
      </c>
      <c r="BC13" s="392">
        <f t="shared" si="30"/>
        <v>0</v>
      </c>
      <c r="BD13" s="392">
        <f t="shared" si="31"/>
        <v>0</v>
      </c>
      <c r="BE13" s="392">
        <f t="shared" si="32"/>
        <v>1</v>
      </c>
      <c r="BF13" s="392">
        <f t="shared" si="33"/>
        <v>0</v>
      </c>
      <c r="BG13" s="392">
        <f t="shared" si="34"/>
        <v>0</v>
      </c>
      <c r="BH13" s="385">
        <f t="shared" si="35"/>
        <v>0</v>
      </c>
      <c r="BI13" s="385">
        <f t="shared" si="36"/>
        <v>0</v>
      </c>
      <c r="BJ13" s="385">
        <f t="shared" si="37"/>
        <v>0</v>
      </c>
      <c r="BK13" s="385">
        <f t="shared" si="38"/>
        <v>1</v>
      </c>
      <c r="BL13" s="385">
        <f t="shared" si="39"/>
        <v>0</v>
      </c>
      <c r="BM13" s="385">
        <f t="shared" si="40"/>
        <v>4</v>
      </c>
    </row>
    <row r="14" spans="1:65" s="247" customFormat="1" ht="56.25" customHeight="1">
      <c r="A14" s="468">
        <v>5</v>
      </c>
      <c r="B14" s="297" t="s">
        <v>86</v>
      </c>
      <c r="C14" s="405" t="s">
        <v>189</v>
      </c>
      <c r="D14" s="411" t="s">
        <v>190</v>
      </c>
      <c r="E14" s="310" t="s">
        <v>121</v>
      </c>
      <c r="F14" s="403">
        <v>128</v>
      </c>
      <c r="G14" s="402">
        <v>42131</v>
      </c>
      <c r="H14" s="400"/>
      <c r="I14" s="237" t="s">
        <v>3</v>
      </c>
      <c r="J14" s="400" t="s">
        <v>174</v>
      </c>
      <c r="K14" s="313" t="s">
        <v>95</v>
      </c>
      <c r="L14" s="399">
        <f t="shared" ref="L14:L30" si="41">H14+(J14*8)</f>
        <v>8</v>
      </c>
      <c r="M14" s="398">
        <f t="shared" ref="M14:M30" si="42">F14/208*H14*1.5</f>
        <v>0</v>
      </c>
      <c r="N14" s="398">
        <f t="shared" ref="N14:N30" si="43">F14/26*J14*2</f>
        <v>9.8461538461538467</v>
      </c>
      <c r="O14" s="398"/>
      <c r="P14" s="292">
        <f t="shared" si="3"/>
        <v>0.49230769230769234</v>
      </c>
      <c r="Q14" s="397">
        <f t="shared" ref="Q14:Q30" si="44">M14+N14</f>
        <v>9.8461538461538467</v>
      </c>
      <c r="R14" s="259">
        <f t="shared" ref="R14:R30" si="45">M14+N14+P14+O14</f>
        <v>10.338461538461539</v>
      </c>
      <c r="S14" s="396">
        <f t="shared" ref="S14:S30" si="46">R14-(X14/4000)</f>
        <v>9.9884615384615394</v>
      </c>
      <c r="T14" s="395">
        <f t="shared" ref="T14:T30" si="47">X14</f>
        <v>1400</v>
      </c>
      <c r="U14" s="394" t="str">
        <f t="shared" ref="U14:U30" si="48">C14</f>
        <v>01724</v>
      </c>
      <c r="V14" s="245"/>
      <c r="W14" s="245"/>
      <c r="X14" s="365">
        <f t="shared" ref="X14:X30" si="49">ROUNDUP(((R14-(Y14*100+Z14*50+AA14*20+AB14*10+AC14*5+AD14*1))*4000)/100,0)*100</f>
        <v>1400</v>
      </c>
      <c r="Y14" s="393">
        <f t="shared" ref="Y14:Y30" si="50">INT(R14/100)</f>
        <v>0</v>
      </c>
      <c r="Z14" s="392">
        <f t="shared" ref="Z14:Z30" si="51">INT((R14-(Y14*100))/50)</f>
        <v>0</v>
      </c>
      <c r="AA14" s="392">
        <f t="shared" ref="AA14:AA30" si="52">INT((R14-(Y14*100+Z14*50))/20)</f>
        <v>0</v>
      </c>
      <c r="AB14" s="392">
        <f t="shared" ref="AB14:AB30" si="53">INT((R14-(Y14*100+Z14*50+AA14*20))/10)</f>
        <v>1</v>
      </c>
      <c r="AC14" s="392">
        <f t="shared" ref="AC14:AC30" si="54">INT((R14-(Y14*100+Z14*50+AA14*20+AB14*10))/5)</f>
        <v>0</v>
      </c>
      <c r="AD14" s="392">
        <f t="shared" ref="AD14:AD30" si="55">INT((R14-(Y14*100+Z14*50+AA14*20+AB14*10+AC14*5))/1)</f>
        <v>0</v>
      </c>
      <c r="AE14" s="376">
        <f t="shared" ref="AE14:AE30" si="56">INT(T14/10000)</f>
        <v>0</v>
      </c>
      <c r="AF14" s="376">
        <f t="shared" ref="AF14:AF30" si="57">INT((T14-(AE14*10000))/5000)</f>
        <v>0</v>
      </c>
      <c r="AG14" s="376">
        <f t="shared" ref="AG14:AG30" si="58">INT((T14-(AE14*10000+AF14*5000))/2000)</f>
        <v>0</v>
      </c>
      <c r="AH14" s="376">
        <f t="shared" ref="AH14:AH30" si="59">INT((T14-(AE14*10000+AF14*5000+AG14*2000))/1000)</f>
        <v>1</v>
      </c>
      <c r="AI14" s="376">
        <f t="shared" ref="AI14:AI30" si="60">INT((T14-(AE14*10000+AF14*5000+AG14*2000+AH14*1000))/500)</f>
        <v>0</v>
      </c>
      <c r="AJ14" s="376">
        <f t="shared" ref="AJ14:AJ30" si="61">INT((T14-(AE14*10000+AF14*5000+AG14*2000+AH14*1000+AI14*500))/100)</f>
        <v>4</v>
      </c>
      <c r="AL14" s="235" t="e">
        <f>#REF!</f>
        <v>#REF!</v>
      </c>
      <c r="AM14" s="248"/>
      <c r="AN14" s="237" t="s">
        <v>94</v>
      </c>
      <c r="AO14" s="249"/>
      <c r="AP14" s="239" t="s">
        <v>95</v>
      </c>
      <c r="AQ14" s="246"/>
      <c r="AR14" s="241" t="s">
        <v>95</v>
      </c>
      <c r="AS14" s="242">
        <f t="shared" ref="AS14:AS26" si="62">((F14/208)*AM14)*1.5</f>
        <v>0</v>
      </c>
      <c r="AT14" s="242">
        <f t="shared" ref="AT14:AT26" si="63">(((F14/26)*AO14)*2)+(((F14/26)*AQ14)*2)</f>
        <v>0</v>
      </c>
      <c r="AU14" s="388">
        <f t="shared" ref="AU14:AU26" si="64">R14+AS14+AT14</f>
        <v>10.338461538461539</v>
      </c>
      <c r="AV14" s="387">
        <f t="shared" ref="AV14:AV26" si="65">AU14-(BA14/4000)</f>
        <v>9.9884615384615394</v>
      </c>
      <c r="AW14" s="243">
        <f t="shared" ref="AW14:AW26" si="66">BA14</f>
        <v>1400</v>
      </c>
      <c r="AX14" s="244" t="str">
        <f t="shared" ref="AX14:AX26" si="67">C14</f>
        <v>01724</v>
      </c>
      <c r="AY14" s="250"/>
      <c r="AZ14" s="250"/>
      <c r="BA14" s="409">
        <f t="shared" ref="BA14:BA26" si="68">ROUNDUP(((AU14-(BB14*100+BC14*50+BD14*20+BE14*10+BF14*5+BG14*1))*4000)/100,0)*100</f>
        <v>1400</v>
      </c>
      <c r="BB14" s="393">
        <f t="shared" ref="BB14:BB26" si="69">INT(AU14/100)</f>
        <v>0</v>
      </c>
      <c r="BC14" s="392">
        <f t="shared" ref="BC14:BC26" si="70">INT((AU14-(BB14*100))/50)</f>
        <v>0</v>
      </c>
      <c r="BD14" s="392">
        <f t="shared" ref="BD14:BD26" si="71">INT((AU14-(BB14*100+BC14*50))/20)</f>
        <v>0</v>
      </c>
      <c r="BE14" s="392">
        <f t="shared" ref="BE14:BE26" si="72">INT((AU14-(BB14*100+BC14*50+BD14*20))/10)</f>
        <v>1</v>
      </c>
      <c r="BF14" s="392">
        <f t="shared" ref="BF14:BF26" si="73">INT((AU14-(BB14*100+BC14*50+BD14*20+BE14*10))/5)</f>
        <v>0</v>
      </c>
      <c r="BG14" s="392">
        <f t="shared" ref="BG14:BG26" si="74">INT((AU14-(BB14*100+BC14*50+BD14*20+BE14*10+BF14*5))/1)</f>
        <v>0</v>
      </c>
      <c r="BH14" s="385">
        <f t="shared" ref="BH14:BH26" si="75">INT(AW14/10000)</f>
        <v>0</v>
      </c>
      <c r="BI14" s="385">
        <f t="shared" ref="BI14:BI26" si="76">INT((AW14-(BH14*10000))/5000)</f>
        <v>0</v>
      </c>
      <c r="BJ14" s="385">
        <f t="shared" ref="BJ14:BJ26" si="77">INT((AW14-(BH14*10000+BI14*5000))/2000)</f>
        <v>0</v>
      </c>
      <c r="BK14" s="385">
        <f t="shared" ref="BK14:BK26" si="78">INT((AW14-(BH14*10000+BI14*5000+BJ14*2000))/1000)</f>
        <v>1</v>
      </c>
      <c r="BL14" s="385">
        <f t="shared" ref="BL14:BL26" si="79">INT((AW14-(BH14*10000+BI14*5000+BJ14*2000+BK14*1000))/500)</f>
        <v>0</v>
      </c>
      <c r="BM14" s="385">
        <f t="shared" ref="BM14:BM26" si="80">INT((AW14-(BH14*10000+BI14*5000+BJ14*2000+BK14*1000+BL14*500))/100)</f>
        <v>4</v>
      </c>
    </row>
    <row r="15" spans="1:65" s="247" customFormat="1" ht="56.25" customHeight="1">
      <c r="A15" s="468">
        <v>6</v>
      </c>
      <c r="B15" s="297" t="s">
        <v>137</v>
      </c>
      <c r="C15" s="405" t="s">
        <v>164</v>
      </c>
      <c r="D15" s="404" t="s">
        <v>165</v>
      </c>
      <c r="E15" s="310" t="s">
        <v>121</v>
      </c>
      <c r="F15" s="403">
        <v>250</v>
      </c>
      <c r="G15" s="402">
        <v>40851</v>
      </c>
      <c r="H15" s="400"/>
      <c r="I15" s="237" t="s">
        <v>3</v>
      </c>
      <c r="J15" s="400" t="s">
        <v>197</v>
      </c>
      <c r="K15" s="313" t="s">
        <v>95</v>
      </c>
      <c r="L15" s="399">
        <f t="shared" ref="L15:L25" si="81">H15+(J15*8)</f>
        <v>16</v>
      </c>
      <c r="M15" s="398">
        <f t="shared" ref="M15:M25" si="82">F15/208*H15*1.5</f>
        <v>0</v>
      </c>
      <c r="N15" s="398">
        <f t="shared" ref="N15:N25" si="83">F15/26*J15*2</f>
        <v>38.46153846153846</v>
      </c>
      <c r="O15" s="398"/>
      <c r="P15" s="292">
        <f t="shared" si="3"/>
        <v>1.9230769230769231</v>
      </c>
      <c r="Q15" s="397">
        <f t="shared" ref="Q15:Q25" si="84">M15+N15</f>
        <v>38.46153846153846</v>
      </c>
      <c r="R15" s="259">
        <f t="shared" ref="R15:R25" si="85">M15+N15+P15+O15</f>
        <v>40.38461538461538</v>
      </c>
      <c r="S15" s="396">
        <f t="shared" ref="S15:S25" si="86">R15-(X15/4000)</f>
        <v>39.984615384615381</v>
      </c>
      <c r="T15" s="395">
        <f t="shared" ref="T15:T25" si="87">X15</f>
        <v>1600</v>
      </c>
      <c r="U15" s="394" t="str">
        <f t="shared" ref="U15:U25" si="88">C15</f>
        <v>0056</v>
      </c>
      <c r="V15" s="245"/>
      <c r="W15" s="245"/>
      <c r="X15" s="365">
        <f t="shared" ref="X15:X25" si="89">ROUNDUP(((R15-(Y15*100+Z15*50+AA15*20+AB15*10+AC15*5+AD15*1))*4000)/100,0)*100</f>
        <v>1600</v>
      </c>
      <c r="Y15" s="393">
        <f t="shared" ref="Y15:Y25" si="90">INT(R15/100)</f>
        <v>0</v>
      </c>
      <c r="Z15" s="392">
        <f t="shared" ref="Z15:Z25" si="91">INT((R15-(Y15*100))/50)</f>
        <v>0</v>
      </c>
      <c r="AA15" s="392">
        <f t="shared" ref="AA15:AA25" si="92">INT((R15-(Y15*100+Z15*50))/20)</f>
        <v>2</v>
      </c>
      <c r="AB15" s="392">
        <f t="shared" ref="AB15:AB25" si="93">INT((R15-(Y15*100+Z15*50+AA15*20))/10)</f>
        <v>0</v>
      </c>
      <c r="AC15" s="392">
        <f t="shared" ref="AC15:AC25" si="94">INT((R15-(Y15*100+Z15*50+AA15*20+AB15*10))/5)</f>
        <v>0</v>
      </c>
      <c r="AD15" s="392">
        <f t="shared" ref="AD15:AD25" si="95">INT((R15-(Y15*100+Z15*50+AA15*20+AB15*10+AC15*5))/1)</f>
        <v>0</v>
      </c>
      <c r="AE15" s="376">
        <f t="shared" ref="AE15:AE25" si="96">INT(T15/10000)</f>
        <v>0</v>
      </c>
      <c r="AF15" s="376">
        <f t="shared" ref="AF15:AF25" si="97">INT((T15-(AE15*10000))/5000)</f>
        <v>0</v>
      </c>
      <c r="AG15" s="376">
        <f t="shared" ref="AG15:AG25" si="98">INT((T15-(AE15*10000+AF15*5000))/2000)</f>
        <v>0</v>
      </c>
      <c r="AH15" s="376">
        <f t="shared" ref="AH15:AH25" si="99">INT((T15-(AE15*10000+AF15*5000+AG15*2000))/1000)</f>
        <v>1</v>
      </c>
      <c r="AI15" s="376">
        <f t="shared" ref="AI15:AI25" si="100">INT((T15-(AE15*10000+AF15*5000+AG15*2000+AH15*1000))/500)</f>
        <v>1</v>
      </c>
      <c r="AJ15" s="376">
        <f t="shared" ref="AJ15:AJ25" si="101">INT((T15-(AE15*10000+AF15*5000+AG15*2000+AH15*1000+AI15*500))/100)</f>
        <v>1</v>
      </c>
      <c r="AL15" s="251"/>
      <c r="AM15" s="252"/>
      <c r="AN15" s="253"/>
      <c r="AO15" s="254"/>
      <c r="AP15" s="253"/>
      <c r="AQ15" s="255"/>
      <c r="AR15" s="256"/>
      <c r="AS15" s="242"/>
      <c r="AT15" s="242"/>
      <c r="AU15" s="388"/>
      <c r="AV15" s="387"/>
      <c r="AW15" s="243"/>
      <c r="AX15" s="291"/>
      <c r="AY15" s="257"/>
      <c r="AZ15" s="257"/>
      <c r="BA15" s="372"/>
      <c r="BB15" s="371"/>
      <c r="BC15" s="370"/>
      <c r="BD15" s="370"/>
      <c r="BE15" s="370"/>
      <c r="BF15" s="370"/>
      <c r="BG15" s="370"/>
      <c r="BH15" s="385"/>
      <c r="BI15" s="385"/>
      <c r="BJ15" s="385"/>
      <c r="BK15" s="385"/>
      <c r="BL15" s="385"/>
      <c r="BM15" s="385"/>
    </row>
    <row r="16" spans="1:65" s="247" customFormat="1" ht="56.25" customHeight="1">
      <c r="A16" s="468">
        <v>7</v>
      </c>
      <c r="B16" s="297" t="s">
        <v>137</v>
      </c>
      <c r="C16" s="405" t="s">
        <v>191</v>
      </c>
      <c r="D16" s="404" t="s">
        <v>192</v>
      </c>
      <c r="E16" s="310" t="s">
        <v>121</v>
      </c>
      <c r="F16" s="403">
        <v>131</v>
      </c>
      <c r="G16" s="402">
        <v>41918</v>
      </c>
      <c r="H16" s="400"/>
      <c r="I16" s="237" t="s">
        <v>3</v>
      </c>
      <c r="J16" s="400" t="s">
        <v>174</v>
      </c>
      <c r="K16" s="313" t="s">
        <v>95</v>
      </c>
      <c r="L16" s="399">
        <f t="shared" si="81"/>
        <v>8</v>
      </c>
      <c r="M16" s="398">
        <f t="shared" si="82"/>
        <v>0</v>
      </c>
      <c r="N16" s="398">
        <f t="shared" si="83"/>
        <v>10.076923076923077</v>
      </c>
      <c r="O16" s="398"/>
      <c r="P16" s="292">
        <f t="shared" si="3"/>
        <v>0.50384615384615383</v>
      </c>
      <c r="Q16" s="397">
        <f t="shared" si="84"/>
        <v>10.076923076923077</v>
      </c>
      <c r="R16" s="259">
        <f t="shared" si="85"/>
        <v>10.580769230769231</v>
      </c>
      <c r="S16" s="396">
        <f t="shared" si="86"/>
        <v>9.9807692307692317</v>
      </c>
      <c r="T16" s="395">
        <f t="shared" si="87"/>
        <v>2400</v>
      </c>
      <c r="U16" s="394" t="str">
        <f t="shared" si="88"/>
        <v>01276</v>
      </c>
      <c r="V16" s="245"/>
      <c r="W16" s="245"/>
      <c r="X16" s="365">
        <f t="shared" si="89"/>
        <v>2400</v>
      </c>
      <c r="Y16" s="393">
        <f t="shared" si="90"/>
        <v>0</v>
      </c>
      <c r="Z16" s="392">
        <f t="shared" si="91"/>
        <v>0</v>
      </c>
      <c r="AA16" s="392">
        <f t="shared" si="92"/>
        <v>0</v>
      </c>
      <c r="AB16" s="392">
        <f t="shared" si="93"/>
        <v>1</v>
      </c>
      <c r="AC16" s="392">
        <f t="shared" si="94"/>
        <v>0</v>
      </c>
      <c r="AD16" s="392">
        <f t="shared" si="95"/>
        <v>0</v>
      </c>
      <c r="AE16" s="376">
        <f t="shared" si="96"/>
        <v>0</v>
      </c>
      <c r="AF16" s="376">
        <f t="shared" si="97"/>
        <v>0</v>
      </c>
      <c r="AG16" s="376">
        <f t="shared" si="98"/>
        <v>1</v>
      </c>
      <c r="AH16" s="376">
        <f t="shared" si="99"/>
        <v>0</v>
      </c>
      <c r="AI16" s="376">
        <f t="shared" si="100"/>
        <v>0</v>
      </c>
      <c r="AJ16" s="376">
        <f t="shared" si="101"/>
        <v>4</v>
      </c>
      <c r="AL16" s="251"/>
      <c r="AM16" s="252"/>
      <c r="AN16" s="253"/>
      <c r="AO16" s="254"/>
      <c r="AP16" s="253"/>
      <c r="AQ16" s="255"/>
      <c r="AR16" s="256"/>
      <c r="AS16" s="242"/>
      <c r="AT16" s="242"/>
      <c r="AU16" s="388"/>
      <c r="AV16" s="387"/>
      <c r="AW16" s="243"/>
      <c r="AX16" s="291"/>
      <c r="AY16" s="257"/>
      <c r="AZ16" s="257"/>
      <c r="BA16" s="372"/>
      <c r="BB16" s="371"/>
      <c r="BC16" s="370"/>
      <c r="BD16" s="370"/>
      <c r="BE16" s="370"/>
      <c r="BF16" s="370"/>
      <c r="BG16" s="370"/>
      <c r="BH16" s="385"/>
      <c r="BI16" s="385"/>
      <c r="BJ16" s="385"/>
      <c r="BK16" s="385"/>
      <c r="BL16" s="385"/>
      <c r="BM16" s="385"/>
    </row>
    <row r="17" spans="1:65" s="247" customFormat="1" ht="56.25" customHeight="1">
      <c r="A17" s="468">
        <v>8</v>
      </c>
      <c r="B17" s="297" t="s">
        <v>137</v>
      </c>
      <c r="C17" s="405" t="s">
        <v>141</v>
      </c>
      <c r="D17" s="408" t="s">
        <v>142</v>
      </c>
      <c r="E17" s="310" t="s">
        <v>121</v>
      </c>
      <c r="F17" s="407">
        <v>131</v>
      </c>
      <c r="G17" s="402">
        <v>41995</v>
      </c>
      <c r="H17" s="400"/>
      <c r="I17" s="237" t="s">
        <v>3</v>
      </c>
      <c r="J17" s="400" t="s">
        <v>197</v>
      </c>
      <c r="K17" s="313" t="s">
        <v>95</v>
      </c>
      <c r="L17" s="399">
        <f t="shared" si="81"/>
        <v>16</v>
      </c>
      <c r="M17" s="398">
        <f t="shared" si="82"/>
        <v>0</v>
      </c>
      <c r="N17" s="398">
        <f t="shared" si="83"/>
        <v>20.153846153846153</v>
      </c>
      <c r="O17" s="398"/>
      <c r="P17" s="292">
        <f t="shared" si="3"/>
        <v>1.0076923076923077</v>
      </c>
      <c r="Q17" s="397">
        <f t="shared" si="84"/>
        <v>20.153846153846153</v>
      </c>
      <c r="R17" s="259">
        <f t="shared" si="85"/>
        <v>21.161538461538463</v>
      </c>
      <c r="S17" s="396">
        <f t="shared" si="86"/>
        <v>20.986538461538462</v>
      </c>
      <c r="T17" s="395">
        <f t="shared" si="87"/>
        <v>700</v>
      </c>
      <c r="U17" s="394" t="str">
        <f t="shared" si="88"/>
        <v>01412</v>
      </c>
      <c r="V17" s="245"/>
      <c r="W17" s="245"/>
      <c r="X17" s="365">
        <f t="shared" si="89"/>
        <v>700</v>
      </c>
      <c r="Y17" s="393">
        <f t="shared" si="90"/>
        <v>0</v>
      </c>
      <c r="Z17" s="392">
        <f t="shared" si="91"/>
        <v>0</v>
      </c>
      <c r="AA17" s="392">
        <f t="shared" si="92"/>
        <v>1</v>
      </c>
      <c r="AB17" s="392">
        <f t="shared" si="93"/>
        <v>0</v>
      </c>
      <c r="AC17" s="392">
        <f t="shared" si="94"/>
        <v>0</v>
      </c>
      <c r="AD17" s="392">
        <f t="shared" si="95"/>
        <v>1</v>
      </c>
      <c r="AE17" s="376">
        <f t="shared" si="96"/>
        <v>0</v>
      </c>
      <c r="AF17" s="376">
        <f t="shared" si="97"/>
        <v>0</v>
      </c>
      <c r="AG17" s="376">
        <f t="shared" si="98"/>
        <v>0</v>
      </c>
      <c r="AH17" s="376">
        <f t="shared" si="99"/>
        <v>0</v>
      </c>
      <c r="AI17" s="376">
        <f t="shared" si="100"/>
        <v>1</v>
      </c>
      <c r="AJ17" s="376">
        <f t="shared" si="101"/>
        <v>2</v>
      </c>
      <c r="AL17" s="251"/>
      <c r="AM17" s="252"/>
      <c r="AN17" s="253"/>
      <c r="AO17" s="254"/>
      <c r="AP17" s="253"/>
      <c r="AQ17" s="255"/>
      <c r="AR17" s="256"/>
      <c r="AS17" s="242"/>
      <c r="AT17" s="242"/>
      <c r="AU17" s="259"/>
      <c r="AV17" s="260"/>
      <c r="AW17" s="243"/>
      <c r="AX17" s="291"/>
      <c r="AY17" s="257"/>
      <c r="AZ17" s="257"/>
      <c r="BA17" s="293"/>
      <c r="BB17" s="288"/>
      <c r="BC17" s="289"/>
      <c r="BD17" s="289"/>
      <c r="BE17" s="289"/>
      <c r="BF17" s="289"/>
      <c r="BG17" s="289"/>
      <c r="BH17" s="290"/>
      <c r="BI17" s="290"/>
      <c r="BJ17" s="290"/>
      <c r="BK17" s="290"/>
      <c r="BL17" s="290"/>
      <c r="BM17" s="290"/>
    </row>
    <row r="18" spans="1:65" s="247" customFormat="1" ht="56.25" customHeight="1">
      <c r="A18" s="468">
        <v>9</v>
      </c>
      <c r="B18" s="297" t="s">
        <v>137</v>
      </c>
      <c r="C18" s="405" t="s">
        <v>166</v>
      </c>
      <c r="D18" s="404" t="s">
        <v>167</v>
      </c>
      <c r="E18" s="310" t="s">
        <v>121</v>
      </c>
      <c r="F18" s="403">
        <v>128</v>
      </c>
      <c r="G18" s="406">
        <v>42115</v>
      </c>
      <c r="H18" s="400"/>
      <c r="I18" s="237" t="s">
        <v>3</v>
      </c>
      <c r="J18" s="401" t="s">
        <v>197</v>
      </c>
      <c r="K18" s="313" t="s">
        <v>95</v>
      </c>
      <c r="L18" s="399">
        <f t="shared" si="81"/>
        <v>16</v>
      </c>
      <c r="M18" s="398">
        <f t="shared" si="82"/>
        <v>0</v>
      </c>
      <c r="N18" s="398">
        <f t="shared" si="83"/>
        <v>19.692307692307693</v>
      </c>
      <c r="O18" s="398"/>
      <c r="P18" s="292">
        <f t="shared" si="3"/>
        <v>0.98461538461538467</v>
      </c>
      <c r="Q18" s="397">
        <f t="shared" si="84"/>
        <v>19.692307692307693</v>
      </c>
      <c r="R18" s="259">
        <f t="shared" si="85"/>
        <v>20.676923076923078</v>
      </c>
      <c r="S18" s="396">
        <f t="shared" si="86"/>
        <v>19.976923076923079</v>
      </c>
      <c r="T18" s="395">
        <f t="shared" si="87"/>
        <v>2800</v>
      </c>
      <c r="U18" s="394" t="str">
        <f t="shared" si="88"/>
        <v>01637</v>
      </c>
      <c r="V18" s="245"/>
      <c r="W18" s="245"/>
      <c r="X18" s="365">
        <f t="shared" si="89"/>
        <v>2800</v>
      </c>
      <c r="Y18" s="393">
        <f t="shared" si="90"/>
        <v>0</v>
      </c>
      <c r="Z18" s="392">
        <f t="shared" si="91"/>
        <v>0</v>
      </c>
      <c r="AA18" s="392">
        <f t="shared" si="92"/>
        <v>1</v>
      </c>
      <c r="AB18" s="392">
        <f t="shared" si="93"/>
        <v>0</v>
      </c>
      <c r="AC18" s="392">
        <f t="shared" si="94"/>
        <v>0</v>
      </c>
      <c r="AD18" s="392">
        <f t="shared" si="95"/>
        <v>0</v>
      </c>
      <c r="AE18" s="376">
        <f t="shared" si="96"/>
        <v>0</v>
      </c>
      <c r="AF18" s="376">
        <f t="shared" si="97"/>
        <v>0</v>
      </c>
      <c r="AG18" s="376">
        <f t="shared" si="98"/>
        <v>1</v>
      </c>
      <c r="AH18" s="376">
        <f t="shared" si="99"/>
        <v>0</v>
      </c>
      <c r="AI18" s="376">
        <f t="shared" si="100"/>
        <v>1</v>
      </c>
      <c r="AJ18" s="376">
        <f t="shared" si="101"/>
        <v>3</v>
      </c>
      <c r="AL18" s="251"/>
      <c r="AM18" s="252"/>
      <c r="AN18" s="253"/>
      <c r="AO18" s="254"/>
      <c r="AP18" s="253"/>
      <c r="AQ18" s="255"/>
      <c r="AR18" s="256"/>
      <c r="AS18" s="242"/>
      <c r="AT18" s="242"/>
      <c r="AU18" s="388"/>
      <c r="AV18" s="387"/>
      <c r="AW18" s="243"/>
      <c r="AX18" s="291"/>
      <c r="AY18" s="257"/>
      <c r="AZ18" s="257"/>
      <c r="BA18" s="372"/>
      <c r="BB18" s="371"/>
      <c r="BC18" s="370"/>
      <c r="BD18" s="370"/>
      <c r="BE18" s="370"/>
      <c r="BF18" s="370"/>
      <c r="BG18" s="370"/>
      <c r="BH18" s="385"/>
      <c r="BI18" s="385"/>
      <c r="BJ18" s="385"/>
      <c r="BK18" s="385"/>
      <c r="BL18" s="385"/>
      <c r="BM18" s="385"/>
    </row>
    <row r="19" spans="1:65" s="247" customFormat="1" ht="56.25" customHeight="1">
      <c r="A19" s="468">
        <v>10</v>
      </c>
      <c r="B19" s="297" t="s">
        <v>137</v>
      </c>
      <c r="C19" s="405" t="s">
        <v>168</v>
      </c>
      <c r="D19" s="411" t="s">
        <v>169</v>
      </c>
      <c r="E19" s="310" t="s">
        <v>121</v>
      </c>
      <c r="F19" s="403">
        <v>128</v>
      </c>
      <c r="G19" s="412">
        <v>42143</v>
      </c>
      <c r="H19" s="400"/>
      <c r="I19" s="237" t="s">
        <v>3</v>
      </c>
      <c r="J19" s="400" t="s">
        <v>197</v>
      </c>
      <c r="K19" s="313" t="s">
        <v>95</v>
      </c>
      <c r="L19" s="399">
        <f t="shared" si="81"/>
        <v>16</v>
      </c>
      <c r="M19" s="398">
        <f t="shared" si="82"/>
        <v>0</v>
      </c>
      <c r="N19" s="398">
        <f t="shared" si="83"/>
        <v>19.692307692307693</v>
      </c>
      <c r="O19" s="398"/>
      <c r="P19" s="292">
        <f t="shared" si="3"/>
        <v>0.98461538461538467</v>
      </c>
      <c r="Q19" s="397">
        <f t="shared" si="84"/>
        <v>19.692307692307693</v>
      </c>
      <c r="R19" s="259">
        <f t="shared" si="85"/>
        <v>20.676923076923078</v>
      </c>
      <c r="S19" s="396">
        <f t="shared" si="86"/>
        <v>19.976923076923079</v>
      </c>
      <c r="T19" s="395">
        <f t="shared" si="87"/>
        <v>2800</v>
      </c>
      <c r="U19" s="394" t="str">
        <f t="shared" si="88"/>
        <v>01768</v>
      </c>
      <c r="V19" s="245"/>
      <c r="W19" s="245"/>
      <c r="X19" s="365">
        <f t="shared" si="89"/>
        <v>2800</v>
      </c>
      <c r="Y19" s="393">
        <f t="shared" si="90"/>
        <v>0</v>
      </c>
      <c r="Z19" s="392">
        <f t="shared" si="91"/>
        <v>0</v>
      </c>
      <c r="AA19" s="392">
        <f t="shared" si="92"/>
        <v>1</v>
      </c>
      <c r="AB19" s="392">
        <f t="shared" si="93"/>
        <v>0</v>
      </c>
      <c r="AC19" s="392">
        <f t="shared" si="94"/>
        <v>0</v>
      </c>
      <c r="AD19" s="392">
        <f t="shared" si="95"/>
        <v>0</v>
      </c>
      <c r="AE19" s="376">
        <f t="shared" si="96"/>
        <v>0</v>
      </c>
      <c r="AF19" s="376">
        <f t="shared" si="97"/>
        <v>0</v>
      </c>
      <c r="AG19" s="376">
        <f t="shared" si="98"/>
        <v>1</v>
      </c>
      <c r="AH19" s="376">
        <f t="shared" si="99"/>
        <v>0</v>
      </c>
      <c r="AI19" s="376">
        <f t="shared" si="100"/>
        <v>1</v>
      </c>
      <c r="AJ19" s="376">
        <f t="shared" si="101"/>
        <v>3</v>
      </c>
      <c r="AL19" s="235" t="e">
        <f>#REF!</f>
        <v>#REF!</v>
      </c>
      <c r="AM19" s="248"/>
      <c r="AN19" s="237" t="s">
        <v>94</v>
      </c>
      <c r="AO19" s="249"/>
      <c r="AP19" s="239" t="s">
        <v>95</v>
      </c>
      <c r="AQ19" s="246"/>
      <c r="AR19" s="241" t="s">
        <v>95</v>
      </c>
      <c r="AS19" s="242">
        <f t="shared" ref="AS19:AS21" si="102">((F19/208)*AM19)*1.5</f>
        <v>0</v>
      </c>
      <c r="AT19" s="242">
        <f t="shared" ref="AT19:AT21" si="103">(((F19/26)*AO19)*2)+(((F19/26)*AQ19)*2)</f>
        <v>0</v>
      </c>
      <c r="AU19" s="388">
        <f t="shared" ref="AU19:AU21" si="104">R19+AS19+AT19</f>
        <v>20.676923076923078</v>
      </c>
      <c r="AV19" s="387">
        <f t="shared" ref="AV19:AV21" si="105">AU19-(BA19/4000)</f>
        <v>19.976923076923079</v>
      </c>
      <c r="AW19" s="243">
        <f t="shared" ref="AW19:AW21" si="106">BA19</f>
        <v>2800</v>
      </c>
      <c r="AX19" s="244" t="str">
        <f t="shared" ref="AX19:AX21" si="107">C19</f>
        <v>01768</v>
      </c>
      <c r="AY19" s="250"/>
      <c r="AZ19" s="250"/>
      <c r="BA19" s="409">
        <f t="shared" ref="BA19:BA21" si="108">ROUNDUP(((AU19-(BB19*100+BC19*50+BD19*20+BE19*10+BF19*5+BG19*1))*4000)/100,0)*100</f>
        <v>2800</v>
      </c>
      <c r="BB19" s="393">
        <f t="shared" ref="BB19:BB21" si="109">INT(AU19/100)</f>
        <v>0</v>
      </c>
      <c r="BC19" s="392">
        <f t="shared" ref="BC19:BC21" si="110">INT((AU19-(BB19*100))/50)</f>
        <v>0</v>
      </c>
      <c r="BD19" s="392">
        <f t="shared" ref="BD19:BD21" si="111">INT((AU19-(BB19*100+BC19*50))/20)</f>
        <v>1</v>
      </c>
      <c r="BE19" s="392">
        <f t="shared" ref="BE19:BE21" si="112">INT((AU19-(BB19*100+BC19*50+BD19*20))/10)</f>
        <v>0</v>
      </c>
      <c r="BF19" s="392">
        <f t="shared" ref="BF19:BF21" si="113">INT((AU19-(BB19*100+BC19*50+BD19*20+BE19*10))/5)</f>
        <v>0</v>
      </c>
      <c r="BG19" s="392">
        <f t="shared" ref="BG19:BG21" si="114">INT((AU19-(BB19*100+BC19*50+BD19*20+BE19*10+BF19*5))/1)</f>
        <v>0</v>
      </c>
      <c r="BH19" s="385">
        <f t="shared" ref="BH19:BH21" si="115">INT(AW19/10000)</f>
        <v>0</v>
      </c>
      <c r="BI19" s="385">
        <f t="shared" ref="BI19:BI21" si="116">INT((AW19-(BH19*10000))/5000)</f>
        <v>0</v>
      </c>
      <c r="BJ19" s="385">
        <f t="shared" ref="BJ19:BJ21" si="117">INT((AW19-(BH19*10000+BI19*5000))/2000)</f>
        <v>1</v>
      </c>
      <c r="BK19" s="385">
        <f t="shared" ref="BK19:BK21" si="118">INT((AW19-(BH19*10000+BI19*5000+BJ19*2000))/1000)</f>
        <v>0</v>
      </c>
      <c r="BL19" s="385">
        <f t="shared" ref="BL19:BL21" si="119">INT((AW19-(BH19*10000+BI19*5000+BJ19*2000+BK19*1000))/500)</f>
        <v>1</v>
      </c>
      <c r="BM19" s="385">
        <f t="shared" ref="BM19:BM21" si="120">INT((AW19-(BH19*10000+BI19*5000+BJ19*2000+BK19*1000+BL19*500))/100)</f>
        <v>3</v>
      </c>
    </row>
    <row r="20" spans="1:65" s="247" customFormat="1" ht="56.25" customHeight="1">
      <c r="A20" s="468">
        <v>11</v>
      </c>
      <c r="B20" s="297" t="s">
        <v>137</v>
      </c>
      <c r="C20" s="405" t="s">
        <v>193</v>
      </c>
      <c r="D20" s="411" t="s">
        <v>194</v>
      </c>
      <c r="E20" s="310" t="s">
        <v>121</v>
      </c>
      <c r="F20" s="403">
        <v>123</v>
      </c>
      <c r="G20" s="402">
        <v>42310</v>
      </c>
      <c r="H20" s="400"/>
      <c r="I20" s="237" t="s">
        <v>3</v>
      </c>
      <c r="J20" s="400" t="s">
        <v>174</v>
      </c>
      <c r="K20" s="313" t="s">
        <v>95</v>
      </c>
      <c r="L20" s="399">
        <f t="shared" si="81"/>
        <v>8</v>
      </c>
      <c r="M20" s="398">
        <f t="shared" si="82"/>
        <v>0</v>
      </c>
      <c r="N20" s="398">
        <f t="shared" si="83"/>
        <v>9.4615384615384617</v>
      </c>
      <c r="O20" s="398"/>
      <c r="P20" s="292">
        <f t="shared" si="3"/>
        <v>0.47307692307692312</v>
      </c>
      <c r="Q20" s="397">
        <f t="shared" si="84"/>
        <v>9.4615384615384617</v>
      </c>
      <c r="R20" s="259">
        <f t="shared" si="85"/>
        <v>9.934615384615384</v>
      </c>
      <c r="S20" s="396">
        <f t="shared" si="86"/>
        <v>8.9846153846153847</v>
      </c>
      <c r="T20" s="395">
        <f t="shared" si="87"/>
        <v>3800</v>
      </c>
      <c r="U20" s="394" t="str">
        <f t="shared" si="88"/>
        <v>01940</v>
      </c>
      <c r="V20" s="245"/>
      <c r="W20" s="245"/>
      <c r="X20" s="365">
        <f t="shared" si="89"/>
        <v>3800</v>
      </c>
      <c r="Y20" s="393">
        <f t="shared" si="90"/>
        <v>0</v>
      </c>
      <c r="Z20" s="392">
        <f t="shared" si="91"/>
        <v>0</v>
      </c>
      <c r="AA20" s="392">
        <f t="shared" si="92"/>
        <v>0</v>
      </c>
      <c r="AB20" s="392">
        <f t="shared" si="93"/>
        <v>0</v>
      </c>
      <c r="AC20" s="392">
        <f t="shared" si="94"/>
        <v>1</v>
      </c>
      <c r="AD20" s="392">
        <f t="shared" si="95"/>
        <v>4</v>
      </c>
      <c r="AE20" s="376">
        <f t="shared" si="96"/>
        <v>0</v>
      </c>
      <c r="AF20" s="376">
        <f t="shared" si="97"/>
        <v>0</v>
      </c>
      <c r="AG20" s="376">
        <f t="shared" si="98"/>
        <v>1</v>
      </c>
      <c r="AH20" s="376">
        <f t="shared" si="99"/>
        <v>1</v>
      </c>
      <c r="AI20" s="376">
        <f t="shared" si="100"/>
        <v>1</v>
      </c>
      <c r="AJ20" s="376">
        <f t="shared" si="101"/>
        <v>3</v>
      </c>
      <c r="AL20" s="235" t="e">
        <f>#REF!</f>
        <v>#REF!</v>
      </c>
      <c r="AM20" s="248"/>
      <c r="AN20" s="237" t="s">
        <v>94</v>
      </c>
      <c r="AO20" s="249"/>
      <c r="AP20" s="239" t="s">
        <v>95</v>
      </c>
      <c r="AQ20" s="246"/>
      <c r="AR20" s="241" t="s">
        <v>95</v>
      </c>
      <c r="AS20" s="242">
        <f t="shared" si="102"/>
        <v>0</v>
      </c>
      <c r="AT20" s="242">
        <f t="shared" si="103"/>
        <v>0</v>
      </c>
      <c r="AU20" s="388">
        <f t="shared" si="104"/>
        <v>9.934615384615384</v>
      </c>
      <c r="AV20" s="387">
        <f t="shared" si="105"/>
        <v>8.9846153846153847</v>
      </c>
      <c r="AW20" s="243">
        <f t="shared" si="106"/>
        <v>3800</v>
      </c>
      <c r="AX20" s="244" t="str">
        <f t="shared" si="107"/>
        <v>01940</v>
      </c>
      <c r="AY20" s="250"/>
      <c r="AZ20" s="250"/>
      <c r="BA20" s="409">
        <f t="shared" si="108"/>
        <v>3800</v>
      </c>
      <c r="BB20" s="393">
        <f t="shared" si="109"/>
        <v>0</v>
      </c>
      <c r="BC20" s="392">
        <f t="shared" si="110"/>
        <v>0</v>
      </c>
      <c r="BD20" s="392">
        <f t="shared" si="111"/>
        <v>0</v>
      </c>
      <c r="BE20" s="392">
        <f t="shared" si="112"/>
        <v>0</v>
      </c>
      <c r="BF20" s="392">
        <f t="shared" si="113"/>
        <v>1</v>
      </c>
      <c r="BG20" s="392">
        <f t="shared" si="114"/>
        <v>4</v>
      </c>
      <c r="BH20" s="385">
        <f t="shared" si="115"/>
        <v>0</v>
      </c>
      <c r="BI20" s="385">
        <f t="shared" si="116"/>
        <v>0</v>
      </c>
      <c r="BJ20" s="385">
        <f t="shared" si="117"/>
        <v>1</v>
      </c>
      <c r="BK20" s="385">
        <f t="shared" si="118"/>
        <v>1</v>
      </c>
      <c r="BL20" s="385">
        <f t="shared" si="119"/>
        <v>1</v>
      </c>
      <c r="BM20" s="385">
        <f t="shared" si="120"/>
        <v>3</v>
      </c>
    </row>
    <row r="21" spans="1:65" s="247" customFormat="1" ht="56.25" customHeight="1">
      <c r="A21" s="468">
        <v>12</v>
      </c>
      <c r="B21" s="297" t="s">
        <v>137</v>
      </c>
      <c r="C21" s="410" t="s">
        <v>195</v>
      </c>
      <c r="D21" s="404" t="s">
        <v>196</v>
      </c>
      <c r="E21" s="310" t="s">
        <v>121</v>
      </c>
      <c r="F21" s="403">
        <v>128</v>
      </c>
      <c r="G21" s="402">
        <v>42328</v>
      </c>
      <c r="H21" s="400"/>
      <c r="I21" s="237" t="s">
        <v>3</v>
      </c>
      <c r="J21" s="400" t="s">
        <v>174</v>
      </c>
      <c r="K21" s="313" t="s">
        <v>95</v>
      </c>
      <c r="L21" s="399">
        <f t="shared" si="81"/>
        <v>8</v>
      </c>
      <c r="M21" s="398">
        <f t="shared" si="82"/>
        <v>0</v>
      </c>
      <c r="N21" s="398">
        <f t="shared" si="83"/>
        <v>9.8461538461538467</v>
      </c>
      <c r="O21" s="398"/>
      <c r="P21" s="292">
        <f t="shared" si="3"/>
        <v>0.49230769230769234</v>
      </c>
      <c r="Q21" s="397">
        <f t="shared" si="84"/>
        <v>9.8461538461538467</v>
      </c>
      <c r="R21" s="259">
        <f t="shared" si="85"/>
        <v>10.338461538461539</v>
      </c>
      <c r="S21" s="396">
        <f t="shared" si="86"/>
        <v>9.9884615384615394</v>
      </c>
      <c r="T21" s="395">
        <f t="shared" si="87"/>
        <v>1400</v>
      </c>
      <c r="U21" s="394" t="str">
        <f t="shared" si="88"/>
        <v>01943</v>
      </c>
      <c r="V21" s="245"/>
      <c r="W21" s="245"/>
      <c r="X21" s="365">
        <f t="shared" si="89"/>
        <v>1400</v>
      </c>
      <c r="Y21" s="393">
        <f t="shared" si="90"/>
        <v>0</v>
      </c>
      <c r="Z21" s="392">
        <f t="shared" si="91"/>
        <v>0</v>
      </c>
      <c r="AA21" s="392">
        <f t="shared" si="92"/>
        <v>0</v>
      </c>
      <c r="AB21" s="392">
        <f t="shared" si="93"/>
        <v>1</v>
      </c>
      <c r="AC21" s="392">
        <f t="shared" si="94"/>
        <v>0</v>
      </c>
      <c r="AD21" s="392">
        <f t="shared" si="95"/>
        <v>0</v>
      </c>
      <c r="AE21" s="376">
        <f t="shared" si="96"/>
        <v>0</v>
      </c>
      <c r="AF21" s="376">
        <f t="shared" si="97"/>
        <v>0</v>
      </c>
      <c r="AG21" s="376">
        <f t="shared" si="98"/>
        <v>0</v>
      </c>
      <c r="AH21" s="376">
        <f t="shared" si="99"/>
        <v>1</v>
      </c>
      <c r="AI21" s="376">
        <f t="shared" si="100"/>
        <v>0</v>
      </c>
      <c r="AJ21" s="376">
        <f t="shared" si="101"/>
        <v>4</v>
      </c>
      <c r="AL21" s="235" t="e">
        <f>#REF!</f>
        <v>#REF!</v>
      </c>
      <c r="AM21" s="248"/>
      <c r="AN21" s="237" t="s">
        <v>94</v>
      </c>
      <c r="AO21" s="249"/>
      <c r="AP21" s="239" t="s">
        <v>95</v>
      </c>
      <c r="AQ21" s="246"/>
      <c r="AR21" s="241" t="s">
        <v>95</v>
      </c>
      <c r="AS21" s="242">
        <f t="shared" si="102"/>
        <v>0</v>
      </c>
      <c r="AT21" s="242">
        <f t="shared" si="103"/>
        <v>0</v>
      </c>
      <c r="AU21" s="388">
        <f t="shared" si="104"/>
        <v>10.338461538461539</v>
      </c>
      <c r="AV21" s="387">
        <f t="shared" si="105"/>
        <v>9.9884615384615394</v>
      </c>
      <c r="AW21" s="243">
        <f t="shared" si="106"/>
        <v>1400</v>
      </c>
      <c r="AX21" s="244" t="str">
        <f t="shared" si="107"/>
        <v>01943</v>
      </c>
      <c r="AY21" s="250"/>
      <c r="AZ21" s="250"/>
      <c r="BA21" s="409">
        <f t="shared" si="108"/>
        <v>1400</v>
      </c>
      <c r="BB21" s="393">
        <f t="shared" si="109"/>
        <v>0</v>
      </c>
      <c r="BC21" s="392">
        <f t="shared" si="110"/>
        <v>0</v>
      </c>
      <c r="BD21" s="392">
        <f t="shared" si="111"/>
        <v>0</v>
      </c>
      <c r="BE21" s="392">
        <f t="shared" si="112"/>
        <v>1</v>
      </c>
      <c r="BF21" s="392">
        <f t="shared" si="113"/>
        <v>0</v>
      </c>
      <c r="BG21" s="392">
        <f t="shared" si="114"/>
        <v>0</v>
      </c>
      <c r="BH21" s="385">
        <f t="shared" si="115"/>
        <v>0</v>
      </c>
      <c r="BI21" s="385">
        <f t="shared" si="116"/>
        <v>0</v>
      </c>
      <c r="BJ21" s="385">
        <f t="shared" si="117"/>
        <v>0</v>
      </c>
      <c r="BK21" s="385">
        <f t="shared" si="118"/>
        <v>1</v>
      </c>
      <c r="BL21" s="385">
        <f t="shared" si="119"/>
        <v>0</v>
      </c>
      <c r="BM21" s="385">
        <f t="shared" si="120"/>
        <v>4</v>
      </c>
    </row>
    <row r="22" spans="1:65" s="247" customFormat="1" ht="56.25" customHeight="1">
      <c r="A22" s="468">
        <v>13</v>
      </c>
      <c r="B22" s="297" t="s">
        <v>138</v>
      </c>
      <c r="C22" s="405" t="s">
        <v>170</v>
      </c>
      <c r="D22" s="404" t="s">
        <v>171</v>
      </c>
      <c r="E22" s="310" t="s">
        <v>121</v>
      </c>
      <c r="F22" s="403">
        <v>133</v>
      </c>
      <c r="G22" s="402">
        <v>40861</v>
      </c>
      <c r="H22" s="400"/>
      <c r="I22" s="237" t="s">
        <v>3</v>
      </c>
      <c r="J22" s="400" t="s">
        <v>174</v>
      </c>
      <c r="K22" s="313" t="s">
        <v>95</v>
      </c>
      <c r="L22" s="399">
        <f t="shared" si="81"/>
        <v>8</v>
      </c>
      <c r="M22" s="398">
        <f t="shared" si="82"/>
        <v>0</v>
      </c>
      <c r="N22" s="398">
        <f t="shared" si="83"/>
        <v>10.23076923076923</v>
      </c>
      <c r="O22" s="398"/>
      <c r="P22" s="292">
        <f t="shared" si="3"/>
        <v>0.5115384615384615</v>
      </c>
      <c r="Q22" s="397">
        <f t="shared" si="84"/>
        <v>10.23076923076923</v>
      </c>
      <c r="R22" s="259">
        <f t="shared" si="85"/>
        <v>10.742307692307691</v>
      </c>
      <c r="S22" s="396">
        <f t="shared" si="86"/>
        <v>9.9923076923076906</v>
      </c>
      <c r="T22" s="395">
        <f t="shared" si="87"/>
        <v>3000</v>
      </c>
      <c r="U22" s="394" t="str">
        <f t="shared" si="88"/>
        <v>0077</v>
      </c>
      <c r="V22" s="245"/>
      <c r="W22" s="245"/>
      <c r="X22" s="365">
        <f t="shared" si="89"/>
        <v>3000</v>
      </c>
      <c r="Y22" s="393">
        <f t="shared" si="90"/>
        <v>0</v>
      </c>
      <c r="Z22" s="392">
        <f t="shared" si="91"/>
        <v>0</v>
      </c>
      <c r="AA22" s="392">
        <f t="shared" si="92"/>
        <v>0</v>
      </c>
      <c r="AB22" s="392">
        <f t="shared" si="93"/>
        <v>1</v>
      </c>
      <c r="AC22" s="392">
        <f t="shared" si="94"/>
        <v>0</v>
      </c>
      <c r="AD22" s="392">
        <f t="shared" si="95"/>
        <v>0</v>
      </c>
      <c r="AE22" s="376">
        <f t="shared" si="96"/>
        <v>0</v>
      </c>
      <c r="AF22" s="376">
        <f t="shared" si="97"/>
        <v>0</v>
      </c>
      <c r="AG22" s="376">
        <f t="shared" si="98"/>
        <v>1</v>
      </c>
      <c r="AH22" s="376">
        <f t="shared" si="99"/>
        <v>1</v>
      </c>
      <c r="AI22" s="376">
        <f t="shared" si="100"/>
        <v>0</v>
      </c>
      <c r="AJ22" s="376">
        <f t="shared" si="101"/>
        <v>0</v>
      </c>
      <c r="AL22" s="251"/>
      <c r="AM22" s="252"/>
      <c r="AN22" s="253"/>
      <c r="AO22" s="254"/>
      <c r="AP22" s="253"/>
      <c r="AQ22" s="255"/>
      <c r="AR22" s="256"/>
      <c r="AS22" s="242"/>
      <c r="AT22" s="242"/>
      <c r="AU22" s="388"/>
      <c r="AV22" s="387"/>
      <c r="AW22" s="243"/>
      <c r="AX22" s="291"/>
      <c r="AY22" s="257"/>
      <c r="AZ22" s="257"/>
      <c r="BA22" s="372"/>
      <c r="BB22" s="371"/>
      <c r="BC22" s="370"/>
      <c r="BD22" s="370"/>
      <c r="BE22" s="370"/>
      <c r="BF22" s="370"/>
      <c r="BG22" s="370"/>
      <c r="BH22" s="385"/>
      <c r="BI22" s="385"/>
      <c r="BJ22" s="385"/>
      <c r="BK22" s="385"/>
      <c r="BL22" s="385"/>
      <c r="BM22" s="385"/>
    </row>
    <row r="23" spans="1:65" s="247" customFormat="1" ht="56.25" customHeight="1">
      <c r="A23" s="468">
        <v>14</v>
      </c>
      <c r="B23" s="297" t="s">
        <v>138</v>
      </c>
      <c r="C23" s="405" t="s">
        <v>172</v>
      </c>
      <c r="D23" s="404" t="s">
        <v>173</v>
      </c>
      <c r="E23" s="310" t="s">
        <v>121</v>
      </c>
      <c r="F23" s="403">
        <v>133</v>
      </c>
      <c r="G23" s="402">
        <v>41757</v>
      </c>
      <c r="H23" s="400"/>
      <c r="I23" s="237" t="s">
        <v>3</v>
      </c>
      <c r="J23" s="400" t="s">
        <v>174</v>
      </c>
      <c r="K23" s="313" t="s">
        <v>95</v>
      </c>
      <c r="L23" s="399">
        <f t="shared" si="81"/>
        <v>8</v>
      </c>
      <c r="M23" s="398">
        <f t="shared" si="82"/>
        <v>0</v>
      </c>
      <c r="N23" s="398">
        <f t="shared" si="83"/>
        <v>10.23076923076923</v>
      </c>
      <c r="O23" s="398"/>
      <c r="P23" s="292">
        <f t="shared" si="3"/>
        <v>0.5115384615384615</v>
      </c>
      <c r="Q23" s="397">
        <f t="shared" si="84"/>
        <v>10.23076923076923</v>
      </c>
      <c r="R23" s="259">
        <f t="shared" si="85"/>
        <v>10.742307692307691</v>
      </c>
      <c r="S23" s="396">
        <f t="shared" si="86"/>
        <v>9.9923076923076906</v>
      </c>
      <c r="T23" s="395">
        <f t="shared" si="87"/>
        <v>3000</v>
      </c>
      <c r="U23" s="394" t="str">
        <f t="shared" si="88"/>
        <v>01120</v>
      </c>
      <c r="V23" s="245"/>
      <c r="W23" s="245"/>
      <c r="X23" s="365">
        <f t="shared" si="89"/>
        <v>3000</v>
      </c>
      <c r="Y23" s="393">
        <f t="shared" si="90"/>
        <v>0</v>
      </c>
      <c r="Z23" s="392">
        <f t="shared" si="91"/>
        <v>0</v>
      </c>
      <c r="AA23" s="392">
        <f t="shared" si="92"/>
        <v>0</v>
      </c>
      <c r="AB23" s="392">
        <f t="shared" si="93"/>
        <v>1</v>
      </c>
      <c r="AC23" s="392">
        <f t="shared" si="94"/>
        <v>0</v>
      </c>
      <c r="AD23" s="392">
        <f t="shared" si="95"/>
        <v>0</v>
      </c>
      <c r="AE23" s="376">
        <f t="shared" si="96"/>
        <v>0</v>
      </c>
      <c r="AF23" s="376">
        <f t="shared" si="97"/>
        <v>0</v>
      </c>
      <c r="AG23" s="376">
        <f t="shared" si="98"/>
        <v>1</v>
      </c>
      <c r="AH23" s="376">
        <f t="shared" si="99"/>
        <v>1</v>
      </c>
      <c r="AI23" s="376">
        <f t="shared" si="100"/>
        <v>0</v>
      </c>
      <c r="AJ23" s="376">
        <f t="shared" si="101"/>
        <v>0</v>
      </c>
      <c r="AL23" s="251"/>
      <c r="AM23" s="252"/>
      <c r="AN23" s="253"/>
      <c r="AO23" s="254"/>
      <c r="AP23" s="253"/>
      <c r="AQ23" s="255"/>
      <c r="AR23" s="256"/>
      <c r="AS23" s="242"/>
      <c r="AT23" s="242"/>
      <c r="AU23" s="388"/>
      <c r="AV23" s="387"/>
      <c r="AW23" s="243"/>
      <c r="AX23" s="291"/>
      <c r="AY23" s="257"/>
      <c r="AZ23" s="257"/>
      <c r="BA23" s="372"/>
      <c r="BB23" s="371"/>
      <c r="BC23" s="370"/>
      <c r="BD23" s="370"/>
      <c r="BE23" s="370"/>
      <c r="BF23" s="370"/>
      <c r="BG23" s="370"/>
      <c r="BH23" s="385"/>
      <c r="BI23" s="385"/>
      <c r="BJ23" s="385"/>
      <c r="BK23" s="385"/>
      <c r="BL23" s="385"/>
      <c r="BM23" s="385"/>
    </row>
    <row r="24" spans="1:65" s="247" customFormat="1" ht="56.25" customHeight="1">
      <c r="A24" s="468">
        <v>15</v>
      </c>
      <c r="B24" s="297" t="s">
        <v>103</v>
      </c>
      <c r="C24" s="405" t="s">
        <v>198</v>
      </c>
      <c r="D24" s="408" t="s">
        <v>199</v>
      </c>
      <c r="E24" s="310" t="s">
        <v>121</v>
      </c>
      <c r="F24" s="407">
        <v>140</v>
      </c>
      <c r="G24" s="402">
        <v>40863</v>
      </c>
      <c r="H24" s="400"/>
      <c r="I24" s="237" t="s">
        <v>3</v>
      </c>
      <c r="J24" s="400" t="s">
        <v>174</v>
      </c>
      <c r="K24" s="313" t="s">
        <v>95</v>
      </c>
      <c r="L24" s="399">
        <f t="shared" si="81"/>
        <v>8</v>
      </c>
      <c r="M24" s="398">
        <f t="shared" si="82"/>
        <v>0</v>
      </c>
      <c r="N24" s="398">
        <f t="shared" si="83"/>
        <v>10.76923076923077</v>
      </c>
      <c r="O24" s="398"/>
      <c r="P24" s="292">
        <f t="shared" si="3"/>
        <v>0.53846153846153855</v>
      </c>
      <c r="Q24" s="397">
        <f t="shared" si="84"/>
        <v>10.76923076923077</v>
      </c>
      <c r="R24" s="259">
        <f t="shared" si="85"/>
        <v>11.307692307692308</v>
      </c>
      <c r="S24" s="396">
        <f t="shared" si="86"/>
        <v>10.982692307692309</v>
      </c>
      <c r="T24" s="395">
        <f t="shared" si="87"/>
        <v>1300</v>
      </c>
      <c r="U24" s="394" t="str">
        <f t="shared" si="88"/>
        <v>0094</v>
      </c>
      <c r="V24" s="245"/>
      <c r="W24" s="245"/>
      <c r="X24" s="365">
        <f t="shared" si="89"/>
        <v>1300</v>
      </c>
      <c r="Y24" s="393">
        <f t="shared" si="90"/>
        <v>0</v>
      </c>
      <c r="Z24" s="392">
        <f t="shared" si="91"/>
        <v>0</v>
      </c>
      <c r="AA24" s="392">
        <f t="shared" si="92"/>
        <v>0</v>
      </c>
      <c r="AB24" s="392">
        <f t="shared" si="93"/>
        <v>1</v>
      </c>
      <c r="AC24" s="392">
        <f t="shared" si="94"/>
        <v>0</v>
      </c>
      <c r="AD24" s="392">
        <f t="shared" si="95"/>
        <v>1</v>
      </c>
      <c r="AE24" s="376">
        <f t="shared" si="96"/>
        <v>0</v>
      </c>
      <c r="AF24" s="376">
        <f t="shared" si="97"/>
        <v>0</v>
      </c>
      <c r="AG24" s="376">
        <f t="shared" si="98"/>
        <v>0</v>
      </c>
      <c r="AH24" s="376">
        <f t="shared" si="99"/>
        <v>1</v>
      </c>
      <c r="AI24" s="376">
        <f t="shared" si="100"/>
        <v>0</v>
      </c>
      <c r="AJ24" s="376">
        <f t="shared" si="101"/>
        <v>3</v>
      </c>
      <c r="AL24" s="251"/>
      <c r="AM24" s="252"/>
      <c r="AN24" s="253"/>
      <c r="AO24" s="254"/>
      <c r="AP24" s="253"/>
      <c r="AQ24" s="255"/>
      <c r="AR24" s="256"/>
      <c r="AS24" s="242"/>
      <c r="AT24" s="242"/>
      <c r="AU24" s="259"/>
      <c r="AV24" s="260"/>
      <c r="AW24" s="243"/>
      <c r="AX24" s="291"/>
      <c r="AY24" s="257"/>
      <c r="AZ24" s="257"/>
      <c r="BA24" s="293"/>
      <c r="BB24" s="288"/>
      <c r="BC24" s="289"/>
      <c r="BD24" s="289"/>
      <c r="BE24" s="289"/>
      <c r="BF24" s="289"/>
      <c r="BG24" s="289"/>
      <c r="BH24" s="290"/>
      <c r="BI24" s="290"/>
      <c r="BJ24" s="290"/>
      <c r="BK24" s="290"/>
      <c r="BL24" s="290"/>
      <c r="BM24" s="290"/>
    </row>
    <row r="25" spans="1:65" s="247" customFormat="1" ht="56.25" customHeight="1">
      <c r="A25" s="468">
        <v>16</v>
      </c>
      <c r="B25" s="297" t="s">
        <v>103</v>
      </c>
      <c r="C25" s="405" t="s">
        <v>200</v>
      </c>
      <c r="D25" s="404" t="s">
        <v>201</v>
      </c>
      <c r="E25" s="310" t="s">
        <v>121</v>
      </c>
      <c r="F25" s="403">
        <v>133</v>
      </c>
      <c r="G25" s="406">
        <v>40921</v>
      </c>
      <c r="H25" s="400"/>
      <c r="I25" s="237" t="s">
        <v>3</v>
      </c>
      <c r="J25" s="401" t="s">
        <v>174</v>
      </c>
      <c r="K25" s="313" t="s">
        <v>95</v>
      </c>
      <c r="L25" s="399">
        <f t="shared" si="81"/>
        <v>8</v>
      </c>
      <c r="M25" s="398">
        <f t="shared" si="82"/>
        <v>0</v>
      </c>
      <c r="N25" s="398">
        <f t="shared" si="83"/>
        <v>10.23076923076923</v>
      </c>
      <c r="O25" s="398"/>
      <c r="P25" s="292">
        <f t="shared" si="3"/>
        <v>0.5115384615384615</v>
      </c>
      <c r="Q25" s="397">
        <f t="shared" si="84"/>
        <v>10.23076923076923</v>
      </c>
      <c r="R25" s="259">
        <f t="shared" si="85"/>
        <v>10.742307692307691</v>
      </c>
      <c r="S25" s="396">
        <f t="shared" si="86"/>
        <v>9.9923076923076906</v>
      </c>
      <c r="T25" s="395">
        <f t="shared" si="87"/>
        <v>3000</v>
      </c>
      <c r="U25" s="394" t="str">
        <f t="shared" si="88"/>
        <v>0222</v>
      </c>
      <c r="V25" s="245"/>
      <c r="W25" s="245"/>
      <c r="X25" s="365">
        <f t="shared" si="89"/>
        <v>3000</v>
      </c>
      <c r="Y25" s="393">
        <f t="shared" si="90"/>
        <v>0</v>
      </c>
      <c r="Z25" s="392">
        <f t="shared" si="91"/>
        <v>0</v>
      </c>
      <c r="AA25" s="392">
        <f t="shared" si="92"/>
        <v>0</v>
      </c>
      <c r="AB25" s="392">
        <f t="shared" si="93"/>
        <v>1</v>
      </c>
      <c r="AC25" s="392">
        <f t="shared" si="94"/>
        <v>0</v>
      </c>
      <c r="AD25" s="392">
        <f t="shared" si="95"/>
        <v>0</v>
      </c>
      <c r="AE25" s="376">
        <f t="shared" si="96"/>
        <v>0</v>
      </c>
      <c r="AF25" s="376">
        <f t="shared" si="97"/>
        <v>0</v>
      </c>
      <c r="AG25" s="376">
        <f t="shared" si="98"/>
        <v>1</v>
      </c>
      <c r="AH25" s="376">
        <f t="shared" si="99"/>
        <v>1</v>
      </c>
      <c r="AI25" s="376">
        <f t="shared" si="100"/>
        <v>0</v>
      </c>
      <c r="AJ25" s="376">
        <f t="shared" si="101"/>
        <v>0</v>
      </c>
      <c r="AL25" s="251"/>
      <c r="AM25" s="252"/>
      <c r="AN25" s="253"/>
      <c r="AO25" s="254"/>
      <c r="AP25" s="253"/>
      <c r="AQ25" s="255"/>
      <c r="AR25" s="256"/>
      <c r="AS25" s="242"/>
      <c r="AT25" s="242"/>
      <c r="AU25" s="388"/>
      <c r="AV25" s="387"/>
      <c r="AW25" s="243"/>
      <c r="AX25" s="291"/>
      <c r="AY25" s="257"/>
      <c r="AZ25" s="257"/>
      <c r="BA25" s="372"/>
      <c r="BB25" s="371"/>
      <c r="BC25" s="370"/>
      <c r="BD25" s="370"/>
      <c r="BE25" s="370"/>
      <c r="BF25" s="370"/>
      <c r="BG25" s="370"/>
      <c r="BH25" s="385"/>
      <c r="BI25" s="385"/>
      <c r="BJ25" s="385"/>
      <c r="BK25" s="385"/>
      <c r="BL25" s="385"/>
      <c r="BM25" s="385"/>
    </row>
    <row r="26" spans="1:65" s="247" customFormat="1" ht="56.25" customHeight="1">
      <c r="A26" s="468">
        <v>17</v>
      </c>
      <c r="B26" s="297" t="s">
        <v>103</v>
      </c>
      <c r="C26" s="410" t="s">
        <v>175</v>
      </c>
      <c r="D26" s="404" t="s">
        <v>176</v>
      </c>
      <c r="E26" s="310" t="s">
        <v>121</v>
      </c>
      <c r="F26" s="403">
        <v>200</v>
      </c>
      <c r="G26" s="402">
        <v>40966</v>
      </c>
      <c r="H26" s="400"/>
      <c r="I26" s="237" t="s">
        <v>3</v>
      </c>
      <c r="J26" s="400" t="s">
        <v>197</v>
      </c>
      <c r="K26" s="313" t="s">
        <v>95</v>
      </c>
      <c r="L26" s="399">
        <f t="shared" si="41"/>
        <v>16</v>
      </c>
      <c r="M26" s="398">
        <f t="shared" si="42"/>
        <v>0</v>
      </c>
      <c r="N26" s="398">
        <f t="shared" si="43"/>
        <v>30.76923076923077</v>
      </c>
      <c r="O26" s="398"/>
      <c r="P26" s="292">
        <f t="shared" si="3"/>
        <v>1.5384615384615385</v>
      </c>
      <c r="Q26" s="397">
        <f t="shared" si="44"/>
        <v>30.76923076923077</v>
      </c>
      <c r="R26" s="259">
        <f t="shared" si="45"/>
        <v>32.307692307692307</v>
      </c>
      <c r="S26" s="396">
        <f t="shared" si="46"/>
        <v>31.982692307692307</v>
      </c>
      <c r="T26" s="395">
        <f t="shared" si="47"/>
        <v>1300</v>
      </c>
      <c r="U26" s="394" t="str">
        <f t="shared" si="48"/>
        <v>0370</v>
      </c>
      <c r="V26" s="245"/>
      <c r="W26" s="245"/>
      <c r="X26" s="365">
        <f t="shared" si="49"/>
        <v>1300</v>
      </c>
      <c r="Y26" s="393">
        <f t="shared" si="50"/>
        <v>0</v>
      </c>
      <c r="Z26" s="392">
        <f t="shared" si="51"/>
        <v>0</v>
      </c>
      <c r="AA26" s="392">
        <f t="shared" si="52"/>
        <v>1</v>
      </c>
      <c r="AB26" s="392">
        <f t="shared" si="53"/>
        <v>1</v>
      </c>
      <c r="AC26" s="392">
        <f t="shared" si="54"/>
        <v>0</v>
      </c>
      <c r="AD26" s="392">
        <f t="shared" si="55"/>
        <v>2</v>
      </c>
      <c r="AE26" s="376">
        <f t="shared" si="56"/>
        <v>0</v>
      </c>
      <c r="AF26" s="376">
        <f t="shared" si="57"/>
        <v>0</v>
      </c>
      <c r="AG26" s="376">
        <f t="shared" si="58"/>
        <v>0</v>
      </c>
      <c r="AH26" s="376">
        <f t="shared" si="59"/>
        <v>1</v>
      </c>
      <c r="AI26" s="376">
        <f t="shared" si="60"/>
        <v>0</v>
      </c>
      <c r="AJ26" s="376">
        <f t="shared" si="61"/>
        <v>3</v>
      </c>
      <c r="AL26" s="235" t="e">
        <f>#REF!</f>
        <v>#REF!</v>
      </c>
      <c r="AM26" s="248"/>
      <c r="AN26" s="237" t="s">
        <v>94</v>
      </c>
      <c r="AO26" s="249"/>
      <c r="AP26" s="239" t="s">
        <v>95</v>
      </c>
      <c r="AQ26" s="246"/>
      <c r="AR26" s="241" t="s">
        <v>95</v>
      </c>
      <c r="AS26" s="242">
        <f t="shared" si="62"/>
        <v>0</v>
      </c>
      <c r="AT26" s="242">
        <f t="shared" si="63"/>
        <v>0</v>
      </c>
      <c r="AU26" s="388">
        <f t="shared" si="64"/>
        <v>32.307692307692307</v>
      </c>
      <c r="AV26" s="387">
        <f t="shared" si="65"/>
        <v>31.982692307692307</v>
      </c>
      <c r="AW26" s="243">
        <f t="shared" si="66"/>
        <v>1300</v>
      </c>
      <c r="AX26" s="244" t="str">
        <f t="shared" si="67"/>
        <v>0370</v>
      </c>
      <c r="AY26" s="250"/>
      <c r="AZ26" s="250"/>
      <c r="BA26" s="409">
        <f t="shared" si="68"/>
        <v>1300</v>
      </c>
      <c r="BB26" s="393">
        <f t="shared" si="69"/>
        <v>0</v>
      </c>
      <c r="BC26" s="392">
        <f t="shared" si="70"/>
        <v>0</v>
      </c>
      <c r="BD26" s="392">
        <f t="shared" si="71"/>
        <v>1</v>
      </c>
      <c r="BE26" s="392">
        <f t="shared" si="72"/>
        <v>1</v>
      </c>
      <c r="BF26" s="392">
        <f t="shared" si="73"/>
        <v>0</v>
      </c>
      <c r="BG26" s="392">
        <f t="shared" si="74"/>
        <v>2</v>
      </c>
      <c r="BH26" s="385">
        <f t="shared" si="75"/>
        <v>0</v>
      </c>
      <c r="BI26" s="385">
        <f t="shared" si="76"/>
        <v>0</v>
      </c>
      <c r="BJ26" s="385">
        <f t="shared" si="77"/>
        <v>0</v>
      </c>
      <c r="BK26" s="385">
        <f t="shared" si="78"/>
        <v>1</v>
      </c>
      <c r="BL26" s="385">
        <f t="shared" si="79"/>
        <v>0</v>
      </c>
      <c r="BM26" s="385">
        <f t="shared" si="80"/>
        <v>3</v>
      </c>
    </row>
    <row r="27" spans="1:65" s="247" customFormat="1" ht="56.25" customHeight="1">
      <c r="A27" s="468">
        <v>18</v>
      </c>
      <c r="B27" s="297" t="s">
        <v>103</v>
      </c>
      <c r="C27" s="405" t="s">
        <v>202</v>
      </c>
      <c r="D27" s="404" t="s">
        <v>203</v>
      </c>
      <c r="E27" s="310" t="s">
        <v>121</v>
      </c>
      <c r="F27" s="403">
        <v>133</v>
      </c>
      <c r="G27" s="402">
        <v>41200</v>
      </c>
      <c r="H27" s="400"/>
      <c r="I27" s="237" t="s">
        <v>3</v>
      </c>
      <c r="J27" s="400" t="s">
        <v>174</v>
      </c>
      <c r="K27" s="313" t="s">
        <v>95</v>
      </c>
      <c r="L27" s="399">
        <f t="shared" si="41"/>
        <v>8</v>
      </c>
      <c r="M27" s="398">
        <f t="shared" si="42"/>
        <v>0</v>
      </c>
      <c r="N27" s="398">
        <f t="shared" si="43"/>
        <v>10.23076923076923</v>
      </c>
      <c r="O27" s="398"/>
      <c r="P27" s="292">
        <f t="shared" si="3"/>
        <v>0.5115384615384615</v>
      </c>
      <c r="Q27" s="397">
        <f t="shared" si="44"/>
        <v>10.23076923076923</v>
      </c>
      <c r="R27" s="259">
        <f t="shared" si="45"/>
        <v>10.742307692307691</v>
      </c>
      <c r="S27" s="396">
        <f t="shared" si="46"/>
        <v>9.9923076923076906</v>
      </c>
      <c r="T27" s="395">
        <f t="shared" si="47"/>
        <v>3000</v>
      </c>
      <c r="U27" s="394" t="str">
        <f t="shared" si="48"/>
        <v>0572</v>
      </c>
      <c r="V27" s="245"/>
      <c r="W27" s="245"/>
      <c r="X27" s="365">
        <f t="shared" si="49"/>
        <v>3000</v>
      </c>
      <c r="Y27" s="393">
        <f t="shared" si="50"/>
        <v>0</v>
      </c>
      <c r="Z27" s="392">
        <f t="shared" si="51"/>
        <v>0</v>
      </c>
      <c r="AA27" s="392">
        <f t="shared" si="52"/>
        <v>0</v>
      </c>
      <c r="AB27" s="392">
        <f t="shared" si="53"/>
        <v>1</v>
      </c>
      <c r="AC27" s="392">
        <f t="shared" si="54"/>
        <v>0</v>
      </c>
      <c r="AD27" s="392">
        <f t="shared" si="55"/>
        <v>0</v>
      </c>
      <c r="AE27" s="376">
        <f t="shared" si="56"/>
        <v>0</v>
      </c>
      <c r="AF27" s="376">
        <f t="shared" si="57"/>
        <v>0</v>
      </c>
      <c r="AG27" s="376">
        <f t="shared" si="58"/>
        <v>1</v>
      </c>
      <c r="AH27" s="376">
        <f t="shared" si="59"/>
        <v>1</v>
      </c>
      <c r="AI27" s="376">
        <f t="shared" si="60"/>
        <v>0</v>
      </c>
      <c r="AJ27" s="376">
        <f t="shared" si="61"/>
        <v>0</v>
      </c>
      <c r="AL27" s="251"/>
      <c r="AM27" s="252"/>
      <c r="AN27" s="253"/>
      <c r="AO27" s="254"/>
      <c r="AP27" s="253"/>
      <c r="AQ27" s="255"/>
      <c r="AR27" s="256"/>
      <c r="AS27" s="242"/>
      <c r="AT27" s="242"/>
      <c r="AU27" s="388"/>
      <c r="AV27" s="387"/>
      <c r="AW27" s="243"/>
      <c r="AX27" s="291"/>
      <c r="AY27" s="257"/>
      <c r="AZ27" s="257"/>
      <c r="BA27" s="372"/>
      <c r="BB27" s="371"/>
      <c r="BC27" s="370"/>
      <c r="BD27" s="370"/>
      <c r="BE27" s="370"/>
      <c r="BF27" s="370"/>
      <c r="BG27" s="370"/>
      <c r="BH27" s="385"/>
      <c r="BI27" s="385"/>
      <c r="BJ27" s="385"/>
      <c r="BK27" s="385"/>
      <c r="BL27" s="385"/>
      <c r="BM27" s="385"/>
    </row>
    <row r="28" spans="1:65" s="247" customFormat="1" ht="56.25" customHeight="1">
      <c r="A28" s="468">
        <v>19</v>
      </c>
      <c r="B28" s="297" t="s">
        <v>103</v>
      </c>
      <c r="C28" s="405" t="s">
        <v>177</v>
      </c>
      <c r="D28" s="404" t="s">
        <v>178</v>
      </c>
      <c r="E28" s="310" t="s">
        <v>121</v>
      </c>
      <c r="F28" s="403">
        <v>133</v>
      </c>
      <c r="G28" s="402">
        <v>41505</v>
      </c>
      <c r="H28" s="400"/>
      <c r="I28" s="237" t="s">
        <v>3</v>
      </c>
      <c r="J28" s="400" t="s">
        <v>174</v>
      </c>
      <c r="K28" s="313" t="s">
        <v>95</v>
      </c>
      <c r="L28" s="399">
        <f t="shared" si="41"/>
        <v>8</v>
      </c>
      <c r="M28" s="398">
        <f t="shared" si="42"/>
        <v>0</v>
      </c>
      <c r="N28" s="398">
        <f t="shared" si="43"/>
        <v>10.23076923076923</v>
      </c>
      <c r="O28" s="398"/>
      <c r="P28" s="292">
        <f t="shared" si="3"/>
        <v>0.5115384615384615</v>
      </c>
      <c r="Q28" s="397">
        <f t="shared" si="44"/>
        <v>10.23076923076923</v>
      </c>
      <c r="R28" s="259">
        <f t="shared" si="45"/>
        <v>10.742307692307691</v>
      </c>
      <c r="S28" s="396">
        <f t="shared" si="46"/>
        <v>9.9923076923076906</v>
      </c>
      <c r="T28" s="395">
        <f t="shared" si="47"/>
        <v>3000</v>
      </c>
      <c r="U28" s="394" t="str">
        <f t="shared" si="48"/>
        <v>0970</v>
      </c>
      <c r="V28" s="245"/>
      <c r="W28" s="245"/>
      <c r="X28" s="365">
        <f t="shared" si="49"/>
        <v>3000</v>
      </c>
      <c r="Y28" s="393">
        <f t="shared" si="50"/>
        <v>0</v>
      </c>
      <c r="Z28" s="392">
        <f t="shared" si="51"/>
        <v>0</v>
      </c>
      <c r="AA28" s="392">
        <f t="shared" si="52"/>
        <v>0</v>
      </c>
      <c r="AB28" s="392">
        <f t="shared" si="53"/>
        <v>1</v>
      </c>
      <c r="AC28" s="392">
        <f t="shared" si="54"/>
        <v>0</v>
      </c>
      <c r="AD28" s="392">
        <f t="shared" si="55"/>
        <v>0</v>
      </c>
      <c r="AE28" s="376">
        <f t="shared" si="56"/>
        <v>0</v>
      </c>
      <c r="AF28" s="376">
        <f t="shared" si="57"/>
        <v>0</v>
      </c>
      <c r="AG28" s="376">
        <f t="shared" si="58"/>
        <v>1</v>
      </c>
      <c r="AH28" s="376">
        <f t="shared" si="59"/>
        <v>1</v>
      </c>
      <c r="AI28" s="376">
        <f t="shared" si="60"/>
        <v>0</v>
      </c>
      <c r="AJ28" s="376">
        <f t="shared" si="61"/>
        <v>0</v>
      </c>
      <c r="AL28" s="251"/>
      <c r="AM28" s="252"/>
      <c r="AN28" s="253"/>
      <c r="AO28" s="254"/>
      <c r="AP28" s="253"/>
      <c r="AQ28" s="255"/>
      <c r="AR28" s="256"/>
      <c r="AS28" s="242"/>
      <c r="AT28" s="242"/>
      <c r="AU28" s="388"/>
      <c r="AV28" s="387"/>
      <c r="AW28" s="243"/>
      <c r="AX28" s="291"/>
      <c r="AY28" s="257"/>
      <c r="AZ28" s="257"/>
      <c r="BA28" s="372"/>
      <c r="BB28" s="371"/>
      <c r="BC28" s="370"/>
      <c r="BD28" s="370"/>
      <c r="BE28" s="370"/>
      <c r="BF28" s="370"/>
      <c r="BG28" s="370"/>
      <c r="BH28" s="385"/>
      <c r="BI28" s="385"/>
      <c r="BJ28" s="385"/>
      <c r="BK28" s="385"/>
      <c r="BL28" s="385"/>
      <c r="BM28" s="385"/>
    </row>
    <row r="29" spans="1:65" s="247" customFormat="1" ht="56.25" customHeight="1">
      <c r="A29" s="468">
        <v>20</v>
      </c>
      <c r="B29" s="297" t="s">
        <v>103</v>
      </c>
      <c r="C29" s="405" t="s">
        <v>179</v>
      </c>
      <c r="D29" s="408" t="s">
        <v>180</v>
      </c>
      <c r="E29" s="310" t="s">
        <v>121</v>
      </c>
      <c r="F29" s="407">
        <v>133</v>
      </c>
      <c r="G29" s="402">
        <v>41583</v>
      </c>
      <c r="H29" s="400"/>
      <c r="I29" s="237" t="s">
        <v>3</v>
      </c>
      <c r="J29" s="400" t="s">
        <v>174</v>
      </c>
      <c r="K29" s="313" t="s">
        <v>95</v>
      </c>
      <c r="L29" s="399">
        <f t="shared" si="41"/>
        <v>8</v>
      </c>
      <c r="M29" s="398">
        <f t="shared" si="42"/>
        <v>0</v>
      </c>
      <c r="N29" s="398">
        <f t="shared" si="43"/>
        <v>10.23076923076923</v>
      </c>
      <c r="O29" s="398"/>
      <c r="P29" s="292">
        <f t="shared" si="3"/>
        <v>0.5115384615384615</v>
      </c>
      <c r="Q29" s="397">
        <f t="shared" si="44"/>
        <v>10.23076923076923</v>
      </c>
      <c r="R29" s="259">
        <f t="shared" si="45"/>
        <v>10.742307692307691</v>
      </c>
      <c r="S29" s="396">
        <f t="shared" si="46"/>
        <v>9.9923076923076906</v>
      </c>
      <c r="T29" s="395">
        <f t="shared" si="47"/>
        <v>3000</v>
      </c>
      <c r="U29" s="394" t="str">
        <f t="shared" si="48"/>
        <v>01048</v>
      </c>
      <c r="V29" s="245"/>
      <c r="W29" s="245"/>
      <c r="X29" s="365">
        <f t="shared" si="49"/>
        <v>3000</v>
      </c>
      <c r="Y29" s="393">
        <f t="shared" si="50"/>
        <v>0</v>
      </c>
      <c r="Z29" s="392">
        <f t="shared" si="51"/>
        <v>0</v>
      </c>
      <c r="AA29" s="392">
        <f t="shared" si="52"/>
        <v>0</v>
      </c>
      <c r="AB29" s="392">
        <f t="shared" si="53"/>
        <v>1</v>
      </c>
      <c r="AC29" s="392">
        <f t="shared" si="54"/>
        <v>0</v>
      </c>
      <c r="AD29" s="392">
        <f t="shared" si="55"/>
        <v>0</v>
      </c>
      <c r="AE29" s="376">
        <f t="shared" si="56"/>
        <v>0</v>
      </c>
      <c r="AF29" s="376">
        <f t="shared" si="57"/>
        <v>0</v>
      </c>
      <c r="AG29" s="376">
        <f t="shared" si="58"/>
        <v>1</v>
      </c>
      <c r="AH29" s="376">
        <f t="shared" si="59"/>
        <v>1</v>
      </c>
      <c r="AI29" s="376">
        <f t="shared" si="60"/>
        <v>0</v>
      </c>
      <c r="AJ29" s="376">
        <f t="shared" si="61"/>
        <v>0</v>
      </c>
      <c r="AL29" s="251"/>
      <c r="AM29" s="252"/>
      <c r="AN29" s="253"/>
      <c r="AO29" s="254"/>
      <c r="AP29" s="253"/>
      <c r="AQ29" s="255"/>
      <c r="AR29" s="256"/>
      <c r="AS29" s="242"/>
      <c r="AT29" s="242"/>
      <c r="AU29" s="259"/>
      <c r="AV29" s="260"/>
      <c r="AW29" s="243"/>
      <c r="AX29" s="291"/>
      <c r="AY29" s="257"/>
      <c r="AZ29" s="257"/>
      <c r="BA29" s="293"/>
      <c r="BB29" s="288"/>
      <c r="BC29" s="289"/>
      <c r="BD29" s="289"/>
      <c r="BE29" s="289"/>
      <c r="BF29" s="289"/>
      <c r="BG29" s="289"/>
      <c r="BH29" s="290"/>
      <c r="BI29" s="290"/>
      <c r="BJ29" s="290"/>
      <c r="BK29" s="290"/>
      <c r="BL29" s="290"/>
      <c r="BM29" s="290"/>
    </row>
    <row r="30" spans="1:65" s="247" customFormat="1" ht="56.25" customHeight="1">
      <c r="A30" s="468">
        <v>21</v>
      </c>
      <c r="B30" s="297" t="s">
        <v>103</v>
      </c>
      <c r="C30" s="405" t="s">
        <v>143</v>
      </c>
      <c r="D30" s="404" t="s">
        <v>127</v>
      </c>
      <c r="E30" s="310" t="s">
        <v>121</v>
      </c>
      <c r="F30" s="403">
        <v>133</v>
      </c>
      <c r="G30" s="406">
        <v>41610</v>
      </c>
      <c r="H30" s="400"/>
      <c r="I30" s="237" t="s">
        <v>3</v>
      </c>
      <c r="J30" s="401" t="s">
        <v>210</v>
      </c>
      <c r="K30" s="313" t="s">
        <v>95</v>
      </c>
      <c r="L30" s="399">
        <f t="shared" si="41"/>
        <v>4</v>
      </c>
      <c r="M30" s="398">
        <f t="shared" si="42"/>
        <v>0</v>
      </c>
      <c r="N30" s="398">
        <f t="shared" si="43"/>
        <v>5.115384615384615</v>
      </c>
      <c r="O30" s="398"/>
      <c r="P30" s="292">
        <f t="shared" si="3"/>
        <v>0.25576923076923075</v>
      </c>
      <c r="Q30" s="397">
        <f t="shared" si="44"/>
        <v>5.115384615384615</v>
      </c>
      <c r="R30" s="259">
        <f t="shared" si="45"/>
        <v>5.3711538461538453</v>
      </c>
      <c r="S30" s="396">
        <f t="shared" si="46"/>
        <v>4.9961538461538453</v>
      </c>
      <c r="T30" s="395">
        <f t="shared" si="47"/>
        <v>1500</v>
      </c>
      <c r="U30" s="394" t="str">
        <f t="shared" si="48"/>
        <v>01077</v>
      </c>
      <c r="V30" s="245"/>
      <c r="W30" s="245"/>
      <c r="X30" s="365">
        <f t="shared" si="49"/>
        <v>1500</v>
      </c>
      <c r="Y30" s="393">
        <f t="shared" si="50"/>
        <v>0</v>
      </c>
      <c r="Z30" s="392">
        <f t="shared" si="51"/>
        <v>0</v>
      </c>
      <c r="AA30" s="392">
        <f t="shared" si="52"/>
        <v>0</v>
      </c>
      <c r="AB30" s="392">
        <f t="shared" si="53"/>
        <v>0</v>
      </c>
      <c r="AC30" s="392">
        <f t="shared" si="54"/>
        <v>1</v>
      </c>
      <c r="AD30" s="392">
        <f t="shared" si="55"/>
        <v>0</v>
      </c>
      <c r="AE30" s="376">
        <f t="shared" si="56"/>
        <v>0</v>
      </c>
      <c r="AF30" s="376">
        <f t="shared" si="57"/>
        <v>0</v>
      </c>
      <c r="AG30" s="376">
        <f t="shared" si="58"/>
        <v>0</v>
      </c>
      <c r="AH30" s="376">
        <f t="shared" si="59"/>
        <v>1</v>
      </c>
      <c r="AI30" s="376">
        <f t="shared" si="60"/>
        <v>1</v>
      </c>
      <c r="AJ30" s="376">
        <f t="shared" si="61"/>
        <v>0</v>
      </c>
      <c r="AL30" s="251"/>
      <c r="AM30" s="252"/>
      <c r="AN30" s="253"/>
      <c r="AO30" s="254"/>
      <c r="AP30" s="253"/>
      <c r="AQ30" s="255"/>
      <c r="AR30" s="256"/>
      <c r="AS30" s="242"/>
      <c r="AT30" s="242"/>
      <c r="AU30" s="388"/>
      <c r="AV30" s="387"/>
      <c r="AW30" s="243"/>
      <c r="AX30" s="291"/>
      <c r="AY30" s="257"/>
      <c r="AZ30" s="257"/>
      <c r="BA30" s="372"/>
      <c r="BB30" s="371"/>
      <c r="BC30" s="370"/>
      <c r="BD30" s="370"/>
      <c r="BE30" s="370"/>
      <c r="BF30" s="370"/>
      <c r="BG30" s="370"/>
      <c r="BH30" s="385"/>
      <c r="BI30" s="385"/>
      <c r="BJ30" s="385"/>
      <c r="BK30" s="385"/>
      <c r="BL30" s="385"/>
      <c r="BM30" s="385"/>
    </row>
    <row r="31" spans="1:65" s="247" customFormat="1" ht="56.25" customHeight="1">
      <c r="A31" s="468">
        <v>22</v>
      </c>
      <c r="B31" s="297" t="s">
        <v>103</v>
      </c>
      <c r="C31" s="405" t="s">
        <v>204</v>
      </c>
      <c r="D31" s="411" t="s">
        <v>205</v>
      </c>
      <c r="E31" s="310" t="s">
        <v>121</v>
      </c>
      <c r="F31" s="403">
        <v>133</v>
      </c>
      <c r="G31" s="412">
        <v>41643</v>
      </c>
      <c r="H31" s="400"/>
      <c r="I31" s="237" t="s">
        <v>3</v>
      </c>
      <c r="J31" s="400" t="s">
        <v>174</v>
      </c>
      <c r="K31" s="313" t="s">
        <v>95</v>
      </c>
      <c r="L31" s="399">
        <f t="shared" si="0"/>
        <v>8</v>
      </c>
      <c r="M31" s="398">
        <f t="shared" si="1"/>
        <v>0</v>
      </c>
      <c r="N31" s="398">
        <f t="shared" si="2"/>
        <v>10.23076923076923</v>
      </c>
      <c r="O31" s="398"/>
      <c r="P31" s="292">
        <f t="shared" si="3"/>
        <v>0.5115384615384615</v>
      </c>
      <c r="Q31" s="397">
        <f t="shared" si="4"/>
        <v>10.23076923076923</v>
      </c>
      <c r="R31" s="259">
        <f t="shared" si="5"/>
        <v>10.742307692307691</v>
      </c>
      <c r="S31" s="396">
        <f t="shared" si="6"/>
        <v>9.9923076923076906</v>
      </c>
      <c r="T31" s="395">
        <f t="shared" si="7"/>
        <v>3000</v>
      </c>
      <c r="U31" s="394" t="str">
        <f t="shared" si="8"/>
        <v>01092</v>
      </c>
      <c r="V31" s="245"/>
      <c r="W31" s="245"/>
      <c r="X31" s="365">
        <f t="shared" si="9"/>
        <v>3000</v>
      </c>
      <c r="Y31" s="393">
        <f t="shared" si="10"/>
        <v>0</v>
      </c>
      <c r="Z31" s="392">
        <f t="shared" si="11"/>
        <v>0</v>
      </c>
      <c r="AA31" s="392">
        <f t="shared" si="12"/>
        <v>0</v>
      </c>
      <c r="AB31" s="392">
        <f t="shared" si="13"/>
        <v>1</v>
      </c>
      <c r="AC31" s="392">
        <f t="shared" si="14"/>
        <v>0</v>
      </c>
      <c r="AD31" s="392">
        <f t="shared" si="15"/>
        <v>0</v>
      </c>
      <c r="AE31" s="376">
        <f t="shared" si="16"/>
        <v>0</v>
      </c>
      <c r="AF31" s="376">
        <f t="shared" si="17"/>
        <v>0</v>
      </c>
      <c r="AG31" s="376">
        <f t="shared" si="18"/>
        <v>1</v>
      </c>
      <c r="AH31" s="376">
        <f t="shared" si="19"/>
        <v>1</v>
      </c>
      <c r="AI31" s="376">
        <f t="shared" si="20"/>
        <v>0</v>
      </c>
      <c r="AJ31" s="376">
        <f t="shared" si="21"/>
        <v>0</v>
      </c>
      <c r="AL31" s="235" t="e">
        <f>#REF!</f>
        <v>#REF!</v>
      </c>
      <c r="AM31" s="248"/>
      <c r="AN31" s="237" t="s">
        <v>94</v>
      </c>
      <c r="AO31" s="249"/>
      <c r="AP31" s="239" t="s">
        <v>95</v>
      </c>
      <c r="AQ31" s="246"/>
      <c r="AR31" s="241" t="s">
        <v>95</v>
      </c>
      <c r="AS31" s="242">
        <f t="shared" si="22"/>
        <v>0</v>
      </c>
      <c r="AT31" s="242">
        <f t="shared" si="23"/>
        <v>0</v>
      </c>
      <c r="AU31" s="388">
        <f t="shared" si="24"/>
        <v>10.742307692307691</v>
      </c>
      <c r="AV31" s="387">
        <f t="shared" si="25"/>
        <v>9.9923076923076906</v>
      </c>
      <c r="AW31" s="243">
        <f t="shared" si="26"/>
        <v>3000</v>
      </c>
      <c r="AX31" s="244" t="str">
        <f t="shared" si="27"/>
        <v>01092</v>
      </c>
      <c r="AY31" s="250"/>
      <c r="AZ31" s="250"/>
      <c r="BA31" s="409">
        <f t="shared" si="28"/>
        <v>3000</v>
      </c>
      <c r="BB31" s="393">
        <f t="shared" si="29"/>
        <v>0</v>
      </c>
      <c r="BC31" s="392">
        <f t="shared" si="30"/>
        <v>0</v>
      </c>
      <c r="BD31" s="392">
        <f t="shared" si="31"/>
        <v>0</v>
      </c>
      <c r="BE31" s="392">
        <f t="shared" si="32"/>
        <v>1</v>
      </c>
      <c r="BF31" s="392">
        <f t="shared" si="33"/>
        <v>0</v>
      </c>
      <c r="BG31" s="392">
        <f t="shared" si="34"/>
        <v>0</v>
      </c>
      <c r="BH31" s="385">
        <f t="shared" si="35"/>
        <v>0</v>
      </c>
      <c r="BI31" s="385">
        <f t="shared" si="36"/>
        <v>0</v>
      </c>
      <c r="BJ31" s="385">
        <f t="shared" si="37"/>
        <v>1</v>
      </c>
      <c r="BK31" s="385">
        <f t="shared" si="38"/>
        <v>1</v>
      </c>
      <c r="BL31" s="385">
        <f t="shared" si="39"/>
        <v>0</v>
      </c>
      <c r="BM31" s="385">
        <f t="shared" si="40"/>
        <v>0</v>
      </c>
    </row>
    <row r="32" spans="1:65" s="247" customFormat="1" ht="56.25" customHeight="1">
      <c r="A32" s="468">
        <v>23</v>
      </c>
      <c r="B32" s="297" t="s">
        <v>103</v>
      </c>
      <c r="C32" s="405" t="s">
        <v>206</v>
      </c>
      <c r="D32" s="411" t="s">
        <v>207</v>
      </c>
      <c r="E32" s="310" t="s">
        <v>121</v>
      </c>
      <c r="F32" s="403">
        <v>131</v>
      </c>
      <c r="G32" s="402">
        <v>41964</v>
      </c>
      <c r="H32" s="400"/>
      <c r="I32" s="237" t="s">
        <v>3</v>
      </c>
      <c r="J32" s="400" t="s">
        <v>174</v>
      </c>
      <c r="K32" s="313" t="s">
        <v>95</v>
      </c>
      <c r="L32" s="399">
        <f t="shared" si="0"/>
        <v>8</v>
      </c>
      <c r="M32" s="398">
        <f t="shared" si="1"/>
        <v>0</v>
      </c>
      <c r="N32" s="398">
        <f t="shared" si="2"/>
        <v>10.076923076923077</v>
      </c>
      <c r="O32" s="398"/>
      <c r="P32" s="292">
        <f t="shared" si="3"/>
        <v>0.50384615384615383</v>
      </c>
      <c r="Q32" s="397">
        <f t="shared" si="4"/>
        <v>10.076923076923077</v>
      </c>
      <c r="R32" s="259">
        <f t="shared" si="5"/>
        <v>10.580769230769231</v>
      </c>
      <c r="S32" s="396">
        <f t="shared" si="6"/>
        <v>9.9807692307692317</v>
      </c>
      <c r="T32" s="395">
        <f t="shared" si="7"/>
        <v>2400</v>
      </c>
      <c r="U32" s="394" t="str">
        <f t="shared" si="8"/>
        <v>01384</v>
      </c>
      <c r="V32" s="245"/>
      <c r="W32" s="245"/>
      <c r="X32" s="365">
        <f t="shared" si="9"/>
        <v>2400</v>
      </c>
      <c r="Y32" s="393">
        <f t="shared" si="10"/>
        <v>0</v>
      </c>
      <c r="Z32" s="392">
        <f t="shared" si="11"/>
        <v>0</v>
      </c>
      <c r="AA32" s="392">
        <f t="shared" si="12"/>
        <v>0</v>
      </c>
      <c r="AB32" s="392">
        <f t="shared" si="13"/>
        <v>1</v>
      </c>
      <c r="AC32" s="392">
        <f t="shared" si="14"/>
        <v>0</v>
      </c>
      <c r="AD32" s="392">
        <f t="shared" si="15"/>
        <v>0</v>
      </c>
      <c r="AE32" s="376">
        <f t="shared" si="16"/>
        <v>0</v>
      </c>
      <c r="AF32" s="376">
        <f t="shared" si="17"/>
        <v>0</v>
      </c>
      <c r="AG32" s="376">
        <f t="shared" si="18"/>
        <v>1</v>
      </c>
      <c r="AH32" s="376">
        <f t="shared" si="19"/>
        <v>0</v>
      </c>
      <c r="AI32" s="376">
        <f t="shared" si="20"/>
        <v>0</v>
      </c>
      <c r="AJ32" s="376">
        <f t="shared" si="21"/>
        <v>4</v>
      </c>
      <c r="AL32" s="235" t="e">
        <f>#REF!</f>
        <v>#REF!</v>
      </c>
      <c r="AM32" s="248"/>
      <c r="AN32" s="237" t="s">
        <v>94</v>
      </c>
      <c r="AO32" s="249"/>
      <c r="AP32" s="239" t="s">
        <v>95</v>
      </c>
      <c r="AQ32" s="246"/>
      <c r="AR32" s="241" t="s">
        <v>95</v>
      </c>
      <c r="AS32" s="242">
        <f t="shared" si="22"/>
        <v>0</v>
      </c>
      <c r="AT32" s="242">
        <f t="shared" si="23"/>
        <v>0</v>
      </c>
      <c r="AU32" s="388">
        <f t="shared" si="24"/>
        <v>10.580769230769231</v>
      </c>
      <c r="AV32" s="387">
        <f t="shared" si="25"/>
        <v>9.9807692307692317</v>
      </c>
      <c r="AW32" s="243">
        <f t="shared" si="26"/>
        <v>2400</v>
      </c>
      <c r="AX32" s="244" t="str">
        <f t="shared" si="27"/>
        <v>01384</v>
      </c>
      <c r="AY32" s="250"/>
      <c r="AZ32" s="250"/>
      <c r="BA32" s="409">
        <f t="shared" si="28"/>
        <v>2400</v>
      </c>
      <c r="BB32" s="393">
        <f t="shared" si="29"/>
        <v>0</v>
      </c>
      <c r="BC32" s="392">
        <f t="shared" si="30"/>
        <v>0</v>
      </c>
      <c r="BD32" s="392">
        <f t="shared" si="31"/>
        <v>0</v>
      </c>
      <c r="BE32" s="392">
        <f t="shared" si="32"/>
        <v>1</v>
      </c>
      <c r="BF32" s="392">
        <f t="shared" si="33"/>
        <v>0</v>
      </c>
      <c r="BG32" s="392">
        <f t="shared" si="34"/>
        <v>0</v>
      </c>
      <c r="BH32" s="385">
        <f t="shared" si="35"/>
        <v>0</v>
      </c>
      <c r="BI32" s="385">
        <f t="shared" si="36"/>
        <v>0</v>
      </c>
      <c r="BJ32" s="385">
        <f t="shared" si="37"/>
        <v>1</v>
      </c>
      <c r="BK32" s="385">
        <f t="shared" si="38"/>
        <v>0</v>
      </c>
      <c r="BL32" s="385">
        <f t="shared" si="39"/>
        <v>0</v>
      </c>
      <c r="BM32" s="385">
        <f t="shared" si="40"/>
        <v>4</v>
      </c>
    </row>
    <row r="33" spans="1:66" s="247" customFormat="1" ht="56.25" customHeight="1">
      <c r="A33" s="468">
        <v>24</v>
      </c>
      <c r="B33" s="297" t="s">
        <v>103</v>
      </c>
      <c r="C33" s="410" t="s">
        <v>144</v>
      </c>
      <c r="D33" s="404" t="s">
        <v>181</v>
      </c>
      <c r="E33" s="310" t="s">
        <v>121</v>
      </c>
      <c r="F33" s="403">
        <v>131</v>
      </c>
      <c r="G33" s="402">
        <v>41989</v>
      </c>
      <c r="H33" s="400"/>
      <c r="I33" s="237" t="s">
        <v>3</v>
      </c>
      <c r="J33" s="400" t="s">
        <v>174</v>
      </c>
      <c r="K33" s="313" t="s">
        <v>95</v>
      </c>
      <c r="L33" s="399">
        <f t="shared" si="0"/>
        <v>8</v>
      </c>
      <c r="M33" s="398">
        <f t="shared" si="1"/>
        <v>0</v>
      </c>
      <c r="N33" s="398">
        <f t="shared" si="2"/>
        <v>10.076923076923077</v>
      </c>
      <c r="O33" s="398"/>
      <c r="P33" s="292">
        <f t="shared" si="3"/>
        <v>0.50384615384615383</v>
      </c>
      <c r="Q33" s="397">
        <f t="shared" si="4"/>
        <v>10.076923076923077</v>
      </c>
      <c r="R33" s="259">
        <f t="shared" si="5"/>
        <v>10.580769230769231</v>
      </c>
      <c r="S33" s="396">
        <f t="shared" si="6"/>
        <v>9.9807692307692317</v>
      </c>
      <c r="T33" s="395">
        <f t="shared" si="7"/>
        <v>2400</v>
      </c>
      <c r="U33" s="394" t="str">
        <f t="shared" si="8"/>
        <v>01405</v>
      </c>
      <c r="V33" s="245"/>
      <c r="W33" s="245"/>
      <c r="X33" s="365">
        <f t="shared" si="9"/>
        <v>2400</v>
      </c>
      <c r="Y33" s="393">
        <f t="shared" si="10"/>
        <v>0</v>
      </c>
      <c r="Z33" s="392">
        <f t="shared" si="11"/>
        <v>0</v>
      </c>
      <c r="AA33" s="392">
        <f t="shared" si="12"/>
        <v>0</v>
      </c>
      <c r="AB33" s="392">
        <f t="shared" si="13"/>
        <v>1</v>
      </c>
      <c r="AC33" s="392">
        <f t="shared" si="14"/>
        <v>0</v>
      </c>
      <c r="AD33" s="392">
        <f t="shared" si="15"/>
        <v>0</v>
      </c>
      <c r="AE33" s="376">
        <f t="shared" si="16"/>
        <v>0</v>
      </c>
      <c r="AF33" s="376">
        <f t="shared" si="17"/>
        <v>0</v>
      </c>
      <c r="AG33" s="376">
        <f t="shared" si="18"/>
        <v>1</v>
      </c>
      <c r="AH33" s="376">
        <f t="shared" si="19"/>
        <v>0</v>
      </c>
      <c r="AI33" s="376">
        <f t="shared" si="20"/>
        <v>0</v>
      </c>
      <c r="AJ33" s="376">
        <f t="shared" si="21"/>
        <v>4</v>
      </c>
      <c r="AL33" s="235" t="e">
        <f>#REF!</f>
        <v>#REF!</v>
      </c>
      <c r="AM33" s="248"/>
      <c r="AN33" s="237" t="s">
        <v>94</v>
      </c>
      <c r="AO33" s="249"/>
      <c r="AP33" s="239" t="s">
        <v>95</v>
      </c>
      <c r="AQ33" s="246"/>
      <c r="AR33" s="241" t="s">
        <v>95</v>
      </c>
      <c r="AS33" s="242">
        <f t="shared" si="22"/>
        <v>0</v>
      </c>
      <c r="AT33" s="242">
        <f t="shared" si="23"/>
        <v>0</v>
      </c>
      <c r="AU33" s="388">
        <f t="shared" si="24"/>
        <v>10.580769230769231</v>
      </c>
      <c r="AV33" s="387">
        <f t="shared" si="25"/>
        <v>9.9807692307692317</v>
      </c>
      <c r="AW33" s="243">
        <f t="shared" si="26"/>
        <v>2400</v>
      </c>
      <c r="AX33" s="244" t="str">
        <f t="shared" si="27"/>
        <v>01405</v>
      </c>
      <c r="AY33" s="250"/>
      <c r="AZ33" s="250"/>
      <c r="BA33" s="409">
        <f t="shared" si="28"/>
        <v>2400</v>
      </c>
      <c r="BB33" s="393">
        <f t="shared" si="29"/>
        <v>0</v>
      </c>
      <c r="BC33" s="392">
        <f t="shared" si="30"/>
        <v>0</v>
      </c>
      <c r="BD33" s="392">
        <f t="shared" si="31"/>
        <v>0</v>
      </c>
      <c r="BE33" s="392">
        <f t="shared" si="32"/>
        <v>1</v>
      </c>
      <c r="BF33" s="392">
        <f t="shared" si="33"/>
        <v>0</v>
      </c>
      <c r="BG33" s="392">
        <f t="shared" si="34"/>
        <v>0</v>
      </c>
      <c r="BH33" s="385">
        <f t="shared" si="35"/>
        <v>0</v>
      </c>
      <c r="BI33" s="385">
        <f t="shared" si="36"/>
        <v>0</v>
      </c>
      <c r="BJ33" s="385">
        <f t="shared" si="37"/>
        <v>1</v>
      </c>
      <c r="BK33" s="385">
        <f t="shared" si="38"/>
        <v>0</v>
      </c>
      <c r="BL33" s="385">
        <f t="shared" si="39"/>
        <v>0</v>
      </c>
      <c r="BM33" s="385">
        <f t="shared" si="40"/>
        <v>4</v>
      </c>
    </row>
    <row r="34" spans="1:66" s="247" customFormat="1" ht="56.25" customHeight="1">
      <c r="A34" s="468">
        <v>25</v>
      </c>
      <c r="B34" s="297" t="s">
        <v>103</v>
      </c>
      <c r="C34" s="405" t="s">
        <v>145</v>
      </c>
      <c r="D34" s="404" t="s">
        <v>146</v>
      </c>
      <c r="E34" s="310" t="s">
        <v>121</v>
      </c>
      <c r="F34" s="403">
        <v>131</v>
      </c>
      <c r="G34" s="402">
        <v>41995</v>
      </c>
      <c r="H34" s="400"/>
      <c r="I34" s="237" t="s">
        <v>3</v>
      </c>
      <c r="J34" s="400" t="s">
        <v>174</v>
      </c>
      <c r="K34" s="313" t="s">
        <v>95</v>
      </c>
      <c r="L34" s="399">
        <f t="shared" si="0"/>
        <v>8</v>
      </c>
      <c r="M34" s="398">
        <f t="shared" si="1"/>
        <v>0</v>
      </c>
      <c r="N34" s="398">
        <f t="shared" si="2"/>
        <v>10.076923076923077</v>
      </c>
      <c r="O34" s="398"/>
      <c r="P34" s="292">
        <f t="shared" si="3"/>
        <v>0.50384615384615383</v>
      </c>
      <c r="Q34" s="397">
        <f t="shared" si="4"/>
        <v>10.076923076923077</v>
      </c>
      <c r="R34" s="259">
        <f t="shared" si="5"/>
        <v>10.580769230769231</v>
      </c>
      <c r="S34" s="396">
        <f t="shared" si="6"/>
        <v>9.9807692307692317</v>
      </c>
      <c r="T34" s="395">
        <f t="shared" si="7"/>
        <v>2400</v>
      </c>
      <c r="U34" s="394" t="str">
        <f t="shared" si="8"/>
        <v>01415</v>
      </c>
      <c r="V34" s="245"/>
      <c r="W34" s="245"/>
      <c r="X34" s="365">
        <f t="shared" si="9"/>
        <v>2400</v>
      </c>
      <c r="Y34" s="393">
        <f t="shared" si="10"/>
        <v>0</v>
      </c>
      <c r="Z34" s="392">
        <f t="shared" si="11"/>
        <v>0</v>
      </c>
      <c r="AA34" s="392">
        <f t="shared" si="12"/>
        <v>0</v>
      </c>
      <c r="AB34" s="392">
        <f t="shared" si="13"/>
        <v>1</v>
      </c>
      <c r="AC34" s="392">
        <f t="shared" si="14"/>
        <v>0</v>
      </c>
      <c r="AD34" s="392">
        <f t="shared" si="15"/>
        <v>0</v>
      </c>
      <c r="AE34" s="376">
        <f t="shared" si="16"/>
        <v>0</v>
      </c>
      <c r="AF34" s="376">
        <f t="shared" si="17"/>
        <v>0</v>
      </c>
      <c r="AG34" s="376">
        <f t="shared" si="18"/>
        <v>1</v>
      </c>
      <c r="AH34" s="376">
        <f t="shared" si="19"/>
        <v>0</v>
      </c>
      <c r="AI34" s="376">
        <f t="shared" si="20"/>
        <v>0</v>
      </c>
      <c r="AJ34" s="376">
        <f t="shared" si="21"/>
        <v>4</v>
      </c>
      <c r="AL34" s="251"/>
      <c r="AM34" s="252"/>
      <c r="AN34" s="253"/>
      <c r="AO34" s="254"/>
      <c r="AP34" s="253"/>
      <c r="AQ34" s="255"/>
      <c r="AR34" s="256"/>
      <c r="AS34" s="242"/>
      <c r="AT34" s="242"/>
      <c r="AU34" s="388"/>
      <c r="AV34" s="387"/>
      <c r="AW34" s="243"/>
      <c r="AX34" s="291"/>
      <c r="AY34" s="257"/>
      <c r="AZ34" s="257"/>
      <c r="BA34" s="372"/>
      <c r="BB34" s="371"/>
      <c r="BC34" s="370"/>
      <c r="BD34" s="370"/>
      <c r="BE34" s="370"/>
      <c r="BF34" s="370"/>
      <c r="BG34" s="370"/>
      <c r="BH34" s="385"/>
      <c r="BI34" s="385"/>
      <c r="BJ34" s="385"/>
      <c r="BK34" s="385"/>
      <c r="BL34" s="385"/>
      <c r="BM34" s="385"/>
    </row>
    <row r="35" spans="1:66" s="247" customFormat="1" ht="56.25" customHeight="1">
      <c r="A35" s="468">
        <v>26</v>
      </c>
      <c r="B35" s="297" t="s">
        <v>103</v>
      </c>
      <c r="C35" s="405" t="s">
        <v>145</v>
      </c>
      <c r="D35" s="404" t="s">
        <v>146</v>
      </c>
      <c r="E35" s="310" t="s">
        <v>121</v>
      </c>
      <c r="F35" s="403">
        <v>128</v>
      </c>
      <c r="G35" s="402">
        <v>41995</v>
      </c>
      <c r="H35" s="400"/>
      <c r="I35" s="237" t="s">
        <v>3</v>
      </c>
      <c r="J35" s="400" t="s">
        <v>174</v>
      </c>
      <c r="K35" s="313" t="s">
        <v>95</v>
      </c>
      <c r="L35" s="399">
        <f t="shared" si="0"/>
        <v>8</v>
      </c>
      <c r="M35" s="398">
        <f t="shared" si="1"/>
        <v>0</v>
      </c>
      <c r="N35" s="398">
        <f t="shared" si="2"/>
        <v>9.8461538461538467</v>
      </c>
      <c r="O35" s="398"/>
      <c r="P35" s="292">
        <f t="shared" si="3"/>
        <v>0.49230769230769234</v>
      </c>
      <c r="Q35" s="397">
        <f t="shared" si="4"/>
        <v>9.8461538461538467</v>
      </c>
      <c r="R35" s="259">
        <f t="shared" si="5"/>
        <v>10.338461538461539</v>
      </c>
      <c r="S35" s="396">
        <f t="shared" si="6"/>
        <v>9.9884615384615394</v>
      </c>
      <c r="T35" s="395">
        <f t="shared" si="7"/>
        <v>1400</v>
      </c>
      <c r="U35" s="394" t="str">
        <f t="shared" si="8"/>
        <v>01415</v>
      </c>
      <c r="V35" s="245"/>
      <c r="W35" s="245"/>
      <c r="X35" s="365">
        <f t="shared" si="9"/>
        <v>1400</v>
      </c>
      <c r="Y35" s="393">
        <f t="shared" si="10"/>
        <v>0</v>
      </c>
      <c r="Z35" s="392">
        <f t="shared" si="11"/>
        <v>0</v>
      </c>
      <c r="AA35" s="392">
        <f t="shared" si="12"/>
        <v>0</v>
      </c>
      <c r="AB35" s="392">
        <f t="shared" si="13"/>
        <v>1</v>
      </c>
      <c r="AC35" s="392">
        <f t="shared" si="14"/>
        <v>0</v>
      </c>
      <c r="AD35" s="392">
        <f t="shared" si="15"/>
        <v>0</v>
      </c>
      <c r="AE35" s="376">
        <f t="shared" si="16"/>
        <v>0</v>
      </c>
      <c r="AF35" s="376">
        <f t="shared" si="17"/>
        <v>0</v>
      </c>
      <c r="AG35" s="376">
        <f t="shared" si="18"/>
        <v>0</v>
      </c>
      <c r="AH35" s="376">
        <f t="shared" si="19"/>
        <v>1</v>
      </c>
      <c r="AI35" s="376">
        <f t="shared" si="20"/>
        <v>0</v>
      </c>
      <c r="AJ35" s="376">
        <f t="shared" si="21"/>
        <v>4</v>
      </c>
      <c r="AL35" s="251"/>
      <c r="AM35" s="252"/>
      <c r="AN35" s="253"/>
      <c r="AO35" s="254"/>
      <c r="AP35" s="253"/>
      <c r="AQ35" s="255"/>
      <c r="AR35" s="256"/>
      <c r="AS35" s="242"/>
      <c r="AT35" s="242"/>
      <c r="AU35" s="388"/>
      <c r="AV35" s="387"/>
      <c r="AW35" s="243"/>
      <c r="AX35" s="291"/>
      <c r="AY35" s="257"/>
      <c r="AZ35" s="257"/>
      <c r="BA35" s="372"/>
      <c r="BB35" s="371"/>
      <c r="BC35" s="370"/>
      <c r="BD35" s="370"/>
      <c r="BE35" s="370"/>
      <c r="BF35" s="370"/>
      <c r="BG35" s="370"/>
      <c r="BH35" s="385"/>
      <c r="BI35" s="385"/>
      <c r="BJ35" s="385"/>
      <c r="BK35" s="385"/>
      <c r="BL35" s="385"/>
      <c r="BM35" s="385"/>
    </row>
    <row r="36" spans="1:66" s="247" customFormat="1" ht="56.25" customHeight="1">
      <c r="A36" s="468">
        <v>27</v>
      </c>
      <c r="B36" s="297" t="s">
        <v>103</v>
      </c>
      <c r="C36" s="405" t="s">
        <v>208</v>
      </c>
      <c r="D36" s="408" t="s">
        <v>209</v>
      </c>
      <c r="E36" s="310" t="s">
        <v>121</v>
      </c>
      <c r="F36" s="407">
        <v>128</v>
      </c>
      <c r="G36" s="402">
        <v>42163</v>
      </c>
      <c r="H36" s="400"/>
      <c r="I36" s="237" t="s">
        <v>3</v>
      </c>
      <c r="J36" s="400" t="s">
        <v>174</v>
      </c>
      <c r="K36" s="313" t="s">
        <v>95</v>
      </c>
      <c r="L36" s="399">
        <f t="shared" si="0"/>
        <v>8</v>
      </c>
      <c r="M36" s="398">
        <f t="shared" si="1"/>
        <v>0</v>
      </c>
      <c r="N36" s="398">
        <f t="shared" si="2"/>
        <v>9.8461538461538467</v>
      </c>
      <c r="O36" s="398"/>
      <c r="P36" s="292">
        <f t="shared" si="3"/>
        <v>0.49230769230769234</v>
      </c>
      <c r="Q36" s="397">
        <f t="shared" si="4"/>
        <v>9.8461538461538467</v>
      </c>
      <c r="R36" s="259">
        <f t="shared" si="5"/>
        <v>10.338461538461539</v>
      </c>
      <c r="S36" s="396">
        <f t="shared" si="6"/>
        <v>9.9884615384615394</v>
      </c>
      <c r="T36" s="395">
        <f t="shared" si="7"/>
        <v>1400</v>
      </c>
      <c r="U36" s="394" t="str">
        <f t="shared" si="8"/>
        <v>01834</v>
      </c>
      <c r="V36" s="245"/>
      <c r="W36" s="245"/>
      <c r="X36" s="365">
        <f t="shared" si="9"/>
        <v>1400</v>
      </c>
      <c r="Y36" s="393">
        <f t="shared" si="10"/>
        <v>0</v>
      </c>
      <c r="Z36" s="392">
        <f t="shared" si="11"/>
        <v>0</v>
      </c>
      <c r="AA36" s="392">
        <f t="shared" si="12"/>
        <v>0</v>
      </c>
      <c r="AB36" s="392">
        <f t="shared" si="13"/>
        <v>1</v>
      </c>
      <c r="AC36" s="392">
        <f t="shared" si="14"/>
        <v>0</v>
      </c>
      <c r="AD36" s="392">
        <f t="shared" si="15"/>
        <v>0</v>
      </c>
      <c r="AE36" s="376">
        <f t="shared" si="16"/>
        <v>0</v>
      </c>
      <c r="AF36" s="376">
        <f t="shared" si="17"/>
        <v>0</v>
      </c>
      <c r="AG36" s="376">
        <f t="shared" si="18"/>
        <v>0</v>
      </c>
      <c r="AH36" s="376">
        <f t="shared" si="19"/>
        <v>1</v>
      </c>
      <c r="AI36" s="376">
        <f t="shared" si="20"/>
        <v>0</v>
      </c>
      <c r="AJ36" s="376">
        <f t="shared" si="21"/>
        <v>4</v>
      </c>
      <c r="AL36" s="251"/>
      <c r="AM36" s="252"/>
      <c r="AN36" s="253"/>
      <c r="AO36" s="254"/>
      <c r="AP36" s="253"/>
      <c r="AQ36" s="255"/>
      <c r="AR36" s="256"/>
      <c r="AS36" s="242"/>
      <c r="AT36" s="242"/>
      <c r="AU36" s="259"/>
      <c r="AV36" s="260"/>
      <c r="AW36" s="243"/>
      <c r="AX36" s="291"/>
      <c r="AY36" s="257"/>
      <c r="AZ36" s="257"/>
      <c r="BA36" s="293"/>
      <c r="BB36" s="288"/>
      <c r="BC36" s="289"/>
      <c r="BD36" s="289"/>
      <c r="BE36" s="289"/>
      <c r="BF36" s="289"/>
      <c r="BG36" s="289"/>
      <c r="BH36" s="290"/>
      <c r="BI36" s="290"/>
      <c r="BJ36" s="290"/>
      <c r="BK36" s="290"/>
      <c r="BL36" s="290"/>
      <c r="BM36" s="290"/>
    </row>
    <row r="37" spans="1:66" s="247" customFormat="1" ht="56.25" customHeight="1">
      <c r="A37" s="468">
        <v>28</v>
      </c>
      <c r="B37" s="297" t="s">
        <v>148</v>
      </c>
      <c r="C37" s="405" t="s">
        <v>147</v>
      </c>
      <c r="D37" s="404" t="s">
        <v>211</v>
      </c>
      <c r="E37" s="310" t="s">
        <v>121</v>
      </c>
      <c r="F37" s="403">
        <v>133</v>
      </c>
      <c r="G37" s="406">
        <v>41254</v>
      </c>
      <c r="H37" s="400"/>
      <c r="I37" s="237" t="s">
        <v>3</v>
      </c>
      <c r="J37" s="401" t="s">
        <v>174</v>
      </c>
      <c r="K37" s="313" t="s">
        <v>95</v>
      </c>
      <c r="L37" s="399">
        <f t="shared" si="0"/>
        <v>8</v>
      </c>
      <c r="M37" s="398">
        <f t="shared" si="1"/>
        <v>0</v>
      </c>
      <c r="N37" s="398">
        <f t="shared" si="2"/>
        <v>10.23076923076923</v>
      </c>
      <c r="O37" s="398"/>
      <c r="P37" s="292">
        <f t="shared" si="3"/>
        <v>0.5115384615384615</v>
      </c>
      <c r="Q37" s="397">
        <f t="shared" si="4"/>
        <v>10.23076923076923</v>
      </c>
      <c r="R37" s="259">
        <f t="shared" si="5"/>
        <v>10.742307692307691</v>
      </c>
      <c r="S37" s="396">
        <f t="shared" si="6"/>
        <v>9.9923076923076906</v>
      </c>
      <c r="T37" s="395">
        <f t="shared" si="7"/>
        <v>3000</v>
      </c>
      <c r="U37" s="394" t="str">
        <f t="shared" si="8"/>
        <v>0683</v>
      </c>
      <c r="V37" s="245"/>
      <c r="W37" s="245"/>
      <c r="X37" s="365">
        <f t="shared" si="9"/>
        <v>3000</v>
      </c>
      <c r="Y37" s="393">
        <f t="shared" si="10"/>
        <v>0</v>
      </c>
      <c r="Z37" s="392">
        <f t="shared" si="11"/>
        <v>0</v>
      </c>
      <c r="AA37" s="392">
        <f t="shared" si="12"/>
        <v>0</v>
      </c>
      <c r="AB37" s="392">
        <f t="shared" si="13"/>
        <v>1</v>
      </c>
      <c r="AC37" s="392">
        <f t="shared" si="14"/>
        <v>0</v>
      </c>
      <c r="AD37" s="392">
        <f t="shared" si="15"/>
        <v>0</v>
      </c>
      <c r="AE37" s="376">
        <f t="shared" si="16"/>
        <v>0</v>
      </c>
      <c r="AF37" s="376">
        <f t="shared" si="17"/>
        <v>0</v>
      </c>
      <c r="AG37" s="376">
        <f t="shared" si="18"/>
        <v>1</v>
      </c>
      <c r="AH37" s="376">
        <f t="shared" si="19"/>
        <v>1</v>
      </c>
      <c r="AI37" s="376">
        <f t="shared" si="20"/>
        <v>0</v>
      </c>
      <c r="AJ37" s="376">
        <f t="shared" si="21"/>
        <v>0</v>
      </c>
      <c r="AL37" s="251"/>
      <c r="AM37" s="252"/>
      <c r="AN37" s="253"/>
      <c r="AO37" s="254"/>
      <c r="AP37" s="253"/>
      <c r="AQ37" s="255"/>
      <c r="AR37" s="256"/>
      <c r="AS37" s="242"/>
      <c r="AT37" s="242"/>
      <c r="AU37" s="388"/>
      <c r="AV37" s="387"/>
      <c r="AW37" s="243"/>
      <c r="AX37" s="291"/>
      <c r="AY37" s="257"/>
      <c r="AZ37" s="257"/>
      <c r="BA37" s="372"/>
      <c r="BB37" s="371"/>
      <c r="BC37" s="370"/>
      <c r="BD37" s="370"/>
      <c r="BE37" s="370"/>
      <c r="BF37" s="370"/>
      <c r="BG37" s="370"/>
      <c r="BH37" s="385"/>
      <c r="BI37" s="385"/>
      <c r="BJ37" s="385"/>
      <c r="BK37" s="385"/>
      <c r="BL37" s="385"/>
      <c r="BM37" s="385"/>
    </row>
    <row r="38" spans="1:66" s="278" customFormat="1" ht="23.25" customHeight="1">
      <c r="A38" s="2009" t="s">
        <v>152</v>
      </c>
      <c r="B38" s="2010"/>
      <c r="C38" s="2010"/>
      <c r="D38" s="2010"/>
      <c r="E38" s="2010"/>
      <c r="F38" s="2010"/>
      <c r="G38" s="2010"/>
      <c r="H38" s="2010"/>
      <c r="I38" s="2010"/>
      <c r="J38" s="2010"/>
      <c r="K38" s="2010"/>
      <c r="L38" s="2011"/>
      <c r="M38" s="391">
        <f t="shared" ref="M38:R38" si="121">SUM(M10:M37)</f>
        <v>0</v>
      </c>
      <c r="N38" s="391">
        <f t="shared" si="121"/>
        <v>355.88461538461547</v>
      </c>
      <c r="O38" s="391">
        <f t="shared" si="121"/>
        <v>0</v>
      </c>
      <c r="P38" s="391">
        <f t="shared" si="121"/>
        <v>17.794230769230769</v>
      </c>
      <c r="Q38" s="391">
        <f t="shared" si="121"/>
        <v>355.88461538461547</v>
      </c>
      <c r="R38" s="391">
        <f t="shared" si="121"/>
        <v>373.67884615384622</v>
      </c>
      <c r="S38" s="390"/>
      <c r="T38" s="390"/>
      <c r="U38" s="390"/>
      <c r="V38" s="287"/>
      <c r="W38" s="287"/>
      <c r="X38" s="389"/>
      <c r="Y38" s="290"/>
      <c r="Z38" s="290"/>
      <c r="AA38" s="290"/>
      <c r="AB38" s="290"/>
      <c r="AC38" s="290"/>
      <c r="AD38" s="290"/>
      <c r="AE38" s="290"/>
      <c r="AF38" s="290"/>
      <c r="AG38" s="290"/>
      <c r="AH38" s="290"/>
      <c r="AI38" s="290"/>
      <c r="AJ38" s="290"/>
      <c r="AL38" s="279"/>
      <c r="AM38" s="280"/>
      <c r="AN38" s="281"/>
      <c r="AO38" s="282"/>
      <c r="AP38" s="281"/>
      <c r="AQ38" s="283"/>
      <c r="AR38" s="284"/>
      <c r="AS38" s="285"/>
      <c r="AT38" s="285"/>
      <c r="AU38" s="388"/>
      <c r="AV38" s="387"/>
      <c r="AW38" s="243"/>
      <c r="AX38" s="373"/>
      <c r="AY38" s="286"/>
      <c r="AZ38" s="286"/>
      <c r="BA38" s="386"/>
      <c r="BB38" s="371"/>
      <c r="BC38" s="370"/>
      <c r="BD38" s="370"/>
      <c r="BE38" s="370"/>
      <c r="BF38" s="370"/>
      <c r="BG38" s="370"/>
      <c r="BH38" s="385"/>
      <c r="BI38" s="385"/>
      <c r="BJ38" s="385"/>
      <c r="BK38" s="385"/>
      <c r="BL38" s="385"/>
      <c r="BM38" s="385"/>
    </row>
    <row r="39" spans="1:66" s="257" customFormat="1" ht="27.75" customHeight="1">
      <c r="A39" s="469"/>
      <c r="B39" s="261"/>
      <c r="C39" s="264"/>
      <c r="D39" s="384"/>
      <c r="E39" s="383"/>
      <c r="F39" s="262"/>
      <c r="G39" s="263"/>
      <c r="H39" s="265"/>
      <c r="I39" s="266"/>
      <c r="J39" s="382"/>
      <c r="K39" s="382"/>
      <c r="L39" s="381"/>
      <c r="M39" s="267"/>
      <c r="N39" s="303"/>
      <c r="O39" s="303"/>
      <c r="P39" s="268"/>
      <c r="Q39" s="268"/>
      <c r="R39" s="326"/>
      <c r="S39" s="380"/>
      <c r="T39" s="379"/>
      <c r="U39" s="378"/>
      <c r="V39" s="302"/>
      <c r="W39" s="302"/>
      <c r="X39" s="372"/>
      <c r="Y39" s="377"/>
      <c r="Z39" s="377"/>
      <c r="AA39" s="377"/>
      <c r="AB39" s="377"/>
      <c r="AC39" s="377"/>
      <c r="AD39" s="377"/>
      <c r="AE39" s="376"/>
      <c r="AF39" s="376"/>
      <c r="AG39" s="376"/>
      <c r="AH39" s="376"/>
      <c r="AI39" s="376"/>
      <c r="AJ39" s="376"/>
      <c r="AL39" s="251"/>
      <c r="AM39" s="252"/>
      <c r="AN39" s="253"/>
      <c r="AO39" s="254"/>
      <c r="AP39" s="253"/>
      <c r="AQ39" s="255"/>
      <c r="AR39" s="256"/>
      <c r="AS39" s="273"/>
      <c r="AT39" s="273"/>
      <c r="AU39" s="375"/>
      <c r="AV39" s="374"/>
      <c r="AW39" s="274"/>
      <c r="AX39" s="373"/>
      <c r="BA39" s="372"/>
      <c r="BB39" s="371"/>
      <c r="BC39" s="370"/>
      <c r="BD39" s="370"/>
      <c r="BE39" s="370"/>
      <c r="BF39" s="370"/>
      <c r="BG39" s="370"/>
      <c r="BH39" s="369"/>
      <c r="BI39" s="369"/>
      <c r="BJ39" s="369"/>
      <c r="BK39" s="369"/>
      <c r="BL39" s="369"/>
      <c r="BM39" s="369"/>
    </row>
    <row r="40" spans="1:66" s="225" customFormat="1" ht="15.75" customHeight="1">
      <c r="A40" s="470"/>
      <c r="B40" s="226"/>
      <c r="Q40" s="269"/>
      <c r="R40" s="368"/>
      <c r="U40" s="327"/>
      <c r="V40" s="367"/>
      <c r="W40" s="366"/>
      <c r="X40" s="365"/>
      <c r="Y40" s="70">
        <v>100</v>
      </c>
      <c r="Z40" s="70">
        <v>50</v>
      </c>
      <c r="AA40" s="70">
        <v>20</v>
      </c>
      <c r="AB40" s="70">
        <v>10</v>
      </c>
      <c r="AC40" s="70">
        <v>5</v>
      </c>
      <c r="AD40" s="70">
        <v>1</v>
      </c>
      <c r="AE40" s="105">
        <v>10000</v>
      </c>
      <c r="AF40" s="105">
        <v>5000</v>
      </c>
      <c r="AG40" s="105">
        <v>2000</v>
      </c>
      <c r="AH40" s="105">
        <v>1000</v>
      </c>
      <c r="AI40" s="105">
        <v>500</v>
      </c>
      <c r="AJ40" s="105">
        <v>100</v>
      </c>
      <c r="AO40" s="234"/>
      <c r="AQ40" s="233"/>
      <c r="AS40" s="2012" t="s">
        <v>74</v>
      </c>
      <c r="AT40" s="2012"/>
      <c r="AU40" s="2013">
        <f>SUM(AU10:AU33)</f>
        <v>157.74230769230769</v>
      </c>
      <c r="AV40" s="2013"/>
      <c r="AW40" s="2013"/>
      <c r="BB40" s="364">
        <v>100</v>
      </c>
      <c r="BC40" s="364">
        <v>50</v>
      </c>
      <c r="BD40" s="364">
        <v>20</v>
      </c>
      <c r="BE40" s="364">
        <v>10</v>
      </c>
      <c r="BF40" s="364">
        <v>5</v>
      </c>
      <c r="BG40" s="364">
        <v>1</v>
      </c>
      <c r="BH40" s="363">
        <v>10000</v>
      </c>
      <c r="BI40" s="363">
        <v>5000</v>
      </c>
      <c r="BJ40" s="363">
        <v>2000</v>
      </c>
      <c r="BK40" s="363">
        <v>1000</v>
      </c>
      <c r="BL40" s="363">
        <v>500</v>
      </c>
      <c r="BM40" s="363">
        <v>100</v>
      </c>
    </row>
    <row r="41" spans="1:66" s="272" customFormat="1" ht="15.75" customHeight="1">
      <c r="A41" s="471"/>
      <c r="B41" s="1991" t="s">
        <v>131</v>
      </c>
      <c r="C41" s="1991"/>
      <c r="D41" s="1991"/>
      <c r="E41" s="362"/>
      <c r="F41" s="361"/>
      <c r="H41" s="359"/>
      <c r="I41" s="359"/>
      <c r="J41" s="359"/>
      <c r="K41" s="360"/>
      <c r="L41" s="359" t="s">
        <v>151</v>
      </c>
      <c r="Q41" s="271"/>
      <c r="R41" s="300"/>
      <c r="S41" s="1992" t="s">
        <v>150</v>
      </c>
      <c r="T41" s="1992"/>
      <c r="U41" s="1992"/>
      <c r="V41" s="1992"/>
      <c r="W41" s="358"/>
      <c r="X41" s="357"/>
      <c r="Y41" s="356">
        <f t="shared" ref="Y41:AJ41" si="122">SUM(Y10:Y37)</f>
        <v>0</v>
      </c>
      <c r="Z41" s="356">
        <f t="shared" si="122"/>
        <v>0</v>
      </c>
      <c r="AA41" s="356">
        <f t="shared" si="122"/>
        <v>6</v>
      </c>
      <c r="AB41" s="356">
        <f t="shared" si="122"/>
        <v>22</v>
      </c>
      <c r="AC41" s="356">
        <f t="shared" si="122"/>
        <v>2</v>
      </c>
      <c r="AD41" s="356">
        <f t="shared" si="122"/>
        <v>8</v>
      </c>
      <c r="AE41" s="356">
        <f t="shared" si="122"/>
        <v>0</v>
      </c>
      <c r="AF41" s="356">
        <f t="shared" si="122"/>
        <v>0</v>
      </c>
      <c r="AG41" s="356">
        <f t="shared" si="122"/>
        <v>18</v>
      </c>
      <c r="AH41" s="356">
        <f t="shared" si="122"/>
        <v>19</v>
      </c>
      <c r="AI41" s="356">
        <f t="shared" si="122"/>
        <v>6</v>
      </c>
      <c r="AJ41" s="356">
        <f t="shared" si="122"/>
        <v>62</v>
      </c>
      <c r="AO41" s="355"/>
      <c r="AQ41" s="354"/>
      <c r="AS41" s="353"/>
      <c r="AT41" s="353"/>
      <c r="AU41" s="352"/>
      <c r="AV41" s="352"/>
      <c r="AW41" s="352"/>
      <c r="BB41" s="351"/>
      <c r="BC41" s="351"/>
      <c r="BD41" s="351"/>
      <c r="BE41" s="351"/>
      <c r="BF41" s="351"/>
      <c r="BG41" s="351"/>
      <c r="BH41" s="350"/>
      <c r="BI41" s="350"/>
      <c r="BJ41" s="350"/>
      <c r="BK41" s="350"/>
      <c r="BL41" s="350"/>
      <c r="BM41" s="350"/>
    </row>
    <row r="42" spans="1:66" s="277" customFormat="1" ht="20.25" customHeight="1">
      <c r="A42" s="472"/>
      <c r="B42" s="1987" t="s">
        <v>114</v>
      </c>
      <c r="C42" s="1987"/>
      <c r="D42" s="1987"/>
      <c r="E42" s="301"/>
      <c r="F42" s="270"/>
      <c r="H42" s="348"/>
      <c r="I42" s="348"/>
      <c r="J42" s="348"/>
      <c r="K42" s="349"/>
      <c r="L42" s="348" t="s">
        <v>115</v>
      </c>
      <c r="Q42" s="275"/>
      <c r="R42" s="320"/>
      <c r="S42" s="1988" t="s">
        <v>116</v>
      </c>
      <c r="T42" s="1988"/>
      <c r="U42" s="1988"/>
      <c r="V42" s="1988"/>
      <c r="W42" s="347"/>
      <c r="X42" s="345"/>
      <c r="Y42" s="298">
        <f>Y41*100</f>
        <v>0</v>
      </c>
      <c r="Z42" s="298">
        <f>Z41*50</f>
        <v>0</v>
      </c>
      <c r="AA42" s="298">
        <f>AA41*20</f>
        <v>120</v>
      </c>
      <c r="AB42" s="298">
        <f>AB41*10</f>
        <v>220</v>
      </c>
      <c r="AC42" s="298">
        <f>AC41*5</f>
        <v>10</v>
      </c>
      <c r="AD42" s="298">
        <f>AD41*1</f>
        <v>8</v>
      </c>
      <c r="AE42" s="298">
        <f>AE41*10000</f>
        <v>0</v>
      </c>
      <c r="AF42" s="298">
        <f>AF41*5000</f>
        <v>0</v>
      </c>
      <c r="AG42" s="298">
        <f>AG41*2000</f>
        <v>36000</v>
      </c>
      <c r="AH42" s="298">
        <f>AH41*1000</f>
        <v>19000</v>
      </c>
      <c r="AI42" s="298">
        <f>AI41*500</f>
        <v>3000</v>
      </c>
      <c r="AJ42" s="298">
        <f t="shared" ref="AJ42:BN42" si="123">AJ41*100</f>
        <v>6200</v>
      </c>
      <c r="AK42" s="346">
        <f t="shared" si="123"/>
        <v>0</v>
      </c>
      <c r="AL42" s="298">
        <f t="shared" si="123"/>
        <v>0</v>
      </c>
      <c r="AM42" s="298">
        <f t="shared" si="123"/>
        <v>0</v>
      </c>
      <c r="AN42" s="298">
        <f t="shared" si="123"/>
        <v>0</v>
      </c>
      <c r="AO42" s="298">
        <f t="shared" si="123"/>
        <v>0</v>
      </c>
      <c r="AP42" s="298">
        <f t="shared" si="123"/>
        <v>0</v>
      </c>
      <c r="AQ42" s="298">
        <f t="shared" si="123"/>
        <v>0</v>
      </c>
      <c r="AR42" s="298">
        <f t="shared" si="123"/>
        <v>0</v>
      </c>
      <c r="AS42" s="298">
        <f t="shared" si="123"/>
        <v>0</v>
      </c>
      <c r="AT42" s="298">
        <f t="shared" si="123"/>
        <v>0</v>
      </c>
      <c r="AU42" s="298">
        <f t="shared" si="123"/>
        <v>0</v>
      </c>
      <c r="AV42" s="298">
        <f t="shared" si="123"/>
        <v>0</v>
      </c>
      <c r="AW42" s="298">
        <f t="shared" si="123"/>
        <v>0</v>
      </c>
      <c r="AX42" s="298">
        <f t="shared" si="123"/>
        <v>0</v>
      </c>
      <c r="AY42" s="298">
        <f t="shared" si="123"/>
        <v>0</v>
      </c>
      <c r="AZ42" s="298">
        <f t="shared" si="123"/>
        <v>0</v>
      </c>
      <c r="BA42" s="298">
        <f t="shared" si="123"/>
        <v>0</v>
      </c>
      <c r="BB42" s="298">
        <f t="shared" si="123"/>
        <v>0</v>
      </c>
      <c r="BC42" s="298">
        <f t="shared" si="123"/>
        <v>0</v>
      </c>
      <c r="BD42" s="298">
        <f t="shared" si="123"/>
        <v>0</v>
      </c>
      <c r="BE42" s="298">
        <f t="shared" si="123"/>
        <v>0</v>
      </c>
      <c r="BF42" s="298">
        <f t="shared" si="123"/>
        <v>0</v>
      </c>
      <c r="BG42" s="298">
        <f t="shared" si="123"/>
        <v>0</v>
      </c>
      <c r="BH42" s="298">
        <f t="shared" si="123"/>
        <v>0</v>
      </c>
      <c r="BI42" s="298">
        <f t="shared" si="123"/>
        <v>0</v>
      </c>
      <c r="BJ42" s="298">
        <f t="shared" si="123"/>
        <v>0</v>
      </c>
      <c r="BK42" s="298">
        <f t="shared" si="123"/>
        <v>0</v>
      </c>
      <c r="BL42" s="298">
        <f t="shared" si="123"/>
        <v>0</v>
      </c>
      <c r="BM42" s="298">
        <f t="shared" si="123"/>
        <v>0</v>
      </c>
      <c r="BN42" s="298">
        <f t="shared" si="123"/>
        <v>0</v>
      </c>
    </row>
    <row r="43" spans="1:66" s="342" customFormat="1">
      <c r="A43" s="470"/>
      <c r="B43" s="1989" t="s">
        <v>117</v>
      </c>
      <c r="C43" s="1989"/>
      <c r="D43" s="1989"/>
      <c r="E43" s="299"/>
      <c r="F43" s="276"/>
      <c r="H43" s="344"/>
      <c r="I43" s="344"/>
      <c r="J43" s="344"/>
      <c r="K43" s="345"/>
      <c r="L43" s="344" t="s">
        <v>118</v>
      </c>
      <c r="Q43" s="231"/>
      <c r="R43" s="295"/>
      <c r="S43" s="1990" t="s">
        <v>126</v>
      </c>
      <c r="T43" s="1990"/>
      <c r="U43" s="1990"/>
      <c r="V43" s="1990"/>
      <c r="W43" s="337"/>
      <c r="X43" s="336"/>
      <c r="Y43" s="334"/>
      <c r="Z43" s="334"/>
      <c r="AA43" s="334"/>
      <c r="AB43" s="334"/>
      <c r="AC43" s="334"/>
      <c r="AD43" s="334"/>
      <c r="AE43" s="334"/>
      <c r="AF43" s="334"/>
      <c r="AG43" s="334"/>
      <c r="AH43" s="334"/>
      <c r="AI43" s="334"/>
      <c r="AJ43" s="232"/>
      <c r="AO43" s="343"/>
      <c r="BB43" s="334"/>
      <c r="BC43" s="334"/>
      <c r="BD43" s="334"/>
      <c r="BE43" s="334"/>
      <c r="BF43" s="334"/>
      <c r="BG43" s="334"/>
      <c r="BH43" s="334"/>
      <c r="BI43" s="334"/>
      <c r="BJ43" s="334"/>
      <c r="BK43" s="334"/>
      <c r="BL43" s="334"/>
      <c r="BM43" s="232"/>
    </row>
    <row r="44" spans="1:66" s="334" customFormat="1" ht="17.25" customHeight="1">
      <c r="A44" s="470"/>
      <c r="B44" s="229"/>
      <c r="C44" s="341"/>
      <c r="D44" s="340"/>
      <c r="E44" s="339"/>
      <c r="F44" s="227"/>
      <c r="G44" s="230"/>
      <c r="H44" s="229"/>
      <c r="L44" s="331"/>
      <c r="P44" s="336"/>
      <c r="Q44" s="231"/>
      <c r="R44" s="295"/>
      <c r="S44" s="338"/>
      <c r="T44" s="338"/>
      <c r="U44" s="337"/>
      <c r="V44" s="337"/>
      <c r="W44" s="337"/>
      <c r="X44" s="336"/>
      <c r="Z44" s="1986">
        <f>SUM(Y42:AD42)</f>
        <v>358</v>
      </c>
      <c r="AA44" s="1986"/>
      <c r="AB44" s="1986"/>
      <c r="AC44" s="1986"/>
      <c r="AG44" s="1986">
        <f>SUM(AE42:AJ42)</f>
        <v>64200</v>
      </c>
      <c r="AH44" s="1986"/>
      <c r="AI44" s="1986"/>
      <c r="AK44" s="334" t="s">
        <v>72</v>
      </c>
      <c r="AO44" s="335"/>
      <c r="BC44" s="1986">
        <f>SUM(BB42:BG42)</f>
        <v>0</v>
      </c>
      <c r="BD44" s="1986"/>
      <c r="BE44" s="1986"/>
      <c r="BF44" s="1986"/>
      <c r="BJ44" s="1986">
        <f>SUM(BH42:BM42)</f>
        <v>0</v>
      </c>
      <c r="BK44" s="1986"/>
      <c r="BL44" s="1986"/>
    </row>
    <row r="45" spans="1:66" s="334" customFormat="1">
      <c r="A45" s="470"/>
      <c r="B45" s="229"/>
      <c r="C45" s="341"/>
      <c r="D45" s="340"/>
      <c r="E45" s="339"/>
      <c r="F45" s="227"/>
      <c r="G45" s="230"/>
      <c r="H45" s="229"/>
      <c r="L45" s="331"/>
      <c r="P45" s="336"/>
      <c r="Q45" s="231"/>
      <c r="R45" s="295"/>
      <c r="S45" s="338"/>
      <c r="T45" s="338"/>
      <c r="U45" s="337"/>
      <c r="V45" s="337"/>
      <c r="W45" s="337">
        <f>AD46-R38</f>
        <v>0.37115384615378844</v>
      </c>
      <c r="X45" s="336"/>
      <c r="AJ45" s="334">
        <f>AG44/4000</f>
        <v>16.05</v>
      </c>
      <c r="AO45" s="335"/>
      <c r="BM45" s="334">
        <f>BJ44/4000</f>
        <v>0</v>
      </c>
    </row>
    <row r="46" spans="1:66" s="334" customFormat="1">
      <c r="A46" s="470"/>
      <c r="B46" s="229"/>
      <c r="C46" s="341"/>
      <c r="D46" s="340"/>
      <c r="E46" s="339"/>
      <c r="F46" s="227"/>
      <c r="G46" s="230"/>
      <c r="H46" s="229"/>
      <c r="L46" s="331"/>
      <c r="P46" s="336"/>
      <c r="Q46" s="231"/>
      <c r="R46" s="295"/>
      <c r="S46" s="338"/>
      <c r="T46" s="338"/>
      <c r="U46" s="337"/>
      <c r="V46" s="337"/>
      <c r="W46" s="337"/>
      <c r="X46" s="336"/>
      <c r="AB46" s="1986" t="s">
        <v>74</v>
      </c>
      <c r="AC46" s="1986"/>
      <c r="AD46" s="1986">
        <f>Z44+(AG44/4000)</f>
        <v>374.05</v>
      </c>
      <c r="AE46" s="1986"/>
      <c r="AF46" s="1986"/>
      <c r="AO46" s="335"/>
      <c r="BE46" s="1986" t="s">
        <v>74</v>
      </c>
      <c r="BF46" s="1986"/>
      <c r="BG46" s="1986">
        <f>BC44+(BJ44/4000)</f>
        <v>0</v>
      </c>
      <c r="BH46" s="1986"/>
      <c r="BI46" s="1986"/>
    </row>
    <row r="47" spans="1:66" s="334" customFormat="1">
      <c r="A47" s="470"/>
      <c r="B47" s="229"/>
      <c r="C47" s="341"/>
      <c r="D47" s="340"/>
      <c r="E47" s="339"/>
      <c r="F47" s="227"/>
      <c r="G47" s="230"/>
      <c r="H47" s="229"/>
      <c r="L47" s="331"/>
      <c r="P47" s="336"/>
      <c r="Q47" s="231"/>
      <c r="R47" s="295"/>
      <c r="S47" s="338"/>
      <c r="T47" s="338"/>
      <c r="U47" s="337"/>
      <c r="V47" s="337"/>
      <c r="W47" s="337"/>
      <c r="X47" s="336"/>
      <c r="AO47" s="335"/>
    </row>
  </sheetData>
  <mergeCells count="54">
    <mergeCell ref="P5:P7"/>
    <mergeCell ref="Q5:Q7"/>
    <mergeCell ref="L6:L7"/>
    <mergeCell ref="M6:M7"/>
    <mergeCell ref="N6:N7"/>
    <mergeCell ref="H6:I7"/>
    <mergeCell ref="J6:K7"/>
    <mergeCell ref="H5:L5"/>
    <mergeCell ref="M5:N5"/>
    <mergeCell ref="O5:O7"/>
    <mergeCell ref="J8:K8"/>
    <mergeCell ref="AO8:AP8"/>
    <mergeCell ref="A1:W1"/>
    <mergeCell ref="A2:W2"/>
    <mergeCell ref="A3:W3"/>
    <mergeCell ref="A4:W4"/>
    <mergeCell ref="A5:A7"/>
    <mergeCell ref="B5:C7"/>
    <mergeCell ref="D5:D7"/>
    <mergeCell ref="E5:E7"/>
    <mergeCell ref="F5:F7"/>
    <mergeCell ref="G5:G7"/>
    <mergeCell ref="S5:T6"/>
    <mergeCell ref="U5:U7"/>
    <mergeCell ref="V5:V7"/>
    <mergeCell ref="W5:W7"/>
    <mergeCell ref="B41:D41"/>
    <mergeCell ref="S41:V41"/>
    <mergeCell ref="X6:X9"/>
    <mergeCell ref="AL6:AR6"/>
    <mergeCell ref="AV6:AW6"/>
    <mergeCell ref="S7:T7"/>
    <mergeCell ref="J9:K9"/>
    <mergeCell ref="AV8:AW8"/>
    <mergeCell ref="H9:I9"/>
    <mergeCell ref="AO9:AP9"/>
    <mergeCell ref="A38:L38"/>
    <mergeCell ref="AS40:AT40"/>
    <mergeCell ref="AU40:AW40"/>
    <mergeCell ref="R5:R7"/>
    <mergeCell ref="AO7:AP7"/>
    <mergeCell ref="H8:I8"/>
    <mergeCell ref="B42:D42"/>
    <mergeCell ref="S42:V42"/>
    <mergeCell ref="B43:D43"/>
    <mergeCell ref="S43:V43"/>
    <mergeCell ref="Z44:AC44"/>
    <mergeCell ref="BC44:BF44"/>
    <mergeCell ref="BJ44:BL44"/>
    <mergeCell ref="AB46:AC46"/>
    <mergeCell ref="AD46:AF46"/>
    <mergeCell ref="BE46:BF46"/>
    <mergeCell ref="BG46:BI46"/>
    <mergeCell ref="AG44:AI44"/>
  </mergeCells>
  <phoneticPr fontId="171" type="noConversion"/>
  <pageMargins left="0.45" right="0" top="0" bottom="0" header="0.15" footer="0.15"/>
  <pageSetup scale="99" orientation="landscape" r:id="rId1"/>
  <headerFooter alignWithMargins="0">
    <oddFooter>Page 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37"/>
  <sheetViews>
    <sheetView workbookViewId="0">
      <pane xSplit="4" ySplit="6" topLeftCell="Q33" activePane="bottomRight" state="frozen"/>
      <selection pane="topRight" activeCell="E1" sqref="E1"/>
      <selection pane="bottomLeft" activeCell="A7" sqref="A7"/>
      <selection pane="bottomRight" activeCell="W37" sqref="W37"/>
    </sheetView>
  </sheetViews>
  <sheetFormatPr defaultRowHeight="15.75"/>
  <cols>
    <col min="1" max="1" width="4" style="474" customWidth="1"/>
    <col min="2" max="2" width="7.75" style="474" customWidth="1"/>
    <col min="3" max="3" width="11.625" style="477" customWidth="1"/>
    <col min="4" max="4" width="9.625" style="475" customWidth="1"/>
    <col min="5" max="5" width="6.375" style="500" customWidth="1"/>
    <col min="6" max="6" width="12.875" style="474" customWidth="1"/>
    <col min="7" max="7" width="9.125" style="474" bestFit="1" customWidth="1"/>
    <col min="8" max="8" width="13.75" style="474" bestFit="1" customWidth="1"/>
    <col min="9" max="10" width="7.375" style="474" customWidth="1"/>
    <col min="11" max="11" width="9" style="474"/>
    <col min="12" max="12" width="10.875" style="474" customWidth="1"/>
    <col min="13" max="13" width="9" style="474"/>
    <col min="14" max="14" width="11.875" style="474" customWidth="1"/>
    <col min="15" max="15" width="13.375" style="474" customWidth="1"/>
    <col min="16" max="16" width="15.125" style="474" customWidth="1"/>
    <col min="17" max="17" width="9" style="474"/>
    <col min="18" max="19" width="15.625" style="474" customWidth="1"/>
    <col min="20" max="20" width="13.75" style="474" customWidth="1"/>
    <col min="21" max="21" width="13.5" style="474" customWidth="1"/>
    <col min="22" max="23" width="14.625" style="474" customWidth="1"/>
    <col min="24" max="16384" width="9" style="474"/>
  </cols>
  <sheetData>
    <row r="1" spans="1:39" s="479" customFormat="1" ht="29.25" customHeight="1">
      <c r="A1" s="2127" t="s">
        <v>222</v>
      </c>
      <c r="B1" s="2127"/>
      <c r="C1" s="2127"/>
      <c r="D1" s="2127"/>
      <c r="E1" s="2127"/>
      <c r="F1" s="2127"/>
      <c r="G1" s="2127"/>
      <c r="H1" s="2127"/>
      <c r="I1" s="2127"/>
      <c r="J1" s="2127"/>
      <c r="K1" s="2127"/>
      <c r="L1" s="2127"/>
      <c r="M1" s="2127"/>
      <c r="N1" s="2127"/>
      <c r="O1" s="2127"/>
      <c r="P1" s="2127"/>
      <c r="R1" s="2169" t="s">
        <v>222</v>
      </c>
      <c r="S1" s="2169"/>
      <c r="T1" s="2169"/>
      <c r="U1" s="2169"/>
      <c r="V1" s="2169"/>
      <c r="W1" s="2169"/>
    </row>
    <row r="2" spans="1:39" s="479" customFormat="1" ht="20.25" customHeight="1">
      <c r="A2" s="2127" t="s">
        <v>221</v>
      </c>
      <c r="B2" s="2127"/>
      <c r="C2" s="2127"/>
      <c r="D2" s="2127"/>
      <c r="E2" s="2127"/>
      <c r="F2" s="2127"/>
      <c r="G2" s="2127"/>
      <c r="H2" s="2127"/>
      <c r="I2" s="2127"/>
      <c r="J2" s="2127"/>
      <c r="K2" s="2127"/>
      <c r="L2" s="2127"/>
      <c r="M2" s="2127"/>
      <c r="N2" s="2127"/>
      <c r="O2" s="2127"/>
      <c r="P2" s="2127"/>
      <c r="R2" s="2126" t="s">
        <v>1807</v>
      </c>
      <c r="S2" s="2126"/>
      <c r="T2" s="2126"/>
      <c r="U2" s="2126"/>
      <c r="V2" s="2126"/>
      <c r="W2" s="2126"/>
    </row>
    <row r="3" spans="1:39" s="479" customFormat="1" ht="19.5" customHeight="1">
      <c r="A3" s="2126" t="s">
        <v>2354</v>
      </c>
      <c r="B3" s="2126"/>
      <c r="C3" s="2126"/>
      <c r="D3" s="2126"/>
      <c r="E3" s="2126"/>
      <c r="F3" s="2126"/>
      <c r="G3" s="2126"/>
      <c r="H3" s="2126"/>
      <c r="I3" s="2126"/>
      <c r="J3" s="2126"/>
      <c r="K3" s="2126"/>
      <c r="L3" s="2126"/>
      <c r="M3" s="2126"/>
      <c r="N3" s="2126"/>
      <c r="O3" s="2126"/>
      <c r="P3" s="2126"/>
      <c r="R3" s="2126" t="s">
        <v>2356</v>
      </c>
      <c r="S3" s="2126"/>
      <c r="T3" s="2126"/>
      <c r="U3" s="2126"/>
      <c r="V3" s="2126"/>
      <c r="W3" s="2126"/>
    </row>
    <row r="4" spans="1:39" s="479" customFormat="1" ht="20.25" customHeight="1" thickBot="1">
      <c r="A4" s="2128" t="s">
        <v>2206</v>
      </c>
      <c r="B4" s="2128"/>
      <c r="C4" s="2128"/>
      <c r="D4" s="2128"/>
      <c r="E4" s="2128"/>
    </row>
    <row r="5" spans="1:39" s="473" customFormat="1" ht="63" customHeight="1" thickTop="1">
      <c r="A5" s="482" t="s">
        <v>223</v>
      </c>
      <c r="B5" s="482" t="s">
        <v>224</v>
      </c>
      <c r="C5" s="482" t="s">
        <v>225</v>
      </c>
      <c r="D5" s="482" t="s">
        <v>226</v>
      </c>
      <c r="E5" s="498" t="s">
        <v>227</v>
      </c>
      <c r="F5" s="482" t="s">
        <v>228</v>
      </c>
      <c r="G5" s="482" t="s">
        <v>229</v>
      </c>
      <c r="H5" s="482" t="s">
        <v>230</v>
      </c>
      <c r="I5" s="482" t="s">
        <v>231</v>
      </c>
      <c r="J5" s="482" t="s">
        <v>232</v>
      </c>
      <c r="K5" s="482" t="s">
        <v>233</v>
      </c>
      <c r="L5" s="482" t="s">
        <v>234</v>
      </c>
      <c r="M5" s="482" t="s">
        <v>235</v>
      </c>
      <c r="N5" s="482" t="s">
        <v>236</v>
      </c>
      <c r="O5" s="482" t="s">
        <v>237</v>
      </c>
      <c r="P5" s="482" t="s">
        <v>238</v>
      </c>
      <c r="Q5" s="483"/>
      <c r="R5" s="1203" t="s">
        <v>1810</v>
      </c>
      <c r="S5" s="1203" t="s">
        <v>1811</v>
      </c>
      <c r="T5" s="498" t="s">
        <v>1812</v>
      </c>
      <c r="U5" s="498" t="s">
        <v>1809</v>
      </c>
      <c r="V5" s="498" t="s">
        <v>1813</v>
      </c>
      <c r="W5" s="498" t="s">
        <v>1814</v>
      </c>
      <c r="X5" s="483"/>
      <c r="Y5" s="483"/>
      <c r="Z5" s="483"/>
      <c r="AA5" s="484"/>
      <c r="AB5" s="484"/>
      <c r="AC5" s="484"/>
      <c r="AD5" s="484"/>
      <c r="AE5" s="484"/>
      <c r="AF5" s="484"/>
      <c r="AG5" s="484"/>
      <c r="AH5" s="484"/>
      <c r="AI5" s="484"/>
      <c r="AJ5" s="484"/>
      <c r="AK5" s="484"/>
      <c r="AL5" s="484"/>
      <c r="AM5" s="484"/>
    </row>
    <row r="6" spans="1:39" s="473" customFormat="1" ht="33" customHeight="1">
      <c r="A6" s="485" t="s">
        <v>111</v>
      </c>
      <c r="B6" s="485" t="s">
        <v>239</v>
      </c>
      <c r="C6" s="485" t="s">
        <v>87</v>
      </c>
      <c r="D6" s="486" t="s">
        <v>240</v>
      </c>
      <c r="E6" s="499" t="s">
        <v>218</v>
      </c>
      <c r="F6" s="492" t="s">
        <v>241</v>
      </c>
      <c r="G6" s="492" t="s">
        <v>242</v>
      </c>
      <c r="H6" s="492" t="s">
        <v>243</v>
      </c>
      <c r="I6" s="492" t="s">
        <v>244</v>
      </c>
      <c r="J6" s="493" t="s">
        <v>245</v>
      </c>
      <c r="K6" s="492" t="s">
        <v>246</v>
      </c>
      <c r="L6" s="493" t="s">
        <v>247</v>
      </c>
      <c r="M6" s="492" t="s">
        <v>248</v>
      </c>
      <c r="N6" s="492"/>
      <c r="O6" s="492" t="s">
        <v>249</v>
      </c>
      <c r="P6" s="492" t="s">
        <v>250</v>
      </c>
      <c r="Q6" s="487"/>
      <c r="R6" s="1154"/>
      <c r="S6" s="1169"/>
      <c r="T6" s="1169" t="s">
        <v>1806</v>
      </c>
      <c r="U6" s="488">
        <v>4062</v>
      </c>
      <c r="V6" s="1183">
        <v>0.02</v>
      </c>
      <c r="W6" s="488">
        <v>4062</v>
      </c>
      <c r="X6" s="487"/>
      <c r="Y6" s="487"/>
      <c r="Z6" s="487"/>
      <c r="AA6" s="481"/>
      <c r="AB6" s="481"/>
      <c r="AC6" s="481"/>
      <c r="AD6" s="481"/>
      <c r="AE6" s="481"/>
      <c r="AF6" s="481"/>
      <c r="AG6" s="484"/>
      <c r="AH6" s="484"/>
      <c r="AI6" s="484"/>
      <c r="AJ6" s="484"/>
      <c r="AK6" s="484"/>
      <c r="AL6" s="484"/>
      <c r="AM6" s="484"/>
    </row>
    <row r="7" spans="1:39" s="477" customFormat="1" ht="31.5" customHeight="1">
      <c r="A7" s="478">
        <v>1</v>
      </c>
      <c r="B7" s="515" t="s">
        <v>311</v>
      </c>
      <c r="C7" s="581" t="s">
        <v>503</v>
      </c>
      <c r="D7" s="1474">
        <v>41316</v>
      </c>
      <c r="E7" s="513" t="s">
        <v>260</v>
      </c>
      <c r="F7" s="494">
        <f>'S6'!AL7-'S6'!AD7-'S6'!AJ7-'S6'!AK7-'S6'!AE7-'S6'!AG7-W7</f>
        <v>320.14927280990798</v>
      </c>
      <c r="G7" s="495">
        <v>4062</v>
      </c>
      <c r="H7" s="488">
        <f t="shared" ref="H7:H33" si="0">F7*G7</f>
        <v>1300446.3461538462</v>
      </c>
      <c r="I7" s="480"/>
      <c r="J7" s="519">
        <v>0</v>
      </c>
      <c r="K7" s="488">
        <f t="shared" ref="K7:K33" si="1">150000*(J7+I7)</f>
        <v>0</v>
      </c>
      <c r="L7" s="488">
        <f t="shared" ref="L7:L33" si="2">H7-K7</f>
        <v>1300446.3461538462</v>
      </c>
      <c r="M7" s="489">
        <f t="shared" ref="M7:M33" si="3">IF(L7&gt;=12500000,20%,IF(L7&gt;=8500001,15%,IF(L7&gt;=2000001,10%,IF(L7&gt;=1500001,5%,0%))))</f>
        <v>0</v>
      </c>
      <c r="N7" s="488">
        <f t="shared" ref="N7:N33" si="4">IF(M7=5%,75000,IF(M7=10%,175000,0))</f>
        <v>0</v>
      </c>
      <c r="O7" s="490">
        <f t="shared" ref="O7:O33" si="5">L7*M7-N7</f>
        <v>0</v>
      </c>
      <c r="P7" s="491">
        <f>O7/4062</f>
        <v>0</v>
      </c>
      <c r="R7" s="1186">
        <v>27915</v>
      </c>
      <c r="S7" s="1170">
        <v>44835</v>
      </c>
      <c r="T7" s="1174">
        <f>'S6'!AL7-'S6'!AE7</f>
        <v>346.05769230769232</v>
      </c>
      <c r="U7" s="1176">
        <f>T7*4062</f>
        <v>1405686.3461538462</v>
      </c>
      <c r="V7" s="1181">
        <f t="shared" ref="V7:V35" si="6">IF(YEARFRAC(R7,S7)&gt;=60,"0",IF(U7&lt;400000,400000*2%,IF(U7&gt;1200000,1200000*2%,U7*2%)))</f>
        <v>24000</v>
      </c>
      <c r="W7" s="1194">
        <f>V7/4062</f>
        <v>5.9084194977843429</v>
      </c>
    </row>
    <row r="8" spans="1:39" s="477" customFormat="1" ht="31.5" customHeight="1">
      <c r="A8" s="478">
        <v>2</v>
      </c>
      <c r="B8" s="515" t="s">
        <v>562</v>
      </c>
      <c r="C8" s="581" t="s">
        <v>563</v>
      </c>
      <c r="D8" s="1474">
        <v>43974</v>
      </c>
      <c r="E8" s="557" t="s">
        <v>260</v>
      </c>
      <c r="F8" s="494">
        <f>'S6'!AL8-'S6'!AD8-'S6'!AJ8-'S6'!AK8-'S6'!AE8-'S6'!AG8-W8</f>
        <v>279.82862715943111</v>
      </c>
      <c r="G8" s="495">
        <v>4062</v>
      </c>
      <c r="H8" s="488">
        <f t="shared" si="0"/>
        <v>1136663.8835216092</v>
      </c>
      <c r="I8" s="480"/>
      <c r="J8" s="519">
        <v>2</v>
      </c>
      <c r="K8" s="488">
        <f t="shared" si="1"/>
        <v>300000</v>
      </c>
      <c r="L8" s="488">
        <f t="shared" si="2"/>
        <v>836663.88352160924</v>
      </c>
      <c r="M8" s="489">
        <f t="shared" si="3"/>
        <v>0</v>
      </c>
      <c r="N8" s="488">
        <f t="shared" si="4"/>
        <v>0</v>
      </c>
      <c r="O8" s="490">
        <f t="shared" si="5"/>
        <v>0</v>
      </c>
      <c r="P8" s="491">
        <f t="shared" ref="P8:P36" si="7">O8/4062</f>
        <v>0</v>
      </c>
      <c r="R8" s="1186">
        <v>32665</v>
      </c>
      <c r="S8" s="1170">
        <v>44835</v>
      </c>
      <c r="T8" s="1174">
        <f>'S6'!AL8-'S6'!AE8</f>
        <v>305.73704665721544</v>
      </c>
      <c r="U8" s="1176">
        <f t="shared" ref="U8:U36" si="8">T8*4062</f>
        <v>1241903.8835216092</v>
      </c>
      <c r="V8" s="1181">
        <f t="shared" si="6"/>
        <v>24000</v>
      </c>
      <c r="W8" s="1194">
        <f t="shared" ref="W8:W36" si="9">V8/4062</f>
        <v>5.9084194977843429</v>
      </c>
    </row>
    <row r="9" spans="1:39" s="477" customFormat="1" ht="31.5" customHeight="1">
      <c r="A9" s="478">
        <v>3</v>
      </c>
      <c r="B9" s="1326" t="s">
        <v>2094</v>
      </c>
      <c r="C9" s="581" t="s">
        <v>2095</v>
      </c>
      <c r="D9" s="517">
        <v>44354</v>
      </c>
      <c r="E9" s="557" t="s">
        <v>260</v>
      </c>
      <c r="F9" s="494">
        <f>'S6'!AL9-'S6'!AD9-'S6'!AJ9-'S6'!AK9-'S6'!AE9-'S6'!AG9-W9</f>
        <v>348.06273434836947</v>
      </c>
      <c r="G9" s="495">
        <v>4062</v>
      </c>
      <c r="H9" s="488">
        <f t="shared" ref="H9" si="10">F9*G9</f>
        <v>1413830.8269230768</v>
      </c>
      <c r="I9" s="480"/>
      <c r="J9" s="519">
        <v>1</v>
      </c>
      <c r="K9" s="488">
        <f t="shared" ref="K9" si="11">150000*(J9+I9)</f>
        <v>150000</v>
      </c>
      <c r="L9" s="488">
        <f t="shared" ref="L9" si="12">H9-K9</f>
        <v>1263830.8269230768</v>
      </c>
      <c r="M9" s="489">
        <f t="shared" ref="M9" si="13">IF(L9&gt;=12500000,20%,IF(L9&gt;=8500001,15%,IF(L9&gt;=2000001,10%,IF(L9&gt;=1500001,5%,0%))))</f>
        <v>0</v>
      </c>
      <c r="N9" s="488">
        <f t="shared" ref="N9" si="14">IF(M9=5%,75000,IF(M9=10%,175000,0))</f>
        <v>0</v>
      </c>
      <c r="O9" s="490">
        <f t="shared" ref="O9" si="15">L9*M9-N9</f>
        <v>0</v>
      </c>
      <c r="P9" s="491">
        <f t="shared" si="7"/>
        <v>0</v>
      </c>
      <c r="R9" s="1172">
        <v>33569</v>
      </c>
      <c r="S9" s="1170">
        <v>44835</v>
      </c>
      <c r="T9" s="1174">
        <f>'S6'!AL9-'S6'!AE9</f>
        <v>373.97115384615381</v>
      </c>
      <c r="U9" s="1176">
        <f t="shared" si="8"/>
        <v>1519070.8269230768</v>
      </c>
      <c r="V9" s="1181">
        <f t="shared" ref="V9" si="16">IF(YEARFRAC(R9,S9)&gt;=60,"0",IF(U9&lt;400000,400000*2%,IF(U9&gt;1200000,1200000*2%,U9*2%)))</f>
        <v>24000</v>
      </c>
      <c r="W9" s="1194">
        <f t="shared" si="9"/>
        <v>5.9084194977843429</v>
      </c>
    </row>
    <row r="10" spans="1:39" s="477" customFormat="1" ht="31.5" customHeight="1">
      <c r="A10" s="478">
        <v>4</v>
      </c>
      <c r="B10" s="688" t="s">
        <v>936</v>
      </c>
      <c r="C10" s="625" t="s">
        <v>937</v>
      </c>
      <c r="D10" s="1474">
        <v>44480</v>
      </c>
      <c r="E10" s="527" t="s">
        <v>260</v>
      </c>
      <c r="F10" s="494">
        <f>'S6'!AL10-'S6'!AD10-'S6'!AJ10-'S6'!AK10-'S6'!AE10-'S6'!AG10-W10</f>
        <v>374.05311896375412</v>
      </c>
      <c r="G10" s="495">
        <v>4062</v>
      </c>
      <c r="H10" s="488">
        <f t="shared" si="0"/>
        <v>1519403.7692307692</v>
      </c>
      <c r="I10" s="480"/>
      <c r="J10" s="519">
        <v>3</v>
      </c>
      <c r="K10" s="488">
        <f t="shared" si="1"/>
        <v>450000</v>
      </c>
      <c r="L10" s="488">
        <f t="shared" si="2"/>
        <v>1069403.7692307692</v>
      </c>
      <c r="M10" s="489">
        <f t="shared" si="3"/>
        <v>0</v>
      </c>
      <c r="N10" s="488">
        <f t="shared" si="4"/>
        <v>0</v>
      </c>
      <c r="O10" s="490">
        <f t="shared" si="5"/>
        <v>0</v>
      </c>
      <c r="P10" s="491">
        <f t="shared" si="7"/>
        <v>0</v>
      </c>
      <c r="R10" s="1186">
        <v>31298</v>
      </c>
      <c r="S10" s="1170">
        <v>44835</v>
      </c>
      <c r="T10" s="1174">
        <f>'S6'!AL10-'S6'!AE10</f>
        <v>399.96153846153845</v>
      </c>
      <c r="U10" s="1176">
        <f t="shared" si="8"/>
        <v>1624643.7692307692</v>
      </c>
      <c r="V10" s="1181">
        <f t="shared" si="6"/>
        <v>24000</v>
      </c>
      <c r="W10" s="1194">
        <f t="shared" si="9"/>
        <v>5.9084194977843429</v>
      </c>
    </row>
    <row r="11" spans="1:39" s="477" customFormat="1" ht="31.5" customHeight="1">
      <c r="A11" s="478">
        <v>5</v>
      </c>
      <c r="B11" s="515" t="s">
        <v>1954</v>
      </c>
      <c r="C11" s="581" t="s">
        <v>1955</v>
      </c>
      <c r="D11" s="1474">
        <v>44501</v>
      </c>
      <c r="E11" s="557" t="s">
        <v>260</v>
      </c>
      <c r="F11" s="494">
        <f>'S6'!AL11-'S6'!AD11-'S6'!AJ11-'S6'!AK11-'S6'!AE11-'S6'!AG11-W11</f>
        <v>331.04350357913876</v>
      </c>
      <c r="G11" s="495">
        <v>4062</v>
      </c>
      <c r="H11" s="488">
        <f t="shared" ref="H11" si="17">F11*G11</f>
        <v>1344698.7115384617</v>
      </c>
      <c r="I11" s="480">
        <v>0</v>
      </c>
      <c r="J11" s="520">
        <v>4</v>
      </c>
      <c r="K11" s="488">
        <f t="shared" ref="K11" si="18">150000*(J11+I11)</f>
        <v>600000</v>
      </c>
      <c r="L11" s="488">
        <f t="shared" ref="L11" si="19">H11-K11</f>
        <v>744698.71153846174</v>
      </c>
      <c r="M11" s="489">
        <f t="shared" ref="M11" si="20">IF(L11&gt;=12500000,20%,IF(L11&gt;=8500001,15%,IF(L11&gt;=2000001,10%,IF(L11&gt;=1500001,5%,0%))))</f>
        <v>0</v>
      </c>
      <c r="N11" s="488">
        <f t="shared" ref="N11" si="21">IF(M11=5%,75000,IF(M11=10%,175000,0))</f>
        <v>0</v>
      </c>
      <c r="O11" s="490">
        <f t="shared" ref="O11" si="22">L11*M11-N11</f>
        <v>0</v>
      </c>
      <c r="P11" s="491">
        <f t="shared" si="7"/>
        <v>0</v>
      </c>
      <c r="R11" s="1186">
        <v>30632</v>
      </c>
      <c r="S11" s="1170">
        <v>44835</v>
      </c>
      <c r="T11" s="1174">
        <f>'S6'!AL11-'S6'!AE11</f>
        <v>356.95192307692309</v>
      </c>
      <c r="U11" s="1176">
        <f t="shared" si="8"/>
        <v>1449938.7115384615</v>
      </c>
      <c r="V11" s="1181">
        <f t="shared" ref="V11" si="23">IF(YEARFRAC(R11,S11)&gt;=60,"0",IF(U11&lt;400000,400000*2%,IF(U11&gt;1200000,1200000*2%,U11*2%)))</f>
        <v>24000</v>
      </c>
      <c r="W11" s="1194">
        <f t="shared" si="9"/>
        <v>5.9084194977843429</v>
      </c>
    </row>
    <row r="12" spans="1:39" s="477" customFormat="1" ht="31.5" customHeight="1">
      <c r="A12" s="478">
        <v>6</v>
      </c>
      <c r="B12" s="515" t="s">
        <v>2122</v>
      </c>
      <c r="C12" s="581" t="s">
        <v>2123</v>
      </c>
      <c r="D12" s="517">
        <v>44526</v>
      </c>
      <c r="E12" s="527" t="s">
        <v>260</v>
      </c>
      <c r="F12" s="494">
        <f>'S6'!AL12-'S6'!AD12-'S6'!AJ12-'S6'!AK12-'S6'!AE12-'S6'!AG12-W12</f>
        <v>357.36081127144638</v>
      </c>
      <c r="G12" s="495">
        <v>4062</v>
      </c>
      <c r="H12" s="488">
        <f t="shared" ref="H12" si="24">F12*G12</f>
        <v>1451599.6153846153</v>
      </c>
      <c r="I12" s="480"/>
      <c r="J12" s="519">
        <v>2</v>
      </c>
      <c r="K12" s="488">
        <f t="shared" ref="K12" si="25">150000*(J12+I12)</f>
        <v>300000</v>
      </c>
      <c r="L12" s="488">
        <f t="shared" ref="L12" si="26">H12-K12</f>
        <v>1151599.6153846153</v>
      </c>
      <c r="M12" s="489">
        <f t="shared" ref="M12" si="27">IF(L12&gt;=12500000,20%,IF(L12&gt;=8500001,15%,IF(L12&gt;=2000001,10%,IF(L12&gt;=1500001,5%,0%))))</f>
        <v>0</v>
      </c>
      <c r="N12" s="488">
        <f t="shared" ref="N12" si="28">IF(M12=5%,75000,IF(M12=10%,175000,0))</f>
        <v>0</v>
      </c>
      <c r="O12" s="490">
        <f t="shared" ref="O12" si="29">L12*M12-N12</f>
        <v>0</v>
      </c>
      <c r="P12" s="491">
        <f t="shared" si="7"/>
        <v>0</v>
      </c>
      <c r="R12" s="1172">
        <v>35531</v>
      </c>
      <c r="S12" s="1170">
        <v>44835</v>
      </c>
      <c r="T12" s="1174">
        <f>'S6'!AL12-'S6'!AE12</f>
        <v>383.26923076923072</v>
      </c>
      <c r="U12" s="1176">
        <f t="shared" si="8"/>
        <v>1556839.6153846153</v>
      </c>
      <c r="V12" s="1181">
        <f t="shared" ref="V12" si="30">IF(YEARFRAC(R12,S12)&gt;=60,"0",IF(U12&lt;400000,400000*2%,IF(U12&gt;1200000,1200000*2%,U12*2%)))</f>
        <v>24000</v>
      </c>
      <c r="W12" s="1194">
        <f t="shared" si="9"/>
        <v>5.9084194977843429</v>
      </c>
    </row>
    <row r="13" spans="1:39" s="477" customFormat="1" ht="31.5" customHeight="1">
      <c r="A13" s="478">
        <v>7</v>
      </c>
      <c r="B13" s="688" t="s">
        <v>2029</v>
      </c>
      <c r="C13" s="625" t="s">
        <v>1892</v>
      </c>
      <c r="D13" s="1473">
        <v>44537</v>
      </c>
      <c r="E13" s="527" t="s">
        <v>260</v>
      </c>
      <c r="F13" s="494">
        <f>'S6'!AL13-'S6'!AD13-'S6'!AJ13-'S6'!AK13-'S6'!AE13-'S6'!AG13-W13</f>
        <v>348.87042665606185</v>
      </c>
      <c r="G13" s="495">
        <v>4062</v>
      </c>
      <c r="H13" s="488">
        <f t="shared" ref="H13" si="31">F13*G13</f>
        <v>1417111.6730769232</v>
      </c>
      <c r="I13" s="480"/>
      <c r="J13" s="519">
        <v>2</v>
      </c>
      <c r="K13" s="488">
        <f t="shared" ref="K13" si="32">150000*(J13+I13)</f>
        <v>300000</v>
      </c>
      <c r="L13" s="488">
        <f t="shared" ref="L13" si="33">H13-K13</f>
        <v>1117111.6730769232</v>
      </c>
      <c r="M13" s="489">
        <f t="shared" ref="M13" si="34">IF(L13&gt;=12500000,20%,IF(L13&gt;=8500001,15%,IF(L13&gt;=2000001,10%,IF(L13&gt;=1500001,5%,0%))))</f>
        <v>0</v>
      </c>
      <c r="N13" s="488">
        <f t="shared" ref="N13" si="35">IF(M13=5%,75000,IF(M13=10%,175000,0))</f>
        <v>0</v>
      </c>
      <c r="O13" s="490">
        <f t="shared" ref="O13" si="36">L13*M13-N13</f>
        <v>0</v>
      </c>
      <c r="P13" s="491">
        <f t="shared" si="7"/>
        <v>0</v>
      </c>
      <c r="R13" s="1212">
        <v>35111</v>
      </c>
      <c r="S13" s="1170">
        <v>44835</v>
      </c>
      <c r="T13" s="1174">
        <f>'S6'!AL13-'S6'!AE13</f>
        <v>379.77884615384619</v>
      </c>
      <c r="U13" s="1176">
        <f t="shared" si="8"/>
        <v>1542661.6730769232</v>
      </c>
      <c r="V13" s="1181">
        <f t="shared" si="6"/>
        <v>24000</v>
      </c>
      <c r="W13" s="1194">
        <f t="shared" si="9"/>
        <v>5.9084194977843429</v>
      </c>
    </row>
    <row r="14" spans="1:39" s="477" customFormat="1" ht="31.5" customHeight="1">
      <c r="A14" s="478">
        <v>8</v>
      </c>
      <c r="B14" s="515" t="s">
        <v>1001</v>
      </c>
      <c r="C14" s="581" t="s">
        <v>1002</v>
      </c>
      <c r="D14" s="1474">
        <v>44537</v>
      </c>
      <c r="E14" s="527" t="s">
        <v>260</v>
      </c>
      <c r="F14" s="494">
        <f>'S6'!AL14-'S6'!AD14-'S6'!AJ14-'S6'!AK14-'S6'!AE14-'S6'!AG14-W14</f>
        <v>359.88965742529251</v>
      </c>
      <c r="G14" s="495">
        <v>4062</v>
      </c>
      <c r="H14" s="488">
        <f t="shared" si="0"/>
        <v>1461871.7884615383</v>
      </c>
      <c r="I14" s="480"/>
      <c r="J14" s="519">
        <v>0</v>
      </c>
      <c r="K14" s="488">
        <f t="shared" si="1"/>
        <v>0</v>
      </c>
      <c r="L14" s="488">
        <f t="shared" si="2"/>
        <v>1461871.7884615383</v>
      </c>
      <c r="M14" s="489">
        <f t="shared" si="3"/>
        <v>0</v>
      </c>
      <c r="N14" s="488">
        <f t="shared" si="4"/>
        <v>0</v>
      </c>
      <c r="O14" s="490">
        <f t="shared" si="5"/>
        <v>0</v>
      </c>
      <c r="P14" s="491">
        <f t="shared" si="7"/>
        <v>0</v>
      </c>
      <c r="R14" s="1212">
        <v>35978</v>
      </c>
      <c r="S14" s="1170">
        <v>44835</v>
      </c>
      <c r="T14" s="1174">
        <f>'S6'!AL14-'S6'!AE14</f>
        <v>385.79807692307685</v>
      </c>
      <c r="U14" s="1176">
        <f t="shared" si="8"/>
        <v>1567111.7884615383</v>
      </c>
      <c r="V14" s="1181">
        <f t="shared" si="6"/>
        <v>24000</v>
      </c>
      <c r="W14" s="1194">
        <f t="shared" si="9"/>
        <v>5.9084194977843429</v>
      </c>
    </row>
    <row r="15" spans="1:39" s="477" customFormat="1" ht="31.5" customHeight="1">
      <c r="A15" s="478">
        <v>9</v>
      </c>
      <c r="B15" s="515" t="s">
        <v>1003</v>
      </c>
      <c r="C15" s="581" t="s">
        <v>1004</v>
      </c>
      <c r="D15" s="1474">
        <v>44537</v>
      </c>
      <c r="E15" s="527" t="s">
        <v>260</v>
      </c>
      <c r="F15" s="494">
        <f>'S6'!AL15-'S6'!AD15-'S6'!AJ15-'S6'!AK15-'S6'!AE15-'S6'!AG15-W15</f>
        <v>365.69734973298489</v>
      </c>
      <c r="G15" s="495">
        <v>4062</v>
      </c>
      <c r="H15" s="488">
        <f t="shared" si="0"/>
        <v>1485462.6346153845</v>
      </c>
      <c r="I15" s="480"/>
      <c r="J15" s="519">
        <v>1</v>
      </c>
      <c r="K15" s="488">
        <f t="shared" si="1"/>
        <v>150000</v>
      </c>
      <c r="L15" s="488">
        <f t="shared" si="2"/>
        <v>1335462.6346153845</v>
      </c>
      <c r="M15" s="489">
        <f t="shared" si="3"/>
        <v>0</v>
      </c>
      <c r="N15" s="488">
        <f t="shared" si="4"/>
        <v>0</v>
      </c>
      <c r="O15" s="490">
        <f t="shared" si="5"/>
        <v>0</v>
      </c>
      <c r="P15" s="491">
        <f t="shared" si="7"/>
        <v>0</v>
      </c>
      <c r="R15" s="1212">
        <v>36011</v>
      </c>
      <c r="S15" s="1170">
        <v>44835</v>
      </c>
      <c r="T15" s="1174">
        <f>'S6'!AL15-'S6'!AE15</f>
        <v>391.60576923076923</v>
      </c>
      <c r="U15" s="1176">
        <f t="shared" si="8"/>
        <v>1590702.6346153845</v>
      </c>
      <c r="V15" s="1181">
        <f t="shared" si="6"/>
        <v>24000</v>
      </c>
      <c r="W15" s="1194">
        <f t="shared" si="9"/>
        <v>5.9084194977843429</v>
      </c>
    </row>
    <row r="16" spans="1:39" s="477" customFormat="1" ht="31.5" customHeight="1">
      <c r="A16" s="478">
        <v>10</v>
      </c>
      <c r="B16" s="688" t="s">
        <v>1005</v>
      </c>
      <c r="C16" s="625" t="s">
        <v>1006</v>
      </c>
      <c r="D16" s="1473">
        <v>44544</v>
      </c>
      <c r="E16" s="527" t="s">
        <v>260</v>
      </c>
      <c r="F16" s="494">
        <f>'S6'!AL16-'S6'!AD16-'S6'!AJ16-'S6'!AK16-'S6'!AE16-'S6'!AG16-W16</f>
        <v>348.87042665606185</v>
      </c>
      <c r="G16" s="495">
        <v>4062</v>
      </c>
      <c r="H16" s="488">
        <f t="shared" si="0"/>
        <v>1417111.6730769232</v>
      </c>
      <c r="I16" s="480"/>
      <c r="J16" s="519">
        <v>2</v>
      </c>
      <c r="K16" s="488">
        <f t="shared" si="1"/>
        <v>300000</v>
      </c>
      <c r="L16" s="488">
        <f t="shared" si="2"/>
        <v>1117111.6730769232</v>
      </c>
      <c r="M16" s="489">
        <f t="shared" si="3"/>
        <v>0</v>
      </c>
      <c r="N16" s="488">
        <f t="shared" si="4"/>
        <v>0</v>
      </c>
      <c r="O16" s="490">
        <f t="shared" si="5"/>
        <v>0</v>
      </c>
      <c r="P16" s="491">
        <f t="shared" si="7"/>
        <v>0</v>
      </c>
      <c r="R16" s="1212">
        <v>33826</v>
      </c>
      <c r="S16" s="1170">
        <v>44835</v>
      </c>
      <c r="T16" s="1174">
        <f>'S6'!AL16-'S6'!AE16</f>
        <v>374.77884615384619</v>
      </c>
      <c r="U16" s="1176">
        <f t="shared" si="8"/>
        <v>1522351.6730769232</v>
      </c>
      <c r="V16" s="1181">
        <f t="shared" si="6"/>
        <v>24000</v>
      </c>
      <c r="W16" s="1194">
        <f t="shared" si="9"/>
        <v>5.9084194977843429</v>
      </c>
    </row>
    <row r="17" spans="1:23" s="477" customFormat="1" ht="31.5" customHeight="1">
      <c r="A17" s="478">
        <v>11</v>
      </c>
      <c r="B17" s="688" t="s">
        <v>1007</v>
      </c>
      <c r="C17" s="625" t="s">
        <v>1008</v>
      </c>
      <c r="D17" s="1473">
        <v>44540</v>
      </c>
      <c r="E17" s="527" t="s">
        <v>260</v>
      </c>
      <c r="F17" s="494">
        <f>'S6'!AL17-'S6'!AD17-'S6'!AJ17-'S6'!AK17-'S6'!AE17-'S6'!AG17-W17</f>
        <v>375.71781887464516</v>
      </c>
      <c r="G17" s="495">
        <v>4062</v>
      </c>
      <c r="H17" s="488">
        <f t="shared" ref="H17" si="37">F17*G17</f>
        <v>1526165.7802688086</v>
      </c>
      <c r="I17" s="480"/>
      <c r="J17" s="519">
        <v>0</v>
      </c>
      <c r="K17" s="488">
        <f t="shared" ref="K17" si="38">150000*(J17+I17)</f>
        <v>0</v>
      </c>
      <c r="L17" s="488">
        <f t="shared" ref="L17" si="39">H17-K17</f>
        <v>1526165.7802688086</v>
      </c>
      <c r="M17" s="489">
        <f t="shared" ref="M17" si="40">IF(L17&gt;=12500000,20%,IF(L17&gt;=8500001,15%,IF(L17&gt;=2000001,10%,IF(L17&gt;=1500001,5%,0%))))</f>
        <v>0.05</v>
      </c>
      <c r="N17" s="488">
        <f t="shared" ref="N17" si="41">IF(M17=5%,75000,IF(M17=10%,175000,0))</f>
        <v>75000</v>
      </c>
      <c r="O17" s="490">
        <f t="shared" ref="O17" si="42">L17*M17-N17</f>
        <v>1308.2890134404297</v>
      </c>
      <c r="P17" s="491">
        <f t="shared" si="7"/>
        <v>0.32208001315618651</v>
      </c>
      <c r="R17" s="1560">
        <v>36563</v>
      </c>
      <c r="S17" s="1170">
        <v>44835</v>
      </c>
      <c r="T17" s="1174">
        <f>'S6'!AL17-'S6'!AE17</f>
        <v>401.6262383724295</v>
      </c>
      <c r="U17" s="1176">
        <f t="shared" si="8"/>
        <v>1631405.7802688086</v>
      </c>
      <c r="V17" s="1181">
        <f t="shared" si="6"/>
        <v>24000</v>
      </c>
      <c r="W17" s="1194">
        <f t="shared" si="9"/>
        <v>5.9084194977843429</v>
      </c>
    </row>
    <row r="18" spans="1:23" s="477" customFormat="1" ht="31.5" customHeight="1">
      <c r="A18" s="478">
        <v>12</v>
      </c>
      <c r="B18" s="514" t="s">
        <v>452</v>
      </c>
      <c r="C18" s="583" t="s">
        <v>504</v>
      </c>
      <c r="D18" s="1563">
        <v>41334</v>
      </c>
      <c r="E18" s="513" t="s">
        <v>260</v>
      </c>
      <c r="F18" s="494">
        <f>'S6'!AL18-'S6'!AD18-'S6'!AJ18-'S6'!AK18-'S6'!AE18-'S6'!AG18-W18</f>
        <v>638.33196511760025</v>
      </c>
      <c r="G18" s="495">
        <v>4062</v>
      </c>
      <c r="H18" s="488">
        <f t="shared" si="0"/>
        <v>2592904.442307692</v>
      </c>
      <c r="I18" s="480"/>
      <c r="J18" s="519">
        <v>4</v>
      </c>
      <c r="K18" s="488">
        <f t="shared" si="1"/>
        <v>600000</v>
      </c>
      <c r="L18" s="488">
        <f t="shared" si="2"/>
        <v>1992904.442307692</v>
      </c>
      <c r="M18" s="489">
        <f t="shared" si="3"/>
        <v>0.05</v>
      </c>
      <c r="N18" s="488">
        <f t="shared" si="4"/>
        <v>75000</v>
      </c>
      <c r="O18" s="490">
        <f t="shared" si="5"/>
        <v>24645.222115384604</v>
      </c>
      <c r="P18" s="491">
        <f t="shared" si="7"/>
        <v>6.0672629530735112</v>
      </c>
      <c r="R18" s="1186">
        <v>29137</v>
      </c>
      <c r="S18" s="1170">
        <v>44835</v>
      </c>
      <c r="T18" s="1174">
        <f>'S6'!AL18-'S6'!AE18</f>
        <v>664.24038461538464</v>
      </c>
      <c r="U18" s="1176">
        <f t="shared" si="8"/>
        <v>2698144.4423076925</v>
      </c>
      <c r="V18" s="1181">
        <f t="shared" si="6"/>
        <v>24000</v>
      </c>
      <c r="W18" s="1194">
        <f t="shared" si="9"/>
        <v>5.9084194977843429</v>
      </c>
    </row>
    <row r="19" spans="1:23" s="477" customFormat="1" ht="31.5" customHeight="1">
      <c r="A19" s="478">
        <v>13</v>
      </c>
      <c r="B19" s="514" t="s">
        <v>1404</v>
      </c>
      <c r="C19" s="583" t="s">
        <v>1059</v>
      </c>
      <c r="D19" s="1563">
        <v>44574</v>
      </c>
      <c r="E19" s="513" t="s">
        <v>260</v>
      </c>
      <c r="F19" s="494">
        <f>'S6'!AL19-'S6'!AD19-'S6'!AJ19-'S6'!AK19-'S6'!AE19-'S6'!AG19-W19</f>
        <v>345.59158050221561</v>
      </c>
      <c r="G19" s="495">
        <v>4062</v>
      </c>
      <c r="H19" s="488">
        <f t="shared" si="0"/>
        <v>1403792.9999999998</v>
      </c>
      <c r="I19" s="480"/>
      <c r="J19" s="519">
        <v>1</v>
      </c>
      <c r="K19" s="488">
        <f t="shared" si="1"/>
        <v>150000</v>
      </c>
      <c r="L19" s="488">
        <f t="shared" si="2"/>
        <v>1253792.9999999998</v>
      </c>
      <c r="M19" s="489">
        <f t="shared" si="3"/>
        <v>0</v>
      </c>
      <c r="N19" s="488">
        <f t="shared" si="4"/>
        <v>0</v>
      </c>
      <c r="O19" s="490">
        <f t="shared" si="5"/>
        <v>0</v>
      </c>
      <c r="P19" s="491">
        <f t="shared" si="7"/>
        <v>0</v>
      </c>
      <c r="R19" s="1186">
        <v>36245</v>
      </c>
      <c r="S19" s="1170">
        <v>44835</v>
      </c>
      <c r="T19" s="1174">
        <f>'S6'!AL19-'S6'!AE19</f>
        <v>371.49999999999994</v>
      </c>
      <c r="U19" s="1176">
        <f t="shared" si="8"/>
        <v>1509032.9999999998</v>
      </c>
      <c r="V19" s="1181">
        <f t="shared" si="6"/>
        <v>24000</v>
      </c>
      <c r="W19" s="1194">
        <f t="shared" si="9"/>
        <v>5.9084194977843429</v>
      </c>
    </row>
    <row r="20" spans="1:23" s="477" customFormat="1" ht="31.5" customHeight="1">
      <c r="A20" s="478">
        <v>14</v>
      </c>
      <c r="B20" s="514" t="s">
        <v>1405</v>
      </c>
      <c r="C20" s="583" t="s">
        <v>1060</v>
      </c>
      <c r="D20" s="1563">
        <v>44576</v>
      </c>
      <c r="E20" s="513" t="s">
        <v>260</v>
      </c>
      <c r="F20" s="494">
        <f>'S6'!AL20-'S6'!AD20-'S6'!AJ20-'S6'!AK20-'S6'!AE20-'S6'!AG20-W20</f>
        <v>292.57234973298483</v>
      </c>
      <c r="G20" s="495">
        <v>4062</v>
      </c>
      <c r="H20" s="488">
        <f t="shared" si="0"/>
        <v>1188428.8846153843</v>
      </c>
      <c r="I20" s="480"/>
      <c r="J20" s="519">
        <v>0</v>
      </c>
      <c r="K20" s="488">
        <f t="shared" si="1"/>
        <v>0</v>
      </c>
      <c r="L20" s="488">
        <f t="shared" si="2"/>
        <v>1188428.8846153843</v>
      </c>
      <c r="M20" s="489">
        <f t="shared" si="3"/>
        <v>0</v>
      </c>
      <c r="N20" s="488">
        <f t="shared" si="4"/>
        <v>0</v>
      </c>
      <c r="O20" s="490">
        <f t="shared" si="5"/>
        <v>0</v>
      </c>
      <c r="P20" s="491">
        <f t="shared" si="7"/>
        <v>0</v>
      </c>
      <c r="R20" s="1186">
        <v>36506</v>
      </c>
      <c r="S20" s="1170">
        <v>44835</v>
      </c>
      <c r="T20" s="1174">
        <f>'S6'!AL20-'S6'!AE20</f>
        <v>318.48076923076917</v>
      </c>
      <c r="U20" s="1176">
        <f t="shared" si="8"/>
        <v>1293668.8846153843</v>
      </c>
      <c r="V20" s="1181">
        <f t="shared" si="6"/>
        <v>24000</v>
      </c>
      <c r="W20" s="1194">
        <f t="shared" si="9"/>
        <v>5.9084194977843429</v>
      </c>
    </row>
    <row r="21" spans="1:23" s="477" customFormat="1" ht="31.5" customHeight="1">
      <c r="A21" s="478">
        <v>15</v>
      </c>
      <c r="B21" s="973" t="s">
        <v>2030</v>
      </c>
      <c r="C21" s="956" t="s">
        <v>1356</v>
      </c>
      <c r="D21" s="1474">
        <v>44600</v>
      </c>
      <c r="E21" s="513" t="s">
        <v>260</v>
      </c>
      <c r="F21" s="494">
        <f>'S6'!AL21-'S6'!AD21-'S6'!AJ21-'S6'!AK21-'S6'!AE21-'S6'!AG21-W21</f>
        <v>283.4088881945234</v>
      </c>
      <c r="G21" s="495">
        <v>4062</v>
      </c>
      <c r="H21" s="488">
        <f t="shared" si="0"/>
        <v>1151206.903846154</v>
      </c>
      <c r="I21" s="480"/>
      <c r="J21" s="519">
        <v>1</v>
      </c>
      <c r="K21" s="488">
        <f t="shared" si="1"/>
        <v>150000</v>
      </c>
      <c r="L21" s="488">
        <f t="shared" si="2"/>
        <v>1001206.903846154</v>
      </c>
      <c r="M21" s="489">
        <f t="shared" si="3"/>
        <v>0</v>
      </c>
      <c r="N21" s="488">
        <f t="shared" si="4"/>
        <v>0</v>
      </c>
      <c r="O21" s="490">
        <f t="shared" ref="O21" si="43">L21*M21-N21</f>
        <v>0</v>
      </c>
      <c r="P21" s="491">
        <f t="shared" si="7"/>
        <v>0</v>
      </c>
      <c r="R21" s="1186">
        <v>33707</v>
      </c>
      <c r="S21" s="1170">
        <v>44835</v>
      </c>
      <c r="T21" s="1174">
        <f>'S6'!AL21-'S6'!AE21</f>
        <v>309.31730769230774</v>
      </c>
      <c r="U21" s="1176">
        <f t="shared" si="8"/>
        <v>1256446.903846154</v>
      </c>
      <c r="V21" s="1181">
        <f t="shared" si="6"/>
        <v>24000</v>
      </c>
      <c r="W21" s="1194">
        <f t="shared" si="9"/>
        <v>5.9084194977843429</v>
      </c>
    </row>
    <row r="22" spans="1:23" s="477" customFormat="1" ht="31.5" customHeight="1">
      <c r="A22" s="478">
        <v>16</v>
      </c>
      <c r="B22" s="591" t="s">
        <v>564</v>
      </c>
      <c r="C22" s="584" t="s">
        <v>565</v>
      </c>
      <c r="D22" s="1563">
        <v>41334</v>
      </c>
      <c r="E22" s="557" t="s">
        <v>260</v>
      </c>
      <c r="F22" s="494">
        <f>'S6'!AL22-'S6'!AD22-'S6'!AJ22-'S6'!AK22-'S6'!AE22-'S6'!AG22-W22</f>
        <v>420.96658050221566</v>
      </c>
      <c r="G22" s="495">
        <v>4062</v>
      </c>
      <c r="H22" s="488">
        <f t="shared" si="0"/>
        <v>1709966.25</v>
      </c>
      <c r="I22" s="495"/>
      <c r="J22" s="519">
        <v>3</v>
      </c>
      <c r="K22" s="488">
        <f t="shared" si="1"/>
        <v>450000</v>
      </c>
      <c r="L22" s="488">
        <f t="shared" si="2"/>
        <v>1259966.25</v>
      </c>
      <c r="M22" s="489">
        <f t="shared" si="3"/>
        <v>0</v>
      </c>
      <c r="N22" s="488">
        <f t="shared" si="4"/>
        <v>0</v>
      </c>
      <c r="O22" s="490">
        <f t="shared" si="5"/>
        <v>0</v>
      </c>
      <c r="P22" s="491">
        <f t="shared" si="7"/>
        <v>0</v>
      </c>
      <c r="R22" s="1186">
        <v>30909</v>
      </c>
      <c r="S22" s="1170">
        <v>44835</v>
      </c>
      <c r="T22" s="1174">
        <f>'S6'!AL22-'S6'!AE22</f>
        <v>446.875</v>
      </c>
      <c r="U22" s="1176">
        <f t="shared" si="8"/>
        <v>1815206.25</v>
      </c>
      <c r="V22" s="1181">
        <f t="shared" si="6"/>
        <v>24000</v>
      </c>
      <c r="W22" s="1194">
        <f t="shared" si="9"/>
        <v>5.9084194977843429</v>
      </c>
    </row>
    <row r="23" spans="1:23" s="477" customFormat="1" ht="31.5" customHeight="1">
      <c r="A23" s="478">
        <v>17</v>
      </c>
      <c r="B23" s="572" t="s">
        <v>1512</v>
      </c>
      <c r="C23" s="578" t="s">
        <v>1511</v>
      </c>
      <c r="D23" s="1474">
        <v>44652</v>
      </c>
      <c r="E23" s="557" t="s">
        <v>260</v>
      </c>
      <c r="F23" s="494">
        <f>'S6'!AL23-'S6'!AD23-'S6'!AJ23-'S6'!AK23-'S6'!AE23-'S6'!AG23-W23</f>
        <v>326.84365067708887</v>
      </c>
      <c r="G23" s="495">
        <v>4062</v>
      </c>
      <c r="H23" s="488">
        <f t="shared" ref="H23" si="44">F23*G23</f>
        <v>1327638.9090503349</v>
      </c>
      <c r="I23" s="495"/>
      <c r="J23" s="519">
        <v>1</v>
      </c>
      <c r="K23" s="488">
        <f t="shared" ref="K23" si="45">150000*(J23+I23)</f>
        <v>150000</v>
      </c>
      <c r="L23" s="488">
        <f t="shared" ref="L23" si="46">H23-K23</f>
        <v>1177638.9090503349</v>
      </c>
      <c r="M23" s="489">
        <f t="shared" si="3"/>
        <v>0</v>
      </c>
      <c r="N23" s="488">
        <f t="shared" si="4"/>
        <v>0</v>
      </c>
      <c r="O23" s="490">
        <f t="shared" ref="O23" si="47">L23*M23-N23</f>
        <v>0</v>
      </c>
      <c r="P23" s="491">
        <f t="shared" si="7"/>
        <v>0</v>
      </c>
      <c r="R23" s="1186">
        <v>31932</v>
      </c>
      <c r="S23" s="1170">
        <v>44835</v>
      </c>
      <c r="T23" s="1174">
        <f>'S6'!AL23-'S6'!AE23</f>
        <v>352.75207017487321</v>
      </c>
      <c r="U23" s="1176">
        <f t="shared" si="8"/>
        <v>1432878.9090503349</v>
      </c>
      <c r="V23" s="1181">
        <f t="shared" si="6"/>
        <v>24000</v>
      </c>
      <c r="W23" s="1194">
        <f t="shared" si="9"/>
        <v>5.9084194977843429</v>
      </c>
    </row>
    <row r="24" spans="1:23" s="477" customFormat="1" ht="31.5" customHeight="1">
      <c r="A24" s="478">
        <v>18</v>
      </c>
      <c r="B24" s="1098" t="s">
        <v>2092</v>
      </c>
      <c r="C24" s="956" t="s">
        <v>2093</v>
      </c>
      <c r="D24" s="517">
        <v>44684</v>
      </c>
      <c r="E24" s="557" t="s">
        <v>260</v>
      </c>
      <c r="F24" s="494">
        <f>'S6'!AL24-'S6'!AD24-'S6'!AJ24-'S6'!AK24-'S6'!AE24-'S6'!AG24-W24</f>
        <v>379.57234973298495</v>
      </c>
      <c r="G24" s="495">
        <v>4062</v>
      </c>
      <c r="H24" s="488">
        <f t="shared" ref="H24" si="48">F24*G24</f>
        <v>1541822.8846153847</v>
      </c>
      <c r="I24" s="495"/>
      <c r="J24" s="519">
        <v>1</v>
      </c>
      <c r="K24" s="488">
        <f t="shared" ref="K24" si="49">150000*(J24+I24)</f>
        <v>150000</v>
      </c>
      <c r="L24" s="488">
        <f t="shared" ref="L24" si="50">H24-K24</f>
        <v>1391822.8846153847</v>
      </c>
      <c r="M24" s="489">
        <f t="shared" ref="M24" si="51">IF(L24&gt;=12500000,20%,IF(L24&gt;=8500001,15%,IF(L24&gt;=2000001,10%,IF(L24&gt;=1500001,5%,0%))))</f>
        <v>0</v>
      </c>
      <c r="N24" s="488">
        <f t="shared" ref="N24" si="52">IF(M24=5%,75000,IF(M24=10%,175000,0))</f>
        <v>0</v>
      </c>
      <c r="O24" s="490">
        <f t="shared" ref="O24" si="53">L24*M24-N24</f>
        <v>0</v>
      </c>
      <c r="P24" s="491">
        <f t="shared" si="7"/>
        <v>0</v>
      </c>
      <c r="R24" s="1186">
        <v>35987</v>
      </c>
      <c r="S24" s="1170">
        <v>44835</v>
      </c>
      <c r="T24" s="1174">
        <f>'S6'!AL24-'S6'!AE24</f>
        <v>405.48076923076928</v>
      </c>
      <c r="U24" s="1176">
        <f t="shared" si="8"/>
        <v>1647062.8846153847</v>
      </c>
      <c r="V24" s="1181">
        <f t="shared" ref="V24" si="54">IF(YEARFRAC(R24,S24)&gt;=60,"0",IF(U24&lt;400000,400000*2%,IF(U24&gt;1200000,1200000*2%,U24*2%)))</f>
        <v>24000</v>
      </c>
      <c r="W24" s="1194">
        <f t="shared" si="9"/>
        <v>5.9084194977843429</v>
      </c>
    </row>
    <row r="25" spans="1:23" s="477" customFormat="1" ht="31.5" customHeight="1">
      <c r="A25" s="478">
        <v>19</v>
      </c>
      <c r="B25" s="973" t="s">
        <v>2031</v>
      </c>
      <c r="C25" s="956" t="s">
        <v>1526</v>
      </c>
      <c r="D25" s="1474">
        <v>44692</v>
      </c>
      <c r="E25" s="557" t="s">
        <v>260</v>
      </c>
      <c r="F25" s="494">
        <f>'S6'!AL25-'S6'!AD25-'S6'!AJ25-'S6'!AK25-'S6'!AE25-'S6'!AG25-W25</f>
        <v>302.32234973298495</v>
      </c>
      <c r="G25" s="495">
        <v>4062</v>
      </c>
      <c r="H25" s="488">
        <f t="shared" ref="H25" si="55">F25*G25</f>
        <v>1228033.3846153847</v>
      </c>
      <c r="I25" s="495"/>
      <c r="J25" s="519">
        <v>1</v>
      </c>
      <c r="K25" s="488">
        <f t="shared" ref="K25" si="56">150000*(J25+I25)</f>
        <v>150000</v>
      </c>
      <c r="L25" s="488">
        <f t="shared" ref="L25" si="57">H25-K25</f>
        <v>1078033.3846153847</v>
      </c>
      <c r="M25" s="489">
        <f t="shared" si="3"/>
        <v>0</v>
      </c>
      <c r="N25" s="488">
        <f t="shared" si="4"/>
        <v>0</v>
      </c>
      <c r="O25" s="490">
        <f t="shared" ref="O25" si="58">L25*M25-N25</f>
        <v>0</v>
      </c>
      <c r="P25" s="491">
        <f t="shared" si="7"/>
        <v>0</v>
      </c>
      <c r="R25" s="1186">
        <v>34441</v>
      </c>
      <c r="S25" s="1170">
        <v>44835</v>
      </c>
      <c r="T25" s="1174">
        <f>'S6'!AL25-'S6'!AE25</f>
        <v>328.23076923076928</v>
      </c>
      <c r="U25" s="1176">
        <f t="shared" si="8"/>
        <v>1333273.3846153847</v>
      </c>
      <c r="V25" s="1181">
        <f t="shared" si="6"/>
        <v>24000</v>
      </c>
      <c r="W25" s="1194">
        <f t="shared" si="9"/>
        <v>5.9084194977843429</v>
      </c>
    </row>
    <row r="26" spans="1:23" s="477" customFormat="1" ht="31.5" customHeight="1">
      <c r="A26" s="478">
        <v>20</v>
      </c>
      <c r="B26" s="1110" t="s">
        <v>2032</v>
      </c>
      <c r="C26" s="1095" t="s">
        <v>1568</v>
      </c>
      <c r="D26" s="1473">
        <v>44720</v>
      </c>
      <c r="E26" s="557" t="s">
        <v>260</v>
      </c>
      <c r="F26" s="494">
        <f>'S6'!AL26-'S6'!AD26-'S6'!AJ26-'S6'!AK26-'S6'!AE26-'S6'!AG26-W26</f>
        <v>370.11081127144644</v>
      </c>
      <c r="G26" s="495">
        <v>4062</v>
      </c>
      <c r="H26" s="488">
        <f t="shared" ref="H26" si="59">F26*G26</f>
        <v>1503390.1153846155</v>
      </c>
      <c r="I26" s="495"/>
      <c r="J26" s="519">
        <v>2</v>
      </c>
      <c r="K26" s="488">
        <f t="shared" ref="K26" si="60">150000*(J26+I26)</f>
        <v>300000</v>
      </c>
      <c r="L26" s="488">
        <f t="shared" ref="L26" si="61">H26-K26</f>
        <v>1203390.1153846155</v>
      </c>
      <c r="M26" s="489">
        <f t="shared" si="3"/>
        <v>0</v>
      </c>
      <c r="N26" s="488">
        <f t="shared" si="4"/>
        <v>0</v>
      </c>
      <c r="O26" s="490">
        <f t="shared" ref="O26" si="62">L26*M26-N26</f>
        <v>0</v>
      </c>
      <c r="P26" s="491">
        <f t="shared" si="7"/>
        <v>0</v>
      </c>
      <c r="R26" s="1186">
        <v>30715</v>
      </c>
      <c r="S26" s="1170">
        <v>44835</v>
      </c>
      <c r="T26" s="1174">
        <f>'S6'!AL26-'S6'!AE26</f>
        <v>396.01923076923077</v>
      </c>
      <c r="U26" s="1176">
        <f t="shared" si="8"/>
        <v>1608630.1153846155</v>
      </c>
      <c r="V26" s="1181">
        <f t="shared" si="6"/>
        <v>24000</v>
      </c>
      <c r="W26" s="1194">
        <f t="shared" si="9"/>
        <v>5.9084194977843429</v>
      </c>
    </row>
    <row r="27" spans="1:23" s="477" customFormat="1" ht="31.5" customHeight="1">
      <c r="A27" s="478">
        <v>21</v>
      </c>
      <c r="B27" s="1570" t="s">
        <v>552</v>
      </c>
      <c r="C27" s="628" t="s">
        <v>553</v>
      </c>
      <c r="D27" s="1563">
        <v>43872</v>
      </c>
      <c r="E27" s="557" t="s">
        <v>260</v>
      </c>
      <c r="F27" s="494">
        <f>'S6'!AL27-'S6'!AD27-'S6'!AJ27-'S6'!AK27-'S6'!AE27-'S6'!AG27-W27</f>
        <v>369.68773434836953</v>
      </c>
      <c r="G27" s="495">
        <v>4062</v>
      </c>
      <c r="H27" s="488">
        <f t="shared" si="0"/>
        <v>1501671.576923077</v>
      </c>
      <c r="I27" s="495"/>
      <c r="J27" s="521">
        <v>1</v>
      </c>
      <c r="K27" s="488">
        <f t="shared" si="1"/>
        <v>150000</v>
      </c>
      <c r="L27" s="488">
        <f t="shared" si="2"/>
        <v>1351671.576923077</v>
      </c>
      <c r="M27" s="489">
        <f t="shared" si="3"/>
        <v>0</v>
      </c>
      <c r="N27" s="488">
        <f t="shared" si="4"/>
        <v>0</v>
      </c>
      <c r="O27" s="490">
        <f t="shared" si="5"/>
        <v>0</v>
      </c>
      <c r="P27" s="491">
        <f t="shared" si="7"/>
        <v>0</v>
      </c>
      <c r="R27" s="1212">
        <v>35374</v>
      </c>
      <c r="S27" s="1170">
        <v>44835</v>
      </c>
      <c r="T27" s="1174">
        <f>'S6'!AL27-'S6'!AE27</f>
        <v>395.59615384615387</v>
      </c>
      <c r="U27" s="1176">
        <f t="shared" si="8"/>
        <v>1606911.576923077</v>
      </c>
      <c r="V27" s="1181">
        <f t="shared" si="6"/>
        <v>24000</v>
      </c>
      <c r="W27" s="1194">
        <f t="shared" si="9"/>
        <v>5.9084194977843429</v>
      </c>
    </row>
    <row r="28" spans="1:23" s="477" customFormat="1" ht="31.5" customHeight="1">
      <c r="A28" s="478">
        <v>22</v>
      </c>
      <c r="B28" s="514" t="s">
        <v>312</v>
      </c>
      <c r="C28" s="583" t="s">
        <v>505</v>
      </c>
      <c r="D28" s="1563">
        <v>41362</v>
      </c>
      <c r="E28" s="513" t="s">
        <v>260</v>
      </c>
      <c r="F28" s="494">
        <f>'S6'!AL28-'S6'!AD28-'S6'!AJ28-'S6'!AK28-'S6'!AE28-'S6'!AG28-W28</f>
        <v>262.12744325170235</v>
      </c>
      <c r="G28" s="495">
        <v>4062</v>
      </c>
      <c r="H28" s="488">
        <f t="shared" si="0"/>
        <v>1064761.674488415</v>
      </c>
      <c r="I28" s="495">
        <v>0</v>
      </c>
      <c r="J28" s="520">
        <v>3</v>
      </c>
      <c r="K28" s="488">
        <f t="shared" si="1"/>
        <v>450000</v>
      </c>
      <c r="L28" s="488">
        <f t="shared" si="2"/>
        <v>614761.67448841501</v>
      </c>
      <c r="M28" s="489">
        <f t="shared" si="3"/>
        <v>0</v>
      </c>
      <c r="N28" s="488">
        <f t="shared" si="4"/>
        <v>0</v>
      </c>
      <c r="O28" s="490">
        <f t="shared" si="5"/>
        <v>0</v>
      </c>
      <c r="P28" s="491">
        <f t="shared" si="7"/>
        <v>0</v>
      </c>
      <c r="R28" s="1212">
        <v>29870</v>
      </c>
      <c r="S28" s="1170">
        <v>44835</v>
      </c>
      <c r="T28" s="1174">
        <f>'S6'!AL28-'S6'!AE28</f>
        <v>287.8851461752065</v>
      </c>
      <c r="U28" s="1176">
        <f t="shared" si="8"/>
        <v>1169389.4637636887</v>
      </c>
      <c r="V28" s="1181">
        <f t="shared" si="6"/>
        <v>23387.789275273775</v>
      </c>
      <c r="W28" s="1194">
        <f t="shared" si="9"/>
        <v>5.7577029235041302</v>
      </c>
    </row>
    <row r="29" spans="1:23" s="477" customFormat="1" ht="31.5" customHeight="1">
      <c r="A29" s="478">
        <v>23</v>
      </c>
      <c r="B29" s="518" t="s">
        <v>417</v>
      </c>
      <c r="C29" s="578" t="s">
        <v>302</v>
      </c>
      <c r="D29" s="1563">
        <v>42542</v>
      </c>
      <c r="E29" s="513" t="s">
        <v>260</v>
      </c>
      <c r="F29" s="494">
        <f>'S6'!AL29-'S6'!AD29-'S6'!AJ29-'S6'!AK29-'S6'!AE29-'S6'!AG29-W29</f>
        <v>364.77427280990804</v>
      </c>
      <c r="G29" s="495">
        <v>4062</v>
      </c>
      <c r="H29" s="488">
        <f t="shared" si="0"/>
        <v>1481713.0961538465</v>
      </c>
      <c r="I29" s="495"/>
      <c r="J29" s="520">
        <v>1</v>
      </c>
      <c r="K29" s="488">
        <f t="shared" si="1"/>
        <v>150000</v>
      </c>
      <c r="L29" s="488">
        <f t="shared" si="2"/>
        <v>1331713.0961538465</v>
      </c>
      <c r="M29" s="489">
        <f t="shared" si="3"/>
        <v>0</v>
      </c>
      <c r="N29" s="488">
        <f t="shared" si="4"/>
        <v>0</v>
      </c>
      <c r="O29" s="490">
        <f t="shared" si="5"/>
        <v>0</v>
      </c>
      <c r="P29" s="491">
        <f t="shared" si="7"/>
        <v>0</v>
      </c>
      <c r="R29" s="1212">
        <v>33215</v>
      </c>
      <c r="S29" s="1170">
        <v>44835</v>
      </c>
      <c r="T29" s="1174">
        <f>'S6'!AL29-'S6'!AE29</f>
        <v>390.68269230769238</v>
      </c>
      <c r="U29" s="1176">
        <f t="shared" si="8"/>
        <v>1586953.0961538465</v>
      </c>
      <c r="V29" s="1181">
        <f t="shared" si="6"/>
        <v>24000</v>
      </c>
      <c r="W29" s="1194">
        <f t="shared" si="9"/>
        <v>5.9084194977843429</v>
      </c>
    </row>
    <row r="30" spans="1:23" s="477" customFormat="1" ht="31.5" customHeight="1">
      <c r="A30" s="478">
        <v>24</v>
      </c>
      <c r="B30" s="514" t="s">
        <v>313</v>
      </c>
      <c r="C30" s="583" t="s">
        <v>314</v>
      </c>
      <c r="D30" s="1563">
        <v>41411</v>
      </c>
      <c r="E30" s="513" t="s">
        <v>260</v>
      </c>
      <c r="F30" s="494">
        <f>'S6'!AL30-'S6'!AD30-'S6'!AJ30-'S6'!AK30-'S6'!AE30-'S6'!AG30-W30</f>
        <v>278.07234973298489</v>
      </c>
      <c r="G30" s="495">
        <v>4062</v>
      </c>
      <c r="H30" s="488">
        <f t="shared" si="0"/>
        <v>1129529.8846153845</v>
      </c>
      <c r="I30" s="495"/>
      <c r="J30" s="523"/>
      <c r="K30" s="488">
        <f t="shared" si="1"/>
        <v>0</v>
      </c>
      <c r="L30" s="488">
        <f t="shared" si="2"/>
        <v>1129529.8846153845</v>
      </c>
      <c r="M30" s="489">
        <f t="shared" si="3"/>
        <v>0</v>
      </c>
      <c r="N30" s="488">
        <f t="shared" si="4"/>
        <v>0</v>
      </c>
      <c r="O30" s="490">
        <f t="shared" si="5"/>
        <v>0</v>
      </c>
      <c r="P30" s="491">
        <f t="shared" si="7"/>
        <v>0</v>
      </c>
      <c r="R30" s="1212">
        <v>33415</v>
      </c>
      <c r="S30" s="1170">
        <v>44835</v>
      </c>
      <c r="T30" s="1174">
        <f>'S6'!AL30-'S6'!AE30</f>
        <v>303.98076923076923</v>
      </c>
      <c r="U30" s="1176">
        <f t="shared" si="8"/>
        <v>1234769.8846153845</v>
      </c>
      <c r="V30" s="1181">
        <f t="shared" si="6"/>
        <v>24000</v>
      </c>
      <c r="W30" s="1194">
        <f t="shared" si="9"/>
        <v>5.9084194977843429</v>
      </c>
    </row>
    <row r="31" spans="1:23" s="477" customFormat="1" ht="31.5" customHeight="1">
      <c r="A31" s="478">
        <v>25</v>
      </c>
      <c r="B31" s="518" t="s">
        <v>315</v>
      </c>
      <c r="C31" s="578" t="s">
        <v>316</v>
      </c>
      <c r="D31" s="1474">
        <v>42552</v>
      </c>
      <c r="E31" s="513" t="s">
        <v>260</v>
      </c>
      <c r="F31" s="494">
        <f>'S6'!AL31-'S6'!AD31-'S6'!AJ31-'S6'!AK31-'S6'!AE31-'S6'!AG31-W31</f>
        <v>382.60119588683102</v>
      </c>
      <c r="G31" s="495">
        <v>4062</v>
      </c>
      <c r="H31" s="488">
        <f t="shared" si="0"/>
        <v>1554126.0576923075</v>
      </c>
      <c r="I31" s="495"/>
      <c r="J31" s="519">
        <v>2</v>
      </c>
      <c r="K31" s="488">
        <f t="shared" si="1"/>
        <v>300000</v>
      </c>
      <c r="L31" s="488">
        <f t="shared" si="2"/>
        <v>1254126.0576923075</v>
      </c>
      <c r="M31" s="489">
        <f t="shared" si="3"/>
        <v>0</v>
      </c>
      <c r="N31" s="488">
        <f t="shared" si="4"/>
        <v>0</v>
      </c>
      <c r="O31" s="490">
        <f t="shared" si="5"/>
        <v>0</v>
      </c>
      <c r="P31" s="491">
        <f t="shared" si="7"/>
        <v>0</v>
      </c>
      <c r="R31" s="1212">
        <v>29289</v>
      </c>
      <c r="S31" s="1170">
        <v>44835</v>
      </c>
      <c r="T31" s="1174">
        <f>'S6'!AL31-'S6'!AE31</f>
        <v>408.50961538461536</v>
      </c>
      <c r="U31" s="1176">
        <f t="shared" si="8"/>
        <v>1659366.0576923075</v>
      </c>
      <c r="V31" s="1181">
        <f t="shared" si="6"/>
        <v>24000</v>
      </c>
      <c r="W31" s="1194">
        <f t="shared" si="9"/>
        <v>5.9084194977843429</v>
      </c>
    </row>
    <row r="32" spans="1:23" s="477" customFormat="1" ht="31.5" customHeight="1">
      <c r="A32" s="478">
        <v>26</v>
      </c>
      <c r="B32" s="515" t="s">
        <v>2033</v>
      </c>
      <c r="C32" s="581" t="s">
        <v>1940</v>
      </c>
      <c r="D32" s="1474">
        <v>41466</v>
      </c>
      <c r="E32" s="513" t="s">
        <v>260</v>
      </c>
      <c r="F32" s="494">
        <f>'S6'!AL32-'S6'!AD32-'S6'!AJ32-'S6'!AK32-'S6'!AE32-'S6'!AG32-W32</f>
        <v>381.05311896375412</v>
      </c>
      <c r="G32" s="495">
        <v>4062</v>
      </c>
      <c r="H32" s="488">
        <f t="shared" ref="H32" si="63">F32*G32</f>
        <v>1547837.7692307692</v>
      </c>
      <c r="I32" s="495"/>
      <c r="J32" s="519">
        <v>2</v>
      </c>
      <c r="K32" s="488">
        <f t="shared" ref="K32" si="64">150000*(J32+I32)</f>
        <v>300000</v>
      </c>
      <c r="L32" s="488">
        <f t="shared" ref="L32" si="65">H32-K32</f>
        <v>1247837.7692307692</v>
      </c>
      <c r="M32" s="489">
        <f t="shared" ref="M32" si="66">IF(L32&gt;=12500000,20%,IF(L32&gt;=8500001,15%,IF(L32&gt;=2000001,10%,IF(L32&gt;=1500001,5%,0%))))</f>
        <v>0</v>
      </c>
      <c r="N32" s="488">
        <f t="shared" ref="N32" si="67">IF(M32=5%,75000,IF(M32=10%,175000,0))</f>
        <v>0</v>
      </c>
      <c r="O32" s="490">
        <f t="shared" ref="O32" si="68">L32*M32-N32</f>
        <v>0</v>
      </c>
      <c r="P32" s="491">
        <f t="shared" si="7"/>
        <v>0</v>
      </c>
      <c r="R32" s="1186">
        <v>35801</v>
      </c>
      <c r="S32" s="1170">
        <v>44835</v>
      </c>
      <c r="T32" s="1174">
        <f>'S6'!AL32-'S6'!AE32</f>
        <v>406.96153846153845</v>
      </c>
      <c r="U32" s="1176">
        <f t="shared" si="8"/>
        <v>1653077.7692307692</v>
      </c>
      <c r="V32" s="1181">
        <f t="shared" ref="V32" si="69">IF(YEARFRAC(R32,S32)&gt;=60,"0",IF(U32&lt;400000,400000*2%,IF(U32&gt;1200000,1200000*2%,U32*2%)))</f>
        <v>24000</v>
      </c>
      <c r="W32" s="1194">
        <f t="shared" si="9"/>
        <v>5.9084194977843429</v>
      </c>
    </row>
    <row r="33" spans="1:23" s="477" customFormat="1" ht="31.5" customHeight="1">
      <c r="A33" s="478">
        <v>27</v>
      </c>
      <c r="B33" s="1572" t="s">
        <v>317</v>
      </c>
      <c r="C33" s="584" t="s">
        <v>506</v>
      </c>
      <c r="D33" s="1563">
        <v>41526</v>
      </c>
      <c r="E33" s="513" t="s">
        <v>260</v>
      </c>
      <c r="F33" s="494">
        <f>'S6'!AL33-'S6'!AD33-'S6'!AJ33-'S6'!AK33-'S6'!AE33-'S6'!AG33-W33</f>
        <v>301.61081127144644</v>
      </c>
      <c r="G33" s="495">
        <v>4062</v>
      </c>
      <c r="H33" s="488">
        <f t="shared" si="0"/>
        <v>1225143.1153846155</v>
      </c>
      <c r="I33" s="495">
        <v>1</v>
      </c>
      <c r="J33" s="519">
        <v>2</v>
      </c>
      <c r="K33" s="488">
        <f t="shared" si="1"/>
        <v>450000</v>
      </c>
      <c r="L33" s="488">
        <f t="shared" si="2"/>
        <v>775143.11538461549</v>
      </c>
      <c r="M33" s="489">
        <f t="shared" si="3"/>
        <v>0</v>
      </c>
      <c r="N33" s="488">
        <f t="shared" si="4"/>
        <v>0</v>
      </c>
      <c r="O33" s="490">
        <f t="shared" si="5"/>
        <v>0</v>
      </c>
      <c r="P33" s="491">
        <f t="shared" si="7"/>
        <v>0</v>
      </c>
      <c r="R33" s="1186">
        <v>28042</v>
      </c>
      <c r="S33" s="1170">
        <v>44835</v>
      </c>
      <c r="T33" s="1174">
        <f>'S6'!AL33-'S6'!AE33</f>
        <v>327.51923076923077</v>
      </c>
      <c r="U33" s="1176">
        <f t="shared" si="8"/>
        <v>1330383.1153846155</v>
      </c>
      <c r="V33" s="1181">
        <f t="shared" si="6"/>
        <v>24000</v>
      </c>
      <c r="W33" s="1194">
        <f t="shared" si="9"/>
        <v>5.9084194977843429</v>
      </c>
    </row>
    <row r="34" spans="1:23" s="477" customFormat="1" ht="31.5" customHeight="1">
      <c r="A34" s="478">
        <v>28</v>
      </c>
      <c r="B34" s="1334" t="s">
        <v>2183</v>
      </c>
      <c r="C34" s="578" t="s">
        <v>2184</v>
      </c>
      <c r="D34" s="1446">
        <v>43582</v>
      </c>
      <c r="E34" s="557" t="s">
        <v>260</v>
      </c>
      <c r="F34" s="494">
        <f>'S6'!AL34-'S6'!AD34-'S6'!AJ34-'S6'!AK34-'S6'!AE34-'S6'!AG34-W34</f>
        <v>270.67351207341807</v>
      </c>
      <c r="G34" s="495">
        <v>4062</v>
      </c>
      <c r="H34" s="488">
        <f t="shared" ref="H34" si="70">F34*G34</f>
        <v>1099475.8060422242</v>
      </c>
      <c r="I34" s="495">
        <v>0</v>
      </c>
      <c r="J34" s="519">
        <v>1</v>
      </c>
      <c r="K34" s="488">
        <f t="shared" ref="K34" si="71">150000*(J34+I34)</f>
        <v>150000</v>
      </c>
      <c r="L34" s="488">
        <f t="shared" ref="L34" si="72">H34-K34</f>
        <v>949475.80604222417</v>
      </c>
      <c r="M34" s="489">
        <f t="shared" ref="M34" si="73">IF(L34&gt;=12500000,20%,IF(L34&gt;=8500001,15%,IF(L34&gt;=2000001,10%,IF(L34&gt;=1500001,5%,0%))))</f>
        <v>0</v>
      </c>
      <c r="N34" s="488">
        <f t="shared" ref="N34" si="74">IF(M34=5%,75000,IF(M34=10%,175000,0))</f>
        <v>0</v>
      </c>
      <c r="O34" s="490">
        <f t="shared" ref="O34" si="75">L34*M34-N34</f>
        <v>0</v>
      </c>
      <c r="P34" s="491">
        <f t="shared" si="7"/>
        <v>0</v>
      </c>
      <c r="R34" s="1186">
        <v>32264</v>
      </c>
      <c r="S34" s="1170">
        <v>44835</v>
      </c>
      <c r="T34" s="1174">
        <f>'S6'!AL34-'S6'!AE34</f>
        <v>296.5819315712024</v>
      </c>
      <c r="U34" s="1176">
        <f t="shared" si="8"/>
        <v>1204715.8060422242</v>
      </c>
      <c r="V34" s="1181">
        <f t="shared" si="6"/>
        <v>24000</v>
      </c>
      <c r="W34" s="1194">
        <f t="shared" si="9"/>
        <v>5.9084194977843429</v>
      </c>
    </row>
    <row r="35" spans="1:23" s="477" customFormat="1" ht="31.5" customHeight="1">
      <c r="A35" s="478">
        <v>29</v>
      </c>
      <c r="B35" s="515" t="s">
        <v>420</v>
      </c>
      <c r="C35" s="581" t="s">
        <v>421</v>
      </c>
      <c r="D35" s="1474">
        <v>42956</v>
      </c>
      <c r="E35" s="513" t="s">
        <v>260</v>
      </c>
      <c r="F35" s="494">
        <f>'S6'!AL35-'S6'!AD35-'S6'!AJ35-'S6'!AK35-'S6'!AE35-'S6'!AG35-W35</f>
        <v>318.18773434836947</v>
      </c>
      <c r="G35" s="495">
        <v>4062</v>
      </c>
      <c r="H35" s="488">
        <f t="shared" ref="H35:H36" si="76">F35*G35</f>
        <v>1292478.5769230768</v>
      </c>
      <c r="I35" s="495">
        <v>1</v>
      </c>
      <c r="J35" s="520">
        <v>3</v>
      </c>
      <c r="K35" s="488">
        <f t="shared" ref="K35:K36" si="77">150000*(J35+I35)</f>
        <v>600000</v>
      </c>
      <c r="L35" s="488">
        <f t="shared" ref="L35:L36" si="78">H35-K35</f>
        <v>692478.57692307676</v>
      </c>
      <c r="M35" s="489">
        <f t="shared" ref="M35:M36" si="79">IF(L35&gt;=12500000,20%,IF(L35&gt;=8500001,15%,IF(L35&gt;=2000001,10%,IF(L35&gt;=1500001,5%,0%))))</f>
        <v>0</v>
      </c>
      <c r="N35" s="488">
        <f t="shared" ref="N35:N36" si="80">IF(M35=5%,75000,IF(M35=10%,175000,0))</f>
        <v>0</v>
      </c>
      <c r="O35" s="490">
        <f t="shared" ref="O35:O36" si="81">L35*M35-N35</f>
        <v>0</v>
      </c>
      <c r="P35" s="491">
        <f t="shared" si="7"/>
        <v>0</v>
      </c>
      <c r="R35" s="1208">
        <v>33830</v>
      </c>
      <c r="S35" s="1170">
        <v>44835</v>
      </c>
      <c r="T35" s="1174">
        <f>'S6'!AL35-'S6'!AE35</f>
        <v>344.09615384615381</v>
      </c>
      <c r="U35" s="1176">
        <f t="shared" si="8"/>
        <v>1397718.5769230768</v>
      </c>
      <c r="V35" s="1181">
        <f t="shared" si="6"/>
        <v>24000</v>
      </c>
      <c r="W35" s="1194">
        <f t="shared" si="9"/>
        <v>5.9084194977843429</v>
      </c>
    </row>
    <row r="36" spans="1:23" s="477" customFormat="1" ht="31.5" customHeight="1">
      <c r="A36" s="478">
        <v>30</v>
      </c>
      <c r="B36" s="572" t="s">
        <v>2034</v>
      </c>
      <c r="C36" s="1401" t="s">
        <v>2001</v>
      </c>
      <c r="D36" s="1475">
        <v>45127</v>
      </c>
      <c r="E36" s="513" t="s">
        <v>260</v>
      </c>
      <c r="F36" s="494">
        <f>'S6'!AL36-'S6'!AD36-'S6'!AJ36-'S6'!AK36-'S6'!AE36-'S6'!AG36-W36</f>
        <v>365.05311896375412</v>
      </c>
      <c r="G36" s="495">
        <v>4062</v>
      </c>
      <c r="H36" s="488">
        <f t="shared" si="76"/>
        <v>1482845.7692307692</v>
      </c>
      <c r="I36" s="495">
        <v>0</v>
      </c>
      <c r="J36" s="520">
        <v>3</v>
      </c>
      <c r="K36" s="488">
        <f t="shared" si="77"/>
        <v>450000</v>
      </c>
      <c r="L36" s="488">
        <f t="shared" si="78"/>
        <v>1032845.7692307692</v>
      </c>
      <c r="M36" s="489">
        <f t="shared" si="79"/>
        <v>0</v>
      </c>
      <c r="N36" s="488">
        <f t="shared" si="80"/>
        <v>0</v>
      </c>
      <c r="O36" s="490">
        <f t="shared" si="81"/>
        <v>0</v>
      </c>
      <c r="P36" s="491">
        <f t="shared" si="7"/>
        <v>0</v>
      </c>
      <c r="R36" s="1558">
        <v>30716</v>
      </c>
      <c r="S36" s="1170">
        <v>44835</v>
      </c>
      <c r="T36" s="1174">
        <f>'S6'!AL36-'S6'!AE36</f>
        <v>390.96153846153845</v>
      </c>
      <c r="U36" s="1176">
        <f t="shared" si="8"/>
        <v>1588085.7692307692</v>
      </c>
      <c r="V36" s="1181">
        <f t="shared" ref="V36" si="82">IF(YEARFRAC(R36,S36)&gt;=60,"0",IF(U36&lt;400000,400000*2%,IF(U36&gt;1200000,1200000*2%,U36*2%)))</f>
        <v>24000</v>
      </c>
      <c r="W36" s="1194">
        <f t="shared" si="9"/>
        <v>5.9084194977843429</v>
      </c>
    </row>
    <row r="37" spans="1:23" ht="38.25" customHeight="1">
      <c r="A37" s="1338"/>
      <c r="B37" s="1339"/>
      <c r="C37" s="1339"/>
      <c r="D37" s="1339"/>
      <c r="E37" s="1339"/>
      <c r="F37" s="1340">
        <f>SUM(F7:F36)</f>
        <v>10463.105564591679</v>
      </c>
      <c r="G37" s="1339"/>
      <c r="H37" s="1339"/>
      <c r="I37" s="1339"/>
      <c r="J37" s="1339"/>
      <c r="K37" s="1339"/>
      <c r="L37" s="2129" t="s">
        <v>251</v>
      </c>
      <c r="M37" s="2130"/>
      <c r="N37" s="2131"/>
      <c r="O37" s="496">
        <f>SUM(O7:O36)</f>
        <v>25953.511128825034</v>
      </c>
      <c r="P37" s="497">
        <f>SUM(P7:P36)</f>
        <v>6.3893429662296981</v>
      </c>
      <c r="R37" s="1193"/>
      <c r="S37" s="2174" t="s">
        <v>251</v>
      </c>
      <c r="T37" s="2175"/>
      <c r="U37" s="2176"/>
      <c r="V37" s="1201">
        <f>SUM(V7:V36)</f>
        <v>719387.7892752738</v>
      </c>
      <c r="W37" s="1202">
        <f>SUM(W7:W36)</f>
        <v>177.10186835924998</v>
      </c>
    </row>
  </sheetData>
  <mergeCells count="9">
    <mergeCell ref="S37:U37"/>
    <mergeCell ref="R1:W1"/>
    <mergeCell ref="R2:W2"/>
    <mergeCell ref="R3:W3"/>
    <mergeCell ref="A1:P1"/>
    <mergeCell ref="A2:P2"/>
    <mergeCell ref="A3:P3"/>
    <mergeCell ref="A4:E4"/>
    <mergeCell ref="L37:N37"/>
  </mergeCells>
  <phoneticPr fontId="171" type="noConversion"/>
  <conditionalFormatting sqref="M14:M16 M33 M7:M8 M10 M18:M23 M25:M31">
    <cfRule type="cellIs" dxfId="52" priority="49" stopIfTrue="1" operator="equal">
      <formula>0</formula>
    </cfRule>
  </conditionalFormatting>
  <conditionalFormatting sqref="M17">
    <cfRule type="cellIs" dxfId="51" priority="11" stopIfTrue="1" operator="equal">
      <formula>0</formula>
    </cfRule>
  </conditionalFormatting>
  <conditionalFormatting sqref="M13">
    <cfRule type="cellIs" dxfId="50" priority="10" stopIfTrue="1" operator="equal">
      <formula>0</formula>
    </cfRule>
  </conditionalFormatting>
  <conditionalFormatting sqref="M32">
    <cfRule type="cellIs" dxfId="49" priority="9" stopIfTrue="1" operator="equal">
      <formula>0</formula>
    </cfRule>
  </conditionalFormatting>
  <conditionalFormatting sqref="M11">
    <cfRule type="cellIs" dxfId="48" priority="8" stopIfTrue="1" operator="equal">
      <formula>0</formula>
    </cfRule>
  </conditionalFormatting>
  <conditionalFormatting sqref="M35">
    <cfRule type="cellIs" dxfId="47" priority="7" stopIfTrue="1" operator="equal">
      <formula>0</formula>
    </cfRule>
  </conditionalFormatting>
  <conditionalFormatting sqref="M24">
    <cfRule type="cellIs" dxfId="46" priority="6" stopIfTrue="1" operator="equal">
      <formula>0</formula>
    </cfRule>
  </conditionalFormatting>
  <conditionalFormatting sqref="M9">
    <cfRule type="cellIs" dxfId="45" priority="5" stopIfTrue="1" operator="equal">
      <formula>0</formula>
    </cfRule>
  </conditionalFormatting>
  <conditionalFormatting sqref="M12">
    <cfRule type="cellIs" dxfId="44" priority="4" stopIfTrue="1" operator="equal">
      <formula>0</formula>
    </cfRule>
  </conditionalFormatting>
  <conditionalFormatting sqref="M34">
    <cfRule type="cellIs" dxfId="43" priority="2" stopIfTrue="1" operator="equal">
      <formula>0</formula>
    </cfRule>
  </conditionalFormatting>
  <conditionalFormatting sqref="M36">
    <cfRule type="cellIs" dxfId="42" priority="1" stopIfTrue="1" operator="equal">
      <formula>0</formula>
    </cfRule>
  </conditionalFormatting>
  <printOptions horizontalCentered="1"/>
  <pageMargins left="0.2" right="0.19" top="0.2" bottom="0.2" header="0.3" footer="0.31"/>
  <pageSetup paperSize="9" scale="75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32"/>
  <sheetViews>
    <sheetView workbookViewId="0">
      <pane xSplit="4" ySplit="6" topLeftCell="P25" activePane="bottomRight" state="frozen"/>
      <selection pane="topRight" activeCell="E1" sqref="E1"/>
      <selection pane="bottomLeft" activeCell="A8" sqref="A8"/>
      <selection pane="bottomRight" activeCell="U28" sqref="U28"/>
    </sheetView>
  </sheetViews>
  <sheetFormatPr defaultRowHeight="14.25"/>
  <cols>
    <col min="1" max="1" width="5.5" customWidth="1"/>
    <col min="2" max="2" width="8.625" customWidth="1"/>
    <col min="3" max="3" width="10" customWidth="1"/>
  </cols>
  <sheetData>
    <row r="1" spans="1:37" ht="19.5">
      <c r="A1" s="916"/>
      <c r="B1" s="916"/>
      <c r="C1" s="916"/>
      <c r="D1" s="916"/>
      <c r="E1" s="916"/>
      <c r="F1" s="916"/>
      <c r="G1" s="916"/>
      <c r="H1" s="916"/>
      <c r="I1" s="916"/>
      <c r="J1" s="916"/>
      <c r="K1" s="916" t="s">
        <v>222</v>
      </c>
      <c r="L1" s="916"/>
      <c r="M1" s="916"/>
      <c r="N1" s="916"/>
      <c r="O1" s="916"/>
      <c r="P1" s="916"/>
      <c r="Q1" s="916"/>
      <c r="R1" s="916"/>
      <c r="S1" s="916"/>
      <c r="T1" s="916"/>
      <c r="U1" s="916"/>
      <c r="V1" s="916"/>
      <c r="W1" s="916"/>
    </row>
    <row r="2" spans="1:37" ht="19.5">
      <c r="A2" s="916"/>
      <c r="B2" s="916"/>
      <c r="C2" s="916"/>
      <c r="D2" s="916"/>
      <c r="E2" s="916"/>
      <c r="F2" s="916"/>
      <c r="G2" s="916"/>
      <c r="H2" s="916"/>
      <c r="I2" s="916"/>
      <c r="J2" s="2177" t="s">
        <v>221</v>
      </c>
      <c r="K2" s="2177"/>
      <c r="L2" s="2177"/>
      <c r="M2" s="2177"/>
      <c r="N2" s="2177"/>
      <c r="O2" s="2177"/>
      <c r="P2" s="2177"/>
      <c r="Q2" s="2177"/>
      <c r="R2" s="2177"/>
      <c r="S2" s="2177"/>
      <c r="T2" s="916"/>
      <c r="U2" s="916"/>
      <c r="V2" s="916"/>
      <c r="W2" s="916"/>
    </row>
    <row r="3" spans="1:37" ht="29.25">
      <c r="A3" s="2135" t="s">
        <v>2110</v>
      </c>
      <c r="B3" s="2135"/>
      <c r="C3" s="2135"/>
      <c r="D3" s="2135"/>
      <c r="E3" s="2135"/>
      <c r="F3" s="2135"/>
      <c r="G3" s="2135"/>
      <c r="H3" s="2135"/>
      <c r="I3" s="2135"/>
      <c r="J3" s="2135"/>
      <c r="K3" s="2135"/>
      <c r="L3" s="2135"/>
      <c r="M3" s="2135"/>
      <c r="N3" s="2135"/>
      <c r="O3" s="2135"/>
      <c r="P3" s="2135"/>
      <c r="Q3" s="2135"/>
      <c r="R3" s="2135"/>
      <c r="S3" s="2135"/>
      <c r="T3" s="2135"/>
      <c r="U3" s="2135"/>
      <c r="V3" s="2135"/>
      <c r="W3" s="2135"/>
    </row>
    <row r="4" spans="1:37" ht="15.75">
      <c r="A4" s="2136" t="s">
        <v>1248</v>
      </c>
      <c r="B4" s="2136"/>
      <c r="C4" s="2136"/>
      <c r="D4" s="846"/>
      <c r="E4" s="846"/>
      <c r="F4" s="912"/>
      <c r="G4" s="912"/>
      <c r="H4" s="913"/>
      <c r="I4" s="912"/>
      <c r="J4" s="912"/>
      <c r="K4" s="912"/>
      <c r="L4" s="2136" t="s">
        <v>2347</v>
      </c>
      <c r="M4" s="2136"/>
      <c r="N4" s="2136"/>
      <c r="O4" s="2136"/>
      <c r="P4" s="2136"/>
      <c r="Q4" s="2136"/>
      <c r="R4" s="2136"/>
      <c r="S4" s="912"/>
      <c r="T4" s="846"/>
      <c r="U4" s="846"/>
      <c r="V4" s="846"/>
      <c r="W4" s="846"/>
    </row>
    <row r="5" spans="1:37" ht="38.25" customHeight="1">
      <c r="A5" s="820" t="s">
        <v>252</v>
      </c>
      <c r="B5" s="820" t="s">
        <v>1072</v>
      </c>
      <c r="C5" s="820" t="s">
        <v>1073</v>
      </c>
      <c r="D5" s="820" t="s">
        <v>254</v>
      </c>
      <c r="E5" s="821" t="s">
        <v>227</v>
      </c>
      <c r="F5" s="2178" t="s">
        <v>1074</v>
      </c>
      <c r="G5" s="2179"/>
      <c r="H5" s="2179"/>
      <c r="I5" s="2179"/>
      <c r="J5" s="2179"/>
      <c r="K5" s="2179"/>
      <c r="L5" s="2179"/>
      <c r="M5" s="2179"/>
      <c r="N5" s="2179"/>
      <c r="O5" s="2179"/>
      <c r="P5" s="2179"/>
      <c r="Q5" s="2180"/>
      <c r="R5" s="822" t="s">
        <v>1075</v>
      </c>
      <c r="S5" s="822" t="s">
        <v>1076</v>
      </c>
      <c r="T5" s="822" t="s">
        <v>1077</v>
      </c>
      <c r="U5" s="822" t="s">
        <v>1126</v>
      </c>
      <c r="V5" s="850" t="s">
        <v>1128</v>
      </c>
      <c r="W5" s="823" t="s">
        <v>1078</v>
      </c>
    </row>
    <row r="6" spans="1:37" ht="41.25" customHeight="1">
      <c r="A6" s="824" t="s">
        <v>41</v>
      </c>
      <c r="B6" s="858" t="s">
        <v>42</v>
      </c>
      <c r="C6" s="858" t="s">
        <v>1079</v>
      </c>
      <c r="D6" s="858" t="s">
        <v>1080</v>
      </c>
      <c r="E6" s="859" t="s">
        <v>1081</v>
      </c>
      <c r="F6" s="860" t="s">
        <v>1082</v>
      </c>
      <c r="G6" s="860" t="s">
        <v>1083</v>
      </c>
      <c r="H6" s="860" t="s">
        <v>1084</v>
      </c>
      <c r="I6" s="860" t="s">
        <v>1085</v>
      </c>
      <c r="J6" s="860" t="s">
        <v>1086</v>
      </c>
      <c r="K6" s="826" t="s">
        <v>1087</v>
      </c>
      <c r="L6" s="826" t="s">
        <v>1088</v>
      </c>
      <c r="M6" s="826" t="s">
        <v>1089</v>
      </c>
      <c r="N6" s="826" t="s">
        <v>1090</v>
      </c>
      <c r="O6" s="826" t="s">
        <v>1091</v>
      </c>
      <c r="P6" s="826" t="s">
        <v>1092</v>
      </c>
      <c r="Q6" s="826" t="s">
        <v>1093</v>
      </c>
      <c r="R6" s="826" t="s">
        <v>1094</v>
      </c>
      <c r="S6" s="827" t="s">
        <v>1095</v>
      </c>
      <c r="T6" s="827" t="s">
        <v>1096</v>
      </c>
      <c r="U6" s="852" t="s">
        <v>1125</v>
      </c>
      <c r="V6" s="854" t="s">
        <v>1127</v>
      </c>
      <c r="W6" s="861" t="s">
        <v>1097</v>
      </c>
      <c r="Y6" s="1701">
        <v>1</v>
      </c>
      <c r="Z6" s="1701">
        <v>2</v>
      </c>
      <c r="AA6" s="1701">
        <v>3</v>
      </c>
      <c r="AB6" s="1701">
        <v>4</v>
      </c>
      <c r="AC6" s="1701">
        <v>5</v>
      </c>
      <c r="AD6" s="1701">
        <v>6</v>
      </c>
      <c r="AE6" s="1701">
        <v>7</v>
      </c>
      <c r="AF6" s="1701">
        <v>8</v>
      </c>
      <c r="AG6" s="1701">
        <v>9</v>
      </c>
      <c r="AH6" s="1701">
        <v>10</v>
      </c>
      <c r="AI6" s="1701">
        <v>11</v>
      </c>
      <c r="AJ6" s="1701">
        <v>12</v>
      </c>
      <c r="AK6" s="1701" t="s">
        <v>74</v>
      </c>
    </row>
    <row r="7" spans="1:37" ht="41.25" customHeight="1">
      <c r="A7" s="862">
        <v>1</v>
      </c>
      <c r="B7" s="1526" t="s">
        <v>1509</v>
      </c>
      <c r="C7" s="1500" t="s">
        <v>515</v>
      </c>
      <c r="D7" s="1492">
        <v>41354</v>
      </c>
      <c r="E7" s="1086" t="s">
        <v>1249</v>
      </c>
      <c r="F7" s="1718">
        <v>244.48193385865838</v>
      </c>
      <c r="G7" s="1718">
        <v>248.99718883522931</v>
      </c>
      <c r="H7" s="1719">
        <v>268.25794081007803</v>
      </c>
      <c r="I7" s="1718">
        <v>314.01370036304195</v>
      </c>
      <c r="J7" s="1718">
        <v>367.70128855819348</v>
      </c>
      <c r="K7" s="1718">
        <v>396.416127189642</v>
      </c>
      <c r="L7" s="1718">
        <v>305.24128382435356</v>
      </c>
      <c r="M7" s="1718">
        <v>205.57692307692309</v>
      </c>
      <c r="N7" s="1718">
        <v>245.91097271625316</v>
      </c>
      <c r="O7" s="1306">
        <v>215.14943263810434</v>
      </c>
      <c r="P7" s="1306">
        <v>180.19230769230768</v>
      </c>
      <c r="Q7" s="1306">
        <v>30</v>
      </c>
      <c r="R7" s="831">
        <f>SUM(F7:Q7)</f>
        <v>3021.9390995627846</v>
      </c>
      <c r="S7" s="831">
        <f>R7/12</f>
        <v>251.82825829689872</v>
      </c>
      <c r="T7" s="831">
        <f t="shared" ref="T7:T27" si="0">S7/26</f>
        <v>9.6857022421884125</v>
      </c>
      <c r="U7" s="1244">
        <f>CUT!X7</f>
        <v>0.5</v>
      </c>
      <c r="V7" s="918">
        <f>T7*U7</f>
        <v>4.8428511210942062</v>
      </c>
      <c r="W7" s="894"/>
      <c r="Y7" s="1244">
        <v>2</v>
      </c>
      <c r="Z7" s="1244">
        <v>1.5</v>
      </c>
      <c r="AA7" s="1244">
        <v>3.5</v>
      </c>
      <c r="AB7" s="1244">
        <v>1.5</v>
      </c>
      <c r="AC7" s="1244">
        <v>0.5</v>
      </c>
      <c r="AD7" s="1244">
        <v>0</v>
      </c>
      <c r="AE7" s="1244">
        <v>2</v>
      </c>
      <c r="AF7" s="1698"/>
      <c r="AG7" s="1244">
        <v>1</v>
      </c>
      <c r="AH7" s="1698"/>
      <c r="AI7" s="1698"/>
      <c r="AJ7" s="1698"/>
      <c r="AK7" s="1703">
        <f>SUM(Y7:AJ7)</f>
        <v>12</v>
      </c>
    </row>
    <row r="8" spans="1:37" ht="41.25" customHeight="1">
      <c r="A8" s="862">
        <v>2</v>
      </c>
      <c r="B8" s="1333" t="s">
        <v>2083</v>
      </c>
      <c r="C8" s="578" t="s">
        <v>2084</v>
      </c>
      <c r="D8" s="517">
        <v>41310</v>
      </c>
      <c r="E8" s="1086" t="s">
        <v>1249</v>
      </c>
      <c r="F8" s="1718">
        <v>310.62968898385566</v>
      </c>
      <c r="G8" s="1718">
        <v>277.06707027540369</v>
      </c>
      <c r="H8" s="1719">
        <v>360.20985576881429</v>
      </c>
      <c r="I8" s="1718">
        <v>430.70408105122181</v>
      </c>
      <c r="J8" s="1718">
        <v>493.13437738004569</v>
      </c>
      <c r="K8" s="1718">
        <v>486.44963823305403</v>
      </c>
      <c r="L8" s="1718">
        <v>461.25364721485414</v>
      </c>
      <c r="M8" s="1718">
        <v>319.77603769992385</v>
      </c>
      <c r="N8" s="1718">
        <v>311.74184301460997</v>
      </c>
      <c r="O8" s="1306">
        <v>360.95676176034721</v>
      </c>
      <c r="P8" s="1306">
        <v>256.40271215271218</v>
      </c>
      <c r="Q8" s="1306">
        <v>30</v>
      </c>
      <c r="R8" s="831">
        <f t="shared" ref="R8:R27" si="1">SUM(F8:Q8)</f>
        <v>4098.3257135348422</v>
      </c>
      <c r="S8" s="831">
        <f>R8/12</f>
        <v>341.52714279457018</v>
      </c>
      <c r="T8" s="831">
        <f t="shared" si="0"/>
        <v>13.135659338252699</v>
      </c>
      <c r="U8" s="1244">
        <f>CUT!X8</f>
        <v>0</v>
      </c>
      <c r="V8" s="918">
        <f t="shared" ref="V8:V27" si="2">T8*U8</f>
        <v>0</v>
      </c>
      <c r="W8" s="894"/>
      <c r="Y8" s="1244">
        <v>0</v>
      </c>
      <c r="Z8" s="1244">
        <v>0</v>
      </c>
      <c r="AA8" s="1244">
        <v>2</v>
      </c>
      <c r="AB8" s="1244">
        <v>2</v>
      </c>
      <c r="AC8" s="1244">
        <v>0</v>
      </c>
      <c r="AD8" s="1244">
        <v>0</v>
      </c>
      <c r="AE8" s="1244">
        <v>0</v>
      </c>
      <c r="AF8" s="1698"/>
      <c r="AG8" s="1244">
        <v>1</v>
      </c>
      <c r="AH8" s="1698"/>
      <c r="AI8" s="1698"/>
      <c r="AJ8" s="1698"/>
      <c r="AK8" s="1703">
        <f t="shared" ref="AK8:AK27" si="3">SUM(Y8:AJ8)</f>
        <v>5</v>
      </c>
    </row>
    <row r="9" spans="1:37" ht="45" customHeight="1">
      <c r="A9" s="862">
        <v>3</v>
      </c>
      <c r="B9" s="1527" t="s">
        <v>320</v>
      </c>
      <c r="C9" s="1531" t="s">
        <v>507</v>
      </c>
      <c r="D9" s="1522">
        <v>41307</v>
      </c>
      <c r="E9" s="1086" t="s">
        <v>1249</v>
      </c>
      <c r="F9" s="1718">
        <v>274.46913580246911</v>
      </c>
      <c r="G9" s="1718">
        <v>259.93827160493828</v>
      </c>
      <c r="H9" s="1719">
        <v>342.4588961057122</v>
      </c>
      <c r="I9" s="1718">
        <v>332.24659240043786</v>
      </c>
      <c r="J9" s="1718">
        <v>428.25742574257424</v>
      </c>
      <c r="K9" s="1718">
        <v>424.07611386138615</v>
      </c>
      <c r="L9" s="1718">
        <v>336.5951354679803</v>
      </c>
      <c r="M9" s="1718">
        <v>216.75</v>
      </c>
      <c r="N9" s="1718">
        <v>254.22903327649922</v>
      </c>
      <c r="O9" s="1306">
        <v>142.54116377889272</v>
      </c>
      <c r="P9" s="1306">
        <v>166.25</v>
      </c>
      <c r="Q9" s="1306">
        <v>30</v>
      </c>
      <c r="R9" s="831">
        <f t="shared" si="1"/>
        <v>3207.8117680408895</v>
      </c>
      <c r="S9" s="831">
        <f t="shared" ref="S9:S21" si="4">R9/12</f>
        <v>267.31764733674078</v>
      </c>
      <c r="T9" s="831">
        <f t="shared" si="0"/>
        <v>10.28144797449003</v>
      </c>
      <c r="U9" s="1244">
        <f>CUT!X9</f>
        <v>0.5</v>
      </c>
      <c r="V9" s="918">
        <f t="shared" si="2"/>
        <v>5.140723987245015</v>
      </c>
      <c r="W9" s="894"/>
      <c r="X9" s="1826"/>
      <c r="Y9" s="1244">
        <v>0</v>
      </c>
      <c r="Z9" s="1244">
        <v>0</v>
      </c>
      <c r="AA9" s="1244">
        <v>2</v>
      </c>
      <c r="AB9" s="1244">
        <v>1.5</v>
      </c>
      <c r="AC9" s="1244">
        <v>0</v>
      </c>
      <c r="AD9" s="1244">
        <v>0</v>
      </c>
      <c r="AE9" s="1244">
        <v>0</v>
      </c>
      <c r="AF9" s="1698"/>
      <c r="AG9" s="1736">
        <v>7.5</v>
      </c>
      <c r="AH9" s="1698"/>
      <c r="AI9" s="1698"/>
      <c r="AJ9" s="1698"/>
      <c r="AK9" s="1703">
        <f t="shared" si="3"/>
        <v>11</v>
      </c>
    </row>
    <row r="10" spans="1:37" ht="45" customHeight="1">
      <c r="A10" s="862">
        <v>4</v>
      </c>
      <c r="B10" s="1514" t="s">
        <v>1250</v>
      </c>
      <c r="C10" s="1532" t="s">
        <v>1251</v>
      </c>
      <c r="D10" s="1523">
        <v>43741</v>
      </c>
      <c r="E10" s="1087" t="s">
        <v>1249</v>
      </c>
      <c r="F10" s="1718">
        <v>265.72685185185185</v>
      </c>
      <c r="G10" s="1718">
        <v>247.26899335232667</v>
      </c>
      <c r="H10" s="1719">
        <v>322.5433636162154</v>
      </c>
      <c r="I10" s="1718">
        <v>278.31402592767665</v>
      </c>
      <c r="J10" s="1718">
        <v>407.9178632612979</v>
      </c>
      <c r="K10" s="1718">
        <v>402.99438309215537</v>
      </c>
      <c r="L10" s="1718">
        <v>317.50831594158274</v>
      </c>
      <c r="M10" s="1718">
        <v>195.53846153846155</v>
      </c>
      <c r="N10" s="1718">
        <v>243.21126307405797</v>
      </c>
      <c r="O10" s="1306">
        <v>260.25870859470348</v>
      </c>
      <c r="P10" s="1306">
        <v>155.88461538461539</v>
      </c>
      <c r="Q10" s="1306">
        <v>30</v>
      </c>
      <c r="R10" s="831">
        <f t="shared" si="1"/>
        <v>3127.1668456349448</v>
      </c>
      <c r="S10" s="831">
        <f t="shared" ref="S10:S12" si="5">R10/12</f>
        <v>260.59723713624538</v>
      </c>
      <c r="T10" s="831">
        <f t="shared" si="0"/>
        <v>10.022970659086361</v>
      </c>
      <c r="U10" s="1244">
        <f>CUT!X10</f>
        <v>0.5</v>
      </c>
      <c r="V10" s="918">
        <f t="shared" si="2"/>
        <v>5.0114853295431807</v>
      </c>
      <c r="W10" s="894"/>
      <c r="Y10" s="1244">
        <v>0</v>
      </c>
      <c r="Z10" s="1244">
        <v>0</v>
      </c>
      <c r="AA10" s="1244">
        <v>2</v>
      </c>
      <c r="AB10" s="1244">
        <v>1.5</v>
      </c>
      <c r="AC10" s="1244">
        <v>1</v>
      </c>
      <c r="AD10" s="1244">
        <v>0</v>
      </c>
      <c r="AE10" s="1244">
        <v>3</v>
      </c>
      <c r="AF10" s="1698"/>
      <c r="AG10" s="1244">
        <v>2</v>
      </c>
      <c r="AH10" s="1698"/>
      <c r="AI10" s="1698"/>
      <c r="AJ10" s="1698"/>
      <c r="AK10" s="1703">
        <f t="shared" si="3"/>
        <v>9.5</v>
      </c>
    </row>
    <row r="11" spans="1:37" ht="45" customHeight="1">
      <c r="A11" s="862">
        <v>5</v>
      </c>
      <c r="B11" s="1333" t="s">
        <v>1780</v>
      </c>
      <c r="C11" s="731" t="s">
        <v>1510</v>
      </c>
      <c r="D11" s="1446">
        <v>44669</v>
      </c>
      <c r="E11" s="1087" t="s">
        <v>1249</v>
      </c>
      <c r="F11" s="1718">
        <v>241.63449667616337</v>
      </c>
      <c r="G11" s="1718">
        <v>291.46990866565437</v>
      </c>
      <c r="H11" s="1719">
        <v>319.05160673477286</v>
      </c>
      <c r="I11" s="1718">
        <v>350.90376517023014</v>
      </c>
      <c r="J11" s="1718">
        <v>447.64236106332061</v>
      </c>
      <c r="K11" s="1718">
        <v>434.29853998576164</v>
      </c>
      <c r="L11" s="1718">
        <v>301.37068499433911</v>
      </c>
      <c r="M11" s="1718">
        <v>251.103674790556</v>
      </c>
      <c r="N11" s="1718">
        <v>260.5039783837492</v>
      </c>
      <c r="O11" s="1306">
        <v>307.99507331121697</v>
      </c>
      <c r="P11" s="1306">
        <v>204.38461538461539</v>
      </c>
      <c r="Q11" s="1306">
        <v>30</v>
      </c>
      <c r="R11" s="831">
        <f t="shared" si="1"/>
        <v>3440.358705160379</v>
      </c>
      <c r="S11" s="831">
        <f>R11/12</f>
        <v>286.69655876336492</v>
      </c>
      <c r="T11" s="831">
        <f t="shared" si="0"/>
        <v>11.026790721667881</v>
      </c>
      <c r="U11" s="1244">
        <f>CUT!X11</f>
        <v>0</v>
      </c>
      <c r="V11" s="918">
        <f t="shared" si="2"/>
        <v>0</v>
      </c>
      <c r="W11" s="894"/>
      <c r="Y11" s="1244">
        <v>0</v>
      </c>
      <c r="Z11" s="1244">
        <v>1</v>
      </c>
      <c r="AA11" s="1244">
        <v>3.5</v>
      </c>
      <c r="AB11" s="1244">
        <v>1.5</v>
      </c>
      <c r="AC11" s="1244">
        <v>0.5</v>
      </c>
      <c r="AD11" s="1244">
        <v>2.5</v>
      </c>
      <c r="AE11" s="1244">
        <v>0.5</v>
      </c>
      <c r="AF11" s="1698"/>
      <c r="AG11" s="1244">
        <v>3</v>
      </c>
      <c r="AH11" s="1698"/>
      <c r="AI11" s="1698"/>
      <c r="AJ11" s="1698"/>
      <c r="AK11" s="1703">
        <f t="shared" si="3"/>
        <v>12.5</v>
      </c>
    </row>
    <row r="12" spans="1:37" ht="45" customHeight="1">
      <c r="A12" s="862">
        <v>6</v>
      </c>
      <c r="B12" s="1514" t="s">
        <v>1252</v>
      </c>
      <c r="C12" s="1499" t="s">
        <v>1253</v>
      </c>
      <c r="D12" s="1496">
        <v>43908</v>
      </c>
      <c r="E12" s="1088" t="s">
        <v>1249</v>
      </c>
      <c r="F12" s="1718">
        <v>252.46913580246914</v>
      </c>
      <c r="G12" s="1718">
        <v>246.26899335232667</v>
      </c>
      <c r="H12" s="1719">
        <v>297.68038846835492</v>
      </c>
      <c r="I12" s="1718">
        <v>372.43644053322328</v>
      </c>
      <c r="J12" s="1718">
        <v>422.85890728761962</v>
      </c>
      <c r="K12" s="1718">
        <v>409.64685509479301</v>
      </c>
      <c r="L12" s="1718">
        <v>430.30467201607348</v>
      </c>
      <c r="M12" s="1718">
        <v>161.26898472442554</v>
      </c>
      <c r="N12" s="1718">
        <v>202.19707750367218</v>
      </c>
      <c r="O12" s="1306">
        <v>275.13769565630611</v>
      </c>
      <c r="P12" s="1306">
        <v>154.88461538461539</v>
      </c>
      <c r="Q12" s="1306">
        <v>30</v>
      </c>
      <c r="R12" s="831">
        <f t="shared" si="1"/>
        <v>3255.153765823879</v>
      </c>
      <c r="S12" s="831">
        <f t="shared" si="5"/>
        <v>271.26281381865658</v>
      </c>
      <c r="T12" s="831">
        <f t="shared" si="0"/>
        <v>10.433185146871407</v>
      </c>
      <c r="U12" s="1244">
        <f>CUT!X12</f>
        <v>0</v>
      </c>
      <c r="V12" s="918">
        <f t="shared" si="2"/>
        <v>0</v>
      </c>
      <c r="W12" s="894"/>
      <c r="Y12" s="1244">
        <v>0</v>
      </c>
      <c r="Z12" s="1244">
        <v>0</v>
      </c>
      <c r="AA12" s="1244">
        <v>2</v>
      </c>
      <c r="AB12" s="1244">
        <v>2</v>
      </c>
      <c r="AC12" s="1244">
        <v>0.5</v>
      </c>
      <c r="AD12" s="1244">
        <v>0.5</v>
      </c>
      <c r="AE12" s="1244">
        <v>1.5</v>
      </c>
      <c r="AF12" s="1244">
        <v>0.5</v>
      </c>
      <c r="AG12" s="1244">
        <v>1</v>
      </c>
      <c r="AH12" s="1698"/>
      <c r="AI12" s="1698"/>
      <c r="AJ12" s="1698"/>
      <c r="AK12" s="1703">
        <f t="shared" si="3"/>
        <v>8</v>
      </c>
    </row>
    <row r="13" spans="1:37" ht="45" customHeight="1">
      <c r="A13" s="862">
        <v>7</v>
      </c>
      <c r="B13" s="1514" t="s">
        <v>1254</v>
      </c>
      <c r="C13" s="1499" t="s">
        <v>1255</v>
      </c>
      <c r="D13" s="1496">
        <v>41807</v>
      </c>
      <c r="E13" s="1086" t="s">
        <v>1249</v>
      </c>
      <c r="F13" s="1718">
        <v>258.46913580246911</v>
      </c>
      <c r="G13" s="1718">
        <v>241.50367996201331</v>
      </c>
      <c r="H13" s="1719">
        <v>309.91267204097664</v>
      </c>
      <c r="I13" s="1718">
        <v>349.99743330705058</v>
      </c>
      <c r="J13" s="1718">
        <v>468.18011291560896</v>
      </c>
      <c r="K13" s="1718">
        <v>474.15703541508003</v>
      </c>
      <c r="L13" s="1718">
        <v>375.02763921310202</v>
      </c>
      <c r="M13" s="1718">
        <v>233.46705166187877</v>
      </c>
      <c r="N13" s="1718">
        <v>272.14413641877252</v>
      </c>
      <c r="O13" s="1306">
        <v>207.38790115730097</v>
      </c>
      <c r="P13" s="1306">
        <v>160.88461538461539</v>
      </c>
      <c r="Q13" s="1306">
        <v>30</v>
      </c>
      <c r="R13" s="831">
        <f t="shared" si="1"/>
        <v>3381.131413278868</v>
      </c>
      <c r="S13" s="831">
        <f t="shared" si="4"/>
        <v>281.76095110657235</v>
      </c>
      <c r="T13" s="831">
        <f t="shared" si="0"/>
        <v>10.836959657945091</v>
      </c>
      <c r="U13" s="1244">
        <f>CUT!X13</f>
        <v>1.5</v>
      </c>
      <c r="V13" s="918">
        <f t="shared" si="2"/>
        <v>16.255439486917638</v>
      </c>
      <c r="W13" s="894"/>
      <c r="Y13" s="1244">
        <v>0</v>
      </c>
      <c r="Z13" s="1244">
        <v>0</v>
      </c>
      <c r="AA13" s="1244">
        <v>2.5</v>
      </c>
      <c r="AB13" s="1244">
        <v>1.5</v>
      </c>
      <c r="AC13" s="1244">
        <v>0.5</v>
      </c>
      <c r="AD13" s="1244">
        <v>0</v>
      </c>
      <c r="AE13" s="1244">
        <v>1.5</v>
      </c>
      <c r="AF13" s="1244">
        <v>1.5</v>
      </c>
      <c r="AG13" s="1244">
        <v>1</v>
      </c>
      <c r="AH13" s="1698"/>
      <c r="AI13" s="1698"/>
      <c r="AJ13" s="1698"/>
      <c r="AK13" s="1703">
        <f t="shared" si="3"/>
        <v>8.5</v>
      </c>
    </row>
    <row r="14" spans="1:37" ht="45" customHeight="1">
      <c r="A14" s="862">
        <v>8</v>
      </c>
      <c r="B14" s="1514" t="s">
        <v>323</v>
      </c>
      <c r="C14" s="1499" t="s">
        <v>324</v>
      </c>
      <c r="D14" s="1496">
        <v>42258</v>
      </c>
      <c r="E14" s="1086" t="s">
        <v>1249</v>
      </c>
      <c r="F14" s="1718">
        <v>267.85375118708447</v>
      </c>
      <c r="G14" s="1718">
        <v>248.79985754985756</v>
      </c>
      <c r="H14" s="1719">
        <v>301.41016812025515</v>
      </c>
      <c r="I14" s="1718">
        <v>318.28822237395417</v>
      </c>
      <c r="J14" s="1718">
        <v>438.58082635186599</v>
      </c>
      <c r="K14" s="1718">
        <v>422.32610232416761</v>
      </c>
      <c r="L14" s="1718">
        <v>330.09563281546042</v>
      </c>
      <c r="M14" s="1718">
        <v>191.61538461538461</v>
      </c>
      <c r="N14" s="1718">
        <v>246.62199360890634</v>
      </c>
      <c r="O14" s="1306">
        <v>249.00050267509133</v>
      </c>
      <c r="P14" s="1306">
        <v>159.88461538461539</v>
      </c>
      <c r="Q14" s="1306">
        <v>30</v>
      </c>
      <c r="R14" s="831">
        <f t="shared" si="1"/>
        <v>3204.477057006643</v>
      </c>
      <c r="S14" s="831">
        <f t="shared" si="4"/>
        <v>267.03975475055358</v>
      </c>
      <c r="T14" s="831">
        <f t="shared" si="0"/>
        <v>10.270759798098215</v>
      </c>
      <c r="U14" s="1244">
        <f>CUT!X14</f>
        <v>0</v>
      </c>
      <c r="V14" s="918">
        <f t="shared" si="2"/>
        <v>0</v>
      </c>
      <c r="W14" s="894"/>
      <c r="Y14" s="1244">
        <v>0</v>
      </c>
      <c r="Z14" s="1244">
        <v>0</v>
      </c>
      <c r="AA14" s="1244">
        <v>2</v>
      </c>
      <c r="AB14" s="1736">
        <v>4</v>
      </c>
      <c r="AC14" s="1244">
        <v>0</v>
      </c>
      <c r="AD14" s="1244">
        <v>1</v>
      </c>
      <c r="AE14" s="1244">
        <v>0</v>
      </c>
      <c r="AF14" s="1698"/>
      <c r="AG14" s="1244">
        <v>1</v>
      </c>
      <c r="AH14" s="1698"/>
      <c r="AI14" s="1698"/>
      <c r="AJ14" s="1698"/>
      <c r="AK14" s="1703">
        <f t="shared" si="3"/>
        <v>8</v>
      </c>
    </row>
    <row r="15" spans="1:37" ht="45" customHeight="1">
      <c r="A15" s="862">
        <v>9</v>
      </c>
      <c r="B15" s="1514" t="s">
        <v>325</v>
      </c>
      <c r="C15" s="1499" t="s">
        <v>326</v>
      </c>
      <c r="D15" s="1496">
        <v>42499</v>
      </c>
      <c r="E15" s="1086" t="s">
        <v>1249</v>
      </c>
      <c r="F15" s="1718">
        <v>261.54997625830953</v>
      </c>
      <c r="G15" s="1718">
        <v>248.00785654242969</v>
      </c>
      <c r="H15" s="1719">
        <v>301.62533424057875</v>
      </c>
      <c r="I15" s="1718">
        <v>294.52574177225983</v>
      </c>
      <c r="J15" s="1718">
        <v>394.12065211179322</v>
      </c>
      <c r="K15" s="1718">
        <v>380.39445119181943</v>
      </c>
      <c r="L15" s="1718">
        <v>308.56869049101783</v>
      </c>
      <c r="M15" s="1718">
        <v>189.26828985078555</v>
      </c>
      <c r="N15" s="1718">
        <v>212.57328816632119</v>
      </c>
      <c r="O15" s="1306">
        <v>195.63836956653057</v>
      </c>
      <c r="P15" s="1306">
        <v>158.88461538461539</v>
      </c>
      <c r="Q15" s="1306">
        <v>30</v>
      </c>
      <c r="R15" s="831">
        <f t="shared" si="1"/>
        <v>2975.1572655764603</v>
      </c>
      <c r="S15" s="831">
        <f t="shared" si="4"/>
        <v>247.92977213137169</v>
      </c>
      <c r="T15" s="831">
        <f t="shared" si="0"/>
        <v>9.5357604665912188</v>
      </c>
      <c r="U15" s="1244">
        <f>CUT!X15</f>
        <v>1</v>
      </c>
      <c r="V15" s="918">
        <f t="shared" si="2"/>
        <v>9.5357604665912188</v>
      </c>
      <c r="W15" s="894"/>
      <c r="Y15" s="1244">
        <v>0</v>
      </c>
      <c r="Z15" s="1244">
        <v>1</v>
      </c>
      <c r="AA15" s="1244">
        <v>3</v>
      </c>
      <c r="AB15" s="1244">
        <v>1.5</v>
      </c>
      <c r="AC15" s="1244">
        <v>1</v>
      </c>
      <c r="AD15" s="1244">
        <v>1</v>
      </c>
      <c r="AE15" s="1244">
        <v>2.5</v>
      </c>
      <c r="AF15" s="1698"/>
      <c r="AG15" s="1244">
        <v>1</v>
      </c>
      <c r="AH15" s="1698"/>
      <c r="AI15" s="1698"/>
      <c r="AJ15" s="1698"/>
      <c r="AK15" s="1703">
        <f t="shared" si="3"/>
        <v>11</v>
      </c>
    </row>
    <row r="16" spans="1:37" ht="45" customHeight="1">
      <c r="A16" s="862">
        <v>10</v>
      </c>
      <c r="B16" s="1514" t="s">
        <v>327</v>
      </c>
      <c r="C16" s="1499" t="s">
        <v>328</v>
      </c>
      <c r="D16" s="1496">
        <v>42553</v>
      </c>
      <c r="E16" s="1086" t="s">
        <v>1249</v>
      </c>
      <c r="F16" s="1718">
        <v>316.70257597340935</v>
      </c>
      <c r="G16" s="1718">
        <v>322.43512583095924</v>
      </c>
      <c r="H16" s="1719">
        <v>338.47724125923475</v>
      </c>
      <c r="I16" s="1718">
        <v>387.09263208966468</v>
      </c>
      <c r="J16" s="1718">
        <v>454.17488575780652</v>
      </c>
      <c r="K16" s="1718">
        <v>457.72298648134051</v>
      </c>
      <c r="L16" s="1718">
        <v>469.61682145283618</v>
      </c>
      <c r="M16" s="1718">
        <v>345.7319362339756</v>
      </c>
      <c r="N16" s="1718">
        <v>266.04790571880164</v>
      </c>
      <c r="O16" s="1306">
        <v>352.31006319071543</v>
      </c>
      <c r="P16" s="1306">
        <v>243.53432260536101</v>
      </c>
      <c r="Q16" s="1306">
        <v>30</v>
      </c>
      <c r="R16" s="831">
        <f t="shared" si="1"/>
        <v>3983.8464965941052</v>
      </c>
      <c r="S16" s="831">
        <f t="shared" si="4"/>
        <v>331.98720804950875</v>
      </c>
      <c r="T16" s="831">
        <f t="shared" si="0"/>
        <v>12.768738771134952</v>
      </c>
      <c r="U16" s="1244">
        <f>CUT!X16</f>
        <v>0</v>
      </c>
      <c r="V16" s="918">
        <f t="shared" si="2"/>
        <v>0</v>
      </c>
      <c r="W16" s="894"/>
      <c r="Y16" s="1244">
        <v>0</v>
      </c>
      <c r="Z16" s="1244">
        <v>0</v>
      </c>
      <c r="AA16" s="1244">
        <v>2</v>
      </c>
      <c r="AB16" s="1244">
        <v>2</v>
      </c>
      <c r="AC16" s="1244">
        <v>0</v>
      </c>
      <c r="AD16" s="1244">
        <v>0</v>
      </c>
      <c r="AE16" s="1244">
        <v>0.5</v>
      </c>
      <c r="AF16" s="1244">
        <v>3</v>
      </c>
      <c r="AG16" s="1244">
        <v>1</v>
      </c>
      <c r="AH16" s="1698"/>
      <c r="AI16" s="1698"/>
      <c r="AJ16" s="1698"/>
      <c r="AK16" s="1703">
        <f t="shared" si="3"/>
        <v>8.5</v>
      </c>
    </row>
    <row r="17" spans="1:37" ht="45" customHeight="1">
      <c r="A17" s="862">
        <v>11</v>
      </c>
      <c r="B17" s="1528" t="s">
        <v>329</v>
      </c>
      <c r="C17" s="1532" t="s">
        <v>330</v>
      </c>
      <c r="D17" s="1496">
        <v>42705</v>
      </c>
      <c r="E17" s="865" t="s">
        <v>1249</v>
      </c>
      <c r="F17" s="1718">
        <v>304.61122981956316</v>
      </c>
      <c r="G17" s="1718">
        <v>317.88296957230131</v>
      </c>
      <c r="H17" s="1719">
        <v>280.67564472913313</v>
      </c>
      <c r="I17" s="1718">
        <v>363.45517422629035</v>
      </c>
      <c r="J17" s="1718">
        <v>481.7387661843108</v>
      </c>
      <c r="K17" s="1718">
        <v>422.86095684594818</v>
      </c>
      <c r="L17" s="1718">
        <v>442.18397973175774</v>
      </c>
      <c r="M17" s="1718">
        <v>202.12842726580348</v>
      </c>
      <c r="N17" s="1718">
        <v>271.40403994651405</v>
      </c>
      <c r="O17" s="1306">
        <v>340.36303855890662</v>
      </c>
      <c r="P17" s="1306">
        <v>197.5</v>
      </c>
      <c r="Q17" s="1306">
        <v>30</v>
      </c>
      <c r="R17" s="831">
        <f t="shared" si="1"/>
        <v>3654.8042268805289</v>
      </c>
      <c r="S17" s="831">
        <f t="shared" si="4"/>
        <v>304.56701890671076</v>
      </c>
      <c r="T17" s="831">
        <f t="shared" si="0"/>
        <v>11.714116111796567</v>
      </c>
      <c r="U17" s="1244">
        <f>CUT!X17</f>
        <v>0</v>
      </c>
      <c r="V17" s="918">
        <f t="shared" si="2"/>
        <v>0</v>
      </c>
      <c r="W17" s="894"/>
      <c r="Y17" s="1244">
        <v>0</v>
      </c>
      <c r="Z17" s="1244">
        <v>1</v>
      </c>
      <c r="AA17" s="1244">
        <v>2</v>
      </c>
      <c r="AB17" s="1244">
        <v>3.5</v>
      </c>
      <c r="AC17" s="1244">
        <v>0</v>
      </c>
      <c r="AD17" s="1244">
        <v>1</v>
      </c>
      <c r="AE17" s="1244">
        <v>1</v>
      </c>
      <c r="AF17" s="1698"/>
      <c r="AG17" s="1244">
        <v>2</v>
      </c>
      <c r="AH17" s="1698"/>
      <c r="AI17" s="1698"/>
      <c r="AJ17" s="1698"/>
      <c r="AK17" s="1703">
        <f t="shared" si="3"/>
        <v>10.5</v>
      </c>
    </row>
    <row r="18" spans="1:37" ht="45" customHeight="1">
      <c r="A18" s="862">
        <v>12</v>
      </c>
      <c r="B18" s="1529" t="s">
        <v>455</v>
      </c>
      <c r="C18" s="1501" t="s">
        <v>1256</v>
      </c>
      <c r="D18" s="1524">
        <v>43528</v>
      </c>
      <c r="E18" s="865" t="s">
        <v>1249</v>
      </c>
      <c r="F18" s="1718">
        <v>200.63841405508072</v>
      </c>
      <c r="G18" s="1718">
        <v>196.81914043787867</v>
      </c>
      <c r="H18" s="1719">
        <v>227.06137161023452</v>
      </c>
      <c r="I18" s="1718">
        <v>242.10421957549525</v>
      </c>
      <c r="J18" s="1718">
        <v>303.3596425702018</v>
      </c>
      <c r="K18" s="1718">
        <v>251.15927265803506</v>
      </c>
      <c r="L18" s="1718">
        <v>225.55345325811493</v>
      </c>
      <c r="M18" s="1718">
        <v>156.92307692307691</v>
      </c>
      <c r="N18" s="1718">
        <v>196.07716490244411</v>
      </c>
      <c r="O18" s="1306">
        <v>171.78730252471658</v>
      </c>
      <c r="P18" s="1306">
        <v>155.88461538461539</v>
      </c>
      <c r="Q18" s="1306">
        <v>30</v>
      </c>
      <c r="R18" s="831">
        <f t="shared" si="1"/>
        <v>2357.3676738998938</v>
      </c>
      <c r="S18" s="831">
        <f t="shared" si="4"/>
        <v>196.44730615832449</v>
      </c>
      <c r="T18" s="831">
        <f t="shared" si="0"/>
        <v>7.5556656214740192</v>
      </c>
      <c r="U18" s="1244">
        <f>CUT!X18</f>
        <v>1</v>
      </c>
      <c r="V18" s="918">
        <f t="shared" si="2"/>
        <v>7.5556656214740192</v>
      </c>
      <c r="W18" s="894"/>
      <c r="Y18" s="1244">
        <v>0</v>
      </c>
      <c r="Z18" s="1244">
        <v>1</v>
      </c>
      <c r="AA18" s="1244">
        <v>3</v>
      </c>
      <c r="AB18" s="1244">
        <v>1.5</v>
      </c>
      <c r="AC18" s="1244">
        <v>2</v>
      </c>
      <c r="AD18" s="1244">
        <v>0</v>
      </c>
      <c r="AE18" s="1244">
        <v>1</v>
      </c>
      <c r="AF18" s="1698"/>
      <c r="AG18" s="1244">
        <v>3</v>
      </c>
      <c r="AH18" s="1698"/>
      <c r="AI18" s="1698"/>
      <c r="AJ18" s="1698"/>
      <c r="AK18" s="1703">
        <f t="shared" si="3"/>
        <v>11.5</v>
      </c>
    </row>
    <row r="19" spans="1:37" ht="45" customHeight="1">
      <c r="A19" s="862">
        <v>13</v>
      </c>
      <c r="B19" s="1530" t="s">
        <v>1257</v>
      </c>
      <c r="C19" s="1533" t="s">
        <v>1258</v>
      </c>
      <c r="D19" s="1525">
        <v>43417</v>
      </c>
      <c r="E19" s="1089" t="s">
        <v>1249</v>
      </c>
      <c r="F19" s="1718">
        <v>268.14828939539734</v>
      </c>
      <c r="G19" s="1718">
        <v>279.54721128606684</v>
      </c>
      <c r="H19" s="1719">
        <v>291.65860834450882</v>
      </c>
      <c r="I19" s="1718">
        <v>365.95034050095478</v>
      </c>
      <c r="J19" s="1718">
        <v>454.4885984610641</v>
      </c>
      <c r="K19" s="1718">
        <v>436.54877423127533</v>
      </c>
      <c r="L19" s="1718">
        <v>447.01643665767881</v>
      </c>
      <c r="M19" s="1718">
        <v>216.96496572734196</v>
      </c>
      <c r="N19" s="1718">
        <v>187.12690712390051</v>
      </c>
      <c r="O19" s="1306">
        <v>229.48968687480942</v>
      </c>
      <c r="P19" s="1306">
        <v>156.88461538461539</v>
      </c>
      <c r="Q19" s="1306">
        <v>30</v>
      </c>
      <c r="R19" s="831">
        <f t="shared" si="1"/>
        <v>3363.8244339876128</v>
      </c>
      <c r="S19" s="831">
        <f t="shared" si="4"/>
        <v>280.31870283230108</v>
      </c>
      <c r="T19" s="831">
        <f t="shared" si="0"/>
        <v>10.781488570473119</v>
      </c>
      <c r="U19" s="1244">
        <f>CUT!X19</f>
        <v>1</v>
      </c>
      <c r="V19" s="918">
        <f t="shared" si="2"/>
        <v>10.781488570473119</v>
      </c>
      <c r="W19" s="894"/>
      <c r="Y19" s="1244">
        <v>1</v>
      </c>
      <c r="Z19" s="1244">
        <v>2</v>
      </c>
      <c r="AA19" s="1244">
        <v>3</v>
      </c>
      <c r="AB19" s="1244">
        <v>1.5</v>
      </c>
      <c r="AC19" s="1244">
        <v>0.5</v>
      </c>
      <c r="AD19" s="1244">
        <v>2</v>
      </c>
      <c r="AE19" s="1244">
        <v>2</v>
      </c>
      <c r="AF19" s="1698"/>
      <c r="AG19" s="1244">
        <v>1</v>
      </c>
      <c r="AH19" s="1698"/>
      <c r="AI19" s="1698"/>
      <c r="AJ19" s="1698"/>
      <c r="AK19" s="1703">
        <f t="shared" si="3"/>
        <v>13</v>
      </c>
    </row>
    <row r="20" spans="1:37" ht="45" customHeight="1">
      <c r="A20" s="862">
        <v>14</v>
      </c>
      <c r="B20" s="1530" t="s">
        <v>1259</v>
      </c>
      <c r="C20" s="1533" t="s">
        <v>1260</v>
      </c>
      <c r="D20" s="1525">
        <v>44125</v>
      </c>
      <c r="E20" s="1089" t="s">
        <v>1249</v>
      </c>
      <c r="F20" s="1718">
        <v>271.90372744539411</v>
      </c>
      <c r="G20" s="1718">
        <v>238.68055555555554</v>
      </c>
      <c r="H20" s="1719">
        <v>314.51600016522286</v>
      </c>
      <c r="I20" s="1718">
        <v>370.52109811495217</v>
      </c>
      <c r="J20" s="1718">
        <v>440.9620144706779</v>
      </c>
      <c r="K20" s="1718">
        <v>445.96416424075755</v>
      </c>
      <c r="L20" s="1718">
        <v>403.30188254797366</v>
      </c>
      <c r="M20" s="1718">
        <v>260.70325590251338</v>
      </c>
      <c r="N20" s="1718">
        <v>264.10064478236148</v>
      </c>
      <c r="O20" s="1306">
        <v>281.39548864247871</v>
      </c>
      <c r="P20" s="1306">
        <v>154.88461538461539</v>
      </c>
      <c r="Q20" s="1306">
        <v>30</v>
      </c>
      <c r="R20" s="831">
        <f t="shared" si="1"/>
        <v>3476.9334472525024</v>
      </c>
      <c r="S20" s="831">
        <f t="shared" si="4"/>
        <v>289.74445393770856</v>
      </c>
      <c r="T20" s="831">
        <f t="shared" si="0"/>
        <v>11.144017459142637</v>
      </c>
      <c r="U20" s="1244">
        <f>CUT!X20</f>
        <v>0.5</v>
      </c>
      <c r="V20" s="918">
        <f t="shared" si="2"/>
        <v>5.5720087295713183</v>
      </c>
      <c r="W20" s="894"/>
      <c r="Y20" s="1244">
        <v>0</v>
      </c>
      <c r="Z20" s="1244">
        <v>0</v>
      </c>
      <c r="AA20" s="1244">
        <v>2.5</v>
      </c>
      <c r="AB20" s="1244">
        <v>2.5</v>
      </c>
      <c r="AC20" s="1244">
        <v>0</v>
      </c>
      <c r="AD20" s="1244">
        <v>2</v>
      </c>
      <c r="AE20" s="1244">
        <v>1</v>
      </c>
      <c r="AF20" s="1698"/>
      <c r="AG20" s="1244">
        <v>1.5</v>
      </c>
      <c r="AH20" s="1698"/>
      <c r="AI20" s="1698"/>
      <c r="AJ20" s="1698"/>
      <c r="AK20" s="1703">
        <f t="shared" si="3"/>
        <v>9.5</v>
      </c>
    </row>
    <row r="21" spans="1:37" ht="45" customHeight="1">
      <c r="A21" s="862">
        <v>15</v>
      </c>
      <c r="B21" s="1530" t="s">
        <v>1261</v>
      </c>
      <c r="C21" s="1533" t="s">
        <v>1262</v>
      </c>
      <c r="D21" s="1525">
        <v>44202</v>
      </c>
      <c r="E21" s="1089" t="s">
        <v>1249</v>
      </c>
      <c r="F21" s="1718">
        <v>252.46913580246914</v>
      </c>
      <c r="G21" s="1718">
        <v>213.65752611585947</v>
      </c>
      <c r="H21" s="1719">
        <v>321.16935319736649</v>
      </c>
      <c r="I21" s="1718">
        <v>302.65494988715022</v>
      </c>
      <c r="J21" s="1718">
        <v>446.41247883826844</v>
      </c>
      <c r="K21" s="1718">
        <v>387.59196496572736</v>
      </c>
      <c r="L21" s="1718">
        <v>384.78912751031493</v>
      </c>
      <c r="M21" s="1718">
        <v>234.5095395138384</v>
      </c>
      <c r="N21" s="1718">
        <v>252.16918543939568</v>
      </c>
      <c r="O21" s="1306">
        <v>176.86403239621433</v>
      </c>
      <c r="P21" s="1306">
        <v>153.88461538461539</v>
      </c>
      <c r="Q21" s="1306">
        <v>30</v>
      </c>
      <c r="R21" s="831">
        <f t="shared" si="1"/>
        <v>3156.1719090512197</v>
      </c>
      <c r="S21" s="831">
        <f t="shared" si="4"/>
        <v>263.01432575426833</v>
      </c>
      <c r="T21" s="831">
        <f t="shared" si="0"/>
        <v>10.115935605933398</v>
      </c>
      <c r="U21" s="1244">
        <f>CUT!X21</f>
        <v>0.5</v>
      </c>
      <c r="V21" s="918">
        <f t="shared" si="2"/>
        <v>5.057967802966699</v>
      </c>
      <c r="W21" s="894"/>
      <c r="Y21" s="1244">
        <v>0</v>
      </c>
      <c r="Z21" s="1244">
        <v>0</v>
      </c>
      <c r="AA21" s="1244">
        <v>2</v>
      </c>
      <c r="AB21" s="1244">
        <v>1.5</v>
      </c>
      <c r="AC21" s="1244">
        <v>1</v>
      </c>
      <c r="AD21" s="1244">
        <v>0</v>
      </c>
      <c r="AE21" s="1244">
        <v>1</v>
      </c>
      <c r="AF21" s="1244">
        <v>1</v>
      </c>
      <c r="AG21" s="1244">
        <v>1</v>
      </c>
      <c r="AH21" s="1698"/>
      <c r="AI21" s="1698"/>
      <c r="AJ21" s="1698"/>
      <c r="AK21" s="1703">
        <f t="shared" si="3"/>
        <v>7.5</v>
      </c>
    </row>
    <row r="22" spans="1:37" ht="45" customHeight="1">
      <c r="A22" s="862">
        <v>16</v>
      </c>
      <c r="B22" s="1530" t="s">
        <v>1263</v>
      </c>
      <c r="C22" s="1533" t="s">
        <v>1015</v>
      </c>
      <c r="D22" s="1525">
        <v>44538</v>
      </c>
      <c r="E22" s="1089" t="s">
        <v>1249</v>
      </c>
      <c r="F22" s="1718">
        <v>266.1631764388074</v>
      </c>
      <c r="G22" s="1718">
        <v>245.26899335232667</v>
      </c>
      <c r="H22" s="1719">
        <v>289.91346153846155</v>
      </c>
      <c r="I22" s="1718">
        <v>352.41486755688805</v>
      </c>
      <c r="J22" s="1718">
        <v>431.19687738004575</v>
      </c>
      <c r="K22" s="1718">
        <v>437.9301218583397</v>
      </c>
      <c r="L22" s="1718">
        <v>410.21606488319713</v>
      </c>
      <c r="M22" s="1718">
        <v>265.63023234786351</v>
      </c>
      <c r="N22" s="1718">
        <v>267.31759612187386</v>
      </c>
      <c r="O22" s="1306">
        <v>271.07</v>
      </c>
      <c r="P22" s="1306">
        <v>152.88461538461539</v>
      </c>
      <c r="Q22" s="1306">
        <v>30</v>
      </c>
      <c r="R22" s="831">
        <f t="shared" si="1"/>
        <v>3420.0060068624193</v>
      </c>
      <c r="S22" s="831">
        <f>R22/12</f>
        <v>285.00050057186826</v>
      </c>
      <c r="T22" s="831">
        <f t="shared" si="0"/>
        <v>10.961557714302625</v>
      </c>
      <c r="U22" s="1244">
        <f>CUT!X22</f>
        <v>0</v>
      </c>
      <c r="V22" s="918">
        <f t="shared" si="2"/>
        <v>0</v>
      </c>
      <c r="W22" s="894"/>
      <c r="Y22" s="1244">
        <v>6</v>
      </c>
      <c r="Z22" s="1244">
        <v>0</v>
      </c>
      <c r="AA22" s="1244">
        <v>0</v>
      </c>
      <c r="AB22" s="1244">
        <v>1.5</v>
      </c>
      <c r="AC22" s="1244">
        <v>0</v>
      </c>
      <c r="AD22" s="1244">
        <v>0</v>
      </c>
      <c r="AE22" s="1244">
        <v>0.5</v>
      </c>
      <c r="AF22" s="1244">
        <v>1</v>
      </c>
      <c r="AG22" s="1244">
        <v>2</v>
      </c>
      <c r="AH22" s="1698"/>
      <c r="AI22" s="1698"/>
      <c r="AJ22" s="1698"/>
      <c r="AK22" s="1703">
        <f t="shared" si="3"/>
        <v>11</v>
      </c>
    </row>
    <row r="23" spans="1:37" ht="45" customHeight="1">
      <c r="A23" s="862">
        <v>17</v>
      </c>
      <c r="B23" s="1530" t="s">
        <v>1264</v>
      </c>
      <c r="C23" s="1533" t="s">
        <v>1016</v>
      </c>
      <c r="D23" s="1525">
        <v>44539</v>
      </c>
      <c r="E23" s="1089" t="s">
        <v>1249</v>
      </c>
      <c r="F23" s="1718">
        <v>262.98065052231721</v>
      </c>
      <c r="G23" s="1718">
        <v>245.26899335232667</v>
      </c>
      <c r="H23" s="1719">
        <v>307.37456967974271</v>
      </c>
      <c r="I23" s="1718">
        <v>376.23356591369617</v>
      </c>
      <c r="J23" s="1718">
        <v>470.66184310738771</v>
      </c>
      <c r="K23" s="1718">
        <v>468.38366336633663</v>
      </c>
      <c r="L23" s="1718">
        <v>393.35941644562337</v>
      </c>
      <c r="M23" s="1718">
        <v>274.00542650418885</v>
      </c>
      <c r="N23" s="1718">
        <v>248.6666198663458</v>
      </c>
      <c r="O23" s="1306">
        <v>323.94</v>
      </c>
      <c r="P23" s="1306">
        <v>152.88461538461539</v>
      </c>
      <c r="Q23" s="1306">
        <v>30</v>
      </c>
      <c r="R23" s="831">
        <f t="shared" si="1"/>
        <v>3553.7593641425806</v>
      </c>
      <c r="S23" s="831">
        <f>R23/12</f>
        <v>296.14661367854836</v>
      </c>
      <c r="T23" s="831">
        <f t="shared" si="0"/>
        <v>11.39025437225186</v>
      </c>
      <c r="U23" s="1244">
        <f>CUT!X23</f>
        <v>0</v>
      </c>
      <c r="V23" s="918">
        <f t="shared" si="2"/>
        <v>0</v>
      </c>
      <c r="W23" s="894"/>
      <c r="Y23" s="1244">
        <v>0</v>
      </c>
      <c r="Z23" s="1244">
        <v>0</v>
      </c>
      <c r="AA23" s="1244">
        <v>2</v>
      </c>
      <c r="AB23" s="1244">
        <v>3.5</v>
      </c>
      <c r="AC23" s="1244">
        <v>0</v>
      </c>
      <c r="AD23" s="1244">
        <v>0</v>
      </c>
      <c r="AE23" s="1244">
        <v>0</v>
      </c>
      <c r="AF23" s="1698"/>
      <c r="AG23" s="1244">
        <v>1</v>
      </c>
      <c r="AH23" s="1698"/>
      <c r="AI23" s="1698"/>
      <c r="AJ23" s="1698"/>
      <c r="AK23" s="1703">
        <f t="shared" si="3"/>
        <v>6.5</v>
      </c>
    </row>
    <row r="24" spans="1:37" ht="45" customHeight="1">
      <c r="A24" s="862">
        <v>18</v>
      </c>
      <c r="B24" s="1334" t="s">
        <v>1944</v>
      </c>
      <c r="C24" s="805" t="s">
        <v>1945</v>
      </c>
      <c r="D24" s="1446">
        <v>45082</v>
      </c>
      <c r="E24" s="1089" t="s">
        <v>1249</v>
      </c>
      <c r="F24" s="1718">
        <v>254.96320037986703</v>
      </c>
      <c r="G24" s="1718">
        <v>272.77849002849001</v>
      </c>
      <c r="H24" s="1719">
        <v>307.22033502799877</v>
      </c>
      <c r="I24" s="1718">
        <v>271.36656058295648</v>
      </c>
      <c r="J24" s="1718">
        <v>432.48533891850718</v>
      </c>
      <c r="K24" s="1718">
        <v>475.82044935262758</v>
      </c>
      <c r="L24" s="1718">
        <v>368.1309915560505</v>
      </c>
      <c r="M24" s="1718">
        <v>294.78832039269554</v>
      </c>
      <c r="N24" s="1718">
        <v>220.7374873239294</v>
      </c>
      <c r="O24" s="1306">
        <v>240.43</v>
      </c>
      <c r="P24" s="1306">
        <v>196.53846153846155</v>
      </c>
      <c r="Q24" s="1306">
        <v>30</v>
      </c>
      <c r="R24" s="831">
        <f t="shared" si="1"/>
        <v>3365.2596351015841</v>
      </c>
      <c r="S24" s="831">
        <f>R24/12</f>
        <v>280.43830292513201</v>
      </c>
      <c r="T24" s="831">
        <f t="shared" si="0"/>
        <v>10.786088574043539</v>
      </c>
      <c r="U24" s="1244">
        <f>CUT!X24</f>
        <v>0</v>
      </c>
      <c r="V24" s="918">
        <f t="shared" si="2"/>
        <v>0</v>
      </c>
      <c r="W24" s="894"/>
      <c r="Y24" s="1244">
        <v>0</v>
      </c>
      <c r="Z24" s="1244">
        <v>0</v>
      </c>
      <c r="AA24" s="1244">
        <v>2</v>
      </c>
      <c r="AB24" s="1244">
        <v>1.5</v>
      </c>
      <c r="AC24" s="1244">
        <v>0</v>
      </c>
      <c r="AD24" s="1244">
        <v>0</v>
      </c>
      <c r="AE24" s="1244">
        <v>1.5</v>
      </c>
      <c r="AF24" s="1244">
        <v>0.5</v>
      </c>
      <c r="AG24" s="1244">
        <v>1</v>
      </c>
      <c r="AH24" s="1698"/>
      <c r="AI24" s="1698"/>
      <c r="AJ24" s="1698"/>
      <c r="AK24" s="1703">
        <f t="shared" ref="AK24" si="6">SUM(Y24:AJ24)</f>
        <v>6.5</v>
      </c>
    </row>
    <row r="25" spans="1:37" ht="45" customHeight="1">
      <c r="A25" s="862">
        <v>19</v>
      </c>
      <c r="B25" s="1334" t="s">
        <v>2207</v>
      </c>
      <c r="C25" s="1417" t="s">
        <v>2208</v>
      </c>
      <c r="D25" s="1455">
        <v>45460</v>
      </c>
      <c r="E25" s="1151" t="s">
        <v>359</v>
      </c>
      <c r="F25" s="1325">
        <v>0</v>
      </c>
      <c r="G25" s="1325">
        <v>0</v>
      </c>
      <c r="H25" s="1325">
        <v>0</v>
      </c>
      <c r="I25" s="1325">
        <v>0</v>
      </c>
      <c r="J25" s="1325">
        <v>0</v>
      </c>
      <c r="K25" s="1718">
        <v>201.77597677075397</v>
      </c>
      <c r="L25" s="1718">
        <v>417.18053713527854</v>
      </c>
      <c r="M25" s="1718">
        <v>286.99923838537694</v>
      </c>
      <c r="N25" s="1718">
        <v>266.45887674300991</v>
      </c>
      <c r="O25" s="1325">
        <v>0</v>
      </c>
      <c r="P25" s="1325">
        <v>0</v>
      </c>
      <c r="Q25" s="1325">
        <v>0</v>
      </c>
      <c r="R25" s="831">
        <f t="shared" si="1"/>
        <v>1172.4146290344192</v>
      </c>
      <c r="S25" s="831">
        <f>R25/4</f>
        <v>293.10365725860481</v>
      </c>
      <c r="T25" s="831">
        <f t="shared" si="0"/>
        <v>11.273217586869416</v>
      </c>
      <c r="U25" s="1244">
        <f>CUT!X25</f>
        <v>0</v>
      </c>
      <c r="V25" s="918">
        <f t="shared" si="2"/>
        <v>0</v>
      </c>
      <c r="W25" s="894"/>
      <c r="Y25" s="1244"/>
      <c r="Z25" s="1244"/>
      <c r="AA25" s="1244"/>
      <c r="AB25" s="1244"/>
      <c r="AC25" s="1244">
        <v>0</v>
      </c>
      <c r="AD25" s="1244">
        <v>0</v>
      </c>
      <c r="AE25" s="1244">
        <v>0</v>
      </c>
      <c r="AF25" s="1698"/>
      <c r="AG25" s="1244">
        <v>1</v>
      </c>
      <c r="AH25" s="1698"/>
      <c r="AI25" s="1698"/>
      <c r="AJ25" s="1698"/>
      <c r="AK25" s="1703"/>
    </row>
    <row r="26" spans="1:37" ht="45" customHeight="1">
      <c r="A26" s="862">
        <v>20</v>
      </c>
      <c r="B26" s="1810" t="s">
        <v>2318</v>
      </c>
      <c r="C26" s="1384" t="s">
        <v>2319</v>
      </c>
      <c r="D26" s="1455">
        <v>45530</v>
      </c>
      <c r="E26" s="1151" t="s">
        <v>359</v>
      </c>
      <c r="F26" s="1325">
        <v>0</v>
      </c>
      <c r="G26" s="1325">
        <v>0</v>
      </c>
      <c r="H26" s="1325">
        <v>0</v>
      </c>
      <c r="I26" s="1325">
        <v>0</v>
      </c>
      <c r="J26" s="1325">
        <v>0</v>
      </c>
      <c r="K26" s="1325">
        <v>0</v>
      </c>
      <c r="L26" s="1325">
        <v>0</v>
      </c>
      <c r="M26" s="1718">
        <v>57.895316070068539</v>
      </c>
      <c r="N26" s="1718">
        <v>256.39153728982365</v>
      </c>
      <c r="O26" s="1325">
        <v>0</v>
      </c>
      <c r="P26" s="1325">
        <v>0</v>
      </c>
      <c r="Q26" s="1325">
        <v>0</v>
      </c>
      <c r="R26" s="831">
        <f t="shared" si="1"/>
        <v>314.28685335989218</v>
      </c>
      <c r="S26" s="831">
        <f>R26/2</f>
        <v>157.14342667994609</v>
      </c>
      <c r="T26" s="831">
        <f t="shared" si="0"/>
        <v>6.0439779492286956</v>
      </c>
      <c r="U26" s="1244">
        <f>CUT!X26</f>
        <v>0</v>
      </c>
      <c r="V26" s="918">
        <f t="shared" si="2"/>
        <v>0</v>
      </c>
      <c r="W26" s="894"/>
      <c r="Y26" s="1244"/>
      <c r="Z26" s="1244"/>
      <c r="AA26" s="1244"/>
      <c r="AB26" s="1244"/>
      <c r="AC26" s="1244"/>
      <c r="AD26" s="1244"/>
      <c r="AE26" s="1244"/>
      <c r="AF26" s="1698"/>
      <c r="AG26" s="1244">
        <v>1</v>
      </c>
      <c r="AH26" s="1698"/>
      <c r="AI26" s="1698"/>
      <c r="AJ26" s="1698"/>
      <c r="AK26" s="1703"/>
    </row>
    <row r="27" spans="1:37" ht="45" customHeight="1">
      <c r="A27" s="862">
        <v>21</v>
      </c>
      <c r="B27" s="1328" t="s">
        <v>2190</v>
      </c>
      <c r="C27" s="625" t="s">
        <v>917</v>
      </c>
      <c r="D27" s="1477">
        <v>44378</v>
      </c>
      <c r="E27" s="614" t="s">
        <v>355</v>
      </c>
      <c r="F27" s="1719">
        <v>334.41892212725548</v>
      </c>
      <c r="G27" s="1719">
        <v>342.65728869895537</v>
      </c>
      <c r="H27" s="1719">
        <v>451.79372587055025</v>
      </c>
      <c r="I27" s="1718">
        <v>526.67141668622071</v>
      </c>
      <c r="J27" s="1718">
        <v>642.89603960396039</v>
      </c>
      <c r="K27" s="1718">
        <v>690.83320639756289</v>
      </c>
      <c r="L27" s="1718">
        <v>624.41956374077267</v>
      </c>
      <c r="M27" s="1718">
        <v>497.80129759774667</v>
      </c>
      <c r="N27" s="1718">
        <v>419.27786662507179</v>
      </c>
      <c r="O27" s="1306">
        <v>366.77235377698383</v>
      </c>
      <c r="P27" s="1306">
        <v>242.11538461538461</v>
      </c>
      <c r="Q27" s="1306">
        <v>30</v>
      </c>
      <c r="R27" s="831">
        <f t="shared" si="1"/>
        <v>5169.6570657404645</v>
      </c>
      <c r="S27" s="831">
        <f>R27/12</f>
        <v>430.80475547837204</v>
      </c>
      <c r="T27" s="831">
        <f t="shared" si="0"/>
        <v>16.56941367224508</v>
      </c>
      <c r="U27" s="1244">
        <f>CUT!X27</f>
        <v>1</v>
      </c>
      <c r="V27" s="918">
        <f t="shared" si="2"/>
        <v>16.56941367224508</v>
      </c>
      <c r="W27" s="894"/>
      <c r="Y27" s="1244">
        <v>0</v>
      </c>
      <c r="Z27" s="1244">
        <v>0</v>
      </c>
      <c r="AA27" s="1244">
        <v>2</v>
      </c>
      <c r="AB27" s="1244">
        <v>2</v>
      </c>
      <c r="AC27" s="1244">
        <v>0</v>
      </c>
      <c r="AD27" s="1244">
        <v>0</v>
      </c>
      <c r="AE27" s="1244">
        <v>0.5</v>
      </c>
      <c r="AF27" s="1244">
        <v>2</v>
      </c>
      <c r="AG27" s="1244">
        <v>1</v>
      </c>
      <c r="AH27" s="1698"/>
      <c r="AI27" s="1698"/>
      <c r="AJ27" s="1698"/>
      <c r="AK27" s="1703">
        <f t="shared" si="3"/>
        <v>7.5</v>
      </c>
    </row>
    <row r="28" spans="1:37" ht="45" customHeight="1">
      <c r="A28" s="2181" t="s">
        <v>214</v>
      </c>
      <c r="B28" s="2182"/>
      <c r="C28" s="2182"/>
      <c r="D28" s="2182"/>
      <c r="E28" s="2182"/>
      <c r="F28" s="2182"/>
      <c r="G28" s="2182"/>
      <c r="H28" s="2182"/>
      <c r="I28" s="2182"/>
      <c r="J28" s="2182"/>
      <c r="K28" s="2182"/>
      <c r="L28" s="2182"/>
      <c r="M28" s="2182"/>
      <c r="N28" s="2182"/>
      <c r="O28" s="2182"/>
      <c r="P28" s="2182"/>
      <c r="Q28" s="2182"/>
      <c r="R28" s="2183"/>
      <c r="S28" s="835"/>
      <c r="T28" s="835"/>
      <c r="U28" s="835"/>
      <c r="V28" s="951">
        <f>SUM(V7:V27)</f>
        <v>86.322804788121502</v>
      </c>
      <c r="W28" s="917"/>
    </row>
    <row r="29" spans="1:37" ht="15.75">
      <c r="A29" s="842"/>
      <c r="B29" s="842"/>
      <c r="C29" s="842"/>
      <c r="D29" s="567"/>
      <c r="E29" s="842"/>
      <c r="F29" s="870"/>
      <c r="G29" s="870"/>
      <c r="H29" s="870"/>
      <c r="I29" s="870"/>
      <c r="J29" s="870"/>
      <c r="K29" s="870"/>
      <c r="L29" s="870"/>
      <c r="M29" s="870"/>
      <c r="N29" s="870"/>
      <c r="O29" s="870"/>
      <c r="P29" s="870"/>
      <c r="Q29" s="870"/>
      <c r="R29" s="870"/>
      <c r="S29" s="870"/>
      <c r="T29" s="870"/>
      <c r="U29" s="870"/>
      <c r="V29" s="870"/>
      <c r="W29" s="896"/>
    </row>
    <row r="30" spans="1:37" ht="15.75">
      <c r="A30" s="2132" t="s">
        <v>1155</v>
      </c>
      <c r="B30" s="2132"/>
      <c r="C30" s="2132"/>
      <c r="D30" s="872"/>
      <c r="E30" s="871"/>
      <c r="F30" s="871"/>
      <c r="G30" s="871"/>
      <c r="H30" s="2132" t="s">
        <v>1156</v>
      </c>
      <c r="I30" s="2132"/>
      <c r="J30" s="2132"/>
      <c r="K30" s="2132"/>
      <c r="L30" s="871"/>
      <c r="M30" s="871"/>
      <c r="N30" s="871"/>
      <c r="O30" s="871"/>
      <c r="P30" s="871"/>
      <c r="Q30" s="871"/>
      <c r="R30" s="2133" t="s">
        <v>1157</v>
      </c>
      <c r="S30" s="2133"/>
      <c r="T30" s="2133"/>
      <c r="U30" s="873"/>
      <c r="V30" s="873"/>
      <c r="W30" s="898"/>
    </row>
    <row r="31" spans="1:37" ht="15.75">
      <c r="A31" s="842"/>
      <c r="B31" s="842"/>
      <c r="C31" s="842"/>
      <c r="D31" s="567"/>
      <c r="E31" s="842"/>
      <c r="F31" s="870"/>
      <c r="G31" s="870"/>
      <c r="H31" s="870"/>
      <c r="I31" s="870"/>
      <c r="J31" s="870"/>
      <c r="K31" s="870"/>
      <c r="L31" s="870"/>
      <c r="M31" s="870"/>
      <c r="N31" s="870"/>
      <c r="O31" s="870"/>
      <c r="P31" s="870"/>
      <c r="Q31" s="870"/>
      <c r="R31" s="870"/>
      <c r="S31" s="870"/>
      <c r="T31" s="870"/>
      <c r="U31" s="870"/>
      <c r="V31" s="870"/>
      <c r="W31" s="896"/>
    </row>
    <row r="32" spans="1:37" ht="15.75">
      <c r="A32" s="871"/>
      <c r="B32" s="871"/>
      <c r="C32" s="871"/>
      <c r="D32" s="872"/>
      <c r="E32" s="871"/>
      <c r="F32" s="873"/>
      <c r="G32" s="873"/>
      <c r="H32" s="873"/>
      <c r="I32" s="873"/>
      <c r="J32" s="873"/>
      <c r="K32" s="873"/>
      <c r="L32" s="873"/>
      <c r="M32" s="873"/>
      <c r="N32" s="873"/>
      <c r="O32" s="873"/>
      <c r="P32" s="873"/>
      <c r="Q32" s="873"/>
      <c r="R32" s="873"/>
      <c r="S32" s="873"/>
      <c r="T32" s="873"/>
      <c r="U32" s="873"/>
      <c r="V32" s="873"/>
      <c r="W32" s="898"/>
    </row>
  </sheetData>
  <mergeCells count="9">
    <mergeCell ref="J2:S2"/>
    <mergeCell ref="A3:W3"/>
    <mergeCell ref="F5:Q5"/>
    <mergeCell ref="A28:R28"/>
    <mergeCell ref="A30:C30"/>
    <mergeCell ref="H30:K30"/>
    <mergeCell ref="R30:T30"/>
    <mergeCell ref="A4:C4"/>
    <mergeCell ref="L4:R4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BL34"/>
  <sheetViews>
    <sheetView view="pageBreakPreview" topLeftCell="A3" zoomScale="80" zoomScaleNormal="100" zoomScaleSheetLayoutView="80" workbookViewId="0">
      <pane xSplit="7" ySplit="4" topLeftCell="AJ25" activePane="bottomRight" state="frozen"/>
      <selection activeCell="A3" sqref="A3"/>
      <selection pane="topRight" activeCell="H3" sqref="H3"/>
      <selection pane="bottomLeft" activeCell="A7" sqref="A7"/>
      <selection pane="bottomRight" activeCell="C26" sqref="C26"/>
    </sheetView>
  </sheetViews>
  <sheetFormatPr defaultRowHeight="15.75"/>
  <cols>
    <col min="1" max="1" width="5.375" style="544" customWidth="1"/>
    <col min="2" max="2" width="10.125" style="544" customWidth="1"/>
    <col min="3" max="3" width="12.75" style="755" customWidth="1"/>
    <col min="4" max="4" width="11.625" style="555" customWidth="1"/>
    <col min="5" max="5" width="6.125" style="610" customWidth="1"/>
    <col min="6" max="6" width="8.375" style="556" customWidth="1"/>
    <col min="7" max="7" width="6.625" style="544" customWidth="1"/>
    <col min="8" max="8" width="5.75" style="544" customWidth="1"/>
    <col min="9" max="9" width="8.375" style="544" customWidth="1"/>
    <col min="10" max="10" width="6.75" style="544" customWidth="1"/>
    <col min="11" max="11" width="8.625" style="544" customWidth="1"/>
    <col min="12" max="12" width="5.875" style="544" customWidth="1"/>
    <col min="13" max="13" width="5.375" style="544" customWidth="1"/>
    <col min="14" max="14" width="8.5" style="544" customWidth="1"/>
    <col min="15" max="15" width="5.625" style="544" customWidth="1"/>
    <col min="16" max="16" width="6.5" style="544" customWidth="1"/>
    <col min="17" max="17" width="8.25" style="544" customWidth="1"/>
    <col min="18" max="18" width="5.25" style="544" customWidth="1"/>
    <col min="19" max="19" width="5.875" style="544" customWidth="1"/>
    <col min="20" max="20" width="8.5" style="544" customWidth="1"/>
    <col min="21" max="21" width="5.625" style="544" customWidth="1"/>
    <col min="22" max="22" width="5.75" style="544" customWidth="1"/>
    <col min="23" max="23" width="8.625" style="544" customWidth="1"/>
    <col min="24" max="24" width="6.375" style="544" customWidth="1"/>
    <col min="25" max="25" width="8.25" style="544" customWidth="1"/>
    <col min="26" max="26" width="5.625" style="544" customWidth="1"/>
    <col min="27" max="27" width="6.625" style="544" customWidth="1"/>
    <col min="28" max="28" width="8.875" style="544" customWidth="1"/>
    <col min="29" max="29" width="5.875" style="544" customWidth="1"/>
    <col min="30" max="30" width="6.125" style="544" customWidth="1"/>
    <col min="31" max="31" width="8.875" style="544" customWidth="1"/>
    <col min="32" max="32" width="7.5" style="544" customWidth="1"/>
    <col min="33" max="33" width="6.125" style="544" customWidth="1"/>
    <col min="34" max="34" width="8.125" style="544" customWidth="1"/>
    <col min="35" max="35" width="7.75" style="544" customWidth="1"/>
    <col min="36" max="36" width="10.125" style="544" customWidth="1"/>
    <col min="37" max="37" width="9.5" style="544" customWidth="1"/>
    <col min="38" max="38" width="11.5" style="544" customWidth="1"/>
    <col min="39" max="39" width="6.625" style="544" customWidth="1"/>
    <col min="40" max="40" width="9.625" style="544" customWidth="1"/>
    <col min="41" max="42" width="8.125" style="544" customWidth="1"/>
    <col min="43" max="43" width="11.125" style="544" customWidth="1"/>
    <col min="44" max="44" width="14.625" style="544" customWidth="1"/>
    <col min="45" max="45" width="10.5" style="544" customWidth="1"/>
    <col min="46" max="46" width="14.125" style="544" customWidth="1"/>
    <col min="47" max="47" width="10.5" style="603" customWidth="1"/>
    <col min="48" max="48" width="10.5" style="544" hidden="1" customWidth="1"/>
    <col min="49" max="49" width="9" style="544"/>
    <col min="50" max="50" width="9.125" style="544" bestFit="1" customWidth="1"/>
    <col min="51" max="53" width="8.875" style="544" customWidth="1"/>
    <col min="54" max="54" width="8.75" style="544" customWidth="1"/>
    <col min="55" max="55" width="9.125" style="544" bestFit="1" customWidth="1"/>
    <col min="56" max="56" width="9.125" style="544" customWidth="1"/>
    <col min="57" max="57" width="9.125" style="544" bestFit="1" customWidth="1"/>
    <col min="58" max="58" width="10.75" style="544" customWidth="1"/>
    <col min="59" max="59" width="9" style="544"/>
    <col min="60" max="60" width="16.125" style="544" customWidth="1"/>
    <col min="61" max="61" width="9" style="544"/>
    <col min="62" max="64" width="14.375" style="544" customWidth="1"/>
    <col min="65" max="16384" width="9" style="544"/>
  </cols>
  <sheetData>
    <row r="1" spans="1:64" s="541" customFormat="1" ht="29.25" customHeight="1">
      <c r="A1" s="2110" t="s">
        <v>222</v>
      </c>
      <c r="B1" s="2110"/>
      <c r="C1" s="2110"/>
      <c r="D1" s="2110"/>
      <c r="E1" s="2110"/>
      <c r="F1" s="2110"/>
      <c r="G1" s="2110"/>
      <c r="H1" s="2110"/>
      <c r="I1" s="2110"/>
      <c r="J1" s="2110"/>
      <c r="K1" s="2110"/>
      <c r="L1" s="2110"/>
      <c r="M1" s="2110"/>
      <c r="N1" s="2110"/>
      <c r="O1" s="2110"/>
      <c r="P1" s="2110"/>
      <c r="Q1" s="2110"/>
      <c r="R1" s="2110"/>
      <c r="S1" s="2110"/>
      <c r="T1" s="2110"/>
      <c r="U1" s="2110"/>
      <c r="V1" s="2110"/>
      <c r="W1" s="2110"/>
      <c r="X1" s="2110"/>
      <c r="Y1" s="2110"/>
      <c r="Z1" s="2110"/>
      <c r="AA1" s="2110"/>
      <c r="AB1" s="2110"/>
      <c r="AC1" s="2110"/>
      <c r="AD1" s="2110"/>
      <c r="AE1" s="2110"/>
      <c r="AF1" s="2110"/>
      <c r="AG1" s="2110"/>
      <c r="AH1" s="2110"/>
      <c r="AI1" s="2110"/>
      <c r="AJ1" s="2110"/>
      <c r="AK1" s="2110"/>
      <c r="AL1" s="2110"/>
      <c r="AM1" s="2110"/>
      <c r="AN1" s="2110"/>
      <c r="AO1" s="2110"/>
      <c r="AP1" s="2110"/>
      <c r="AQ1" s="2110"/>
      <c r="AR1" s="2110"/>
      <c r="AS1" s="2110"/>
      <c r="AT1" s="2110"/>
      <c r="AU1" s="597"/>
    </row>
    <row r="2" spans="1:64" s="541" customFormat="1" ht="20.25" customHeight="1">
      <c r="A2" s="2110" t="s">
        <v>221</v>
      </c>
      <c r="B2" s="2110"/>
      <c r="C2" s="2110"/>
      <c r="D2" s="2110"/>
      <c r="E2" s="2110"/>
      <c r="F2" s="2110"/>
      <c r="G2" s="2110"/>
      <c r="H2" s="2110"/>
      <c r="I2" s="2110"/>
      <c r="J2" s="2110"/>
      <c r="K2" s="2110"/>
      <c r="L2" s="2110"/>
      <c r="M2" s="2110"/>
      <c r="N2" s="2110"/>
      <c r="O2" s="2110"/>
      <c r="P2" s="2110"/>
      <c r="Q2" s="2110"/>
      <c r="R2" s="2110"/>
      <c r="S2" s="2110"/>
      <c r="T2" s="2110"/>
      <c r="U2" s="2110"/>
      <c r="V2" s="2110"/>
      <c r="W2" s="2110"/>
      <c r="X2" s="2110"/>
      <c r="Y2" s="2110"/>
      <c r="Z2" s="2110"/>
      <c r="AA2" s="2110"/>
      <c r="AB2" s="2110"/>
      <c r="AC2" s="2110"/>
      <c r="AD2" s="2110"/>
      <c r="AE2" s="2110"/>
      <c r="AF2" s="2110"/>
      <c r="AG2" s="2110"/>
      <c r="AH2" s="2110"/>
      <c r="AI2" s="2110"/>
      <c r="AJ2" s="2110"/>
      <c r="AK2" s="2110"/>
      <c r="AL2" s="2110"/>
      <c r="AM2" s="2110"/>
      <c r="AN2" s="2110"/>
      <c r="AO2" s="2110"/>
      <c r="AP2" s="2110"/>
      <c r="AQ2" s="2110"/>
      <c r="AR2" s="2110"/>
      <c r="AS2" s="2110"/>
      <c r="AT2" s="2110"/>
      <c r="AU2" s="597"/>
    </row>
    <row r="3" spans="1:64" s="541" customFormat="1" ht="19.5" customHeight="1">
      <c r="A3" s="2111" t="s">
        <v>2343</v>
      </c>
      <c r="B3" s="2111"/>
      <c r="C3" s="2111"/>
      <c r="D3" s="2111"/>
      <c r="E3" s="2111"/>
      <c r="F3" s="2111"/>
      <c r="G3" s="2111"/>
      <c r="H3" s="2111"/>
      <c r="I3" s="2111"/>
      <c r="J3" s="2111"/>
      <c r="K3" s="2111"/>
      <c r="L3" s="2111"/>
      <c r="M3" s="2111"/>
      <c r="N3" s="2111"/>
      <c r="O3" s="2111"/>
      <c r="P3" s="2111"/>
      <c r="Q3" s="2111"/>
      <c r="R3" s="2111"/>
      <c r="S3" s="2111"/>
      <c r="T3" s="2111"/>
      <c r="U3" s="2111"/>
      <c r="V3" s="2111"/>
      <c r="W3" s="2111"/>
      <c r="X3" s="2111"/>
      <c r="Y3" s="2111"/>
      <c r="Z3" s="2111"/>
      <c r="AA3" s="2111"/>
      <c r="AB3" s="2111"/>
      <c r="AC3" s="2111"/>
      <c r="AD3" s="2111"/>
      <c r="AE3" s="2111"/>
      <c r="AF3" s="2111"/>
      <c r="AG3" s="2111"/>
      <c r="AH3" s="2111"/>
      <c r="AI3" s="2111"/>
      <c r="AJ3" s="2111"/>
      <c r="AK3" s="2111"/>
      <c r="AL3" s="2111"/>
      <c r="AM3" s="2111"/>
      <c r="AN3" s="2111"/>
      <c r="AO3" s="2111"/>
      <c r="AP3" s="2111"/>
      <c r="AQ3" s="2111"/>
      <c r="AR3" s="2111"/>
      <c r="AS3" s="2111"/>
      <c r="AT3" s="752"/>
      <c r="AU3" s="598"/>
    </row>
    <row r="4" spans="1:64" s="1040" customFormat="1" ht="20.25" customHeight="1">
      <c r="A4" s="1373" t="s">
        <v>708</v>
      </c>
      <c r="B4" s="1373"/>
      <c r="C4" s="2091" t="s">
        <v>2341</v>
      </c>
      <c r="D4" s="2092"/>
      <c r="E4" s="2092"/>
      <c r="F4" s="2092"/>
      <c r="G4" s="1371"/>
      <c r="H4" s="1371"/>
      <c r="I4" s="1371"/>
      <c r="J4" s="1371"/>
      <c r="K4" s="1371"/>
      <c r="L4" s="1371"/>
      <c r="M4" s="1371"/>
      <c r="N4" s="1371"/>
      <c r="O4" s="1371"/>
      <c r="P4" s="1371"/>
      <c r="Q4" s="1371"/>
      <c r="R4" s="1371"/>
      <c r="S4" s="1371"/>
      <c r="T4" s="1371"/>
      <c r="U4" s="1371"/>
      <c r="V4" s="1371"/>
      <c r="W4" s="1371"/>
      <c r="X4" s="1371"/>
      <c r="Y4" s="1371"/>
      <c r="Z4" s="1371"/>
      <c r="AA4" s="1371"/>
      <c r="AB4" s="1371"/>
      <c r="AC4" s="1371"/>
      <c r="AD4" s="1371"/>
      <c r="AE4" s="1371"/>
      <c r="AF4" s="1371"/>
      <c r="AG4" s="1371"/>
      <c r="AH4" s="1371"/>
      <c r="AI4" s="1371"/>
      <c r="AJ4" s="1371"/>
      <c r="AK4" s="1371"/>
      <c r="AL4" s="1371"/>
      <c r="AM4" s="1371"/>
      <c r="AN4" s="1371"/>
      <c r="AO4" s="1371"/>
      <c r="AP4" s="1371"/>
      <c r="AQ4" s="1371"/>
      <c r="AR4" s="1371"/>
      <c r="AS4" s="1371"/>
      <c r="AT4" s="1371"/>
      <c r="AU4" s="1376"/>
      <c r="AW4" s="2075" t="s">
        <v>472</v>
      </c>
      <c r="AX4" s="2075"/>
      <c r="AY4" s="2075"/>
      <c r="AZ4" s="2075"/>
      <c r="BA4" s="2075"/>
      <c r="BB4" s="2075"/>
      <c r="BC4" s="2075"/>
      <c r="BD4" s="2075"/>
      <c r="BE4" s="2075"/>
      <c r="BF4" s="2075"/>
    </row>
    <row r="5" spans="1:64" ht="69.95" customHeight="1">
      <c r="A5" s="722" t="s">
        <v>252</v>
      </c>
      <c r="B5" s="722" t="s">
        <v>253</v>
      </c>
      <c r="C5" s="722" t="s">
        <v>911</v>
      </c>
      <c r="D5" s="1814" t="s">
        <v>254</v>
      </c>
      <c r="E5" s="643" t="s">
        <v>227</v>
      </c>
      <c r="F5" s="724" t="s">
        <v>255</v>
      </c>
      <c r="G5" s="643" t="s">
        <v>256</v>
      </c>
      <c r="H5" s="2184" t="s">
        <v>1733</v>
      </c>
      <c r="I5" s="2184"/>
      <c r="J5" s="2184"/>
      <c r="K5" s="2184"/>
      <c r="L5" s="2120" t="s">
        <v>1687</v>
      </c>
      <c r="M5" s="2094"/>
      <c r="N5" s="2095"/>
      <c r="O5" s="2120" t="s">
        <v>1689</v>
      </c>
      <c r="P5" s="2094"/>
      <c r="Q5" s="2095"/>
      <c r="R5" s="2120" t="s">
        <v>1688</v>
      </c>
      <c r="S5" s="2094"/>
      <c r="T5" s="2095"/>
      <c r="U5" s="2117" t="s">
        <v>1647</v>
      </c>
      <c r="V5" s="2118"/>
      <c r="W5" s="2119"/>
      <c r="X5" s="2102" t="s">
        <v>1674</v>
      </c>
      <c r="Y5" s="2103"/>
      <c r="Z5" s="2093" t="s">
        <v>1675</v>
      </c>
      <c r="AA5" s="2094"/>
      <c r="AB5" s="2095"/>
      <c r="AC5" s="2096" t="s">
        <v>1664</v>
      </c>
      <c r="AD5" s="1126" t="s">
        <v>258</v>
      </c>
      <c r="AE5" s="2185" t="s">
        <v>220</v>
      </c>
      <c r="AF5" s="1117" t="s">
        <v>1835</v>
      </c>
      <c r="AG5" s="2100" t="s">
        <v>1840</v>
      </c>
      <c r="AH5" s="2080" t="s">
        <v>1666</v>
      </c>
      <c r="AI5" s="2080" t="s">
        <v>1665</v>
      </c>
      <c r="AJ5" s="2076" t="s">
        <v>1728</v>
      </c>
      <c r="AK5" s="2078" t="s">
        <v>1727</v>
      </c>
      <c r="AL5" s="2114" t="s">
        <v>1667</v>
      </c>
      <c r="AM5" s="2084" t="s">
        <v>1668</v>
      </c>
      <c r="AN5" s="2171" t="s">
        <v>1669</v>
      </c>
      <c r="AO5" s="2116" t="s">
        <v>1670</v>
      </c>
      <c r="AP5" s="2089" t="s">
        <v>1805</v>
      </c>
      <c r="AQ5" s="2154" t="s">
        <v>1673</v>
      </c>
      <c r="AR5" s="2154"/>
      <c r="AS5" s="2155"/>
      <c r="AT5" s="2153" t="s">
        <v>1672</v>
      </c>
      <c r="AU5" s="599"/>
      <c r="AV5" s="501"/>
      <c r="AW5" s="2081" t="s">
        <v>219</v>
      </c>
      <c r="AX5" s="2082"/>
      <c r="AY5" s="2083"/>
      <c r="AZ5" s="750"/>
      <c r="BA5" s="750"/>
      <c r="BB5" s="2086"/>
      <c r="BC5" s="2086"/>
      <c r="BD5" s="2086"/>
      <c r="BE5" s="2086"/>
      <c r="BF5" s="2087"/>
      <c r="BH5" s="690" t="s">
        <v>789</v>
      </c>
      <c r="BI5" s="2156" t="s">
        <v>568</v>
      </c>
      <c r="BJ5" s="2156" t="s">
        <v>569</v>
      </c>
      <c r="BK5" s="2156" t="s">
        <v>570</v>
      </c>
      <c r="BL5" s="2158" t="s">
        <v>713</v>
      </c>
    </row>
    <row r="6" spans="1:64" ht="99.75" customHeight="1">
      <c r="A6" s="725" t="s">
        <v>111</v>
      </c>
      <c r="B6" s="725" t="s">
        <v>1732</v>
      </c>
      <c r="C6" s="1137" t="s">
        <v>1730</v>
      </c>
      <c r="D6" s="725" t="s">
        <v>1729</v>
      </c>
      <c r="E6" s="607" t="s">
        <v>1703</v>
      </c>
      <c r="F6" s="1124" t="s">
        <v>1731</v>
      </c>
      <c r="G6" s="607" t="s">
        <v>1656</v>
      </c>
      <c r="H6" s="1141" t="s">
        <v>1657</v>
      </c>
      <c r="I6" s="546" t="s">
        <v>1658</v>
      </c>
      <c r="J6" s="546" t="s">
        <v>1676</v>
      </c>
      <c r="K6" s="546" t="s">
        <v>1644</v>
      </c>
      <c r="L6" s="1142" t="s">
        <v>1645</v>
      </c>
      <c r="M6" s="546" t="s">
        <v>1659</v>
      </c>
      <c r="N6" s="546" t="s">
        <v>1662</v>
      </c>
      <c r="O6" s="547" t="s">
        <v>1660</v>
      </c>
      <c r="P6" s="546" t="s">
        <v>1659</v>
      </c>
      <c r="Q6" s="546" t="s">
        <v>1662</v>
      </c>
      <c r="R6" s="1142" t="s">
        <v>1660</v>
      </c>
      <c r="S6" s="546" t="s">
        <v>1680</v>
      </c>
      <c r="T6" s="546" t="s">
        <v>1662</v>
      </c>
      <c r="U6" s="546" t="s">
        <v>1682</v>
      </c>
      <c r="V6" s="546" t="s">
        <v>1661</v>
      </c>
      <c r="W6" s="546" t="s">
        <v>1662</v>
      </c>
      <c r="X6" s="546" t="s">
        <v>1683</v>
      </c>
      <c r="Y6" s="546" t="s">
        <v>1663</v>
      </c>
      <c r="Z6" s="546" t="s">
        <v>1649</v>
      </c>
      <c r="AA6" s="546" t="s">
        <v>1661</v>
      </c>
      <c r="AB6" s="546" t="s">
        <v>1726</v>
      </c>
      <c r="AC6" s="2097"/>
      <c r="AD6" s="1127" t="s">
        <v>1651</v>
      </c>
      <c r="AE6" s="2185"/>
      <c r="AF6" s="1118" t="s">
        <v>1678</v>
      </c>
      <c r="AG6" s="2101"/>
      <c r="AH6" s="2077"/>
      <c r="AI6" s="2077"/>
      <c r="AJ6" s="2077"/>
      <c r="AK6" s="2079"/>
      <c r="AL6" s="2115"/>
      <c r="AM6" s="2085"/>
      <c r="AN6" s="2172"/>
      <c r="AO6" s="2116"/>
      <c r="AP6" s="2090"/>
      <c r="AQ6" s="1135" t="s">
        <v>1671</v>
      </c>
      <c r="AR6" s="1134" t="s">
        <v>1707</v>
      </c>
      <c r="AS6" s="1136" t="s">
        <v>1702</v>
      </c>
      <c r="AT6" s="2153"/>
      <c r="AU6" s="604"/>
      <c r="AV6" s="501"/>
      <c r="AW6" s="539" t="s">
        <v>215</v>
      </c>
      <c r="AX6" s="539" t="s">
        <v>217</v>
      </c>
      <c r="AY6" s="573" t="s">
        <v>125</v>
      </c>
      <c r="AZ6" s="502" t="s">
        <v>728</v>
      </c>
      <c r="BA6" s="502" t="s">
        <v>729</v>
      </c>
      <c r="BB6" s="548" t="s">
        <v>723</v>
      </c>
      <c r="BC6" s="548" t="s">
        <v>216</v>
      </c>
      <c r="BD6" s="548" t="s">
        <v>731</v>
      </c>
      <c r="BE6" s="548" t="s">
        <v>215</v>
      </c>
      <c r="BF6" s="549" t="s">
        <v>125</v>
      </c>
      <c r="BH6" s="730" t="s">
        <v>761</v>
      </c>
      <c r="BI6" s="2157"/>
      <c r="BJ6" s="2157"/>
      <c r="BK6" s="2157"/>
      <c r="BL6" s="2173"/>
    </row>
    <row r="7" spans="1:64" s="755" customFormat="1" ht="51" customHeight="1">
      <c r="A7" s="1369">
        <v>1</v>
      </c>
      <c r="B7" s="1603" t="s">
        <v>1509</v>
      </c>
      <c r="C7" s="1870" t="s">
        <v>515</v>
      </c>
      <c r="D7" s="1871">
        <v>41354</v>
      </c>
      <c r="E7" s="631" t="s">
        <v>359</v>
      </c>
      <c r="F7" s="633">
        <f>13+194+17+12+8+2</f>
        <v>246</v>
      </c>
      <c r="G7" s="633">
        <f>2</f>
        <v>2</v>
      </c>
      <c r="H7" s="1001">
        <v>19.5</v>
      </c>
      <c r="I7" s="1408">
        <f>F7/26*H7</f>
        <v>184.5</v>
      </c>
      <c r="J7" s="1001">
        <v>0</v>
      </c>
      <c r="K7" s="788">
        <f t="shared" ref="K7:K27" si="0">I7</f>
        <v>184.5</v>
      </c>
      <c r="L7" s="1001">
        <v>6</v>
      </c>
      <c r="M7" s="510">
        <f t="shared" ref="M7:M27" si="1">F7/26/8*1.5</f>
        <v>1.7740384615384617</v>
      </c>
      <c r="N7" s="618">
        <f t="shared" ref="N7:N27" si="2">L7*M7</f>
        <v>10.64423076923077</v>
      </c>
      <c r="O7" s="1001">
        <v>0</v>
      </c>
      <c r="P7" s="510">
        <f t="shared" ref="P7:P27" si="3">F7/26/8*2</f>
        <v>2.3653846153846154</v>
      </c>
      <c r="Q7" s="503">
        <f t="shared" ref="Q7:Q27" si="4">O7*P7</f>
        <v>0</v>
      </c>
      <c r="R7" s="1001">
        <v>0</v>
      </c>
      <c r="S7" s="510">
        <f t="shared" ref="S7:S27" si="5">F7/26/8*2</f>
        <v>2.3653846153846154</v>
      </c>
      <c r="T7" s="618">
        <f t="shared" ref="T7:T27" si="6">S7*R7</f>
        <v>0</v>
      </c>
      <c r="U7" s="1001">
        <v>5</v>
      </c>
      <c r="V7" s="510">
        <f t="shared" ref="V7:V27" si="7">F7/26</f>
        <v>9.4615384615384617</v>
      </c>
      <c r="W7" s="618">
        <f t="shared" ref="W7:W27" si="8">V7*U7</f>
        <v>47.307692307692307</v>
      </c>
      <c r="X7" s="1001">
        <v>0.5</v>
      </c>
      <c r="Y7" s="618">
        <f>'CUT Salary'!T7*CUT!X7</f>
        <v>4.8428511210942062</v>
      </c>
      <c r="Z7" s="1001">
        <v>0</v>
      </c>
      <c r="AA7" s="510">
        <f t="shared" ref="AA7:AA27" si="9">F7/26/2</f>
        <v>4.7307692307692308</v>
      </c>
      <c r="AB7" s="618">
        <f t="shared" ref="AB7:AB27" si="10">Z7*AA7</f>
        <v>0</v>
      </c>
      <c r="AC7" s="1001">
        <v>2</v>
      </c>
      <c r="AD7" s="1467">
        <f t="shared" ref="AD7:AD27" si="11">H7+U7+Z7+AC7+X7</f>
        <v>27</v>
      </c>
      <c r="AE7" s="1724">
        <v>0</v>
      </c>
      <c r="AF7" s="1121">
        <v>0</v>
      </c>
      <c r="AG7" s="1629">
        <v>0</v>
      </c>
      <c r="AH7" s="618">
        <v>0</v>
      </c>
      <c r="AI7" s="618">
        <v>11</v>
      </c>
      <c r="AJ7" s="618">
        <v>10</v>
      </c>
      <c r="AK7" s="618">
        <v>10</v>
      </c>
      <c r="AL7" s="1148">
        <f t="shared" ref="AL7:AL27" si="12">G7+K7+N7+Q7+T7+W7+AB7+AE7+AG7+AH7+AI7+AJ7+AK7+J7+Y7+AF7</f>
        <v>280.29477419801731</v>
      </c>
      <c r="AM7" s="1278">
        <v>0</v>
      </c>
      <c r="AN7" s="1018">
        <v>102</v>
      </c>
      <c r="AO7" s="1096">
        <f>'Tax Calulation                 '!P7</f>
        <v>0</v>
      </c>
      <c r="AP7" s="1096">
        <f>'Tax Calulation                 '!W7</f>
        <v>5.6058954839603468</v>
      </c>
      <c r="AQ7" s="1686">
        <f t="shared" ref="AQ7:AQ27" si="13">AL7-AO7-AN7-AP7-AM7</f>
        <v>172.68887871405695</v>
      </c>
      <c r="AR7" s="1682">
        <f>ROUND((AQ7-AS7)*4040,-2)</f>
        <v>293700</v>
      </c>
      <c r="AS7" s="1683">
        <f>CEILING(AQ7,(100))-100</f>
        <v>100</v>
      </c>
      <c r="AT7" s="509"/>
      <c r="AU7" s="505"/>
      <c r="AV7" s="505">
        <f>(K7+N7+Q7+T7+W7+AB7+AH7+AI7+AJ7+AK7)*4000</f>
        <v>1093807.6923076925</v>
      </c>
      <c r="AW7" s="502">
        <f t="shared" ref="AW7:AW27" si="14">INT(AS7/100)</f>
        <v>1</v>
      </c>
      <c r="AX7" s="502">
        <f t="shared" ref="AX7:AX27" si="15">INT((AS7-AW7*100)/50)</f>
        <v>0</v>
      </c>
      <c r="AY7" s="573">
        <f>AW7*100+AX7*50</f>
        <v>100</v>
      </c>
      <c r="AZ7" s="573">
        <f t="shared" ref="AZ7:AZ27" si="16">INT((AR7/50000))</f>
        <v>5</v>
      </c>
      <c r="BA7" s="548">
        <f t="shared" ref="BA7:BA27" si="17">INT((AR7-AZ7*50000)/10000)</f>
        <v>4</v>
      </c>
      <c r="BB7" s="548">
        <f t="shared" ref="BB7:BB27" si="18">INT((AR7-AZ7*50000-BA7*10000)/5000)</f>
        <v>0</v>
      </c>
      <c r="BC7" s="548">
        <f t="shared" ref="BC7:BC27" si="19">INT((AR7-AZ7*50000-BA7*10000-BB7*5000)/1000)</f>
        <v>3</v>
      </c>
      <c r="BD7" s="548">
        <f t="shared" ref="BD7:BD27" si="20">INT((AR7-AZ7*50000-BA7*10000-BB7*5000-BC7*1000)/500)</f>
        <v>1</v>
      </c>
      <c r="BE7" s="548">
        <f t="shared" ref="BE7:BE27" si="21">INT((AR7-AZ7*50000-BA7*10000-BB7*5000-BC7*1000-BD7*500)/100)</f>
        <v>2</v>
      </c>
      <c r="BF7" s="549">
        <f>AZ7*50000+BA7*10000+BB7*5000+BC7*1000+BD7*500+BE7*100</f>
        <v>293700</v>
      </c>
      <c r="BH7" s="589" t="s">
        <v>887</v>
      </c>
      <c r="BI7" s="589" t="s">
        <v>571</v>
      </c>
      <c r="BJ7" s="1154">
        <v>30848</v>
      </c>
      <c r="BK7" s="589" t="s">
        <v>671</v>
      </c>
      <c r="BL7" s="531">
        <v>101006813</v>
      </c>
    </row>
    <row r="8" spans="1:64" s="755" customFormat="1" ht="51" customHeight="1">
      <c r="A8" s="1369">
        <v>2</v>
      </c>
      <c r="B8" s="1604" t="s">
        <v>2083</v>
      </c>
      <c r="C8" s="1390" t="s">
        <v>2084</v>
      </c>
      <c r="D8" s="1326">
        <v>41310</v>
      </c>
      <c r="E8" s="631" t="s">
        <v>359</v>
      </c>
      <c r="F8" s="633">
        <f>231</f>
        <v>231</v>
      </c>
      <c r="G8" s="633">
        <v>2</v>
      </c>
      <c r="H8" s="1001">
        <v>22</v>
      </c>
      <c r="I8" s="1408">
        <f t="shared" ref="I8:I27" si="22">F8/26*H8</f>
        <v>195.46153846153848</v>
      </c>
      <c r="J8" s="1001">
        <v>0</v>
      </c>
      <c r="K8" s="788">
        <f t="shared" si="0"/>
        <v>195.46153846153848</v>
      </c>
      <c r="L8" s="1001">
        <v>64</v>
      </c>
      <c r="M8" s="510">
        <f t="shared" si="1"/>
        <v>1.6658653846153846</v>
      </c>
      <c r="N8" s="618">
        <f t="shared" si="2"/>
        <v>106.61538461538461</v>
      </c>
      <c r="O8" s="1001">
        <v>0</v>
      </c>
      <c r="P8" s="510">
        <f t="shared" si="3"/>
        <v>2.2211538461538463</v>
      </c>
      <c r="Q8" s="503">
        <f t="shared" si="4"/>
        <v>0</v>
      </c>
      <c r="R8" s="1001">
        <v>24</v>
      </c>
      <c r="S8" s="510">
        <f t="shared" si="5"/>
        <v>2.2211538461538463</v>
      </c>
      <c r="T8" s="618">
        <f t="shared" si="6"/>
        <v>53.307692307692307</v>
      </c>
      <c r="U8" s="1001">
        <v>5</v>
      </c>
      <c r="V8" s="510">
        <f t="shared" si="7"/>
        <v>8.884615384615385</v>
      </c>
      <c r="W8" s="618">
        <f t="shared" si="8"/>
        <v>44.423076923076927</v>
      </c>
      <c r="X8" s="1001">
        <v>0</v>
      </c>
      <c r="Y8" s="618">
        <f>'CUT Salary'!T8*CUT!X8</f>
        <v>0</v>
      </c>
      <c r="Z8" s="1001">
        <v>0</v>
      </c>
      <c r="AA8" s="510">
        <f t="shared" si="9"/>
        <v>4.4423076923076925</v>
      </c>
      <c r="AB8" s="618">
        <f t="shared" si="10"/>
        <v>0</v>
      </c>
      <c r="AC8" s="1001">
        <v>0</v>
      </c>
      <c r="AD8" s="1467">
        <f t="shared" si="11"/>
        <v>27</v>
      </c>
      <c r="AE8" s="1724">
        <v>0</v>
      </c>
      <c r="AF8" s="1121">
        <v>0</v>
      </c>
      <c r="AG8" s="1629">
        <v>8</v>
      </c>
      <c r="AH8" s="618">
        <v>10</v>
      </c>
      <c r="AI8" s="618">
        <v>11</v>
      </c>
      <c r="AJ8" s="618">
        <v>10</v>
      </c>
      <c r="AK8" s="618">
        <v>10</v>
      </c>
      <c r="AL8" s="1148">
        <f t="shared" si="12"/>
        <v>450.80769230769232</v>
      </c>
      <c r="AM8" s="1278">
        <v>0</v>
      </c>
      <c r="AN8" s="1018">
        <v>102</v>
      </c>
      <c r="AO8" s="1096">
        <f>'Tax Calulation                 '!P8</f>
        <v>0</v>
      </c>
      <c r="AP8" s="1096">
        <f>'Tax Calulation                 '!W8</f>
        <v>5.9084194977843429</v>
      </c>
      <c r="AQ8" s="1686">
        <f t="shared" si="13"/>
        <v>342.89927280990798</v>
      </c>
      <c r="AR8" s="1682">
        <f t="shared" ref="AR8:AR27" si="23">ROUND((AQ8-AS8)*4040,-2)</f>
        <v>173300</v>
      </c>
      <c r="AS8" s="1683">
        <f>CEILING(AQ8,(100))-100</f>
        <v>300</v>
      </c>
      <c r="AT8" s="509"/>
      <c r="AU8" s="505"/>
      <c r="AV8" s="505"/>
      <c r="AW8" s="502">
        <f t="shared" ref="AW8" si="24">INT(AS8/100)</f>
        <v>3</v>
      </c>
      <c r="AX8" s="502">
        <f t="shared" ref="AX8" si="25">INT((AS8-AW8*100)/50)</f>
        <v>0</v>
      </c>
      <c r="AY8" s="1113">
        <f>AW8*100+AX8*50</f>
        <v>300</v>
      </c>
      <c r="AZ8" s="1113">
        <f t="shared" ref="AZ8" si="26">INT((AR8/50000))</f>
        <v>3</v>
      </c>
      <c r="BA8" s="548">
        <f t="shared" ref="BA8" si="27">INT((AR8-AZ8*50000)/10000)</f>
        <v>2</v>
      </c>
      <c r="BB8" s="548">
        <f t="shared" ref="BB8" si="28">INT((AR8-AZ8*50000-BA8*10000)/5000)</f>
        <v>0</v>
      </c>
      <c r="BC8" s="548">
        <f t="shared" ref="BC8" si="29">INT((AR8-AZ8*50000-BA8*10000-BB8*5000)/1000)</f>
        <v>3</v>
      </c>
      <c r="BD8" s="548">
        <f t="shared" ref="BD8" si="30">INT((AR8-AZ8*50000-BA8*10000-BB8*5000-BC8*1000)/500)</f>
        <v>0</v>
      </c>
      <c r="BE8" s="548">
        <f t="shared" ref="BE8" si="31">INT((AR8-AZ8*50000-BA8*10000-BB8*5000-BC8*1000-BD8*500)/100)</f>
        <v>3</v>
      </c>
      <c r="BF8" s="549">
        <f>AZ8*50000+BA8*10000+BB8*5000+BC8*1000+BD8*500+BE8*100</f>
        <v>173300</v>
      </c>
      <c r="BH8" s="578" t="s">
        <v>2085</v>
      </c>
      <c r="BI8" s="578" t="s">
        <v>2086</v>
      </c>
      <c r="BJ8" s="1154">
        <v>29353</v>
      </c>
      <c r="BK8" s="578" t="s">
        <v>2087</v>
      </c>
      <c r="BL8" s="531">
        <v>20989941</v>
      </c>
    </row>
    <row r="9" spans="1:64" s="755" customFormat="1" ht="51" customHeight="1">
      <c r="A9" s="1369">
        <v>3</v>
      </c>
      <c r="B9" s="1604" t="s">
        <v>320</v>
      </c>
      <c r="C9" s="1390" t="s">
        <v>507</v>
      </c>
      <c r="D9" s="1841">
        <v>41307</v>
      </c>
      <c r="E9" s="631" t="s">
        <v>359</v>
      </c>
      <c r="F9" s="617">
        <f>13+169+17+12+8+2</f>
        <v>221</v>
      </c>
      <c r="G9" s="617">
        <f>2</f>
        <v>2</v>
      </c>
      <c r="H9" s="1001">
        <v>20</v>
      </c>
      <c r="I9" s="1408">
        <f t="shared" si="22"/>
        <v>170</v>
      </c>
      <c r="J9" s="1001">
        <v>0</v>
      </c>
      <c r="K9" s="788">
        <f t="shared" si="0"/>
        <v>170</v>
      </c>
      <c r="L9" s="1001">
        <v>12</v>
      </c>
      <c r="M9" s="510">
        <f t="shared" si="1"/>
        <v>1.59375</v>
      </c>
      <c r="N9" s="618">
        <f t="shared" si="2"/>
        <v>19.125</v>
      </c>
      <c r="O9" s="1001">
        <v>0</v>
      </c>
      <c r="P9" s="510">
        <f t="shared" si="3"/>
        <v>2.125</v>
      </c>
      <c r="Q9" s="503">
        <f t="shared" si="4"/>
        <v>0</v>
      </c>
      <c r="R9" s="1001">
        <v>24</v>
      </c>
      <c r="S9" s="510">
        <f t="shared" si="5"/>
        <v>2.125</v>
      </c>
      <c r="T9" s="618">
        <f t="shared" si="6"/>
        <v>51</v>
      </c>
      <c r="U9" s="1001">
        <v>6.5</v>
      </c>
      <c r="V9" s="510">
        <f t="shared" si="7"/>
        <v>8.5</v>
      </c>
      <c r="W9" s="618">
        <f t="shared" si="8"/>
        <v>55.25</v>
      </c>
      <c r="X9" s="1001">
        <v>0.5</v>
      </c>
      <c r="Y9" s="618">
        <f>'CUT Salary'!T9*CUT!X9</f>
        <v>5.140723987245015</v>
      </c>
      <c r="Z9" s="1001">
        <v>0</v>
      </c>
      <c r="AA9" s="510">
        <f t="shared" si="9"/>
        <v>4.25</v>
      </c>
      <c r="AB9" s="618">
        <f t="shared" si="10"/>
        <v>0</v>
      </c>
      <c r="AC9" s="1001">
        <v>0</v>
      </c>
      <c r="AD9" s="1467">
        <f t="shared" si="11"/>
        <v>27</v>
      </c>
      <c r="AE9" s="1724">
        <v>0</v>
      </c>
      <c r="AF9" s="1121">
        <v>0</v>
      </c>
      <c r="AG9" s="1629">
        <v>8</v>
      </c>
      <c r="AH9" s="618">
        <v>10</v>
      </c>
      <c r="AI9" s="618">
        <v>11</v>
      </c>
      <c r="AJ9" s="618">
        <v>10</v>
      </c>
      <c r="AK9" s="618">
        <v>10</v>
      </c>
      <c r="AL9" s="1148">
        <f t="shared" si="12"/>
        <v>351.515723987245</v>
      </c>
      <c r="AM9" s="1278">
        <v>0</v>
      </c>
      <c r="AN9" s="1018">
        <v>102</v>
      </c>
      <c r="AO9" s="1096">
        <f>'Tax Calulation                 '!P9</f>
        <v>0</v>
      </c>
      <c r="AP9" s="1096">
        <f>'Tax Calulation                 '!W9</f>
        <v>5.9084194977843429</v>
      </c>
      <c r="AQ9" s="1686">
        <f t="shared" si="13"/>
        <v>243.60730448946066</v>
      </c>
      <c r="AR9" s="1682">
        <f t="shared" si="23"/>
        <v>176200</v>
      </c>
      <c r="AS9" s="1683">
        <f>CEILING(AQ9,(100))-100</f>
        <v>200</v>
      </c>
      <c r="AT9" s="509"/>
      <c r="AU9" s="505"/>
      <c r="AV9" s="505">
        <f>(K9+N9+Q9+T9+W9+AB9+AH9+AI9+AJ9+AK9)*4000</f>
        <v>1345500</v>
      </c>
      <c r="AW9" s="502">
        <f t="shared" si="14"/>
        <v>2</v>
      </c>
      <c r="AX9" s="502">
        <f t="shared" si="15"/>
        <v>0</v>
      </c>
      <c r="AY9" s="983">
        <f>AW9*100+AX9*50</f>
        <v>200</v>
      </c>
      <c r="AZ9" s="983">
        <f t="shared" si="16"/>
        <v>3</v>
      </c>
      <c r="BA9" s="548">
        <f t="shared" si="17"/>
        <v>2</v>
      </c>
      <c r="BB9" s="548">
        <f t="shared" si="18"/>
        <v>1</v>
      </c>
      <c r="BC9" s="548">
        <f t="shared" si="19"/>
        <v>1</v>
      </c>
      <c r="BD9" s="548">
        <f t="shared" si="20"/>
        <v>0</v>
      </c>
      <c r="BE9" s="548">
        <f t="shared" si="21"/>
        <v>2</v>
      </c>
      <c r="BF9" s="549">
        <f>AZ9*50000+BA9*10000+BB9*5000+BC9*1000+BD9*500+BE9*100</f>
        <v>176200</v>
      </c>
      <c r="BH9" s="578" t="s">
        <v>841</v>
      </c>
      <c r="BI9" s="578" t="s">
        <v>571</v>
      </c>
      <c r="BJ9" s="1154">
        <v>33452</v>
      </c>
      <c r="BK9" s="578" t="s">
        <v>651</v>
      </c>
      <c r="BL9" s="531">
        <v>101237864</v>
      </c>
    </row>
    <row r="10" spans="1:64" s="755" customFormat="1" ht="51" customHeight="1">
      <c r="A10" s="1369">
        <v>4</v>
      </c>
      <c r="B10" s="1604" t="s">
        <v>550</v>
      </c>
      <c r="C10" s="1390" t="s">
        <v>551</v>
      </c>
      <c r="D10" s="1841">
        <v>43741</v>
      </c>
      <c r="E10" s="631" t="s">
        <v>359</v>
      </c>
      <c r="F10" s="617">
        <f>199+5+2</f>
        <v>206</v>
      </c>
      <c r="G10" s="617">
        <f>2</f>
        <v>2</v>
      </c>
      <c r="H10" s="1001">
        <v>21</v>
      </c>
      <c r="I10" s="1408">
        <f t="shared" si="22"/>
        <v>166.38461538461539</v>
      </c>
      <c r="J10" s="1001">
        <v>0</v>
      </c>
      <c r="K10" s="788">
        <f t="shared" si="0"/>
        <v>166.38461538461539</v>
      </c>
      <c r="L10" s="1001">
        <v>26</v>
      </c>
      <c r="M10" s="510">
        <f t="shared" si="1"/>
        <v>1.4855769230769231</v>
      </c>
      <c r="N10" s="618">
        <f t="shared" si="2"/>
        <v>38.625</v>
      </c>
      <c r="O10" s="1001">
        <v>0</v>
      </c>
      <c r="P10" s="510">
        <f t="shared" si="3"/>
        <v>1.9807692307692308</v>
      </c>
      <c r="Q10" s="503">
        <f t="shared" si="4"/>
        <v>0</v>
      </c>
      <c r="R10" s="1001">
        <v>24</v>
      </c>
      <c r="S10" s="510">
        <f t="shared" si="5"/>
        <v>1.9807692307692308</v>
      </c>
      <c r="T10" s="618">
        <f t="shared" si="6"/>
        <v>47.53846153846154</v>
      </c>
      <c r="U10" s="1001">
        <v>5.5</v>
      </c>
      <c r="V10" s="510">
        <f t="shared" si="7"/>
        <v>7.9230769230769234</v>
      </c>
      <c r="W10" s="618">
        <f t="shared" si="8"/>
        <v>43.57692307692308</v>
      </c>
      <c r="X10" s="1001">
        <v>0.5</v>
      </c>
      <c r="Y10" s="618">
        <f>'CUT Salary'!T10*CUT!X10</f>
        <v>5.0114853295431807</v>
      </c>
      <c r="Z10" s="1001">
        <v>0</v>
      </c>
      <c r="AA10" s="510">
        <f t="shared" si="9"/>
        <v>3.9615384615384617</v>
      </c>
      <c r="AB10" s="618">
        <f t="shared" si="10"/>
        <v>0</v>
      </c>
      <c r="AC10" s="1001">
        <v>0</v>
      </c>
      <c r="AD10" s="1467">
        <f t="shared" si="11"/>
        <v>27</v>
      </c>
      <c r="AE10" s="1724">
        <v>0</v>
      </c>
      <c r="AF10" s="1121">
        <v>0</v>
      </c>
      <c r="AG10" s="1629">
        <f t="shared" ref="AG10:AG15" si="32">4+4</f>
        <v>8</v>
      </c>
      <c r="AH10" s="618">
        <v>10</v>
      </c>
      <c r="AI10" s="618">
        <v>6</v>
      </c>
      <c r="AJ10" s="618">
        <v>10</v>
      </c>
      <c r="AK10" s="618">
        <v>10</v>
      </c>
      <c r="AL10" s="1148">
        <f t="shared" si="12"/>
        <v>347.13648532954318</v>
      </c>
      <c r="AM10" s="1278">
        <v>0</v>
      </c>
      <c r="AN10" s="1018">
        <v>102</v>
      </c>
      <c r="AO10" s="1096">
        <f>'Tax Calulation                 '!P10</f>
        <v>0</v>
      </c>
      <c r="AP10" s="1096">
        <f>'Tax Calulation                 '!W10</f>
        <v>5.9084194977843429</v>
      </c>
      <c r="AQ10" s="1686">
        <f t="shared" si="13"/>
        <v>239.22806583175884</v>
      </c>
      <c r="AR10" s="1682">
        <f t="shared" si="23"/>
        <v>158500</v>
      </c>
      <c r="AS10" s="1683">
        <f t="shared" ref="AS10:AS27" si="33">CEILING(AQ10,(100))-100</f>
        <v>200</v>
      </c>
      <c r="AT10" s="509"/>
      <c r="AU10" s="505"/>
      <c r="AV10" s="505"/>
      <c r="AW10" s="502">
        <f t="shared" si="14"/>
        <v>2</v>
      </c>
      <c r="AX10" s="502">
        <f t="shared" si="15"/>
        <v>0</v>
      </c>
      <c r="AY10" s="573">
        <f t="shared" ref="AY10:AY27" si="34">AW10*100+AX10*50</f>
        <v>200</v>
      </c>
      <c r="AZ10" s="573">
        <f t="shared" si="16"/>
        <v>3</v>
      </c>
      <c r="BA10" s="548">
        <f t="shared" si="17"/>
        <v>0</v>
      </c>
      <c r="BB10" s="548">
        <f t="shared" si="18"/>
        <v>1</v>
      </c>
      <c r="BC10" s="548">
        <f t="shared" si="19"/>
        <v>3</v>
      </c>
      <c r="BD10" s="548">
        <f t="shared" si="20"/>
        <v>1</v>
      </c>
      <c r="BE10" s="548">
        <f t="shared" si="21"/>
        <v>0</v>
      </c>
      <c r="BF10" s="549">
        <f t="shared" ref="BF10:BF27" si="35">AZ10*50000+BA10*10000+BB10*5000+BC10*1000+BD10*500+BE10*100</f>
        <v>158500</v>
      </c>
      <c r="BH10" s="578" t="s">
        <v>842</v>
      </c>
      <c r="BI10" s="578" t="s">
        <v>571</v>
      </c>
      <c r="BJ10" s="1154">
        <v>29840</v>
      </c>
      <c r="BK10" s="578" t="s">
        <v>652</v>
      </c>
      <c r="BL10" s="531">
        <v>30812362</v>
      </c>
    </row>
    <row r="11" spans="1:64" s="768" customFormat="1" ht="51" customHeight="1">
      <c r="A11" s="1369">
        <v>5</v>
      </c>
      <c r="B11" s="1605" t="s">
        <v>1780</v>
      </c>
      <c r="C11" s="1103" t="s">
        <v>1510</v>
      </c>
      <c r="D11" s="1851">
        <v>44669</v>
      </c>
      <c r="E11" s="794" t="s">
        <v>359</v>
      </c>
      <c r="F11" s="758">
        <f>206</f>
        <v>206</v>
      </c>
      <c r="G11" s="758">
        <v>2</v>
      </c>
      <c r="H11" s="1001">
        <v>19.5</v>
      </c>
      <c r="I11" s="1408">
        <f t="shared" si="22"/>
        <v>154.5</v>
      </c>
      <c r="J11" s="1001">
        <v>0</v>
      </c>
      <c r="K11" s="788">
        <f t="shared" si="0"/>
        <v>154.5</v>
      </c>
      <c r="L11" s="1001">
        <v>61</v>
      </c>
      <c r="M11" s="510">
        <f t="shared" si="1"/>
        <v>1.4855769230769231</v>
      </c>
      <c r="N11" s="618">
        <f t="shared" si="2"/>
        <v>90.620192307692307</v>
      </c>
      <c r="O11" s="1001">
        <v>0</v>
      </c>
      <c r="P11" s="510">
        <f t="shared" si="3"/>
        <v>1.9807692307692308</v>
      </c>
      <c r="Q11" s="503">
        <f t="shared" si="4"/>
        <v>0</v>
      </c>
      <c r="R11" s="1001">
        <v>16</v>
      </c>
      <c r="S11" s="510">
        <f t="shared" si="5"/>
        <v>1.9807692307692308</v>
      </c>
      <c r="T11" s="618">
        <f t="shared" si="6"/>
        <v>31.692307692307693</v>
      </c>
      <c r="U11" s="1001">
        <v>7</v>
      </c>
      <c r="V11" s="510">
        <f t="shared" si="7"/>
        <v>7.9230769230769234</v>
      </c>
      <c r="W11" s="618">
        <f t="shared" si="8"/>
        <v>55.461538461538467</v>
      </c>
      <c r="X11" s="1001">
        <v>0</v>
      </c>
      <c r="Y11" s="618">
        <f>'CUT Salary'!T11*CUT!X11</f>
        <v>0</v>
      </c>
      <c r="Z11" s="1001">
        <v>0</v>
      </c>
      <c r="AA11" s="510">
        <f t="shared" si="9"/>
        <v>3.9615384615384617</v>
      </c>
      <c r="AB11" s="618">
        <f t="shared" si="10"/>
        <v>0</v>
      </c>
      <c r="AC11" s="1001">
        <v>0.5</v>
      </c>
      <c r="AD11" s="1467">
        <f t="shared" si="11"/>
        <v>27</v>
      </c>
      <c r="AE11" s="1724">
        <v>0</v>
      </c>
      <c r="AF11" s="1121">
        <v>0</v>
      </c>
      <c r="AG11" s="1629">
        <f t="shared" si="32"/>
        <v>8</v>
      </c>
      <c r="AH11" s="618">
        <v>8.5</v>
      </c>
      <c r="AI11" s="788">
        <v>3</v>
      </c>
      <c r="AJ11" s="618">
        <v>10</v>
      </c>
      <c r="AK11" s="618">
        <v>10</v>
      </c>
      <c r="AL11" s="1148">
        <f t="shared" si="12"/>
        <v>373.77403846153845</v>
      </c>
      <c r="AM11" s="1280">
        <v>0.5</v>
      </c>
      <c r="AN11" s="1018">
        <v>102</v>
      </c>
      <c r="AO11" s="1096">
        <f>'Tax Calulation                 '!P11</f>
        <v>0</v>
      </c>
      <c r="AP11" s="1096">
        <f>'Tax Calulation                 '!W11</f>
        <v>5.9084194977843429</v>
      </c>
      <c r="AQ11" s="1686">
        <f t="shared" si="13"/>
        <v>265.36561896375412</v>
      </c>
      <c r="AR11" s="1682">
        <f t="shared" si="23"/>
        <v>264100</v>
      </c>
      <c r="AS11" s="1684">
        <f t="shared" ref="AS11" si="36">CEILING(AQ11,(100))-100</f>
        <v>200</v>
      </c>
      <c r="AT11" s="759"/>
      <c r="AU11" s="764"/>
      <c r="AV11" s="764"/>
      <c r="AW11" s="612">
        <f t="shared" ref="AW11" si="37">INT(AS11/100)</f>
        <v>2</v>
      </c>
      <c r="AX11" s="612">
        <f t="shared" ref="AX11" si="38">INT((AS11-AW11*100)/50)</f>
        <v>0</v>
      </c>
      <c r="AY11" s="765">
        <f t="shared" ref="AY11" si="39">AW11*100+AX11*50</f>
        <v>200</v>
      </c>
      <c r="AZ11" s="765">
        <f t="shared" ref="AZ11" si="40">INT((AR11/50000))</f>
        <v>5</v>
      </c>
      <c r="BA11" s="766">
        <f t="shared" ref="BA11" si="41">INT((AR11-AZ11*50000)/10000)</f>
        <v>1</v>
      </c>
      <c r="BB11" s="766">
        <f t="shared" ref="BB11" si="42">INT((AR11-AZ11*50000-BA11*10000)/5000)</f>
        <v>0</v>
      </c>
      <c r="BC11" s="766">
        <f t="shared" ref="BC11" si="43">INT((AR11-AZ11*50000-BA11*10000-BB11*5000)/1000)</f>
        <v>4</v>
      </c>
      <c r="BD11" s="766">
        <f t="shared" ref="BD11" si="44">INT((AR11-AZ11*50000-BA11*10000-BB11*5000-BC11*1000)/500)</f>
        <v>0</v>
      </c>
      <c r="BE11" s="766">
        <f t="shared" ref="BE11" si="45">INT((AR11-AZ11*50000-BA11*10000-BB11*5000-BC11*1000-BD11*500)/100)</f>
        <v>1</v>
      </c>
      <c r="BF11" s="767">
        <f t="shared" ref="BF11" si="46">AZ11*50000+BA11*10000+BB11*5000+BC11*1000+BD11*500+BE11*100</f>
        <v>264100</v>
      </c>
      <c r="BH11" s="956" t="s">
        <v>1794</v>
      </c>
      <c r="BI11" s="628" t="s">
        <v>943</v>
      </c>
      <c r="BJ11" s="1155">
        <v>36237</v>
      </c>
      <c r="BK11" s="628" t="s">
        <v>1065</v>
      </c>
      <c r="BL11" s="795">
        <v>160443717</v>
      </c>
    </row>
    <row r="12" spans="1:64" s="768" customFormat="1" ht="51" customHeight="1">
      <c r="A12" s="1369">
        <v>6</v>
      </c>
      <c r="B12" s="1606" t="s">
        <v>742</v>
      </c>
      <c r="C12" s="1103" t="s">
        <v>558</v>
      </c>
      <c r="D12" s="1851">
        <v>43908</v>
      </c>
      <c r="E12" s="794" t="s">
        <v>359</v>
      </c>
      <c r="F12" s="758">
        <f>190+14+2</f>
        <v>206</v>
      </c>
      <c r="G12" s="758">
        <f>2</f>
        <v>2</v>
      </c>
      <c r="H12" s="1001">
        <v>21.5</v>
      </c>
      <c r="I12" s="1408">
        <f t="shared" si="22"/>
        <v>170.34615384615384</v>
      </c>
      <c r="J12" s="1001">
        <v>0</v>
      </c>
      <c r="K12" s="788">
        <f t="shared" si="0"/>
        <v>170.34615384615384</v>
      </c>
      <c r="L12" s="1001">
        <v>72</v>
      </c>
      <c r="M12" s="510">
        <f t="shared" si="1"/>
        <v>1.4855769230769231</v>
      </c>
      <c r="N12" s="618">
        <f t="shared" si="2"/>
        <v>106.96153846153847</v>
      </c>
      <c r="O12" s="1001">
        <v>0</v>
      </c>
      <c r="P12" s="510">
        <f t="shared" si="3"/>
        <v>1.9807692307692308</v>
      </c>
      <c r="Q12" s="503">
        <f t="shared" si="4"/>
        <v>0</v>
      </c>
      <c r="R12" s="1001">
        <v>24</v>
      </c>
      <c r="S12" s="510">
        <f t="shared" si="5"/>
        <v>1.9807692307692308</v>
      </c>
      <c r="T12" s="618">
        <f t="shared" si="6"/>
        <v>47.53846153846154</v>
      </c>
      <c r="U12" s="1001">
        <v>5.5</v>
      </c>
      <c r="V12" s="510">
        <f t="shared" si="7"/>
        <v>7.9230769230769234</v>
      </c>
      <c r="W12" s="618">
        <f t="shared" si="8"/>
        <v>43.57692307692308</v>
      </c>
      <c r="X12" s="1001">
        <v>0</v>
      </c>
      <c r="Y12" s="618">
        <f>'CUT Salary'!T12*CUT!X12</f>
        <v>0</v>
      </c>
      <c r="Z12" s="1001">
        <v>0</v>
      </c>
      <c r="AA12" s="510">
        <f t="shared" si="9"/>
        <v>3.9615384615384617</v>
      </c>
      <c r="AB12" s="618">
        <f t="shared" si="10"/>
        <v>0</v>
      </c>
      <c r="AC12" s="1001">
        <v>0</v>
      </c>
      <c r="AD12" s="1467">
        <f t="shared" si="11"/>
        <v>27</v>
      </c>
      <c r="AE12" s="1724">
        <v>0</v>
      </c>
      <c r="AF12" s="1121">
        <v>0</v>
      </c>
      <c r="AG12" s="1911">
        <v>6</v>
      </c>
      <c r="AH12" s="618">
        <v>10</v>
      </c>
      <c r="AI12" s="788">
        <v>5</v>
      </c>
      <c r="AJ12" s="618">
        <v>10</v>
      </c>
      <c r="AK12" s="618">
        <v>10</v>
      </c>
      <c r="AL12" s="1148">
        <f t="shared" si="12"/>
        <v>411.42307692307696</v>
      </c>
      <c r="AM12" s="1279">
        <v>0.5</v>
      </c>
      <c r="AN12" s="1018">
        <v>102</v>
      </c>
      <c r="AO12" s="1096">
        <f>'Tax Calulation                 '!P12</f>
        <v>0</v>
      </c>
      <c r="AP12" s="1096">
        <f>'Tax Calulation                 '!W12</f>
        <v>5.9084194977843429</v>
      </c>
      <c r="AQ12" s="1686">
        <f t="shared" si="13"/>
        <v>303.01465742529263</v>
      </c>
      <c r="AR12" s="1682">
        <f t="shared" si="23"/>
        <v>12200</v>
      </c>
      <c r="AS12" s="1684">
        <f t="shared" si="33"/>
        <v>300</v>
      </c>
      <c r="AT12" s="759"/>
      <c r="AU12" s="764"/>
      <c r="AV12" s="764"/>
      <c r="AW12" s="612">
        <f t="shared" si="14"/>
        <v>3</v>
      </c>
      <c r="AX12" s="612">
        <f t="shared" si="15"/>
        <v>0</v>
      </c>
      <c r="AY12" s="765">
        <f t="shared" ref="AY12" si="47">AW12*100+AX12*50</f>
        <v>300</v>
      </c>
      <c r="AZ12" s="765">
        <f t="shared" si="16"/>
        <v>0</v>
      </c>
      <c r="BA12" s="766">
        <f t="shared" si="17"/>
        <v>1</v>
      </c>
      <c r="BB12" s="766">
        <f t="shared" si="18"/>
        <v>0</v>
      </c>
      <c r="BC12" s="766">
        <f t="shared" si="19"/>
        <v>2</v>
      </c>
      <c r="BD12" s="766">
        <f t="shared" si="20"/>
        <v>0</v>
      </c>
      <c r="BE12" s="766">
        <f t="shared" si="21"/>
        <v>2</v>
      </c>
      <c r="BF12" s="767">
        <f t="shared" ref="BF12" si="48">AZ12*50000+BA12*10000+BB12*5000+BC12*1000+BD12*500+BE12*100</f>
        <v>12200</v>
      </c>
      <c r="BH12" s="628" t="s">
        <v>843</v>
      </c>
      <c r="BI12" s="628" t="s">
        <v>571</v>
      </c>
      <c r="BJ12" s="1155">
        <v>27061</v>
      </c>
      <c r="BK12" s="628" t="s">
        <v>628</v>
      </c>
      <c r="BL12" s="787">
        <v>100841791</v>
      </c>
    </row>
    <row r="13" spans="1:64" s="755" customFormat="1" ht="51" customHeight="1">
      <c r="A13" s="1369">
        <v>7</v>
      </c>
      <c r="B13" s="1604" t="s">
        <v>321</v>
      </c>
      <c r="C13" s="1390" t="s">
        <v>322</v>
      </c>
      <c r="D13" s="1841">
        <v>41807</v>
      </c>
      <c r="E13" s="631" t="s">
        <v>359</v>
      </c>
      <c r="F13" s="617">
        <f>13+149+17+12+8+5+2</f>
        <v>206</v>
      </c>
      <c r="G13" s="617">
        <f>2</f>
        <v>2</v>
      </c>
      <c r="H13" s="1001">
        <v>20.5</v>
      </c>
      <c r="I13" s="1408">
        <f t="shared" si="22"/>
        <v>162.42307692307693</v>
      </c>
      <c r="J13" s="1001">
        <v>0</v>
      </c>
      <c r="K13" s="788">
        <f t="shared" si="0"/>
        <v>162.42307692307693</v>
      </c>
      <c r="L13" s="1001">
        <v>51</v>
      </c>
      <c r="M13" s="510">
        <f t="shared" si="1"/>
        <v>1.4855769230769231</v>
      </c>
      <c r="N13" s="618">
        <f t="shared" si="2"/>
        <v>75.76442307692308</v>
      </c>
      <c r="O13" s="1001">
        <v>0</v>
      </c>
      <c r="P13" s="510">
        <f t="shared" si="3"/>
        <v>1.9807692307692308</v>
      </c>
      <c r="Q13" s="503">
        <f t="shared" si="4"/>
        <v>0</v>
      </c>
      <c r="R13" s="1001">
        <v>24</v>
      </c>
      <c r="S13" s="510">
        <f t="shared" si="5"/>
        <v>1.9807692307692308</v>
      </c>
      <c r="T13" s="618">
        <f t="shared" si="6"/>
        <v>47.53846153846154</v>
      </c>
      <c r="U13" s="1001">
        <v>5</v>
      </c>
      <c r="V13" s="510">
        <f t="shared" si="7"/>
        <v>7.9230769230769234</v>
      </c>
      <c r="W13" s="618">
        <f t="shared" si="8"/>
        <v>39.615384615384613</v>
      </c>
      <c r="X13" s="1001">
        <v>1.5</v>
      </c>
      <c r="Y13" s="618">
        <f>'CUT Salary'!T13*CUT!X13</f>
        <v>16.255439486917638</v>
      </c>
      <c r="Z13" s="1001">
        <v>0</v>
      </c>
      <c r="AA13" s="510">
        <f t="shared" si="9"/>
        <v>3.9615384615384617</v>
      </c>
      <c r="AB13" s="618">
        <f t="shared" si="10"/>
        <v>0</v>
      </c>
      <c r="AC13" s="1001">
        <v>0</v>
      </c>
      <c r="AD13" s="1467">
        <f t="shared" si="11"/>
        <v>27</v>
      </c>
      <c r="AE13" s="1724">
        <v>0</v>
      </c>
      <c r="AF13" s="1121">
        <v>0</v>
      </c>
      <c r="AG13" s="1629">
        <f t="shared" si="32"/>
        <v>8</v>
      </c>
      <c r="AH13" s="618">
        <v>10</v>
      </c>
      <c r="AI13" s="618">
        <v>11</v>
      </c>
      <c r="AJ13" s="618">
        <v>10</v>
      </c>
      <c r="AK13" s="618">
        <v>10</v>
      </c>
      <c r="AL13" s="1148">
        <f t="shared" si="12"/>
        <v>392.59678564076381</v>
      </c>
      <c r="AM13" s="1278">
        <v>0</v>
      </c>
      <c r="AN13" s="1018">
        <v>102</v>
      </c>
      <c r="AO13" s="1096">
        <f>'Tax Calulation                 '!P13</f>
        <v>0</v>
      </c>
      <c r="AP13" s="1096">
        <f>'Tax Calulation                 '!W13</f>
        <v>5.9084194977843429</v>
      </c>
      <c r="AQ13" s="1686">
        <f t="shared" si="13"/>
        <v>284.68836614297948</v>
      </c>
      <c r="AR13" s="1682">
        <f t="shared" si="23"/>
        <v>342100</v>
      </c>
      <c r="AS13" s="1683">
        <f t="shared" si="33"/>
        <v>200</v>
      </c>
      <c r="AT13" s="509"/>
      <c r="AU13" s="505"/>
      <c r="AV13" s="505">
        <f t="shared" ref="AV13:AV18" si="49">(K13+N13+Q13+T13+W13+AB13+AH13+AI13+AJ13+AK13)*4000</f>
        <v>1465365.3846153847</v>
      </c>
      <c r="AW13" s="502">
        <f t="shared" si="14"/>
        <v>2</v>
      </c>
      <c r="AX13" s="502">
        <f t="shared" si="15"/>
        <v>0</v>
      </c>
      <c r="AY13" s="573">
        <f t="shared" si="34"/>
        <v>200</v>
      </c>
      <c r="AZ13" s="573">
        <f t="shared" si="16"/>
        <v>6</v>
      </c>
      <c r="BA13" s="548">
        <f t="shared" si="17"/>
        <v>4</v>
      </c>
      <c r="BB13" s="548">
        <f t="shared" si="18"/>
        <v>0</v>
      </c>
      <c r="BC13" s="548">
        <f t="shared" si="19"/>
        <v>2</v>
      </c>
      <c r="BD13" s="548">
        <f t="shared" si="20"/>
        <v>0</v>
      </c>
      <c r="BE13" s="548">
        <f t="shared" si="21"/>
        <v>1</v>
      </c>
      <c r="BF13" s="549">
        <f t="shared" si="35"/>
        <v>342100</v>
      </c>
      <c r="BH13" s="578" t="s">
        <v>844</v>
      </c>
      <c r="BI13" s="578" t="s">
        <v>571</v>
      </c>
      <c r="BJ13" s="1154">
        <v>30141</v>
      </c>
      <c r="BK13" s="578" t="s">
        <v>653</v>
      </c>
      <c r="BL13" s="531">
        <v>11211081</v>
      </c>
    </row>
    <row r="14" spans="1:64" s="755" customFormat="1" ht="51" customHeight="1">
      <c r="A14" s="1369">
        <v>8</v>
      </c>
      <c r="B14" s="1604" t="s">
        <v>323</v>
      </c>
      <c r="C14" s="1349" t="s">
        <v>324</v>
      </c>
      <c r="D14" s="1841">
        <v>42258</v>
      </c>
      <c r="E14" s="631" t="s">
        <v>359</v>
      </c>
      <c r="F14" s="617">
        <f>13+149+17+12+8+5+2</f>
        <v>206</v>
      </c>
      <c r="G14" s="617">
        <f>2</f>
        <v>2</v>
      </c>
      <c r="H14" s="1001">
        <v>22</v>
      </c>
      <c r="I14" s="1408">
        <f t="shared" si="22"/>
        <v>174.30769230769232</v>
      </c>
      <c r="J14" s="1001">
        <v>0</v>
      </c>
      <c r="K14" s="788">
        <f t="shared" si="0"/>
        <v>174.30769230769232</v>
      </c>
      <c r="L14" s="1001">
        <v>28</v>
      </c>
      <c r="M14" s="510">
        <f t="shared" si="1"/>
        <v>1.4855769230769231</v>
      </c>
      <c r="N14" s="618">
        <f t="shared" si="2"/>
        <v>41.596153846153847</v>
      </c>
      <c r="O14" s="1001">
        <v>0</v>
      </c>
      <c r="P14" s="510">
        <f t="shared" si="3"/>
        <v>1.9807692307692308</v>
      </c>
      <c r="Q14" s="503">
        <f t="shared" si="4"/>
        <v>0</v>
      </c>
      <c r="R14" s="1001">
        <v>24</v>
      </c>
      <c r="S14" s="510">
        <f t="shared" si="5"/>
        <v>1.9807692307692308</v>
      </c>
      <c r="T14" s="618">
        <f t="shared" si="6"/>
        <v>47.53846153846154</v>
      </c>
      <c r="U14" s="1001">
        <v>5</v>
      </c>
      <c r="V14" s="510">
        <f t="shared" si="7"/>
        <v>7.9230769230769234</v>
      </c>
      <c r="W14" s="618">
        <f t="shared" si="8"/>
        <v>39.615384615384613</v>
      </c>
      <c r="X14" s="1001">
        <v>0</v>
      </c>
      <c r="Y14" s="618">
        <f>'CUT Salary'!T14*CUT!X14</f>
        <v>0</v>
      </c>
      <c r="Z14" s="1001">
        <v>0</v>
      </c>
      <c r="AA14" s="510">
        <f t="shared" si="9"/>
        <v>3.9615384615384617</v>
      </c>
      <c r="AB14" s="618">
        <f t="shared" si="10"/>
        <v>0</v>
      </c>
      <c r="AC14" s="1001">
        <v>0</v>
      </c>
      <c r="AD14" s="1467">
        <f t="shared" si="11"/>
        <v>27</v>
      </c>
      <c r="AE14" s="1724">
        <v>0</v>
      </c>
      <c r="AF14" s="1121">
        <v>0</v>
      </c>
      <c r="AG14" s="1629">
        <f t="shared" si="32"/>
        <v>8</v>
      </c>
      <c r="AH14" s="618">
        <v>10</v>
      </c>
      <c r="AI14" s="618">
        <v>10</v>
      </c>
      <c r="AJ14" s="618">
        <v>10</v>
      </c>
      <c r="AK14" s="618">
        <v>10</v>
      </c>
      <c r="AL14" s="1148">
        <f t="shared" si="12"/>
        <v>353.05769230769226</v>
      </c>
      <c r="AM14" s="1278">
        <v>0</v>
      </c>
      <c r="AN14" s="1018">
        <v>102</v>
      </c>
      <c r="AO14" s="1096">
        <f>'Tax Calulation                 '!P14</f>
        <v>0</v>
      </c>
      <c r="AP14" s="1096">
        <f>'Tax Calulation                 '!W14</f>
        <v>5.9084194977843429</v>
      </c>
      <c r="AQ14" s="1686">
        <f t="shared" si="13"/>
        <v>245.14927280990793</v>
      </c>
      <c r="AR14" s="1682">
        <f t="shared" si="23"/>
        <v>182400</v>
      </c>
      <c r="AS14" s="1683">
        <f t="shared" si="33"/>
        <v>200</v>
      </c>
      <c r="AT14" s="509"/>
      <c r="AU14" s="505"/>
      <c r="AV14" s="505">
        <f t="shared" si="49"/>
        <v>1372230.769230769</v>
      </c>
      <c r="AW14" s="502">
        <f t="shared" si="14"/>
        <v>2</v>
      </c>
      <c r="AX14" s="502">
        <f t="shared" si="15"/>
        <v>0</v>
      </c>
      <c r="AY14" s="573">
        <f t="shared" si="34"/>
        <v>200</v>
      </c>
      <c r="AZ14" s="573">
        <f t="shared" si="16"/>
        <v>3</v>
      </c>
      <c r="BA14" s="548">
        <f t="shared" si="17"/>
        <v>3</v>
      </c>
      <c r="BB14" s="548">
        <f t="shared" si="18"/>
        <v>0</v>
      </c>
      <c r="BC14" s="548">
        <f t="shared" si="19"/>
        <v>2</v>
      </c>
      <c r="BD14" s="548">
        <f t="shared" si="20"/>
        <v>0</v>
      </c>
      <c r="BE14" s="548">
        <f t="shared" si="21"/>
        <v>4</v>
      </c>
      <c r="BF14" s="549">
        <f t="shared" si="35"/>
        <v>182400</v>
      </c>
      <c r="BH14" s="581" t="s">
        <v>1330</v>
      </c>
      <c r="BI14" s="581" t="s">
        <v>571</v>
      </c>
      <c r="BJ14" s="1154">
        <v>32232</v>
      </c>
      <c r="BK14" s="581" t="s">
        <v>605</v>
      </c>
      <c r="BL14" s="531">
        <v>11077620</v>
      </c>
    </row>
    <row r="15" spans="1:64" s="755" customFormat="1" ht="51" customHeight="1">
      <c r="A15" s="1369">
        <v>9</v>
      </c>
      <c r="B15" s="1604" t="s">
        <v>325</v>
      </c>
      <c r="C15" s="1349" t="s">
        <v>326</v>
      </c>
      <c r="D15" s="1841">
        <v>42499</v>
      </c>
      <c r="E15" s="631" t="s">
        <v>359</v>
      </c>
      <c r="F15" s="617">
        <f>13+149+17+12+8+5+2</f>
        <v>206</v>
      </c>
      <c r="G15" s="617">
        <f>2</f>
        <v>2</v>
      </c>
      <c r="H15" s="1001">
        <v>21</v>
      </c>
      <c r="I15" s="1408">
        <f t="shared" si="22"/>
        <v>166.38461538461539</v>
      </c>
      <c r="J15" s="1001">
        <v>0</v>
      </c>
      <c r="K15" s="788">
        <f t="shared" si="0"/>
        <v>166.38461538461539</v>
      </c>
      <c r="L15" s="1001">
        <v>24</v>
      </c>
      <c r="M15" s="510">
        <f t="shared" si="1"/>
        <v>1.4855769230769231</v>
      </c>
      <c r="N15" s="618">
        <f t="shared" si="2"/>
        <v>35.653846153846153</v>
      </c>
      <c r="O15" s="1001">
        <v>0</v>
      </c>
      <c r="P15" s="510">
        <f t="shared" si="3"/>
        <v>1.9807692307692308</v>
      </c>
      <c r="Q15" s="503">
        <f t="shared" si="4"/>
        <v>0</v>
      </c>
      <c r="R15" s="1001">
        <v>8</v>
      </c>
      <c r="S15" s="510">
        <f t="shared" si="5"/>
        <v>1.9807692307692308</v>
      </c>
      <c r="T15" s="618">
        <f t="shared" si="6"/>
        <v>15.846153846153847</v>
      </c>
      <c r="U15" s="1001">
        <v>5</v>
      </c>
      <c r="V15" s="510">
        <f t="shared" si="7"/>
        <v>7.9230769230769234</v>
      </c>
      <c r="W15" s="618">
        <f t="shared" si="8"/>
        <v>39.615384615384613</v>
      </c>
      <c r="X15" s="1001">
        <v>1</v>
      </c>
      <c r="Y15" s="618">
        <f>'CUT Salary'!T15*CUT!X15</f>
        <v>9.5357604665912188</v>
      </c>
      <c r="Z15" s="1001">
        <v>0</v>
      </c>
      <c r="AA15" s="510">
        <f t="shared" si="9"/>
        <v>3.9615384615384617</v>
      </c>
      <c r="AB15" s="618">
        <f t="shared" si="10"/>
        <v>0</v>
      </c>
      <c r="AC15" s="1001">
        <v>0</v>
      </c>
      <c r="AD15" s="1467">
        <f t="shared" si="11"/>
        <v>27</v>
      </c>
      <c r="AE15" s="1724">
        <v>0</v>
      </c>
      <c r="AF15" s="1121">
        <v>0</v>
      </c>
      <c r="AG15" s="1629">
        <f t="shared" si="32"/>
        <v>8</v>
      </c>
      <c r="AH15" s="618">
        <v>10</v>
      </c>
      <c r="AI15" s="618">
        <v>9</v>
      </c>
      <c r="AJ15" s="618">
        <v>10</v>
      </c>
      <c r="AK15" s="618">
        <v>10</v>
      </c>
      <c r="AL15" s="1148">
        <f t="shared" si="12"/>
        <v>316.03576046659123</v>
      </c>
      <c r="AM15" s="1278">
        <v>0</v>
      </c>
      <c r="AN15" s="1018">
        <v>102</v>
      </c>
      <c r="AO15" s="1096">
        <f>'Tax Calulation                 '!P15</f>
        <v>0</v>
      </c>
      <c r="AP15" s="1096">
        <f>'Tax Calulation                 '!W15</f>
        <v>5.9084194977843429</v>
      </c>
      <c r="AQ15" s="1686">
        <f t="shared" si="13"/>
        <v>208.12734096880689</v>
      </c>
      <c r="AR15" s="1682">
        <f t="shared" si="23"/>
        <v>32800</v>
      </c>
      <c r="AS15" s="1683">
        <f t="shared" si="33"/>
        <v>200</v>
      </c>
      <c r="AT15" s="509"/>
      <c r="AU15" s="505"/>
      <c r="AV15" s="505">
        <f t="shared" si="49"/>
        <v>1186000</v>
      </c>
      <c r="AW15" s="502">
        <f t="shared" si="14"/>
        <v>2</v>
      </c>
      <c r="AX15" s="502">
        <f t="shared" si="15"/>
        <v>0</v>
      </c>
      <c r="AY15" s="573">
        <f t="shared" si="34"/>
        <v>200</v>
      </c>
      <c r="AZ15" s="573">
        <f t="shared" si="16"/>
        <v>0</v>
      </c>
      <c r="BA15" s="548">
        <f t="shared" si="17"/>
        <v>3</v>
      </c>
      <c r="BB15" s="548">
        <f t="shared" si="18"/>
        <v>0</v>
      </c>
      <c r="BC15" s="548">
        <f t="shared" si="19"/>
        <v>2</v>
      </c>
      <c r="BD15" s="548">
        <f t="shared" si="20"/>
        <v>1</v>
      </c>
      <c r="BE15" s="548">
        <f t="shared" si="21"/>
        <v>3</v>
      </c>
      <c r="BF15" s="549">
        <f t="shared" si="35"/>
        <v>32800</v>
      </c>
      <c r="BH15" s="581" t="s">
        <v>845</v>
      </c>
      <c r="BI15" s="581" t="s">
        <v>571</v>
      </c>
      <c r="BJ15" s="1154">
        <v>35012</v>
      </c>
      <c r="BK15" s="581" t="s">
        <v>654</v>
      </c>
      <c r="BL15" s="531">
        <v>101237284</v>
      </c>
    </row>
    <row r="16" spans="1:64" s="755" customFormat="1" ht="51" customHeight="1">
      <c r="A16" s="1369">
        <v>10</v>
      </c>
      <c r="B16" s="1604" t="s">
        <v>327</v>
      </c>
      <c r="C16" s="1349" t="s">
        <v>328</v>
      </c>
      <c r="D16" s="1841">
        <v>42553</v>
      </c>
      <c r="E16" s="631" t="s">
        <v>359</v>
      </c>
      <c r="F16" s="617">
        <f>189+12+8+2</f>
        <v>211</v>
      </c>
      <c r="G16" s="617">
        <f>10+2</f>
        <v>12</v>
      </c>
      <c r="H16" s="1001">
        <v>22</v>
      </c>
      <c r="I16" s="1408">
        <f t="shared" si="22"/>
        <v>178.53846153846152</v>
      </c>
      <c r="J16" s="1001">
        <v>0</v>
      </c>
      <c r="K16" s="788">
        <f t="shared" si="0"/>
        <v>178.53846153846152</v>
      </c>
      <c r="L16" s="1001">
        <v>70</v>
      </c>
      <c r="M16" s="510">
        <f t="shared" si="1"/>
        <v>1.5216346153846154</v>
      </c>
      <c r="N16" s="618">
        <f t="shared" si="2"/>
        <v>106.51442307692308</v>
      </c>
      <c r="O16" s="1001">
        <v>0</v>
      </c>
      <c r="P16" s="510">
        <f t="shared" si="3"/>
        <v>2.0288461538461537</v>
      </c>
      <c r="Q16" s="503">
        <f t="shared" si="4"/>
        <v>0</v>
      </c>
      <c r="R16" s="1001">
        <v>16</v>
      </c>
      <c r="S16" s="510">
        <f t="shared" si="5"/>
        <v>2.0288461538461537</v>
      </c>
      <c r="T16" s="618">
        <f t="shared" si="6"/>
        <v>32.46153846153846</v>
      </c>
      <c r="U16" s="1001">
        <v>5</v>
      </c>
      <c r="V16" s="510">
        <f t="shared" si="7"/>
        <v>8.115384615384615</v>
      </c>
      <c r="W16" s="618">
        <f t="shared" si="8"/>
        <v>40.576923076923073</v>
      </c>
      <c r="X16" s="1001">
        <v>0</v>
      </c>
      <c r="Y16" s="618">
        <f>'CUT Salary'!T16*CUT!X16</f>
        <v>0</v>
      </c>
      <c r="Z16" s="1001">
        <v>0</v>
      </c>
      <c r="AA16" s="510">
        <f t="shared" si="9"/>
        <v>4.0576923076923075</v>
      </c>
      <c r="AB16" s="618">
        <f t="shared" si="10"/>
        <v>0</v>
      </c>
      <c r="AC16" s="1001">
        <v>0</v>
      </c>
      <c r="AD16" s="1467">
        <f t="shared" si="11"/>
        <v>27</v>
      </c>
      <c r="AE16" s="1724">
        <v>0</v>
      </c>
      <c r="AF16" s="1121">
        <v>0</v>
      </c>
      <c r="AG16" s="1629">
        <v>0</v>
      </c>
      <c r="AH16" s="618">
        <v>10</v>
      </c>
      <c r="AI16" s="618">
        <v>9</v>
      </c>
      <c r="AJ16" s="618">
        <v>10</v>
      </c>
      <c r="AK16" s="618">
        <v>10</v>
      </c>
      <c r="AL16" s="1148">
        <f t="shared" si="12"/>
        <v>409.09134615384613</v>
      </c>
      <c r="AM16" s="1278">
        <v>0</v>
      </c>
      <c r="AN16" s="1018">
        <v>102</v>
      </c>
      <c r="AO16" s="1096">
        <f>'Tax Calulation                 '!P16</f>
        <v>0</v>
      </c>
      <c r="AP16" s="1096">
        <f>'Tax Calulation                 '!W16</f>
        <v>5.9084194977843429</v>
      </c>
      <c r="AQ16" s="1686">
        <f t="shared" si="13"/>
        <v>301.1829266560618</v>
      </c>
      <c r="AR16" s="1682">
        <f t="shared" si="23"/>
        <v>4800</v>
      </c>
      <c r="AS16" s="1683">
        <f t="shared" si="33"/>
        <v>300</v>
      </c>
      <c r="AT16" s="509"/>
      <c r="AU16" s="505"/>
      <c r="AV16" s="505">
        <f t="shared" si="49"/>
        <v>1588365.3846153845</v>
      </c>
      <c r="AW16" s="502">
        <f t="shared" si="14"/>
        <v>3</v>
      </c>
      <c r="AX16" s="502">
        <f t="shared" si="15"/>
        <v>0</v>
      </c>
      <c r="AY16" s="573">
        <f t="shared" si="34"/>
        <v>300</v>
      </c>
      <c r="AZ16" s="573">
        <f t="shared" si="16"/>
        <v>0</v>
      </c>
      <c r="BA16" s="548">
        <f t="shared" si="17"/>
        <v>0</v>
      </c>
      <c r="BB16" s="548">
        <f t="shared" si="18"/>
        <v>0</v>
      </c>
      <c r="BC16" s="548">
        <f t="shared" si="19"/>
        <v>4</v>
      </c>
      <c r="BD16" s="548">
        <f t="shared" si="20"/>
        <v>1</v>
      </c>
      <c r="BE16" s="548">
        <f t="shared" si="21"/>
        <v>3</v>
      </c>
      <c r="BF16" s="549">
        <f t="shared" si="35"/>
        <v>4800</v>
      </c>
      <c r="BH16" s="581" t="s">
        <v>846</v>
      </c>
      <c r="BI16" s="581" t="s">
        <v>571</v>
      </c>
      <c r="BJ16" s="1154">
        <v>32552</v>
      </c>
      <c r="BK16" s="581" t="s">
        <v>655</v>
      </c>
      <c r="BL16" s="531">
        <v>61629042</v>
      </c>
    </row>
    <row r="17" spans="1:64" s="755" customFormat="1" ht="51" customHeight="1">
      <c r="A17" s="1369">
        <v>11</v>
      </c>
      <c r="B17" s="1604" t="s">
        <v>329</v>
      </c>
      <c r="C17" s="1349" t="s">
        <v>330</v>
      </c>
      <c r="D17" s="1841">
        <v>42705</v>
      </c>
      <c r="E17" s="631" t="s">
        <v>359</v>
      </c>
      <c r="F17" s="617">
        <f>162+17+12+8+5+2</f>
        <v>206</v>
      </c>
      <c r="G17" s="617">
        <f>2</f>
        <v>2</v>
      </c>
      <c r="H17" s="1001">
        <v>22</v>
      </c>
      <c r="I17" s="1408">
        <f t="shared" si="22"/>
        <v>174.30769230769232</v>
      </c>
      <c r="J17" s="1001">
        <v>0</v>
      </c>
      <c r="K17" s="788">
        <f t="shared" si="0"/>
        <v>174.30769230769232</v>
      </c>
      <c r="L17" s="1001">
        <v>72</v>
      </c>
      <c r="M17" s="510">
        <f t="shared" si="1"/>
        <v>1.4855769230769231</v>
      </c>
      <c r="N17" s="618">
        <f t="shared" si="2"/>
        <v>106.96153846153847</v>
      </c>
      <c r="O17" s="1001">
        <v>0</v>
      </c>
      <c r="P17" s="510">
        <f t="shared" si="3"/>
        <v>1.9807692307692308</v>
      </c>
      <c r="Q17" s="503">
        <f t="shared" si="4"/>
        <v>0</v>
      </c>
      <c r="R17" s="1001">
        <v>0</v>
      </c>
      <c r="S17" s="510">
        <f t="shared" si="5"/>
        <v>1.9807692307692308</v>
      </c>
      <c r="T17" s="618">
        <f t="shared" si="6"/>
        <v>0</v>
      </c>
      <c r="U17" s="1001">
        <v>5</v>
      </c>
      <c r="V17" s="510">
        <f t="shared" si="7"/>
        <v>7.9230769230769234</v>
      </c>
      <c r="W17" s="618">
        <f t="shared" si="8"/>
        <v>39.615384615384613</v>
      </c>
      <c r="X17" s="1001">
        <v>0</v>
      </c>
      <c r="Y17" s="618">
        <f>'CUT Salary'!T17*CUT!X17</f>
        <v>0</v>
      </c>
      <c r="Z17" s="1001">
        <v>0</v>
      </c>
      <c r="AA17" s="510">
        <f t="shared" si="9"/>
        <v>3.9615384615384617</v>
      </c>
      <c r="AB17" s="618">
        <f t="shared" si="10"/>
        <v>0</v>
      </c>
      <c r="AC17" s="1001">
        <v>0</v>
      </c>
      <c r="AD17" s="1467">
        <f t="shared" si="11"/>
        <v>27</v>
      </c>
      <c r="AE17" s="1724">
        <v>0</v>
      </c>
      <c r="AF17" s="1121">
        <v>0</v>
      </c>
      <c r="AG17" s="1629">
        <f t="shared" ref="AG17:AG22" si="50">4+4</f>
        <v>8</v>
      </c>
      <c r="AH17" s="618">
        <v>10</v>
      </c>
      <c r="AI17" s="618">
        <v>8</v>
      </c>
      <c r="AJ17" s="618">
        <v>10</v>
      </c>
      <c r="AK17" s="618">
        <v>10</v>
      </c>
      <c r="AL17" s="1148">
        <f t="shared" si="12"/>
        <v>368.88461538461536</v>
      </c>
      <c r="AM17" s="1278">
        <v>0</v>
      </c>
      <c r="AN17" s="1018">
        <v>102</v>
      </c>
      <c r="AO17" s="1096">
        <f>'Tax Calulation                 '!P17</f>
        <v>0</v>
      </c>
      <c r="AP17" s="1096">
        <f>'Tax Calulation                 '!W17</f>
        <v>5.9084194977843429</v>
      </c>
      <c r="AQ17" s="1686">
        <f t="shared" si="13"/>
        <v>260.97619588683102</v>
      </c>
      <c r="AR17" s="1682">
        <f t="shared" si="23"/>
        <v>246300</v>
      </c>
      <c r="AS17" s="1683">
        <f t="shared" si="33"/>
        <v>200</v>
      </c>
      <c r="AT17" s="509"/>
      <c r="AU17" s="505"/>
      <c r="AV17" s="505">
        <f t="shared" si="49"/>
        <v>1435538.4615384615</v>
      </c>
      <c r="AW17" s="502">
        <f t="shared" si="14"/>
        <v>2</v>
      </c>
      <c r="AX17" s="502">
        <f t="shared" si="15"/>
        <v>0</v>
      </c>
      <c r="AY17" s="573">
        <f t="shared" si="34"/>
        <v>200</v>
      </c>
      <c r="AZ17" s="573">
        <f t="shared" si="16"/>
        <v>4</v>
      </c>
      <c r="BA17" s="548">
        <f t="shared" si="17"/>
        <v>4</v>
      </c>
      <c r="BB17" s="548">
        <f t="shared" si="18"/>
        <v>1</v>
      </c>
      <c r="BC17" s="548">
        <f t="shared" si="19"/>
        <v>1</v>
      </c>
      <c r="BD17" s="548">
        <f t="shared" si="20"/>
        <v>0</v>
      </c>
      <c r="BE17" s="548">
        <f t="shared" si="21"/>
        <v>3</v>
      </c>
      <c r="BF17" s="549">
        <f t="shared" si="35"/>
        <v>246300</v>
      </c>
      <c r="BH17" s="581" t="s">
        <v>847</v>
      </c>
      <c r="BI17" s="581" t="s">
        <v>571</v>
      </c>
      <c r="BJ17" s="1154">
        <v>32643</v>
      </c>
      <c r="BK17" s="581" t="s">
        <v>656</v>
      </c>
      <c r="BL17" s="531">
        <v>101287759</v>
      </c>
    </row>
    <row r="18" spans="1:64" s="755" customFormat="1" ht="51" customHeight="1">
      <c r="A18" s="1369">
        <v>12</v>
      </c>
      <c r="B18" s="1607" t="s">
        <v>455</v>
      </c>
      <c r="C18" s="1390" t="s">
        <v>456</v>
      </c>
      <c r="D18" s="1841">
        <v>43528</v>
      </c>
      <c r="E18" s="631" t="s">
        <v>359</v>
      </c>
      <c r="F18" s="621">
        <f>191+8+5+2</f>
        <v>206</v>
      </c>
      <c r="G18" s="617">
        <f>2</f>
        <v>2</v>
      </c>
      <c r="H18" s="1001">
        <v>14</v>
      </c>
      <c r="I18" s="1408">
        <f t="shared" si="22"/>
        <v>110.92307692307693</v>
      </c>
      <c r="J18" s="1001">
        <v>0</v>
      </c>
      <c r="K18" s="788">
        <f t="shared" si="0"/>
        <v>110.92307692307693</v>
      </c>
      <c r="L18" s="1001">
        <v>6</v>
      </c>
      <c r="M18" s="510">
        <f t="shared" si="1"/>
        <v>1.4855769230769231</v>
      </c>
      <c r="N18" s="618">
        <f t="shared" si="2"/>
        <v>8.9134615384615383</v>
      </c>
      <c r="O18" s="1001">
        <v>0</v>
      </c>
      <c r="P18" s="510">
        <f t="shared" si="3"/>
        <v>1.9807692307692308</v>
      </c>
      <c r="Q18" s="503">
        <f t="shared" si="4"/>
        <v>0</v>
      </c>
      <c r="R18" s="1001">
        <v>0</v>
      </c>
      <c r="S18" s="510">
        <f t="shared" si="5"/>
        <v>1.9807692307692308</v>
      </c>
      <c r="T18" s="618">
        <f t="shared" si="6"/>
        <v>0</v>
      </c>
      <c r="U18" s="1001">
        <v>5</v>
      </c>
      <c r="V18" s="510">
        <f t="shared" si="7"/>
        <v>7.9230769230769234</v>
      </c>
      <c r="W18" s="618">
        <f t="shared" si="8"/>
        <v>39.615384615384613</v>
      </c>
      <c r="X18" s="1001">
        <v>1</v>
      </c>
      <c r="Y18" s="618">
        <f>'CUT Salary'!T18*CUT!X18</f>
        <v>7.5556656214740192</v>
      </c>
      <c r="Z18" s="1001">
        <v>0</v>
      </c>
      <c r="AA18" s="510">
        <f t="shared" si="9"/>
        <v>3.9615384615384617</v>
      </c>
      <c r="AB18" s="618">
        <f t="shared" si="10"/>
        <v>0</v>
      </c>
      <c r="AC18" s="1001">
        <v>7</v>
      </c>
      <c r="AD18" s="1467">
        <f t="shared" si="11"/>
        <v>27</v>
      </c>
      <c r="AE18" s="1724">
        <v>0</v>
      </c>
      <c r="AF18" s="1121">
        <v>0</v>
      </c>
      <c r="AG18" s="1911">
        <v>6</v>
      </c>
      <c r="AH18" s="618">
        <v>0</v>
      </c>
      <c r="AI18" s="618">
        <v>6</v>
      </c>
      <c r="AJ18" s="618">
        <v>10</v>
      </c>
      <c r="AK18" s="618">
        <v>10</v>
      </c>
      <c r="AL18" s="1148">
        <f t="shared" si="12"/>
        <v>201.00758869839711</v>
      </c>
      <c r="AM18" s="1278">
        <v>0.5</v>
      </c>
      <c r="AN18" s="1018">
        <v>90</v>
      </c>
      <c r="AO18" s="1096">
        <f>'Tax Calulation                 '!P18</f>
        <v>0</v>
      </c>
      <c r="AP18" s="1096">
        <f>'Tax Calulation                 '!W18</f>
        <v>4.0201517739679424</v>
      </c>
      <c r="AQ18" s="1686">
        <f t="shared" si="13"/>
        <v>106.48743692442918</v>
      </c>
      <c r="AR18" s="1682">
        <f t="shared" si="23"/>
        <v>26200</v>
      </c>
      <c r="AS18" s="1683">
        <f t="shared" si="33"/>
        <v>100</v>
      </c>
      <c r="AT18" s="509"/>
      <c r="AU18" s="505"/>
      <c r="AV18" s="505">
        <f t="shared" si="49"/>
        <v>741807.69230769237</v>
      </c>
      <c r="AW18" s="502">
        <f t="shared" si="14"/>
        <v>1</v>
      </c>
      <c r="AX18" s="502">
        <f t="shared" si="15"/>
        <v>0</v>
      </c>
      <c r="AY18" s="573">
        <f t="shared" si="34"/>
        <v>100</v>
      </c>
      <c r="AZ18" s="573">
        <f t="shared" si="16"/>
        <v>0</v>
      </c>
      <c r="BA18" s="548">
        <f t="shared" si="17"/>
        <v>2</v>
      </c>
      <c r="BB18" s="548">
        <f t="shared" si="18"/>
        <v>1</v>
      </c>
      <c r="BC18" s="548">
        <f t="shared" si="19"/>
        <v>1</v>
      </c>
      <c r="BD18" s="548">
        <f t="shared" si="20"/>
        <v>0</v>
      </c>
      <c r="BE18" s="548">
        <f t="shared" si="21"/>
        <v>2</v>
      </c>
      <c r="BF18" s="549">
        <f t="shared" si="35"/>
        <v>26200</v>
      </c>
      <c r="BH18" s="578" t="s">
        <v>848</v>
      </c>
      <c r="BI18" s="578" t="s">
        <v>571</v>
      </c>
      <c r="BJ18" s="1154">
        <v>35471</v>
      </c>
      <c r="BK18" s="578" t="s">
        <v>657</v>
      </c>
      <c r="BL18" s="531">
        <v>11129545</v>
      </c>
    </row>
    <row r="19" spans="1:64" s="755" customFormat="1" ht="51" customHeight="1">
      <c r="A19" s="1369">
        <v>13</v>
      </c>
      <c r="B19" s="1607" t="s">
        <v>559</v>
      </c>
      <c r="C19" s="1390" t="s">
        <v>1258</v>
      </c>
      <c r="D19" s="1841">
        <v>43417</v>
      </c>
      <c r="E19" s="631" t="s">
        <v>359</v>
      </c>
      <c r="F19" s="617">
        <f>191+8+5+2</f>
        <v>206</v>
      </c>
      <c r="G19" s="617">
        <f>2</f>
        <v>2</v>
      </c>
      <c r="H19" s="1001">
        <v>20</v>
      </c>
      <c r="I19" s="1408">
        <f t="shared" si="22"/>
        <v>158.46153846153845</v>
      </c>
      <c r="J19" s="1001">
        <v>0</v>
      </c>
      <c r="K19" s="788">
        <f t="shared" si="0"/>
        <v>158.46153846153845</v>
      </c>
      <c r="L19" s="1001">
        <v>58</v>
      </c>
      <c r="M19" s="510">
        <f t="shared" si="1"/>
        <v>1.4855769230769231</v>
      </c>
      <c r="N19" s="618">
        <f t="shared" si="2"/>
        <v>86.163461538461547</v>
      </c>
      <c r="O19" s="1001">
        <v>0</v>
      </c>
      <c r="P19" s="510">
        <f t="shared" si="3"/>
        <v>1.9807692307692308</v>
      </c>
      <c r="Q19" s="503">
        <f t="shared" si="4"/>
        <v>0</v>
      </c>
      <c r="R19" s="1001">
        <v>24</v>
      </c>
      <c r="S19" s="510">
        <f t="shared" si="5"/>
        <v>1.9807692307692308</v>
      </c>
      <c r="T19" s="618">
        <f t="shared" si="6"/>
        <v>47.53846153846154</v>
      </c>
      <c r="U19" s="1001">
        <v>6</v>
      </c>
      <c r="V19" s="510">
        <f t="shared" si="7"/>
        <v>7.9230769230769234</v>
      </c>
      <c r="W19" s="618">
        <f t="shared" si="8"/>
        <v>47.53846153846154</v>
      </c>
      <c r="X19" s="1001">
        <v>1</v>
      </c>
      <c r="Y19" s="618">
        <f>'CUT Salary'!T19*CUT!X19</f>
        <v>10.781488570473119</v>
      </c>
      <c r="Z19" s="1001">
        <v>0</v>
      </c>
      <c r="AA19" s="510">
        <f t="shared" si="9"/>
        <v>3.9615384615384617</v>
      </c>
      <c r="AB19" s="618">
        <f t="shared" si="10"/>
        <v>0</v>
      </c>
      <c r="AC19" s="1001">
        <v>0</v>
      </c>
      <c r="AD19" s="1467">
        <f t="shared" si="11"/>
        <v>27</v>
      </c>
      <c r="AE19" s="1724">
        <v>0</v>
      </c>
      <c r="AF19" s="1121">
        <v>0</v>
      </c>
      <c r="AG19" s="1629">
        <f t="shared" si="50"/>
        <v>8</v>
      </c>
      <c r="AH19" s="618">
        <v>10</v>
      </c>
      <c r="AI19" s="618">
        <v>6</v>
      </c>
      <c r="AJ19" s="618">
        <v>10</v>
      </c>
      <c r="AK19" s="618">
        <v>10</v>
      </c>
      <c r="AL19" s="1148">
        <f t="shared" si="12"/>
        <v>396.48341164739622</v>
      </c>
      <c r="AM19" s="1278">
        <v>0</v>
      </c>
      <c r="AN19" s="1018">
        <v>102</v>
      </c>
      <c r="AO19" s="1096">
        <f>'Tax Calulation                 '!P19</f>
        <v>0</v>
      </c>
      <c r="AP19" s="1096">
        <f>'Tax Calulation                 '!W19</f>
        <v>5.9084194977843429</v>
      </c>
      <c r="AQ19" s="1686">
        <f t="shared" si="13"/>
        <v>288.57499214961189</v>
      </c>
      <c r="AR19" s="1682">
        <f t="shared" si="23"/>
        <v>357800</v>
      </c>
      <c r="AS19" s="1683">
        <f t="shared" si="33"/>
        <v>200</v>
      </c>
      <c r="AT19" s="509"/>
      <c r="AU19" s="505"/>
      <c r="AV19" s="505"/>
      <c r="AW19" s="502">
        <f t="shared" si="14"/>
        <v>2</v>
      </c>
      <c r="AX19" s="502">
        <f t="shared" si="15"/>
        <v>0</v>
      </c>
      <c r="AY19" s="573">
        <f t="shared" si="34"/>
        <v>200</v>
      </c>
      <c r="AZ19" s="573">
        <f t="shared" si="16"/>
        <v>7</v>
      </c>
      <c r="BA19" s="548">
        <f t="shared" si="17"/>
        <v>0</v>
      </c>
      <c r="BB19" s="548">
        <f t="shared" si="18"/>
        <v>1</v>
      </c>
      <c r="BC19" s="548">
        <f t="shared" si="19"/>
        <v>2</v>
      </c>
      <c r="BD19" s="548">
        <f t="shared" si="20"/>
        <v>1</v>
      </c>
      <c r="BE19" s="548">
        <f t="shared" si="21"/>
        <v>3</v>
      </c>
      <c r="BF19" s="549">
        <f t="shared" si="35"/>
        <v>357800</v>
      </c>
      <c r="BH19" s="578" t="s">
        <v>849</v>
      </c>
      <c r="BI19" s="578" t="s">
        <v>571</v>
      </c>
      <c r="BJ19" s="1154">
        <v>34548</v>
      </c>
      <c r="BK19" s="578" t="s">
        <v>659</v>
      </c>
      <c r="BL19" s="531">
        <v>170870158</v>
      </c>
    </row>
    <row r="20" spans="1:64" s="755" customFormat="1" ht="51" customHeight="1">
      <c r="A20" s="1369">
        <v>14</v>
      </c>
      <c r="B20" s="1607" t="s">
        <v>711</v>
      </c>
      <c r="C20" s="1390" t="s">
        <v>712</v>
      </c>
      <c r="D20" s="1841">
        <v>44125</v>
      </c>
      <c r="E20" s="631" t="s">
        <v>359</v>
      </c>
      <c r="F20" s="617">
        <f>185+2+19</f>
        <v>206</v>
      </c>
      <c r="G20" s="617">
        <f>2</f>
        <v>2</v>
      </c>
      <c r="H20" s="1001">
        <v>21</v>
      </c>
      <c r="I20" s="1408">
        <f t="shared" si="22"/>
        <v>166.38461538461539</v>
      </c>
      <c r="J20" s="1001">
        <v>0</v>
      </c>
      <c r="K20" s="788">
        <f t="shared" si="0"/>
        <v>166.38461538461539</v>
      </c>
      <c r="L20" s="1001">
        <v>66</v>
      </c>
      <c r="M20" s="510">
        <f t="shared" si="1"/>
        <v>1.4855769230769231</v>
      </c>
      <c r="N20" s="618">
        <f t="shared" si="2"/>
        <v>98.04807692307692</v>
      </c>
      <c r="O20" s="1001">
        <v>0</v>
      </c>
      <c r="P20" s="510">
        <f t="shared" si="3"/>
        <v>1.9807692307692308</v>
      </c>
      <c r="Q20" s="503">
        <f t="shared" si="4"/>
        <v>0</v>
      </c>
      <c r="R20" s="1001">
        <v>24</v>
      </c>
      <c r="S20" s="510">
        <f t="shared" si="5"/>
        <v>1.9807692307692308</v>
      </c>
      <c r="T20" s="618">
        <f t="shared" si="6"/>
        <v>47.53846153846154</v>
      </c>
      <c r="U20" s="1001">
        <v>5.5</v>
      </c>
      <c r="V20" s="510">
        <f t="shared" si="7"/>
        <v>7.9230769230769234</v>
      </c>
      <c r="W20" s="618">
        <f t="shared" si="8"/>
        <v>43.57692307692308</v>
      </c>
      <c r="X20" s="1001">
        <v>0.5</v>
      </c>
      <c r="Y20" s="618">
        <f>'CUT Salary'!T20*CUT!X20</f>
        <v>5.5720087295713183</v>
      </c>
      <c r="Z20" s="1001">
        <v>0</v>
      </c>
      <c r="AA20" s="510">
        <f t="shared" si="9"/>
        <v>3.9615384615384617</v>
      </c>
      <c r="AB20" s="618">
        <f t="shared" si="10"/>
        <v>0</v>
      </c>
      <c r="AC20" s="1001">
        <v>0</v>
      </c>
      <c r="AD20" s="1467">
        <f t="shared" si="11"/>
        <v>27</v>
      </c>
      <c r="AE20" s="1724">
        <v>0</v>
      </c>
      <c r="AF20" s="1121">
        <v>0</v>
      </c>
      <c r="AG20" s="1629">
        <f t="shared" si="50"/>
        <v>8</v>
      </c>
      <c r="AH20" s="618">
        <v>10</v>
      </c>
      <c r="AI20" s="618">
        <v>5</v>
      </c>
      <c r="AJ20" s="618">
        <v>10</v>
      </c>
      <c r="AK20" s="618">
        <v>10</v>
      </c>
      <c r="AL20" s="1148">
        <f t="shared" si="12"/>
        <v>406.1200856526483</v>
      </c>
      <c r="AM20" s="1278">
        <v>0</v>
      </c>
      <c r="AN20" s="1018">
        <v>102</v>
      </c>
      <c r="AO20" s="1096">
        <f>'Tax Calulation                 '!P20</f>
        <v>0</v>
      </c>
      <c r="AP20" s="1096">
        <f>'Tax Calulation                 '!W20</f>
        <v>5.9084194977843429</v>
      </c>
      <c r="AQ20" s="1686">
        <f t="shared" si="13"/>
        <v>298.21166615486396</v>
      </c>
      <c r="AR20" s="1682">
        <f t="shared" si="23"/>
        <v>396800</v>
      </c>
      <c r="AS20" s="1683">
        <f t="shared" ref="AS20:AS21" si="51">CEILING(AQ20,(100))-100</f>
        <v>200</v>
      </c>
      <c r="AT20" s="509"/>
      <c r="AU20" s="505"/>
      <c r="AV20" s="505"/>
      <c r="AW20" s="502">
        <f t="shared" si="14"/>
        <v>2</v>
      </c>
      <c r="AX20" s="502">
        <f t="shared" si="15"/>
        <v>0</v>
      </c>
      <c r="AY20" s="573">
        <f t="shared" si="34"/>
        <v>200</v>
      </c>
      <c r="AZ20" s="573">
        <f t="shared" si="16"/>
        <v>7</v>
      </c>
      <c r="BA20" s="548">
        <f t="shared" si="17"/>
        <v>4</v>
      </c>
      <c r="BB20" s="548">
        <f t="shared" si="18"/>
        <v>1</v>
      </c>
      <c r="BC20" s="548">
        <f t="shared" si="19"/>
        <v>1</v>
      </c>
      <c r="BD20" s="548">
        <f t="shared" si="20"/>
        <v>1</v>
      </c>
      <c r="BE20" s="548">
        <f t="shared" si="21"/>
        <v>3</v>
      </c>
      <c r="BF20" s="549">
        <f t="shared" si="35"/>
        <v>396800</v>
      </c>
      <c r="BH20" s="578" t="s">
        <v>850</v>
      </c>
      <c r="BI20" s="578" t="s">
        <v>571</v>
      </c>
      <c r="BJ20" s="616">
        <v>33539</v>
      </c>
      <c r="BK20" s="578"/>
      <c r="BL20" s="531">
        <v>100861878</v>
      </c>
    </row>
    <row r="21" spans="1:64" s="755" customFormat="1" ht="51" customHeight="1">
      <c r="A21" s="1369">
        <v>15</v>
      </c>
      <c r="B21" s="1607" t="s">
        <v>739</v>
      </c>
      <c r="C21" s="1390" t="s">
        <v>740</v>
      </c>
      <c r="D21" s="1841">
        <v>44202</v>
      </c>
      <c r="E21" s="631" t="s">
        <v>359</v>
      </c>
      <c r="F21" s="617">
        <f>185+2+19</f>
        <v>206</v>
      </c>
      <c r="G21" s="617">
        <f>2</f>
        <v>2</v>
      </c>
      <c r="H21" s="1001">
        <v>21.5</v>
      </c>
      <c r="I21" s="1408">
        <f t="shared" si="22"/>
        <v>170.34615384615384</v>
      </c>
      <c r="J21" s="1001">
        <v>0</v>
      </c>
      <c r="K21" s="788">
        <f t="shared" si="0"/>
        <v>170.34615384615384</v>
      </c>
      <c r="L21" s="1001">
        <v>72</v>
      </c>
      <c r="M21" s="510">
        <f t="shared" si="1"/>
        <v>1.4855769230769231</v>
      </c>
      <c r="N21" s="618">
        <f t="shared" si="2"/>
        <v>106.96153846153847</v>
      </c>
      <c r="O21" s="1001">
        <v>0</v>
      </c>
      <c r="P21" s="510">
        <f t="shared" si="3"/>
        <v>1.9807692307692308</v>
      </c>
      <c r="Q21" s="503">
        <f t="shared" si="4"/>
        <v>0</v>
      </c>
      <c r="R21" s="1001">
        <v>24</v>
      </c>
      <c r="S21" s="510">
        <f t="shared" si="5"/>
        <v>1.9807692307692308</v>
      </c>
      <c r="T21" s="618">
        <f t="shared" si="6"/>
        <v>47.53846153846154</v>
      </c>
      <c r="U21" s="1001">
        <v>5</v>
      </c>
      <c r="V21" s="510">
        <f t="shared" si="7"/>
        <v>7.9230769230769234</v>
      </c>
      <c r="W21" s="618">
        <f t="shared" si="8"/>
        <v>39.615384615384613</v>
      </c>
      <c r="X21" s="1001">
        <v>0.5</v>
      </c>
      <c r="Y21" s="618">
        <f>'CUT Salary'!T21*CUT!X21</f>
        <v>5.057967802966699</v>
      </c>
      <c r="Z21" s="1001">
        <v>0</v>
      </c>
      <c r="AA21" s="510">
        <f t="shared" si="9"/>
        <v>3.9615384615384617</v>
      </c>
      <c r="AB21" s="618">
        <f t="shared" si="10"/>
        <v>0</v>
      </c>
      <c r="AC21" s="1001">
        <v>0</v>
      </c>
      <c r="AD21" s="1467">
        <f t="shared" si="11"/>
        <v>27</v>
      </c>
      <c r="AE21" s="1724">
        <v>0</v>
      </c>
      <c r="AF21" s="1121">
        <v>0</v>
      </c>
      <c r="AG21" s="1629">
        <f t="shared" si="50"/>
        <v>8</v>
      </c>
      <c r="AH21" s="618">
        <v>10</v>
      </c>
      <c r="AI21" s="618">
        <v>4</v>
      </c>
      <c r="AJ21" s="618">
        <v>10</v>
      </c>
      <c r="AK21" s="618">
        <v>10</v>
      </c>
      <c r="AL21" s="1148">
        <f t="shared" si="12"/>
        <v>413.51950626450514</v>
      </c>
      <c r="AM21" s="1278">
        <v>0</v>
      </c>
      <c r="AN21" s="1018">
        <v>102</v>
      </c>
      <c r="AO21" s="1096">
        <f>'Tax Calulation                 '!P21</f>
        <v>0</v>
      </c>
      <c r="AP21" s="1096">
        <f>'Tax Calulation                 '!W21</f>
        <v>5.9084194977843429</v>
      </c>
      <c r="AQ21" s="1686">
        <f t="shared" si="13"/>
        <v>305.6110867667208</v>
      </c>
      <c r="AR21" s="1682">
        <f t="shared" si="23"/>
        <v>22700</v>
      </c>
      <c r="AS21" s="1683">
        <f t="shared" si="51"/>
        <v>300</v>
      </c>
      <c r="AT21" s="509"/>
      <c r="AU21" s="505"/>
      <c r="AV21" s="505"/>
      <c r="AW21" s="502">
        <f t="shared" si="14"/>
        <v>3</v>
      </c>
      <c r="AX21" s="502">
        <f t="shared" si="15"/>
        <v>0</v>
      </c>
      <c r="AY21" s="573">
        <f t="shared" si="34"/>
        <v>300</v>
      </c>
      <c r="AZ21" s="573">
        <f t="shared" si="16"/>
        <v>0</v>
      </c>
      <c r="BA21" s="548">
        <f t="shared" si="17"/>
        <v>2</v>
      </c>
      <c r="BB21" s="548">
        <f t="shared" si="18"/>
        <v>0</v>
      </c>
      <c r="BC21" s="548">
        <f t="shared" si="19"/>
        <v>2</v>
      </c>
      <c r="BD21" s="548">
        <f t="shared" si="20"/>
        <v>1</v>
      </c>
      <c r="BE21" s="548">
        <f t="shared" si="21"/>
        <v>2</v>
      </c>
      <c r="BF21" s="549">
        <f t="shared" si="35"/>
        <v>22700</v>
      </c>
      <c r="BH21" s="578" t="s">
        <v>851</v>
      </c>
      <c r="BI21" s="578" t="s">
        <v>571</v>
      </c>
      <c r="BJ21" s="1156">
        <v>27488</v>
      </c>
      <c r="BK21" s="578"/>
      <c r="BL21" s="531">
        <v>30652503</v>
      </c>
    </row>
    <row r="22" spans="1:64" s="768" customFormat="1" ht="51" customHeight="1">
      <c r="A22" s="1369">
        <v>16</v>
      </c>
      <c r="B22" s="1608" t="s">
        <v>1263</v>
      </c>
      <c r="C22" s="1103" t="s">
        <v>1015</v>
      </c>
      <c r="D22" s="1851">
        <v>44538</v>
      </c>
      <c r="E22" s="794" t="s">
        <v>359</v>
      </c>
      <c r="F22" s="758">
        <f>206</f>
        <v>206</v>
      </c>
      <c r="G22" s="758">
        <v>2</v>
      </c>
      <c r="H22" s="1001">
        <v>21</v>
      </c>
      <c r="I22" s="1408">
        <f t="shared" si="22"/>
        <v>166.38461538461539</v>
      </c>
      <c r="J22" s="1001">
        <v>0</v>
      </c>
      <c r="K22" s="788">
        <f t="shared" si="0"/>
        <v>166.38461538461539</v>
      </c>
      <c r="L22" s="1001">
        <v>58</v>
      </c>
      <c r="M22" s="510">
        <f t="shared" si="1"/>
        <v>1.4855769230769231</v>
      </c>
      <c r="N22" s="618">
        <f t="shared" si="2"/>
        <v>86.163461538461547</v>
      </c>
      <c r="O22" s="1001">
        <v>0</v>
      </c>
      <c r="P22" s="510">
        <f t="shared" si="3"/>
        <v>1.9807692307692308</v>
      </c>
      <c r="Q22" s="503">
        <f t="shared" si="4"/>
        <v>0</v>
      </c>
      <c r="R22" s="1001">
        <v>24</v>
      </c>
      <c r="S22" s="510">
        <f t="shared" si="5"/>
        <v>1.9807692307692308</v>
      </c>
      <c r="T22" s="618">
        <f t="shared" si="6"/>
        <v>47.53846153846154</v>
      </c>
      <c r="U22" s="1001">
        <v>6</v>
      </c>
      <c r="V22" s="510">
        <f t="shared" si="7"/>
        <v>7.9230769230769234</v>
      </c>
      <c r="W22" s="618">
        <f t="shared" si="8"/>
        <v>47.53846153846154</v>
      </c>
      <c r="X22" s="1001">
        <v>0</v>
      </c>
      <c r="Y22" s="618">
        <f>'CUT Salary'!T22*CUT!X22</f>
        <v>0</v>
      </c>
      <c r="Z22" s="1001">
        <v>0</v>
      </c>
      <c r="AA22" s="510">
        <f t="shared" si="9"/>
        <v>3.9615384615384617</v>
      </c>
      <c r="AB22" s="618">
        <f t="shared" si="10"/>
        <v>0</v>
      </c>
      <c r="AC22" s="1001">
        <v>0</v>
      </c>
      <c r="AD22" s="1467">
        <f t="shared" si="11"/>
        <v>27</v>
      </c>
      <c r="AE22" s="1724">
        <v>0</v>
      </c>
      <c r="AF22" s="1121">
        <v>0</v>
      </c>
      <c r="AG22" s="1630">
        <f t="shared" si="50"/>
        <v>8</v>
      </c>
      <c r="AH22" s="618">
        <v>10</v>
      </c>
      <c r="AI22" s="788">
        <v>3</v>
      </c>
      <c r="AJ22" s="618">
        <v>10</v>
      </c>
      <c r="AK22" s="618">
        <v>10</v>
      </c>
      <c r="AL22" s="1148">
        <f t="shared" si="12"/>
        <v>390.625</v>
      </c>
      <c r="AM22" s="1279">
        <v>0.5</v>
      </c>
      <c r="AN22" s="1018">
        <v>102</v>
      </c>
      <c r="AO22" s="1096">
        <f>'Tax Calulation                 '!P22</f>
        <v>0</v>
      </c>
      <c r="AP22" s="1096">
        <f>'Tax Calulation                 '!W22</f>
        <v>5.9084194977843429</v>
      </c>
      <c r="AQ22" s="1686">
        <f t="shared" si="13"/>
        <v>282.21658050221566</v>
      </c>
      <c r="AR22" s="1682">
        <f t="shared" si="23"/>
        <v>332200</v>
      </c>
      <c r="AS22" s="1684">
        <f t="shared" si="33"/>
        <v>200</v>
      </c>
      <c r="AT22" s="759"/>
      <c r="AU22" s="764"/>
      <c r="AV22" s="764"/>
      <c r="AW22" s="612">
        <f t="shared" si="14"/>
        <v>2</v>
      </c>
      <c r="AX22" s="612">
        <f t="shared" si="15"/>
        <v>0</v>
      </c>
      <c r="AY22" s="765">
        <f t="shared" ref="AY22:AY24" si="52">AW22*100+AX22*50</f>
        <v>200</v>
      </c>
      <c r="AZ22" s="765">
        <f t="shared" si="16"/>
        <v>6</v>
      </c>
      <c r="BA22" s="766">
        <f t="shared" si="17"/>
        <v>3</v>
      </c>
      <c r="BB22" s="766">
        <f t="shared" si="18"/>
        <v>0</v>
      </c>
      <c r="BC22" s="766">
        <f t="shared" si="19"/>
        <v>2</v>
      </c>
      <c r="BD22" s="766">
        <f t="shared" si="20"/>
        <v>0</v>
      </c>
      <c r="BE22" s="766">
        <f t="shared" si="21"/>
        <v>2</v>
      </c>
      <c r="BF22" s="767">
        <f t="shared" ref="BF22:BF24" si="53">AZ22*50000+BA22*10000+BB22*5000+BC22*1000+BD22*500+BE22*100</f>
        <v>332200</v>
      </c>
      <c r="BH22" s="628" t="s">
        <v>1017</v>
      </c>
      <c r="BI22" s="628" t="s">
        <v>943</v>
      </c>
      <c r="BJ22" s="793">
        <v>30043</v>
      </c>
      <c r="BK22" s="786" t="s">
        <v>1019</v>
      </c>
      <c r="BL22" s="795" t="s">
        <v>1038</v>
      </c>
    </row>
    <row r="23" spans="1:64" s="768" customFormat="1" ht="51" customHeight="1">
      <c r="A23" s="1369">
        <v>17</v>
      </c>
      <c r="B23" s="1608" t="s">
        <v>1264</v>
      </c>
      <c r="C23" s="1103" t="s">
        <v>1016</v>
      </c>
      <c r="D23" s="1851">
        <v>44539</v>
      </c>
      <c r="E23" s="794" t="s">
        <v>359</v>
      </c>
      <c r="F23" s="758">
        <f>206</f>
        <v>206</v>
      </c>
      <c r="G23" s="758">
        <v>2</v>
      </c>
      <c r="H23" s="1001">
        <v>22</v>
      </c>
      <c r="I23" s="1408">
        <f t="shared" si="22"/>
        <v>174.30769230769232</v>
      </c>
      <c r="J23" s="1001">
        <v>0</v>
      </c>
      <c r="K23" s="788">
        <f t="shared" si="0"/>
        <v>174.30769230769232</v>
      </c>
      <c r="L23" s="1001">
        <v>62</v>
      </c>
      <c r="M23" s="510">
        <f t="shared" si="1"/>
        <v>1.4855769230769231</v>
      </c>
      <c r="N23" s="618">
        <f t="shared" si="2"/>
        <v>92.105769230769241</v>
      </c>
      <c r="O23" s="1001">
        <v>0</v>
      </c>
      <c r="P23" s="510">
        <f t="shared" si="3"/>
        <v>1.9807692307692308</v>
      </c>
      <c r="Q23" s="503">
        <f t="shared" si="4"/>
        <v>0</v>
      </c>
      <c r="R23" s="1001">
        <v>24</v>
      </c>
      <c r="S23" s="510">
        <f t="shared" si="5"/>
        <v>1.9807692307692308</v>
      </c>
      <c r="T23" s="618">
        <f t="shared" si="6"/>
        <v>47.53846153846154</v>
      </c>
      <c r="U23" s="1001">
        <v>5</v>
      </c>
      <c r="V23" s="510">
        <f t="shared" si="7"/>
        <v>7.9230769230769234</v>
      </c>
      <c r="W23" s="618">
        <f t="shared" si="8"/>
        <v>39.615384615384613</v>
      </c>
      <c r="X23" s="1001">
        <v>0</v>
      </c>
      <c r="Y23" s="618">
        <f>'CUT Salary'!T23*CUT!X23</f>
        <v>0</v>
      </c>
      <c r="Z23" s="1001">
        <v>0</v>
      </c>
      <c r="AA23" s="510">
        <f t="shared" si="9"/>
        <v>3.9615384615384617</v>
      </c>
      <c r="AB23" s="618">
        <f t="shared" si="10"/>
        <v>0</v>
      </c>
      <c r="AC23" s="1001">
        <v>0</v>
      </c>
      <c r="AD23" s="1467">
        <f t="shared" si="11"/>
        <v>27</v>
      </c>
      <c r="AE23" s="1724">
        <v>0</v>
      </c>
      <c r="AF23" s="1121">
        <v>0</v>
      </c>
      <c r="AG23" s="1911">
        <v>6</v>
      </c>
      <c r="AH23" s="618">
        <v>10</v>
      </c>
      <c r="AI23" s="788">
        <v>3</v>
      </c>
      <c r="AJ23" s="618">
        <v>10</v>
      </c>
      <c r="AK23" s="618">
        <v>10</v>
      </c>
      <c r="AL23" s="1148">
        <f t="shared" si="12"/>
        <v>394.56730769230774</v>
      </c>
      <c r="AM23" s="1280">
        <v>0</v>
      </c>
      <c r="AN23" s="1018">
        <v>102</v>
      </c>
      <c r="AO23" s="1096">
        <f>'Tax Calulation                 '!P23</f>
        <v>0</v>
      </c>
      <c r="AP23" s="1096">
        <f>'Tax Calulation                 '!W23</f>
        <v>5.9084194977843429</v>
      </c>
      <c r="AQ23" s="1686">
        <f t="shared" si="13"/>
        <v>286.6588881945234</v>
      </c>
      <c r="AR23" s="1682">
        <f t="shared" si="23"/>
        <v>350100</v>
      </c>
      <c r="AS23" s="1684">
        <f t="shared" ref="AS23:AS24" si="54">CEILING(AQ23,(100))-100</f>
        <v>200</v>
      </c>
      <c r="AT23" s="759"/>
      <c r="AU23" s="764"/>
      <c r="AV23" s="764"/>
      <c r="AW23" s="612">
        <f t="shared" si="14"/>
        <v>2</v>
      </c>
      <c r="AX23" s="612">
        <f t="shared" si="15"/>
        <v>0</v>
      </c>
      <c r="AY23" s="765">
        <f t="shared" si="52"/>
        <v>200</v>
      </c>
      <c r="AZ23" s="765">
        <f t="shared" si="16"/>
        <v>7</v>
      </c>
      <c r="BA23" s="766">
        <f t="shared" si="17"/>
        <v>0</v>
      </c>
      <c r="BB23" s="766">
        <f t="shared" si="18"/>
        <v>0</v>
      </c>
      <c r="BC23" s="766">
        <f t="shared" si="19"/>
        <v>0</v>
      </c>
      <c r="BD23" s="766">
        <f t="shared" si="20"/>
        <v>0</v>
      </c>
      <c r="BE23" s="766">
        <f t="shared" si="21"/>
        <v>1</v>
      </c>
      <c r="BF23" s="767">
        <f t="shared" si="53"/>
        <v>350100</v>
      </c>
      <c r="BH23" s="628" t="s">
        <v>1018</v>
      </c>
      <c r="BI23" s="628" t="s">
        <v>943</v>
      </c>
      <c r="BJ23" s="1161">
        <v>32357</v>
      </c>
      <c r="BK23" s="786" t="s">
        <v>945</v>
      </c>
      <c r="BL23" s="795">
        <v>190925892</v>
      </c>
    </row>
    <row r="24" spans="1:64" s="768" customFormat="1" ht="51" customHeight="1">
      <c r="A24" s="1369">
        <v>18</v>
      </c>
      <c r="B24" s="1607" t="s">
        <v>1944</v>
      </c>
      <c r="C24" s="1095" t="s">
        <v>1945</v>
      </c>
      <c r="D24" s="1841">
        <v>45082</v>
      </c>
      <c r="E24" s="1151" t="s">
        <v>359</v>
      </c>
      <c r="F24" s="808">
        <f>200+4</f>
        <v>204</v>
      </c>
      <c r="G24" s="758">
        <v>0</v>
      </c>
      <c r="H24" s="1001">
        <v>14</v>
      </c>
      <c r="I24" s="1408">
        <f t="shared" si="22"/>
        <v>109.84615384615384</v>
      </c>
      <c r="J24" s="1001">
        <v>0</v>
      </c>
      <c r="K24" s="788">
        <f t="shared" si="0"/>
        <v>109.84615384615384</v>
      </c>
      <c r="L24" s="1001">
        <v>41</v>
      </c>
      <c r="M24" s="510">
        <f t="shared" ref="M24" si="55">F24/26/8*1.5</f>
        <v>1.471153846153846</v>
      </c>
      <c r="N24" s="618">
        <f t="shared" si="2"/>
        <v>60.317307692307686</v>
      </c>
      <c r="O24" s="1001">
        <v>0</v>
      </c>
      <c r="P24" s="510">
        <f t="shared" ref="P24" si="56">F24/26/8*2</f>
        <v>1.9615384615384615</v>
      </c>
      <c r="Q24" s="503">
        <f t="shared" ref="Q24" si="57">O24*P24</f>
        <v>0</v>
      </c>
      <c r="R24" s="1001">
        <v>24</v>
      </c>
      <c r="S24" s="510">
        <f t="shared" ref="S24" si="58">F24/26/8*2</f>
        <v>1.9615384615384615</v>
      </c>
      <c r="T24" s="618">
        <f t="shared" si="6"/>
        <v>47.076923076923073</v>
      </c>
      <c r="U24" s="1001">
        <v>5</v>
      </c>
      <c r="V24" s="510">
        <f t="shared" ref="V24" si="59">F24/26</f>
        <v>7.8461538461538458</v>
      </c>
      <c r="W24" s="618">
        <f t="shared" si="8"/>
        <v>39.230769230769226</v>
      </c>
      <c r="X24" s="1001">
        <v>0</v>
      </c>
      <c r="Y24" s="618">
        <f>'CUT Salary'!T24*CUT!X24</f>
        <v>0</v>
      </c>
      <c r="Z24" s="1001">
        <v>0</v>
      </c>
      <c r="AA24" s="510">
        <f t="shared" ref="AA24" si="60">F24/26/2</f>
        <v>3.9230769230769229</v>
      </c>
      <c r="AB24" s="618">
        <f t="shared" si="10"/>
        <v>0</v>
      </c>
      <c r="AC24" s="1001">
        <v>8</v>
      </c>
      <c r="AD24" s="1467">
        <f t="shared" si="11"/>
        <v>27</v>
      </c>
      <c r="AE24" s="1724">
        <f>(294.79+220.74+15.47+283.47)*0.05</f>
        <v>40.723500000000001</v>
      </c>
      <c r="AF24" s="1121">
        <v>0</v>
      </c>
      <c r="AG24" s="1629">
        <v>5</v>
      </c>
      <c r="AH24" s="618">
        <v>0</v>
      </c>
      <c r="AI24" s="788">
        <v>2</v>
      </c>
      <c r="AJ24" s="618">
        <v>10</v>
      </c>
      <c r="AK24" s="618">
        <v>10</v>
      </c>
      <c r="AL24" s="1148">
        <f t="shared" si="12"/>
        <v>324.19465384615381</v>
      </c>
      <c r="AM24" s="1280">
        <v>0</v>
      </c>
      <c r="AN24" s="1018">
        <v>90</v>
      </c>
      <c r="AO24" s="1096">
        <f>'Tax Calulation                 '!P24</f>
        <v>0</v>
      </c>
      <c r="AP24" s="1096">
        <f>'Tax Calulation                 '!W24</f>
        <v>5.9084194977843429</v>
      </c>
      <c r="AQ24" s="1686">
        <f t="shared" si="13"/>
        <v>228.28623434836948</v>
      </c>
      <c r="AR24" s="1682">
        <f t="shared" si="23"/>
        <v>114300</v>
      </c>
      <c r="AS24" s="1684">
        <f t="shared" si="54"/>
        <v>200</v>
      </c>
      <c r="AT24" s="759"/>
      <c r="AU24" s="764"/>
      <c r="AV24" s="764"/>
      <c r="AW24" s="612">
        <f t="shared" ref="AW24" si="61">INT(AS24/100)</f>
        <v>2</v>
      </c>
      <c r="AX24" s="612">
        <f t="shared" ref="AX24" si="62">INT((AS24-AW24*100)/50)</f>
        <v>0</v>
      </c>
      <c r="AY24" s="765">
        <f t="shared" si="52"/>
        <v>200</v>
      </c>
      <c r="AZ24" s="765">
        <f t="shared" ref="AZ24" si="63">INT((AR24/50000))</f>
        <v>2</v>
      </c>
      <c r="BA24" s="766">
        <f t="shared" ref="BA24" si="64">INT((AR24-AZ24*50000)/10000)</f>
        <v>1</v>
      </c>
      <c r="BB24" s="766">
        <f t="shared" ref="BB24" si="65">INT((AR24-AZ24*50000-BA24*10000)/5000)</f>
        <v>0</v>
      </c>
      <c r="BC24" s="766">
        <f t="shared" ref="BC24" si="66">INT((AR24-AZ24*50000-BA24*10000-BB24*5000)/1000)</f>
        <v>4</v>
      </c>
      <c r="BD24" s="766">
        <f t="shared" ref="BD24" si="67">INT((AR24-AZ24*50000-BA24*10000-BB24*5000-BC24*1000)/500)</f>
        <v>0</v>
      </c>
      <c r="BE24" s="766">
        <f t="shared" ref="BE24" si="68">INT((AR24-AZ24*50000-BA24*10000-BB24*5000-BC24*1000-BD24*500)/100)</f>
        <v>3</v>
      </c>
      <c r="BF24" s="767">
        <f t="shared" si="53"/>
        <v>114300</v>
      </c>
      <c r="BH24" s="966" t="s">
        <v>1946</v>
      </c>
      <c r="BI24" s="628" t="s">
        <v>943</v>
      </c>
      <c r="BJ24" s="581">
        <v>37001</v>
      </c>
      <c r="BK24" s="1348" t="s">
        <v>1852</v>
      </c>
      <c r="BL24" s="1347" t="s">
        <v>1999</v>
      </c>
    </row>
    <row r="25" spans="1:64" s="768" customFormat="1" ht="51" customHeight="1">
      <c r="A25" s="1369">
        <v>19</v>
      </c>
      <c r="B25" s="1607" t="s">
        <v>2207</v>
      </c>
      <c r="C25" s="1417" t="s">
        <v>2208</v>
      </c>
      <c r="D25" s="1852">
        <v>45460</v>
      </c>
      <c r="E25" s="1151" t="s">
        <v>359</v>
      </c>
      <c r="F25" s="808">
        <v>204</v>
      </c>
      <c r="G25" s="758">
        <v>0</v>
      </c>
      <c r="H25" s="1001">
        <v>22</v>
      </c>
      <c r="I25" s="1408">
        <f t="shared" si="22"/>
        <v>172.61538461538461</v>
      </c>
      <c r="J25" s="1001">
        <v>0</v>
      </c>
      <c r="K25" s="788">
        <f t="shared" si="0"/>
        <v>172.61538461538461</v>
      </c>
      <c r="L25" s="1001">
        <v>72</v>
      </c>
      <c r="M25" s="510">
        <f t="shared" ref="M25" si="69">F25/26/8*1.5</f>
        <v>1.471153846153846</v>
      </c>
      <c r="N25" s="618">
        <f t="shared" si="2"/>
        <v>105.92307692307692</v>
      </c>
      <c r="O25" s="1001">
        <v>0</v>
      </c>
      <c r="P25" s="510">
        <f t="shared" ref="P25" si="70">F25/26/8*2</f>
        <v>1.9615384615384615</v>
      </c>
      <c r="Q25" s="503">
        <f t="shared" ref="Q25" si="71">O25*P25</f>
        <v>0</v>
      </c>
      <c r="R25" s="1001">
        <v>24</v>
      </c>
      <c r="S25" s="510">
        <f t="shared" ref="S25" si="72">F25/26/8*2</f>
        <v>1.9615384615384615</v>
      </c>
      <c r="T25" s="618">
        <f t="shared" si="6"/>
        <v>47.076923076923073</v>
      </c>
      <c r="U25" s="1001">
        <v>5</v>
      </c>
      <c r="V25" s="510">
        <f t="shared" ref="V25" si="73">F25/26</f>
        <v>7.8461538461538458</v>
      </c>
      <c r="W25" s="618">
        <f t="shared" si="8"/>
        <v>39.230769230769226</v>
      </c>
      <c r="X25" s="1001">
        <v>0</v>
      </c>
      <c r="Y25" s="618">
        <f>'CUT Salary'!T25*CUT!X25</f>
        <v>0</v>
      </c>
      <c r="Z25" s="1001">
        <v>0</v>
      </c>
      <c r="AA25" s="510">
        <f t="shared" ref="AA25" si="74">F25/26/2</f>
        <v>3.9230769230769229</v>
      </c>
      <c r="AB25" s="618">
        <f t="shared" si="10"/>
        <v>0</v>
      </c>
      <c r="AC25" s="1001">
        <v>0</v>
      </c>
      <c r="AD25" s="1468">
        <f t="shared" ref="AD25" si="75">H25+U25+Z25+AC25+X25</f>
        <v>27</v>
      </c>
      <c r="AE25" s="1724">
        <f>(287+266.46+25.62+399.85)*0.05</f>
        <v>48.946500000000007</v>
      </c>
      <c r="AF25" s="1121">
        <v>0</v>
      </c>
      <c r="AG25" s="1629">
        <v>5</v>
      </c>
      <c r="AH25" s="618">
        <v>10</v>
      </c>
      <c r="AI25" s="788">
        <v>0</v>
      </c>
      <c r="AJ25" s="618">
        <v>10</v>
      </c>
      <c r="AK25" s="618">
        <v>10</v>
      </c>
      <c r="AL25" s="1148">
        <f t="shared" si="12"/>
        <v>448.79265384615388</v>
      </c>
      <c r="AM25" s="1280">
        <v>0</v>
      </c>
      <c r="AN25" s="1018">
        <v>102</v>
      </c>
      <c r="AO25" s="1096">
        <f>'Tax Calulation                 '!P25</f>
        <v>0.23307578684240515</v>
      </c>
      <c r="AP25" s="1096">
        <f>'Tax Calulation                 '!W25</f>
        <v>5.9084194977843429</v>
      </c>
      <c r="AQ25" s="1686">
        <f t="shared" si="13"/>
        <v>340.65115856152715</v>
      </c>
      <c r="AR25" s="1682">
        <f t="shared" si="23"/>
        <v>164200</v>
      </c>
      <c r="AS25" s="1684">
        <f t="shared" ref="AS25" si="76">CEILING(AQ25,(100))-100</f>
        <v>300</v>
      </c>
      <c r="AT25" s="759"/>
      <c r="AU25" s="764"/>
      <c r="AV25" s="764"/>
      <c r="AW25" s="612">
        <f t="shared" ref="AW25" si="77">INT(AS25/100)</f>
        <v>3</v>
      </c>
      <c r="AX25" s="612">
        <f t="shared" ref="AX25" si="78">INT((AS25-AW25*100)/50)</f>
        <v>0</v>
      </c>
      <c r="AY25" s="765">
        <f t="shared" ref="AY25" si="79">AW25*100+AX25*50</f>
        <v>300</v>
      </c>
      <c r="AZ25" s="765">
        <f t="shared" ref="AZ25" si="80">INT((AR25/50000))</f>
        <v>3</v>
      </c>
      <c r="BA25" s="766">
        <f t="shared" ref="BA25" si="81">INT((AR25-AZ25*50000)/10000)</f>
        <v>1</v>
      </c>
      <c r="BB25" s="766">
        <f t="shared" ref="BB25" si="82">INT((AR25-AZ25*50000-BA25*10000)/5000)</f>
        <v>0</v>
      </c>
      <c r="BC25" s="766">
        <f t="shared" ref="BC25" si="83">INT((AR25-AZ25*50000-BA25*10000-BB25*5000)/1000)</f>
        <v>4</v>
      </c>
      <c r="BD25" s="766">
        <f t="shared" ref="BD25" si="84">INT((AR25-AZ25*50000-BA25*10000-BB25*5000-BC25*1000)/500)</f>
        <v>0</v>
      </c>
      <c r="BE25" s="766">
        <f t="shared" ref="BE25" si="85">INT((AR25-AZ25*50000-BA25*10000-BB25*5000-BC25*1000-BD25*500)/100)</f>
        <v>2</v>
      </c>
      <c r="BF25" s="767">
        <f t="shared" ref="BF25" si="86">AZ25*50000+BA25*10000+BB25*5000+BC25*1000+BD25*500+BE25*100</f>
        <v>164200</v>
      </c>
      <c r="BH25" s="1448" t="s">
        <v>2213</v>
      </c>
      <c r="BI25" s="628" t="s">
        <v>943</v>
      </c>
      <c r="BJ25" s="1757">
        <v>37413</v>
      </c>
      <c r="BK25" s="1755" t="s">
        <v>2211</v>
      </c>
      <c r="BL25" s="1756" t="s">
        <v>2212</v>
      </c>
    </row>
    <row r="26" spans="1:64" s="768" customFormat="1" ht="51" customHeight="1">
      <c r="A26" s="1369">
        <v>20</v>
      </c>
      <c r="B26" s="1609" t="s">
        <v>2318</v>
      </c>
      <c r="C26" s="1384" t="s">
        <v>2319</v>
      </c>
      <c r="D26" s="1852">
        <v>45530</v>
      </c>
      <c r="E26" s="1151" t="s">
        <v>359</v>
      </c>
      <c r="F26" s="808">
        <v>204</v>
      </c>
      <c r="G26" s="758">
        <v>0</v>
      </c>
      <c r="H26" s="1001">
        <v>22</v>
      </c>
      <c r="I26" s="1408">
        <f t="shared" si="22"/>
        <v>172.61538461538461</v>
      </c>
      <c r="J26" s="1001">
        <v>0</v>
      </c>
      <c r="K26" s="788">
        <f t="shared" si="0"/>
        <v>172.61538461538461</v>
      </c>
      <c r="L26" s="1001">
        <v>72</v>
      </c>
      <c r="M26" s="510">
        <f t="shared" ref="M26" si="87">F26/26/8*1.5</f>
        <v>1.471153846153846</v>
      </c>
      <c r="N26" s="618">
        <f t="shared" si="2"/>
        <v>105.92307692307692</v>
      </c>
      <c r="O26" s="1001">
        <v>0</v>
      </c>
      <c r="P26" s="510">
        <f t="shared" ref="P26" si="88">F26/26/8*2</f>
        <v>1.9615384615384615</v>
      </c>
      <c r="Q26" s="503">
        <f t="shared" ref="Q26" si="89">O26*P26</f>
        <v>0</v>
      </c>
      <c r="R26" s="1001">
        <v>24</v>
      </c>
      <c r="S26" s="510">
        <f t="shared" ref="S26" si="90">F26/26/8*2</f>
        <v>1.9615384615384615</v>
      </c>
      <c r="T26" s="618">
        <f t="shared" si="6"/>
        <v>47.076923076923073</v>
      </c>
      <c r="U26" s="1001">
        <v>5</v>
      </c>
      <c r="V26" s="510">
        <f t="shared" ref="V26" si="91">F26/26</f>
        <v>7.8461538461538458</v>
      </c>
      <c r="W26" s="618">
        <f t="shared" si="8"/>
        <v>39.230769230769226</v>
      </c>
      <c r="X26" s="1001">
        <v>0</v>
      </c>
      <c r="Y26" s="618">
        <f>'CUT Salary'!T26*CUT!X26</f>
        <v>0</v>
      </c>
      <c r="Z26" s="1001">
        <v>0</v>
      </c>
      <c r="AA26" s="510">
        <f t="shared" ref="AA26" si="92">F26/26/2</f>
        <v>3.9230769230769229</v>
      </c>
      <c r="AB26" s="618">
        <f t="shared" si="10"/>
        <v>0</v>
      </c>
      <c r="AC26" s="1001">
        <v>0</v>
      </c>
      <c r="AD26" s="1468">
        <f t="shared" ref="AD26" si="93">H26+U26+Z26+AC26+X26</f>
        <v>27</v>
      </c>
      <c r="AE26" s="1724">
        <v>0</v>
      </c>
      <c r="AF26" s="1121">
        <v>0</v>
      </c>
      <c r="AG26" s="1629">
        <v>5</v>
      </c>
      <c r="AH26" s="618">
        <v>10</v>
      </c>
      <c r="AI26" s="788">
        <v>0</v>
      </c>
      <c r="AJ26" s="618">
        <v>10</v>
      </c>
      <c r="AK26" s="618">
        <v>10</v>
      </c>
      <c r="AL26" s="1148">
        <f t="shared" si="12"/>
        <v>399.84615384615387</v>
      </c>
      <c r="AM26" s="1280">
        <v>0</v>
      </c>
      <c r="AN26" s="1018">
        <v>102</v>
      </c>
      <c r="AO26" s="1096">
        <f>'Tax Calulation                 '!P26</f>
        <v>0</v>
      </c>
      <c r="AP26" s="1096">
        <f>'Tax Calulation                 '!W26</f>
        <v>5.9084194977843429</v>
      </c>
      <c r="AQ26" s="1686">
        <f t="shared" si="13"/>
        <v>291.93773434836953</v>
      </c>
      <c r="AR26" s="1682">
        <f t="shared" si="23"/>
        <v>371400</v>
      </c>
      <c r="AS26" s="1684">
        <f t="shared" ref="AS26" si="94">CEILING(AQ26,(100))-100</f>
        <v>200</v>
      </c>
      <c r="AT26" s="759"/>
      <c r="AU26" s="764"/>
      <c r="AV26" s="764"/>
      <c r="AW26" s="612">
        <f t="shared" ref="AW26" si="95">INT(AS26/100)</f>
        <v>2</v>
      </c>
      <c r="AX26" s="612">
        <f t="shared" ref="AX26" si="96">INT((AS26-AW26*100)/50)</f>
        <v>0</v>
      </c>
      <c r="AY26" s="765">
        <f t="shared" ref="AY26" si="97">AW26*100+AX26*50</f>
        <v>200</v>
      </c>
      <c r="AZ26" s="765">
        <f t="shared" ref="AZ26" si="98">INT((AR26/50000))</f>
        <v>7</v>
      </c>
      <c r="BA26" s="766">
        <f t="shared" ref="BA26" si="99">INT((AR26-AZ26*50000)/10000)</f>
        <v>2</v>
      </c>
      <c r="BB26" s="766">
        <f t="shared" ref="BB26" si="100">INT((AR26-AZ26*50000-BA26*10000)/5000)</f>
        <v>0</v>
      </c>
      <c r="BC26" s="766">
        <f t="shared" ref="BC26" si="101">INT((AR26-AZ26*50000-BA26*10000-BB26*5000)/1000)</f>
        <v>1</v>
      </c>
      <c r="BD26" s="766">
        <f t="shared" ref="BD26" si="102">INT((AR26-AZ26*50000-BA26*10000-BB26*5000-BC26*1000)/500)</f>
        <v>0</v>
      </c>
      <c r="BE26" s="766">
        <f t="shared" ref="BE26" si="103">INT((AR26-AZ26*50000-BA26*10000-BB26*5000-BC26*1000-BD26*500)/100)</f>
        <v>4</v>
      </c>
      <c r="BF26" s="767">
        <f t="shared" ref="BF26" si="104">AZ26*50000+BA26*10000+BB26*5000+BC26*1000+BD26*500+BE26*100</f>
        <v>371400</v>
      </c>
      <c r="BH26" s="1807" t="s">
        <v>2320</v>
      </c>
      <c r="BI26" s="628" t="s">
        <v>943</v>
      </c>
      <c r="BJ26" s="1808">
        <v>36573</v>
      </c>
      <c r="BK26" s="1809" t="s">
        <v>2321</v>
      </c>
      <c r="BL26" s="1806" t="s">
        <v>2322</v>
      </c>
    </row>
    <row r="27" spans="1:64" s="768" customFormat="1" ht="51" customHeight="1">
      <c r="A27" s="1369">
        <v>21</v>
      </c>
      <c r="B27" s="1734" t="s">
        <v>2190</v>
      </c>
      <c r="C27" s="1417" t="s">
        <v>917</v>
      </c>
      <c r="D27" s="1851">
        <v>44378</v>
      </c>
      <c r="E27" s="1151" t="s">
        <v>1113</v>
      </c>
      <c r="F27" s="808">
        <f>260+12</f>
        <v>272</v>
      </c>
      <c r="G27" s="758">
        <v>27</v>
      </c>
      <c r="H27" s="1001">
        <v>21</v>
      </c>
      <c r="I27" s="1408">
        <f t="shared" si="22"/>
        <v>219.69230769230771</v>
      </c>
      <c r="J27" s="1001">
        <v>0</v>
      </c>
      <c r="K27" s="788">
        <f t="shared" si="0"/>
        <v>219.69230769230771</v>
      </c>
      <c r="L27" s="1001">
        <v>67</v>
      </c>
      <c r="M27" s="510">
        <f t="shared" si="1"/>
        <v>1.9615384615384617</v>
      </c>
      <c r="N27" s="618">
        <f t="shared" si="2"/>
        <v>131.42307692307693</v>
      </c>
      <c r="O27" s="1001">
        <v>0</v>
      </c>
      <c r="P27" s="510">
        <f t="shared" si="3"/>
        <v>2.6153846153846154</v>
      </c>
      <c r="Q27" s="503">
        <f t="shared" si="4"/>
        <v>0</v>
      </c>
      <c r="R27" s="1001">
        <v>24</v>
      </c>
      <c r="S27" s="510">
        <f t="shared" si="5"/>
        <v>2.6153846153846154</v>
      </c>
      <c r="T27" s="618">
        <f t="shared" si="6"/>
        <v>62.769230769230774</v>
      </c>
      <c r="U27" s="1001">
        <v>5</v>
      </c>
      <c r="V27" s="510">
        <f t="shared" si="7"/>
        <v>10.461538461538462</v>
      </c>
      <c r="W27" s="618">
        <f t="shared" si="8"/>
        <v>52.307692307692307</v>
      </c>
      <c r="X27" s="1001">
        <v>1</v>
      </c>
      <c r="Y27" s="618">
        <f>'CUT Salary'!T27*CUT!X27</f>
        <v>16.56941367224508</v>
      </c>
      <c r="Z27" s="1001">
        <v>0</v>
      </c>
      <c r="AA27" s="510">
        <f t="shared" si="9"/>
        <v>5.2307692307692308</v>
      </c>
      <c r="AB27" s="618">
        <f t="shared" si="10"/>
        <v>0</v>
      </c>
      <c r="AC27" s="1001">
        <v>0</v>
      </c>
      <c r="AD27" s="1467">
        <f t="shared" si="11"/>
        <v>27</v>
      </c>
      <c r="AE27" s="1724">
        <v>0</v>
      </c>
      <c r="AF27" s="1121">
        <v>0</v>
      </c>
      <c r="AG27" s="1629">
        <f>45</f>
        <v>45</v>
      </c>
      <c r="AH27" s="618">
        <v>10</v>
      </c>
      <c r="AI27" s="788">
        <v>4</v>
      </c>
      <c r="AJ27" s="618">
        <v>10</v>
      </c>
      <c r="AK27" s="618">
        <v>10</v>
      </c>
      <c r="AL27" s="1148">
        <f t="shared" si="12"/>
        <v>588.76172136455284</v>
      </c>
      <c r="AM27" s="1280">
        <v>0</v>
      </c>
      <c r="AN27" s="1018">
        <v>102</v>
      </c>
      <c r="AO27" s="1096">
        <f>'Tax Calulation                 '!P27</f>
        <v>13.203104681999347</v>
      </c>
      <c r="AP27" s="1096">
        <f>'Tax Calulation                 '!W27</f>
        <v>5.9084194977843429</v>
      </c>
      <c r="AQ27" s="1686">
        <f t="shared" si="13"/>
        <v>467.65019718476918</v>
      </c>
      <c r="AR27" s="1682">
        <f t="shared" si="23"/>
        <v>273300</v>
      </c>
      <c r="AS27" s="1684">
        <f t="shared" si="33"/>
        <v>400</v>
      </c>
      <c r="AT27" s="759"/>
      <c r="AU27" s="764"/>
      <c r="AV27" s="764"/>
      <c r="AW27" s="612">
        <f t="shared" si="14"/>
        <v>4</v>
      </c>
      <c r="AX27" s="612">
        <f t="shared" si="15"/>
        <v>0</v>
      </c>
      <c r="AY27" s="765">
        <f t="shared" si="34"/>
        <v>400</v>
      </c>
      <c r="AZ27" s="765">
        <f t="shared" si="16"/>
        <v>5</v>
      </c>
      <c r="BA27" s="766">
        <f t="shared" si="17"/>
        <v>2</v>
      </c>
      <c r="BB27" s="766">
        <f t="shared" si="18"/>
        <v>0</v>
      </c>
      <c r="BC27" s="766">
        <f t="shared" si="19"/>
        <v>3</v>
      </c>
      <c r="BD27" s="766">
        <f t="shared" si="20"/>
        <v>0</v>
      </c>
      <c r="BE27" s="766">
        <f t="shared" si="21"/>
        <v>3</v>
      </c>
      <c r="BF27" s="767">
        <f t="shared" si="35"/>
        <v>273300</v>
      </c>
      <c r="BH27" s="625" t="s">
        <v>918</v>
      </c>
      <c r="BI27" s="628" t="s">
        <v>573</v>
      </c>
      <c r="BJ27" s="1155">
        <v>34821</v>
      </c>
      <c r="BK27" s="785" t="s">
        <v>920</v>
      </c>
      <c r="BL27" s="757">
        <v>62091206</v>
      </c>
    </row>
    <row r="28" spans="1:64" ht="51" customHeight="1">
      <c r="A28" s="535" t="s">
        <v>214</v>
      </c>
      <c r="B28" s="536"/>
      <c r="C28" s="750"/>
      <c r="D28" s="536"/>
      <c r="E28" s="608"/>
      <c r="F28" s="536"/>
      <c r="G28" s="536"/>
      <c r="H28" s="536"/>
      <c r="I28" s="536"/>
      <c r="J28" s="1407"/>
      <c r="K28" s="536"/>
      <c r="L28" s="536"/>
      <c r="M28" s="536"/>
      <c r="N28" s="536"/>
      <c r="O28" s="536"/>
      <c r="P28" s="536"/>
      <c r="Q28" s="536"/>
      <c r="R28" s="536"/>
      <c r="S28" s="536"/>
      <c r="T28" s="536"/>
      <c r="U28" s="536"/>
      <c r="V28" s="536"/>
      <c r="W28" s="536"/>
      <c r="X28" s="536"/>
      <c r="Y28" s="950">
        <f>SUM(Y7:Y27)</f>
        <v>86.322804788121502</v>
      </c>
      <c r="Z28" s="536"/>
      <c r="AA28" s="536"/>
      <c r="AB28" s="536"/>
      <c r="AC28" s="536"/>
      <c r="AD28" s="536"/>
      <c r="AE28" s="558">
        <f>SUM(AE7:AE27)</f>
        <v>89.670000000000016</v>
      </c>
      <c r="AF28" s="1114">
        <f>SUM(AF7:AF27)</f>
        <v>0</v>
      </c>
      <c r="AG28" s="536"/>
      <c r="AH28" s="536"/>
      <c r="AI28" s="536"/>
      <c r="AJ28" s="558">
        <f t="shared" ref="AJ28:AS28" si="105">SUM(AJ7:AJ27)</f>
        <v>210</v>
      </c>
      <c r="AK28" s="558">
        <f t="shared" si="105"/>
        <v>210</v>
      </c>
      <c r="AL28" s="551">
        <f t="shared" si="105"/>
        <v>8018.5360740188908</v>
      </c>
      <c r="AM28" s="1276">
        <f t="shared" si="105"/>
        <v>2</v>
      </c>
      <c r="AN28" s="809">
        <f t="shared" si="105"/>
        <v>2118</v>
      </c>
      <c r="AO28" s="623">
        <f t="shared" si="105"/>
        <v>13.436180468841753</v>
      </c>
      <c r="AP28" s="623">
        <f t="shared" si="105"/>
        <v>121.88601771583075</v>
      </c>
      <c r="AQ28" s="623">
        <f t="shared" si="105"/>
        <v>5763.2138758342189</v>
      </c>
      <c r="AR28" s="1612">
        <f t="shared" si="105"/>
        <v>4295400</v>
      </c>
      <c r="AS28" s="736">
        <f t="shared" si="105"/>
        <v>4700</v>
      </c>
      <c r="AT28" s="634"/>
      <c r="AU28" s="601"/>
      <c r="AV28" s="552"/>
      <c r="AW28" s="573">
        <f t="shared" ref="AW28:BF28" si="106">SUM(AW7:AW27)</f>
        <v>47</v>
      </c>
      <c r="AX28" s="573">
        <f t="shared" si="106"/>
        <v>0</v>
      </c>
      <c r="AY28" s="507">
        <f t="shared" si="106"/>
        <v>4700</v>
      </c>
      <c r="AZ28" s="573">
        <f t="shared" si="106"/>
        <v>76</v>
      </c>
      <c r="BA28" s="573">
        <f t="shared" si="106"/>
        <v>41</v>
      </c>
      <c r="BB28" s="573">
        <f t="shared" si="106"/>
        <v>6</v>
      </c>
      <c r="BC28" s="573">
        <f t="shared" si="106"/>
        <v>47</v>
      </c>
      <c r="BD28" s="573">
        <f t="shared" si="106"/>
        <v>7</v>
      </c>
      <c r="BE28" s="573">
        <f t="shared" si="106"/>
        <v>49</v>
      </c>
      <c r="BF28" s="553">
        <f t="shared" si="106"/>
        <v>4295400</v>
      </c>
    </row>
    <row r="29" spans="1:64">
      <c r="A29" s="552"/>
      <c r="B29" s="552"/>
      <c r="C29" s="567"/>
      <c r="D29" s="508"/>
      <c r="E29" s="609"/>
      <c r="F29" s="554"/>
      <c r="G29" s="552"/>
      <c r="H29" s="552"/>
      <c r="I29" s="552"/>
      <c r="J29" s="552"/>
      <c r="K29" s="552"/>
      <c r="L29" s="552"/>
      <c r="M29" s="552"/>
      <c r="N29" s="552"/>
      <c r="O29" s="552"/>
      <c r="P29" s="552"/>
      <c r="Q29" s="552"/>
      <c r="R29" s="552"/>
      <c r="S29" s="552"/>
      <c r="T29" s="552"/>
      <c r="U29" s="552"/>
      <c r="V29" s="552"/>
      <c r="W29" s="552"/>
      <c r="X29" s="552"/>
      <c r="Y29" s="552"/>
      <c r="Z29" s="552"/>
      <c r="AA29" s="552"/>
      <c r="AB29" s="552"/>
      <c r="AC29" s="552"/>
      <c r="AD29" s="552"/>
      <c r="AE29" s="552"/>
      <c r="AF29" s="552"/>
      <c r="AG29" s="552"/>
      <c r="AH29" s="552"/>
      <c r="AI29" s="552"/>
      <c r="AJ29" s="552"/>
      <c r="AK29" s="552"/>
      <c r="AL29" s="552"/>
      <c r="AM29" s="552"/>
      <c r="AN29" s="552"/>
      <c r="AO29" s="552"/>
      <c r="AP29" s="552"/>
      <c r="AQ29" s="552"/>
      <c r="AR29" s="552"/>
      <c r="AS29" s="552"/>
      <c r="AT29" s="552"/>
      <c r="AU29" s="602"/>
      <c r="AV29" s="552"/>
      <c r="AW29" s="552"/>
      <c r="AX29" s="552"/>
      <c r="AY29" s="552"/>
      <c r="AZ29" s="552"/>
      <c r="BA29" s="552"/>
    </row>
    <row r="30" spans="1:64" s="1355" customFormat="1" ht="27" customHeight="1">
      <c r="A30" s="1355" t="s">
        <v>213</v>
      </c>
      <c r="C30" s="1358"/>
      <c r="F30" s="1359"/>
      <c r="M30" s="1355" t="s">
        <v>2168</v>
      </c>
      <c r="AG30" s="1357" t="s">
        <v>445</v>
      </c>
      <c r="AS30" s="1355" t="s">
        <v>212</v>
      </c>
      <c r="AU30" s="1368"/>
    </row>
    <row r="31" spans="1:64">
      <c r="A31" s="552"/>
      <c r="B31" s="552"/>
      <c r="C31" s="567"/>
      <c r="D31" s="508"/>
      <c r="E31" s="609"/>
      <c r="F31" s="554"/>
      <c r="G31" s="552"/>
      <c r="H31" s="552"/>
      <c r="I31" s="552"/>
      <c r="J31" s="552"/>
      <c r="K31" s="552"/>
      <c r="L31" s="552"/>
      <c r="M31" s="552"/>
      <c r="N31" s="552"/>
      <c r="O31" s="552"/>
      <c r="P31" s="552"/>
      <c r="Q31" s="552"/>
      <c r="R31" s="552"/>
      <c r="S31" s="552"/>
      <c r="T31" s="552"/>
      <c r="U31" s="552"/>
      <c r="V31" s="552"/>
      <c r="W31" s="552"/>
      <c r="X31" s="552"/>
      <c r="Y31" s="552"/>
      <c r="Z31" s="552"/>
      <c r="AA31" s="552"/>
      <c r="AB31" s="552"/>
      <c r="AC31" s="552"/>
      <c r="AD31" s="552"/>
      <c r="AE31" s="552"/>
      <c r="AF31" s="552"/>
      <c r="AG31" s="552"/>
      <c r="AH31" s="552"/>
      <c r="AI31" s="552"/>
      <c r="AJ31" s="552"/>
      <c r="AK31" s="552"/>
      <c r="AL31" s="552"/>
      <c r="AM31" s="552"/>
      <c r="AN31" s="552"/>
      <c r="AO31" s="552"/>
      <c r="AP31" s="552"/>
      <c r="AQ31" s="552"/>
      <c r="AR31" s="552"/>
      <c r="AS31" s="552"/>
      <c r="AT31" s="552"/>
      <c r="AU31" s="602"/>
      <c r="AV31" s="552"/>
      <c r="AW31" s="552"/>
      <c r="AX31" s="552"/>
      <c r="AY31" s="552"/>
      <c r="AZ31" s="552"/>
      <c r="BA31" s="552"/>
    </row>
    <row r="32" spans="1:64" ht="30" customHeight="1">
      <c r="C32" s="755" t="s">
        <v>2208</v>
      </c>
    </row>
    <row r="33" ht="30" customHeight="1"/>
    <row r="34" ht="30" customHeight="1"/>
  </sheetData>
  <mergeCells count="32">
    <mergeCell ref="BI5:BI6"/>
    <mergeCell ref="BJ5:BJ6"/>
    <mergeCell ref="BK5:BK6"/>
    <mergeCell ref="BL5:BL6"/>
    <mergeCell ref="AI5:AI6"/>
    <mergeCell ref="AP5:AP6"/>
    <mergeCell ref="Z5:AB5"/>
    <mergeCell ref="AC5:AC6"/>
    <mergeCell ref="AE5:AE6"/>
    <mergeCell ref="AG5:AG6"/>
    <mergeCell ref="AH5:AH6"/>
    <mergeCell ref="H5:K5"/>
    <mergeCell ref="L5:N5"/>
    <mergeCell ref="O5:Q5"/>
    <mergeCell ref="R5:T5"/>
    <mergeCell ref="U5:W5"/>
    <mergeCell ref="X5:Y5"/>
    <mergeCell ref="A1:AT1"/>
    <mergeCell ref="A2:AT2"/>
    <mergeCell ref="AW4:BF4"/>
    <mergeCell ref="C4:F4"/>
    <mergeCell ref="A3:AS3"/>
    <mergeCell ref="AT5:AT6"/>
    <mergeCell ref="AW5:AY5"/>
    <mergeCell ref="BB5:BF5"/>
    <mergeCell ref="AJ5:AJ6"/>
    <mergeCell ref="AK5:AK6"/>
    <mergeCell ref="AL5:AL6"/>
    <mergeCell ref="AM5:AM6"/>
    <mergeCell ref="AO5:AO6"/>
    <mergeCell ref="AQ5:AS5"/>
    <mergeCell ref="AN5:AN6"/>
  </mergeCells>
  <phoneticPr fontId="171" type="noConversion"/>
  <dataValidations count="1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BL27 BL24">
      <formula1>9</formula1>
    </dataValidation>
  </dataValidations>
  <pageMargins left="0" right="0" top="0" bottom="0" header="0" footer="0"/>
  <pageSetup paperSize="9" scale="36" orientation="landscape" horizontalDpi="4294967293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28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D10" sqref="D10"/>
    </sheetView>
  </sheetViews>
  <sheetFormatPr defaultRowHeight="15.75"/>
  <cols>
    <col min="1" max="1" width="3.875" style="474" customWidth="1"/>
    <col min="2" max="2" width="8.875" style="474" customWidth="1"/>
    <col min="3" max="3" width="11.625" style="477" customWidth="1"/>
    <col min="4" max="4" width="10.875" style="475" customWidth="1"/>
    <col min="5" max="5" width="6.375" style="500" customWidth="1"/>
    <col min="6" max="6" width="13.375" style="474" customWidth="1"/>
    <col min="7" max="7" width="9.25" style="474" bestFit="1" customWidth="1"/>
    <col min="8" max="8" width="13.875" style="474" bestFit="1" customWidth="1"/>
    <col min="9" max="9" width="7.375" style="477" customWidth="1"/>
    <col min="10" max="10" width="7.375" style="475" customWidth="1"/>
    <col min="11" max="11" width="10.75" style="474" bestFit="1" customWidth="1"/>
    <col min="12" max="12" width="10.875" style="474" customWidth="1"/>
    <col min="13" max="13" width="9.125" style="474" bestFit="1" customWidth="1"/>
    <col min="14" max="14" width="11.875" style="474" customWidth="1"/>
    <col min="15" max="15" width="12.125" style="474" customWidth="1"/>
    <col min="16" max="16" width="15.125" style="474" customWidth="1"/>
    <col min="17" max="17" width="9" style="474"/>
    <col min="18" max="19" width="15.625" style="474" customWidth="1"/>
    <col min="20" max="20" width="12.75" style="474" customWidth="1"/>
    <col min="21" max="21" width="12.875" style="474" customWidth="1"/>
    <col min="22" max="23" width="14.625" style="474" customWidth="1"/>
    <col min="24" max="16384" width="9" style="474"/>
  </cols>
  <sheetData>
    <row r="1" spans="1:39" s="479" customFormat="1" ht="29.25" customHeight="1">
      <c r="A1" s="2127" t="s">
        <v>222</v>
      </c>
      <c r="B1" s="2127"/>
      <c r="C1" s="2127"/>
      <c r="D1" s="2127"/>
      <c r="E1" s="2127"/>
      <c r="F1" s="2127"/>
      <c r="G1" s="2127"/>
      <c r="H1" s="2127"/>
      <c r="I1" s="2127"/>
      <c r="J1" s="2127"/>
      <c r="K1" s="2127"/>
      <c r="L1" s="2127"/>
      <c r="M1" s="2127"/>
      <c r="N1" s="2127"/>
      <c r="O1" s="2127"/>
      <c r="P1" s="2127"/>
      <c r="R1" s="2169" t="s">
        <v>222</v>
      </c>
      <c r="S1" s="2169"/>
      <c r="T1" s="2169"/>
      <c r="U1" s="2169"/>
      <c r="V1" s="2169"/>
      <c r="W1" s="2169"/>
    </row>
    <row r="2" spans="1:39" s="479" customFormat="1" ht="20.25" customHeight="1">
      <c r="A2" s="2127" t="s">
        <v>221</v>
      </c>
      <c r="B2" s="2127"/>
      <c r="C2" s="2127"/>
      <c r="D2" s="2127"/>
      <c r="E2" s="2127"/>
      <c r="F2" s="2127"/>
      <c r="G2" s="2127"/>
      <c r="H2" s="2127"/>
      <c r="I2" s="2127"/>
      <c r="J2" s="2127"/>
      <c r="K2" s="2127"/>
      <c r="L2" s="2127"/>
      <c r="M2" s="2127"/>
      <c r="N2" s="2127"/>
      <c r="O2" s="2127"/>
      <c r="P2" s="2127"/>
      <c r="R2" s="2126" t="s">
        <v>1807</v>
      </c>
      <c r="S2" s="2126"/>
      <c r="T2" s="2126"/>
      <c r="U2" s="2126"/>
      <c r="V2" s="2126"/>
      <c r="W2" s="2126"/>
    </row>
    <row r="3" spans="1:39" s="479" customFormat="1" ht="19.5" customHeight="1">
      <c r="A3" s="2126" t="s">
        <v>2354</v>
      </c>
      <c r="B3" s="2126"/>
      <c r="C3" s="2126"/>
      <c r="D3" s="2126"/>
      <c r="E3" s="2126"/>
      <c r="F3" s="2126"/>
      <c r="G3" s="2126"/>
      <c r="H3" s="2126"/>
      <c r="I3" s="2126"/>
      <c r="J3" s="2126"/>
      <c r="K3" s="2126"/>
      <c r="L3" s="2126"/>
      <c r="M3" s="2126"/>
      <c r="N3" s="2126"/>
      <c r="O3" s="2126"/>
      <c r="P3" s="2126"/>
      <c r="R3" s="2126" t="s">
        <v>2351</v>
      </c>
      <c r="S3" s="2126"/>
      <c r="T3" s="2126"/>
      <c r="U3" s="2126"/>
      <c r="V3" s="2126"/>
      <c r="W3" s="2126"/>
    </row>
    <row r="4" spans="1:39" s="479" customFormat="1" ht="20.25" customHeight="1" thickBot="1">
      <c r="A4" s="2128" t="s">
        <v>331</v>
      </c>
      <c r="B4" s="2128"/>
      <c r="C4" s="2128"/>
      <c r="D4" s="2128"/>
      <c r="E4" s="2128"/>
      <c r="I4" s="564"/>
    </row>
    <row r="5" spans="1:39" s="473" customFormat="1" ht="63" customHeight="1" thickTop="1">
      <c r="A5" s="482" t="s">
        <v>223</v>
      </c>
      <c r="B5" s="482" t="s">
        <v>224</v>
      </c>
      <c r="C5" s="482" t="s">
        <v>225</v>
      </c>
      <c r="D5" s="482" t="s">
        <v>226</v>
      </c>
      <c r="E5" s="498" t="s">
        <v>227</v>
      </c>
      <c r="F5" s="482" t="s">
        <v>228</v>
      </c>
      <c r="G5" s="482" t="s">
        <v>229</v>
      </c>
      <c r="H5" s="482" t="s">
        <v>230</v>
      </c>
      <c r="I5" s="482" t="s">
        <v>231</v>
      </c>
      <c r="J5" s="482" t="s">
        <v>232</v>
      </c>
      <c r="K5" s="482" t="s">
        <v>233</v>
      </c>
      <c r="L5" s="482" t="s">
        <v>234</v>
      </c>
      <c r="M5" s="482" t="s">
        <v>235</v>
      </c>
      <c r="N5" s="482" t="s">
        <v>236</v>
      </c>
      <c r="O5" s="482" t="s">
        <v>237</v>
      </c>
      <c r="P5" s="482" t="s">
        <v>238</v>
      </c>
      <c r="Q5" s="483"/>
      <c r="R5" s="1203" t="s">
        <v>1810</v>
      </c>
      <c r="S5" s="1203" t="s">
        <v>1811</v>
      </c>
      <c r="T5" s="498" t="s">
        <v>1812</v>
      </c>
      <c r="U5" s="498" t="s">
        <v>1809</v>
      </c>
      <c r="V5" s="498" t="s">
        <v>1813</v>
      </c>
      <c r="W5" s="498" t="s">
        <v>1814</v>
      </c>
      <c r="X5" s="483"/>
      <c r="Y5" s="483"/>
      <c r="Z5" s="483"/>
      <c r="AA5" s="484"/>
      <c r="AB5" s="484"/>
      <c r="AC5" s="484"/>
      <c r="AD5" s="484"/>
      <c r="AE5" s="484"/>
      <c r="AF5" s="484"/>
      <c r="AG5" s="484"/>
      <c r="AH5" s="484"/>
      <c r="AI5" s="484"/>
      <c r="AJ5" s="484"/>
      <c r="AK5" s="484"/>
      <c r="AL5" s="484"/>
      <c r="AM5" s="484"/>
    </row>
    <row r="6" spans="1:39" s="473" customFormat="1" ht="33" customHeight="1">
      <c r="A6" s="485" t="s">
        <v>111</v>
      </c>
      <c r="B6" s="485" t="s">
        <v>239</v>
      </c>
      <c r="C6" s="485" t="s">
        <v>87</v>
      </c>
      <c r="D6" s="486" t="s">
        <v>240</v>
      </c>
      <c r="E6" s="499" t="s">
        <v>218</v>
      </c>
      <c r="F6" s="492" t="s">
        <v>241</v>
      </c>
      <c r="G6" s="492" t="s">
        <v>242</v>
      </c>
      <c r="H6" s="492" t="s">
        <v>243</v>
      </c>
      <c r="I6" s="492" t="s">
        <v>244</v>
      </c>
      <c r="J6" s="562" t="s">
        <v>245</v>
      </c>
      <c r="K6" s="492" t="s">
        <v>246</v>
      </c>
      <c r="L6" s="493" t="s">
        <v>247</v>
      </c>
      <c r="M6" s="492" t="s">
        <v>248</v>
      </c>
      <c r="N6" s="492"/>
      <c r="O6" s="492" t="s">
        <v>249</v>
      </c>
      <c r="P6" s="492" t="s">
        <v>250</v>
      </c>
      <c r="Q6" s="487"/>
      <c r="R6" s="1154"/>
      <c r="S6" s="1169"/>
      <c r="T6" s="1169"/>
      <c r="U6" s="488">
        <v>4062</v>
      </c>
      <c r="V6" s="1183">
        <v>0.02</v>
      </c>
      <c r="W6" s="488">
        <v>4062</v>
      </c>
      <c r="X6" s="487"/>
      <c r="Y6" s="487"/>
      <c r="Z6" s="487"/>
      <c r="AA6" s="481"/>
      <c r="AB6" s="481"/>
      <c r="AC6" s="481"/>
      <c r="AD6" s="481"/>
      <c r="AE6" s="481"/>
      <c r="AF6" s="481"/>
      <c r="AG6" s="484"/>
      <c r="AH6" s="484"/>
      <c r="AI6" s="484"/>
      <c r="AJ6" s="484"/>
      <c r="AK6" s="484"/>
      <c r="AL6" s="484"/>
      <c r="AM6" s="484"/>
    </row>
    <row r="7" spans="1:39" s="477" customFormat="1" ht="31.5" customHeight="1">
      <c r="A7" s="478">
        <v>1</v>
      </c>
      <c r="B7" s="1574" t="s">
        <v>1509</v>
      </c>
      <c r="C7" s="589" t="s">
        <v>515</v>
      </c>
      <c r="D7" s="1924">
        <v>41354</v>
      </c>
      <c r="E7" s="631" t="s">
        <v>359</v>
      </c>
      <c r="F7" s="494">
        <f>CUT!AL7-CUT!AE7-CUT!AJ7-CUT!AK7-CUT!AF7-W7</f>
        <v>254.68887871405695</v>
      </c>
      <c r="G7" s="495">
        <v>4062</v>
      </c>
      <c r="H7" s="488">
        <f t="shared" ref="H7:H27" si="0">F7*G7</f>
        <v>1034546.2253364994</v>
      </c>
      <c r="I7" s="480">
        <v>1</v>
      </c>
      <c r="J7" s="520">
        <v>2</v>
      </c>
      <c r="K7" s="488">
        <f t="shared" ref="K7:K27" si="1">150000*(J7+I7)</f>
        <v>450000</v>
      </c>
      <c r="L7" s="488">
        <f t="shared" ref="L7:L27" si="2">H7-K7</f>
        <v>584546.2253364994</v>
      </c>
      <c r="M7" s="489">
        <f>IF(L7&gt;=12500000,20%,IF(L7&gt;=8500001,15%,IF(L7&gt;=2000001,10%,IF(L7&gt;=1500001,5%,0%))))</f>
        <v>0</v>
      </c>
      <c r="N7" s="488">
        <f>IF(M7=5%,75000,IF(M7=10%,175000,0))</f>
        <v>0</v>
      </c>
      <c r="O7" s="490">
        <f t="shared" ref="O7:O27" si="3">L7*M7-N7</f>
        <v>0</v>
      </c>
      <c r="P7" s="491">
        <f>O7/4062</f>
        <v>0</v>
      </c>
      <c r="R7" s="1186">
        <v>30848</v>
      </c>
      <c r="S7" s="1170">
        <v>44835</v>
      </c>
      <c r="T7" s="1174">
        <f>CUT!AL7-CUT!AF7</f>
        <v>280.29477419801731</v>
      </c>
      <c r="U7" s="1177">
        <f>T7*4062</f>
        <v>1138557.3727923464</v>
      </c>
      <c r="V7" s="1181">
        <f>IF(YEARFRAC(R7,S7)&gt;=60,"0",IF(U7&lt;400000,400000*2%,IF(U7&gt;1200000,1200000*2%,U7*2%)))</f>
        <v>22771.147455846927</v>
      </c>
      <c r="W7" s="1194">
        <f>V7/4062</f>
        <v>5.6058954839603468</v>
      </c>
    </row>
    <row r="8" spans="1:39" s="477" customFormat="1" ht="31.5" customHeight="1">
      <c r="A8" s="478">
        <v>2</v>
      </c>
      <c r="B8" s="533" t="s">
        <v>2083</v>
      </c>
      <c r="C8" s="578" t="s">
        <v>2084</v>
      </c>
      <c r="D8" s="515">
        <v>41310</v>
      </c>
      <c r="E8" s="631" t="s">
        <v>359</v>
      </c>
      <c r="F8" s="494">
        <f>CUT!AL8-CUT!AE8-CUT!AJ8-CUT!AK8-CUT!AF8-W8</f>
        <v>424.89927280990798</v>
      </c>
      <c r="G8" s="495">
        <v>4062</v>
      </c>
      <c r="H8" s="488">
        <f t="shared" ref="H8" si="4">F8*G8</f>
        <v>1725940.8461538462</v>
      </c>
      <c r="I8" s="480">
        <v>1</v>
      </c>
      <c r="J8" s="520">
        <v>2</v>
      </c>
      <c r="K8" s="488">
        <f t="shared" ref="K8" si="5">150000*(J8+I8)</f>
        <v>450000</v>
      </c>
      <c r="L8" s="488">
        <f t="shared" si="2"/>
        <v>1275940.8461538462</v>
      </c>
      <c r="M8" s="489">
        <f t="shared" ref="M8:M27" si="6">IF(L8&gt;=12500000,20%,IF(L8&gt;=8500001,15%,IF(L8&gt;=2000001,10%,IF(L8&gt;=1500001,5%,0%))))</f>
        <v>0</v>
      </c>
      <c r="N8" s="488">
        <f t="shared" ref="N8:N27" si="7">IF(M8=5%,75000,IF(M8=10%,175000,0))</f>
        <v>0</v>
      </c>
      <c r="O8" s="490">
        <f t="shared" ref="O8" si="8">L8*M8-N8</f>
        <v>0</v>
      </c>
      <c r="P8" s="491">
        <f t="shared" ref="P8:P27" si="9">O8/4062</f>
        <v>0</v>
      </c>
      <c r="R8" s="1172">
        <v>29353</v>
      </c>
      <c r="S8" s="1170">
        <v>44836</v>
      </c>
      <c r="T8" s="1174">
        <f>CUT!AL8-CUT!AF8</f>
        <v>450.80769230769232</v>
      </c>
      <c r="U8" s="1177">
        <f t="shared" ref="U8:U27" si="10">T8*4062</f>
        <v>1831180.8461538462</v>
      </c>
      <c r="V8" s="1181">
        <f t="shared" ref="V8:V27" si="11">IF(YEARFRAC(R8,S8)&gt;=60,"0",IF(U8&lt;400000,400000*2%,IF(U8&gt;1200000,1200000*2%,U8*2%)))</f>
        <v>24000</v>
      </c>
      <c r="W8" s="1194">
        <f t="shared" ref="W8:W27" si="12">V8/4062</f>
        <v>5.9084194977843429</v>
      </c>
    </row>
    <row r="9" spans="1:39" s="477" customFormat="1" ht="31.5" customHeight="1">
      <c r="A9" s="478">
        <v>3</v>
      </c>
      <c r="B9" s="518" t="s">
        <v>320</v>
      </c>
      <c r="C9" s="578" t="s">
        <v>507</v>
      </c>
      <c r="D9" s="1474">
        <v>41308</v>
      </c>
      <c r="E9" s="631" t="s">
        <v>359</v>
      </c>
      <c r="F9" s="494">
        <f>CUT!AL9-CUT!AE9-CUT!AJ9-CUT!AK9-CUT!AF9-W9</f>
        <v>325.60730448946066</v>
      </c>
      <c r="G9" s="495">
        <v>4062</v>
      </c>
      <c r="H9" s="488">
        <f t="shared" si="0"/>
        <v>1322616.8708361892</v>
      </c>
      <c r="I9" s="480">
        <v>1</v>
      </c>
      <c r="J9" s="520">
        <v>1</v>
      </c>
      <c r="K9" s="488">
        <f t="shared" si="1"/>
        <v>300000</v>
      </c>
      <c r="L9" s="488">
        <f t="shared" si="2"/>
        <v>1022616.8708361892</v>
      </c>
      <c r="M9" s="489">
        <f t="shared" si="6"/>
        <v>0</v>
      </c>
      <c r="N9" s="488">
        <f t="shared" si="7"/>
        <v>0</v>
      </c>
      <c r="O9" s="490">
        <f t="shared" ref="O9" si="13">L9*M9-N9</f>
        <v>0</v>
      </c>
      <c r="P9" s="491">
        <f t="shared" si="9"/>
        <v>0</v>
      </c>
      <c r="R9" s="1186">
        <v>33452</v>
      </c>
      <c r="S9" s="1170">
        <v>44835</v>
      </c>
      <c r="T9" s="1174">
        <f>CUT!AL9-CUT!AF9</f>
        <v>351.515723987245</v>
      </c>
      <c r="U9" s="1177">
        <f t="shared" si="10"/>
        <v>1427856.8708361892</v>
      </c>
      <c r="V9" s="1181">
        <f t="shared" si="11"/>
        <v>24000</v>
      </c>
      <c r="W9" s="1194">
        <f t="shared" si="12"/>
        <v>5.9084194977843429</v>
      </c>
    </row>
    <row r="10" spans="1:39" s="477" customFormat="1" ht="31.5" customHeight="1">
      <c r="A10" s="478">
        <v>4</v>
      </c>
      <c r="B10" s="1570" t="s">
        <v>550</v>
      </c>
      <c r="C10" s="628" t="s">
        <v>551</v>
      </c>
      <c r="D10" s="1474">
        <v>44107</v>
      </c>
      <c r="E10" s="631" t="s">
        <v>359</v>
      </c>
      <c r="F10" s="494">
        <f>CUT!AL10-CUT!AE10-CUT!AJ10-CUT!AK10-CUT!AF10-W10</f>
        <v>321.22806583175884</v>
      </c>
      <c r="G10" s="495">
        <v>4062</v>
      </c>
      <c r="H10" s="488">
        <f t="shared" si="0"/>
        <v>1304828.4034086044</v>
      </c>
      <c r="I10" s="480">
        <v>1</v>
      </c>
      <c r="J10" s="520">
        <v>3</v>
      </c>
      <c r="K10" s="488">
        <f t="shared" si="1"/>
        <v>600000</v>
      </c>
      <c r="L10" s="488">
        <f t="shared" si="2"/>
        <v>704828.40340860444</v>
      </c>
      <c r="M10" s="489">
        <f t="shared" si="6"/>
        <v>0</v>
      </c>
      <c r="N10" s="488">
        <f t="shared" si="7"/>
        <v>0</v>
      </c>
      <c r="O10" s="490">
        <f t="shared" si="3"/>
        <v>0</v>
      </c>
      <c r="P10" s="491">
        <f t="shared" si="9"/>
        <v>0</v>
      </c>
      <c r="R10" s="1186">
        <v>29840</v>
      </c>
      <c r="S10" s="1170">
        <v>44835</v>
      </c>
      <c r="T10" s="1174">
        <f>CUT!AL10-CUT!AF10</f>
        <v>347.13648532954318</v>
      </c>
      <c r="U10" s="1177">
        <f t="shared" si="10"/>
        <v>1410068.4034086044</v>
      </c>
      <c r="V10" s="1181">
        <f t="shared" si="11"/>
        <v>24000</v>
      </c>
      <c r="W10" s="1194">
        <f t="shared" si="12"/>
        <v>5.9084194977843429</v>
      </c>
    </row>
    <row r="11" spans="1:39" s="477" customFormat="1" ht="31.5" customHeight="1">
      <c r="A11" s="478">
        <v>5</v>
      </c>
      <c r="B11" s="518" t="s">
        <v>1780</v>
      </c>
      <c r="C11" s="578" t="s">
        <v>1510</v>
      </c>
      <c r="D11" s="1474">
        <v>44638</v>
      </c>
      <c r="E11" s="631" t="s">
        <v>359</v>
      </c>
      <c r="F11" s="494">
        <f>CUT!AL11-CUT!AE11-CUT!AJ11-CUT!AK11-CUT!AF11-W11</f>
        <v>347.86561896375412</v>
      </c>
      <c r="G11" s="495">
        <v>4062</v>
      </c>
      <c r="H11" s="488">
        <f t="shared" ref="H11" si="14">F11*G11</f>
        <v>1413030.1442307692</v>
      </c>
      <c r="I11" s="480">
        <v>1</v>
      </c>
      <c r="J11" s="520">
        <v>1</v>
      </c>
      <c r="K11" s="488">
        <f t="shared" ref="K11" si="15">150000*(J11+I11)</f>
        <v>300000</v>
      </c>
      <c r="L11" s="488">
        <f t="shared" si="2"/>
        <v>1113030.1442307692</v>
      </c>
      <c r="M11" s="489">
        <f t="shared" si="6"/>
        <v>0</v>
      </c>
      <c r="N11" s="488">
        <f t="shared" si="7"/>
        <v>0</v>
      </c>
      <c r="O11" s="490">
        <f t="shared" ref="O11" si="16">L11*M11-N11</f>
        <v>0</v>
      </c>
      <c r="P11" s="491">
        <f t="shared" si="9"/>
        <v>0</v>
      </c>
      <c r="R11" s="1212">
        <v>36237</v>
      </c>
      <c r="S11" s="1170">
        <v>44835</v>
      </c>
      <c r="T11" s="1174">
        <f>CUT!AL11-CUT!AF11</f>
        <v>373.77403846153845</v>
      </c>
      <c r="U11" s="1177">
        <f t="shared" si="10"/>
        <v>1518270.1442307692</v>
      </c>
      <c r="V11" s="1181">
        <f t="shared" si="11"/>
        <v>24000</v>
      </c>
      <c r="W11" s="1194">
        <f t="shared" si="12"/>
        <v>5.9084194977843429</v>
      </c>
    </row>
    <row r="12" spans="1:39" s="477" customFormat="1" ht="31.5" customHeight="1">
      <c r="A12" s="478">
        <v>6</v>
      </c>
      <c r="B12" s="1575" t="s">
        <v>742</v>
      </c>
      <c r="C12" s="613" t="s">
        <v>2323</v>
      </c>
      <c r="D12" s="1563">
        <v>43908</v>
      </c>
      <c r="E12" s="631" t="s">
        <v>359</v>
      </c>
      <c r="F12" s="494">
        <f>CUT!AL12-CUT!AE12-CUT!AJ12-CUT!AK12-CUT!AF12-W12</f>
        <v>385.51465742529263</v>
      </c>
      <c r="G12" s="495">
        <v>4062</v>
      </c>
      <c r="H12" s="488">
        <f t="shared" si="0"/>
        <v>1565960.5384615387</v>
      </c>
      <c r="I12" s="480">
        <v>1</v>
      </c>
      <c r="J12" s="520">
        <v>5</v>
      </c>
      <c r="K12" s="488">
        <f t="shared" si="1"/>
        <v>900000</v>
      </c>
      <c r="L12" s="488">
        <f t="shared" si="2"/>
        <v>665960.53846153873</v>
      </c>
      <c r="M12" s="489">
        <f t="shared" si="6"/>
        <v>0</v>
      </c>
      <c r="N12" s="488">
        <f t="shared" si="7"/>
        <v>0</v>
      </c>
      <c r="O12" s="490">
        <f t="shared" si="3"/>
        <v>0</v>
      </c>
      <c r="P12" s="491">
        <f t="shared" si="9"/>
        <v>0</v>
      </c>
      <c r="R12" s="1212">
        <v>27061</v>
      </c>
      <c r="S12" s="1170">
        <v>44835</v>
      </c>
      <c r="T12" s="1174">
        <f>CUT!AL12-CUT!AF12</f>
        <v>411.42307692307696</v>
      </c>
      <c r="U12" s="1177">
        <f t="shared" si="10"/>
        <v>1671200.5384615387</v>
      </c>
      <c r="V12" s="1181">
        <f t="shared" si="11"/>
        <v>24000</v>
      </c>
      <c r="W12" s="1194">
        <f t="shared" si="12"/>
        <v>5.9084194977843429</v>
      </c>
    </row>
    <row r="13" spans="1:39" s="477" customFormat="1" ht="31.5" customHeight="1">
      <c r="A13" s="478">
        <v>7</v>
      </c>
      <c r="B13" s="518" t="s">
        <v>321</v>
      </c>
      <c r="C13" s="578" t="s">
        <v>322</v>
      </c>
      <c r="D13" s="1474">
        <v>41807</v>
      </c>
      <c r="E13" s="631" t="s">
        <v>359</v>
      </c>
      <c r="F13" s="494">
        <f>CUT!AL13-CUT!AE13-CUT!AJ13-CUT!AK13-CUT!AF13-W13</f>
        <v>366.68836614297948</v>
      </c>
      <c r="G13" s="495">
        <v>4062</v>
      </c>
      <c r="H13" s="488">
        <f t="shared" si="0"/>
        <v>1489488.1432727827</v>
      </c>
      <c r="I13" s="480">
        <v>1</v>
      </c>
      <c r="J13" s="520">
        <v>3</v>
      </c>
      <c r="K13" s="488">
        <f t="shared" si="1"/>
        <v>600000</v>
      </c>
      <c r="L13" s="488">
        <f t="shared" si="2"/>
        <v>889488.14327278268</v>
      </c>
      <c r="M13" s="489">
        <f t="shared" si="6"/>
        <v>0</v>
      </c>
      <c r="N13" s="488">
        <f t="shared" si="7"/>
        <v>0</v>
      </c>
      <c r="O13" s="490">
        <f t="shared" si="3"/>
        <v>0</v>
      </c>
      <c r="P13" s="491">
        <f t="shared" si="9"/>
        <v>0</v>
      </c>
      <c r="R13" s="1186">
        <v>30141</v>
      </c>
      <c r="S13" s="1170">
        <v>44835</v>
      </c>
      <c r="T13" s="1174">
        <f>CUT!AL13-CUT!AF13</f>
        <v>392.59678564076381</v>
      </c>
      <c r="U13" s="1177">
        <f t="shared" si="10"/>
        <v>1594728.1432727827</v>
      </c>
      <c r="V13" s="1181">
        <f t="shared" si="11"/>
        <v>24000</v>
      </c>
      <c r="W13" s="1194">
        <f t="shared" si="12"/>
        <v>5.9084194977843429</v>
      </c>
    </row>
    <row r="14" spans="1:39" s="477" customFormat="1" ht="31.5" customHeight="1">
      <c r="A14" s="478">
        <v>8</v>
      </c>
      <c r="B14" s="518" t="s">
        <v>323</v>
      </c>
      <c r="C14" s="581" t="s">
        <v>324</v>
      </c>
      <c r="D14" s="1474">
        <v>42258</v>
      </c>
      <c r="E14" s="631" t="s">
        <v>359</v>
      </c>
      <c r="F14" s="494">
        <f>CUT!AL14-CUT!AE14-CUT!AJ14-CUT!AK14-CUT!AF14-W14</f>
        <v>327.14927280990793</v>
      </c>
      <c r="G14" s="495">
        <v>4062</v>
      </c>
      <c r="H14" s="488">
        <f t="shared" si="0"/>
        <v>1328880.346153846</v>
      </c>
      <c r="I14" s="480">
        <v>1</v>
      </c>
      <c r="J14" s="520">
        <v>2</v>
      </c>
      <c r="K14" s="488">
        <f t="shared" si="1"/>
        <v>450000</v>
      </c>
      <c r="L14" s="488">
        <f t="shared" si="2"/>
        <v>878880.34615384601</v>
      </c>
      <c r="M14" s="489">
        <f t="shared" si="6"/>
        <v>0</v>
      </c>
      <c r="N14" s="488">
        <f t="shared" si="7"/>
        <v>0</v>
      </c>
      <c r="O14" s="490">
        <f t="shared" si="3"/>
        <v>0</v>
      </c>
      <c r="P14" s="491">
        <f t="shared" si="9"/>
        <v>0</v>
      </c>
      <c r="R14" s="1186">
        <v>32232</v>
      </c>
      <c r="S14" s="1170">
        <v>44835</v>
      </c>
      <c r="T14" s="1174">
        <f>CUT!AL14-CUT!AF14</f>
        <v>353.05769230769226</v>
      </c>
      <c r="U14" s="1177">
        <f t="shared" si="10"/>
        <v>1434120.346153846</v>
      </c>
      <c r="V14" s="1181">
        <f t="shared" si="11"/>
        <v>24000</v>
      </c>
      <c r="W14" s="1194">
        <f t="shared" si="12"/>
        <v>5.9084194977843429</v>
      </c>
    </row>
    <row r="15" spans="1:39" s="477" customFormat="1" ht="31.5" customHeight="1">
      <c r="A15" s="478">
        <v>9</v>
      </c>
      <c r="B15" s="518" t="s">
        <v>325</v>
      </c>
      <c r="C15" s="581" t="s">
        <v>326</v>
      </c>
      <c r="D15" s="1474">
        <v>42499</v>
      </c>
      <c r="E15" s="631" t="s">
        <v>359</v>
      </c>
      <c r="F15" s="494">
        <f>CUT!AL15-CUT!AE15-CUT!AJ15-CUT!AK15-CUT!AF15-W15</f>
        <v>290.12734096880689</v>
      </c>
      <c r="G15" s="495">
        <v>4062</v>
      </c>
      <c r="H15" s="488">
        <f t="shared" si="0"/>
        <v>1178497.2590152936</v>
      </c>
      <c r="I15" s="480">
        <v>1</v>
      </c>
      <c r="J15" s="520">
        <v>1</v>
      </c>
      <c r="K15" s="488">
        <f t="shared" si="1"/>
        <v>300000</v>
      </c>
      <c r="L15" s="488">
        <f t="shared" si="2"/>
        <v>878497.25901529356</v>
      </c>
      <c r="M15" s="489">
        <f t="shared" si="6"/>
        <v>0</v>
      </c>
      <c r="N15" s="488">
        <f t="shared" si="7"/>
        <v>0</v>
      </c>
      <c r="O15" s="490">
        <f t="shared" si="3"/>
        <v>0</v>
      </c>
      <c r="P15" s="491">
        <f t="shared" si="9"/>
        <v>0</v>
      </c>
      <c r="R15" s="1186">
        <v>35012</v>
      </c>
      <c r="S15" s="1170">
        <v>44835</v>
      </c>
      <c r="T15" s="1174">
        <f>CUT!AL15-CUT!AF15</f>
        <v>316.03576046659123</v>
      </c>
      <c r="U15" s="1177">
        <f t="shared" si="10"/>
        <v>1283737.2590152936</v>
      </c>
      <c r="V15" s="1181">
        <f t="shared" si="11"/>
        <v>24000</v>
      </c>
      <c r="W15" s="1194">
        <f t="shared" si="12"/>
        <v>5.9084194977843429</v>
      </c>
    </row>
    <row r="16" spans="1:39" s="477" customFormat="1" ht="31.5" customHeight="1">
      <c r="A16" s="478">
        <v>10</v>
      </c>
      <c r="B16" s="518" t="s">
        <v>327</v>
      </c>
      <c r="C16" s="581" t="s">
        <v>328</v>
      </c>
      <c r="D16" s="1474">
        <v>42553</v>
      </c>
      <c r="E16" s="631" t="s">
        <v>359</v>
      </c>
      <c r="F16" s="494">
        <f>CUT!AL16-CUT!AE16-CUT!AJ16-CUT!AK16-CUT!AF16-W16</f>
        <v>383.1829266560618</v>
      </c>
      <c r="G16" s="495">
        <v>4062</v>
      </c>
      <c r="H16" s="488">
        <f t="shared" si="0"/>
        <v>1556489.048076923</v>
      </c>
      <c r="I16" s="480">
        <v>1</v>
      </c>
      <c r="J16" s="520">
        <v>1</v>
      </c>
      <c r="K16" s="488">
        <f t="shared" si="1"/>
        <v>300000</v>
      </c>
      <c r="L16" s="488">
        <f t="shared" si="2"/>
        <v>1256489.048076923</v>
      </c>
      <c r="M16" s="489">
        <f t="shared" si="6"/>
        <v>0</v>
      </c>
      <c r="N16" s="488">
        <f t="shared" si="7"/>
        <v>0</v>
      </c>
      <c r="O16" s="490">
        <f t="shared" si="3"/>
        <v>0</v>
      </c>
      <c r="P16" s="491">
        <f t="shared" si="9"/>
        <v>0</v>
      </c>
      <c r="R16" s="1186">
        <v>32552</v>
      </c>
      <c r="S16" s="1170">
        <v>44835</v>
      </c>
      <c r="T16" s="1174">
        <f>CUT!AL16-CUT!AF16</f>
        <v>409.09134615384613</v>
      </c>
      <c r="U16" s="1177">
        <f t="shared" si="10"/>
        <v>1661729.048076923</v>
      </c>
      <c r="V16" s="1181">
        <f t="shared" si="11"/>
        <v>24000</v>
      </c>
      <c r="W16" s="1194">
        <f t="shared" si="12"/>
        <v>5.9084194977843429</v>
      </c>
    </row>
    <row r="17" spans="1:23" s="477" customFormat="1" ht="31.5" customHeight="1">
      <c r="A17" s="478">
        <v>11</v>
      </c>
      <c r="B17" s="518" t="s">
        <v>329</v>
      </c>
      <c r="C17" s="581" t="s">
        <v>330</v>
      </c>
      <c r="D17" s="1474">
        <v>42705</v>
      </c>
      <c r="E17" s="631" t="s">
        <v>359</v>
      </c>
      <c r="F17" s="494">
        <f>CUT!AL17-CUT!AE17-CUT!AJ17-CUT!AK17-CUT!AF17-W17</f>
        <v>342.97619588683102</v>
      </c>
      <c r="G17" s="495">
        <v>4062</v>
      </c>
      <c r="H17" s="488">
        <f t="shared" si="0"/>
        <v>1393169.3076923075</v>
      </c>
      <c r="I17" s="480">
        <v>1</v>
      </c>
      <c r="J17" s="520">
        <v>2</v>
      </c>
      <c r="K17" s="488">
        <f t="shared" si="1"/>
        <v>450000</v>
      </c>
      <c r="L17" s="488">
        <f t="shared" si="2"/>
        <v>943169.30769230751</v>
      </c>
      <c r="M17" s="489">
        <f t="shared" si="6"/>
        <v>0</v>
      </c>
      <c r="N17" s="488">
        <f t="shared" si="7"/>
        <v>0</v>
      </c>
      <c r="O17" s="490">
        <f t="shared" si="3"/>
        <v>0</v>
      </c>
      <c r="P17" s="491">
        <f t="shared" si="9"/>
        <v>0</v>
      </c>
      <c r="R17" s="1186">
        <v>32643</v>
      </c>
      <c r="S17" s="1170">
        <v>44835</v>
      </c>
      <c r="T17" s="1174">
        <f>CUT!AL17-CUT!AF17</f>
        <v>368.88461538461536</v>
      </c>
      <c r="U17" s="1177">
        <f t="shared" si="10"/>
        <v>1498409.3076923075</v>
      </c>
      <c r="V17" s="1181">
        <f t="shared" si="11"/>
        <v>24000</v>
      </c>
      <c r="W17" s="1194">
        <f t="shared" si="12"/>
        <v>5.9084194977843429</v>
      </c>
    </row>
    <row r="18" spans="1:23" s="477" customFormat="1" ht="31.5" customHeight="1">
      <c r="A18" s="478">
        <v>12</v>
      </c>
      <c r="B18" s="572" t="s">
        <v>455</v>
      </c>
      <c r="C18" s="578" t="s">
        <v>456</v>
      </c>
      <c r="D18" s="1474">
        <v>43528</v>
      </c>
      <c r="E18" s="631" t="s">
        <v>359</v>
      </c>
      <c r="F18" s="494">
        <f>CUT!AL18-CUT!AE18-CUT!AJ18-CUT!AK18-CUT!AF18-W18</f>
        <v>176.98743692442918</v>
      </c>
      <c r="G18" s="495">
        <v>4062</v>
      </c>
      <c r="H18" s="488">
        <f t="shared" si="0"/>
        <v>718922.96878703136</v>
      </c>
      <c r="I18" s="480">
        <v>0</v>
      </c>
      <c r="J18" s="520">
        <v>0</v>
      </c>
      <c r="K18" s="488">
        <f t="shared" si="1"/>
        <v>0</v>
      </c>
      <c r="L18" s="488">
        <f t="shared" si="2"/>
        <v>718922.96878703136</v>
      </c>
      <c r="M18" s="489">
        <f t="shared" si="6"/>
        <v>0</v>
      </c>
      <c r="N18" s="488">
        <f t="shared" si="7"/>
        <v>0</v>
      </c>
      <c r="O18" s="490">
        <f t="shared" si="3"/>
        <v>0</v>
      </c>
      <c r="P18" s="491">
        <f t="shared" si="9"/>
        <v>0</v>
      </c>
      <c r="R18" s="1186">
        <v>35471</v>
      </c>
      <c r="S18" s="1170">
        <v>44835</v>
      </c>
      <c r="T18" s="1174">
        <f>CUT!AL18-CUT!AF18</f>
        <v>201.00758869839711</v>
      </c>
      <c r="U18" s="1177">
        <f t="shared" si="10"/>
        <v>816492.82529288903</v>
      </c>
      <c r="V18" s="1181">
        <f t="shared" si="11"/>
        <v>16329.856505857781</v>
      </c>
      <c r="W18" s="1194">
        <f t="shared" si="12"/>
        <v>4.0201517739679424</v>
      </c>
    </row>
    <row r="19" spans="1:23" s="477" customFormat="1" ht="31.5" customHeight="1">
      <c r="A19" s="478">
        <v>13</v>
      </c>
      <c r="B19" s="591" t="s">
        <v>559</v>
      </c>
      <c r="C19" s="584" t="s">
        <v>450</v>
      </c>
      <c r="D19" s="1563">
        <v>43417</v>
      </c>
      <c r="E19" s="631" t="s">
        <v>359</v>
      </c>
      <c r="F19" s="494">
        <f>CUT!AL19-CUT!AE19-CUT!AJ19-CUT!AK19-CUT!AF19-W19</f>
        <v>370.57499214961189</v>
      </c>
      <c r="G19" s="495">
        <v>4062</v>
      </c>
      <c r="H19" s="488">
        <f t="shared" si="0"/>
        <v>1505275.6181117236</v>
      </c>
      <c r="I19" s="480">
        <v>1</v>
      </c>
      <c r="J19" s="520">
        <v>3</v>
      </c>
      <c r="K19" s="488">
        <f t="shared" si="1"/>
        <v>600000</v>
      </c>
      <c r="L19" s="488">
        <f t="shared" si="2"/>
        <v>905275.61811172357</v>
      </c>
      <c r="M19" s="489">
        <f t="shared" si="6"/>
        <v>0</v>
      </c>
      <c r="N19" s="488">
        <f t="shared" si="7"/>
        <v>0</v>
      </c>
      <c r="O19" s="490">
        <f t="shared" si="3"/>
        <v>0</v>
      </c>
      <c r="P19" s="491">
        <f t="shared" si="9"/>
        <v>0</v>
      </c>
      <c r="R19" s="1186">
        <v>34548</v>
      </c>
      <c r="S19" s="1170">
        <v>44835</v>
      </c>
      <c r="T19" s="1174">
        <f>CUT!AL19-CUT!AF19</f>
        <v>396.48341164739622</v>
      </c>
      <c r="U19" s="1177">
        <f t="shared" si="10"/>
        <v>1610515.6181117236</v>
      </c>
      <c r="V19" s="1181">
        <f t="shared" si="11"/>
        <v>24000</v>
      </c>
      <c r="W19" s="1194">
        <f t="shared" si="12"/>
        <v>5.9084194977843429</v>
      </c>
    </row>
    <row r="20" spans="1:23" s="477" customFormat="1" ht="31.5" customHeight="1">
      <c r="A20" s="478">
        <v>14</v>
      </c>
      <c r="B20" s="646" t="s">
        <v>711</v>
      </c>
      <c r="C20" s="613" t="s">
        <v>712</v>
      </c>
      <c r="D20" s="1563">
        <v>44125</v>
      </c>
      <c r="E20" s="631" t="s">
        <v>359</v>
      </c>
      <c r="F20" s="494">
        <f>CUT!AL20-CUT!AE20-CUT!AJ20-CUT!AK20-CUT!AF20-W20</f>
        <v>380.21166615486396</v>
      </c>
      <c r="G20" s="495">
        <v>4062</v>
      </c>
      <c r="H20" s="488">
        <f t="shared" si="0"/>
        <v>1544419.7879210573</v>
      </c>
      <c r="I20" s="480">
        <v>1</v>
      </c>
      <c r="J20" s="520">
        <v>1</v>
      </c>
      <c r="K20" s="488">
        <f t="shared" si="1"/>
        <v>300000</v>
      </c>
      <c r="L20" s="488">
        <f t="shared" si="2"/>
        <v>1244419.7879210573</v>
      </c>
      <c r="M20" s="489">
        <f t="shared" si="6"/>
        <v>0</v>
      </c>
      <c r="N20" s="488">
        <f t="shared" si="7"/>
        <v>0</v>
      </c>
      <c r="O20" s="490">
        <f t="shared" si="3"/>
        <v>0</v>
      </c>
      <c r="P20" s="491">
        <f t="shared" si="9"/>
        <v>0</v>
      </c>
      <c r="R20" s="1186">
        <v>33539</v>
      </c>
      <c r="S20" s="1170">
        <v>44835</v>
      </c>
      <c r="T20" s="1174">
        <f>CUT!AL20-CUT!AF20</f>
        <v>406.1200856526483</v>
      </c>
      <c r="U20" s="1177">
        <f t="shared" si="10"/>
        <v>1649659.7879210573</v>
      </c>
      <c r="V20" s="1181">
        <f t="shared" si="11"/>
        <v>24000</v>
      </c>
      <c r="W20" s="1194">
        <f t="shared" si="12"/>
        <v>5.9084194977843429</v>
      </c>
    </row>
    <row r="21" spans="1:23" s="477" customFormat="1" ht="31.5" customHeight="1">
      <c r="A21" s="478">
        <v>15</v>
      </c>
      <c r="B21" s="646" t="s">
        <v>739</v>
      </c>
      <c r="C21" s="613" t="s">
        <v>740</v>
      </c>
      <c r="D21" s="1563">
        <v>44202</v>
      </c>
      <c r="E21" s="631" t="s">
        <v>359</v>
      </c>
      <c r="F21" s="494">
        <f>CUT!AL21-CUT!AE21-CUT!AJ21-CUT!AK21-CUT!AF21-W21</f>
        <v>387.6110867667208</v>
      </c>
      <c r="G21" s="495">
        <v>4062</v>
      </c>
      <c r="H21" s="488">
        <f t="shared" si="0"/>
        <v>1574476.2344464199</v>
      </c>
      <c r="I21" s="480">
        <v>1</v>
      </c>
      <c r="J21" s="520">
        <v>2</v>
      </c>
      <c r="K21" s="488">
        <f t="shared" si="1"/>
        <v>450000</v>
      </c>
      <c r="L21" s="488">
        <f t="shared" si="2"/>
        <v>1124476.2344464199</v>
      </c>
      <c r="M21" s="489">
        <f t="shared" si="6"/>
        <v>0</v>
      </c>
      <c r="N21" s="488">
        <f t="shared" si="7"/>
        <v>0</v>
      </c>
      <c r="O21" s="490">
        <f t="shared" si="3"/>
        <v>0</v>
      </c>
      <c r="P21" s="491">
        <f t="shared" si="9"/>
        <v>0</v>
      </c>
      <c r="R21" s="1186">
        <v>27488</v>
      </c>
      <c r="S21" s="1170">
        <v>44835</v>
      </c>
      <c r="T21" s="1174">
        <f>CUT!AL21-CUT!AF21</f>
        <v>413.51950626450514</v>
      </c>
      <c r="U21" s="1177">
        <f t="shared" si="10"/>
        <v>1679716.2344464199</v>
      </c>
      <c r="V21" s="1181">
        <f t="shared" si="11"/>
        <v>24000</v>
      </c>
      <c r="W21" s="1194">
        <f t="shared" si="12"/>
        <v>5.9084194977843429</v>
      </c>
    </row>
    <row r="22" spans="1:23" s="477" customFormat="1" ht="31.5" customHeight="1">
      <c r="A22" s="478">
        <v>16</v>
      </c>
      <c r="B22" s="572" t="s">
        <v>1263</v>
      </c>
      <c r="C22" s="578" t="s">
        <v>1015</v>
      </c>
      <c r="D22" s="1474">
        <v>44538</v>
      </c>
      <c r="E22" s="631" t="s">
        <v>359</v>
      </c>
      <c r="F22" s="494">
        <f>CUT!AL22-CUT!AE22-CUT!AJ22-CUT!AK22-CUT!AF22-W22</f>
        <v>364.71658050221566</v>
      </c>
      <c r="G22" s="495">
        <v>4062</v>
      </c>
      <c r="H22" s="488">
        <f t="shared" si="0"/>
        <v>1481478.75</v>
      </c>
      <c r="I22" s="480">
        <v>1</v>
      </c>
      <c r="J22" s="520">
        <v>2</v>
      </c>
      <c r="K22" s="488">
        <f t="shared" si="1"/>
        <v>450000</v>
      </c>
      <c r="L22" s="488">
        <f t="shared" si="2"/>
        <v>1031478.75</v>
      </c>
      <c r="M22" s="489">
        <f t="shared" si="6"/>
        <v>0</v>
      </c>
      <c r="N22" s="488">
        <f t="shared" si="7"/>
        <v>0</v>
      </c>
      <c r="O22" s="490">
        <f t="shared" si="3"/>
        <v>0</v>
      </c>
      <c r="P22" s="491">
        <f t="shared" si="9"/>
        <v>0</v>
      </c>
      <c r="R22" s="1212">
        <v>30043</v>
      </c>
      <c r="S22" s="1170">
        <v>44835</v>
      </c>
      <c r="T22" s="1174">
        <f>CUT!AL22-CUT!AF22</f>
        <v>390.625</v>
      </c>
      <c r="U22" s="1177">
        <f t="shared" si="10"/>
        <v>1586718.75</v>
      </c>
      <c r="V22" s="1181">
        <f t="shared" si="11"/>
        <v>24000</v>
      </c>
      <c r="W22" s="1194">
        <f t="shared" si="12"/>
        <v>5.9084194977843429</v>
      </c>
    </row>
    <row r="23" spans="1:23" s="477" customFormat="1" ht="31.5" customHeight="1">
      <c r="A23" s="478">
        <v>17</v>
      </c>
      <c r="B23" s="572" t="s">
        <v>1264</v>
      </c>
      <c r="C23" s="578" t="s">
        <v>1016</v>
      </c>
      <c r="D23" s="1474">
        <v>44539</v>
      </c>
      <c r="E23" s="631" t="s">
        <v>359</v>
      </c>
      <c r="F23" s="494">
        <f>CUT!AL23-CUT!AE23-CUT!AJ23-CUT!AK23-CUT!AF23-W23</f>
        <v>368.6588881945234</v>
      </c>
      <c r="G23" s="495">
        <v>4062</v>
      </c>
      <c r="H23" s="488">
        <f t="shared" ref="H23:H24" si="17">F23*G23</f>
        <v>1497492.403846154</v>
      </c>
      <c r="I23" s="480">
        <v>1</v>
      </c>
      <c r="J23" s="520">
        <v>3</v>
      </c>
      <c r="K23" s="488">
        <f t="shared" ref="K23:K24" si="18">150000*(J23+I23)</f>
        <v>600000</v>
      </c>
      <c r="L23" s="488">
        <f t="shared" si="2"/>
        <v>897492.40384615399</v>
      </c>
      <c r="M23" s="489">
        <f t="shared" si="6"/>
        <v>0</v>
      </c>
      <c r="N23" s="488">
        <f t="shared" si="7"/>
        <v>0</v>
      </c>
      <c r="O23" s="490">
        <f t="shared" ref="O23:O24" si="19">L23*M23-N23</f>
        <v>0</v>
      </c>
      <c r="P23" s="491">
        <f t="shared" si="9"/>
        <v>0</v>
      </c>
      <c r="R23" s="1212">
        <v>32357</v>
      </c>
      <c r="S23" s="1170">
        <v>44835</v>
      </c>
      <c r="T23" s="1174">
        <f>CUT!AL23-CUT!AF23</f>
        <v>394.56730769230774</v>
      </c>
      <c r="U23" s="1177">
        <f t="shared" si="10"/>
        <v>1602732.403846154</v>
      </c>
      <c r="V23" s="1181">
        <f t="shared" si="11"/>
        <v>24000</v>
      </c>
      <c r="W23" s="1194">
        <f t="shared" si="12"/>
        <v>5.9084194977843429</v>
      </c>
    </row>
    <row r="24" spans="1:23" s="477" customFormat="1" ht="31.5" customHeight="1">
      <c r="A24" s="478">
        <v>18</v>
      </c>
      <c r="B24" s="572" t="s">
        <v>1944</v>
      </c>
      <c r="C24" s="966" t="s">
        <v>1945</v>
      </c>
      <c r="D24" s="1474">
        <v>45082</v>
      </c>
      <c r="E24" s="631" t="s">
        <v>359</v>
      </c>
      <c r="F24" s="494">
        <f>CUT!AL24-CUT!AE24-CUT!AJ24-CUT!AK24-CUT!AF24-W24</f>
        <v>257.56273434836947</v>
      </c>
      <c r="G24" s="495">
        <v>4062</v>
      </c>
      <c r="H24" s="488">
        <f t="shared" si="17"/>
        <v>1046219.8269230768</v>
      </c>
      <c r="I24" s="480">
        <v>1</v>
      </c>
      <c r="J24" s="520">
        <v>2</v>
      </c>
      <c r="K24" s="488">
        <f t="shared" si="18"/>
        <v>450000</v>
      </c>
      <c r="L24" s="488">
        <f t="shared" si="2"/>
        <v>596219.82692307676</v>
      </c>
      <c r="M24" s="489">
        <f t="shared" si="6"/>
        <v>0</v>
      </c>
      <c r="N24" s="488">
        <f t="shared" si="7"/>
        <v>0</v>
      </c>
      <c r="O24" s="490">
        <f t="shared" si="19"/>
        <v>0</v>
      </c>
      <c r="P24" s="491">
        <f t="shared" si="9"/>
        <v>0</v>
      </c>
      <c r="R24" s="1558">
        <v>37001</v>
      </c>
      <c r="S24" s="1179">
        <v>44835</v>
      </c>
      <c r="T24" s="1174">
        <f>CUT!AL24-CUT!AF24</f>
        <v>324.19465384615381</v>
      </c>
      <c r="U24" s="1177">
        <f t="shared" si="10"/>
        <v>1316878.6839230768</v>
      </c>
      <c r="V24" s="1181">
        <f t="shared" si="11"/>
        <v>24000</v>
      </c>
      <c r="W24" s="1194">
        <f t="shared" si="12"/>
        <v>5.9084194977843429</v>
      </c>
    </row>
    <row r="25" spans="1:23" s="477" customFormat="1" ht="31.5" customHeight="1">
      <c r="A25" s="478">
        <v>19</v>
      </c>
      <c r="B25" s="572" t="s">
        <v>2207</v>
      </c>
      <c r="C25" s="1417" t="s">
        <v>2208</v>
      </c>
      <c r="D25" s="1757">
        <v>45460</v>
      </c>
      <c r="E25" s="1151" t="s">
        <v>359</v>
      </c>
      <c r="F25" s="494">
        <f>CUT!AL25-CUT!AE25-CUT!AJ25-CUT!AK25-CUT!AF25-W25</f>
        <v>373.93773434836953</v>
      </c>
      <c r="G25" s="495">
        <v>4062</v>
      </c>
      <c r="H25" s="488">
        <f t="shared" ref="H25" si="20">F25*G25</f>
        <v>1518935.076923077</v>
      </c>
      <c r="I25" s="480">
        <v>0</v>
      </c>
      <c r="J25" s="520">
        <v>0</v>
      </c>
      <c r="K25" s="488">
        <f t="shared" ref="K25" si="21">150000*(J25+I25)</f>
        <v>0</v>
      </c>
      <c r="L25" s="488">
        <f t="shared" si="2"/>
        <v>1518935.076923077</v>
      </c>
      <c r="M25" s="489">
        <f t="shared" si="6"/>
        <v>0.05</v>
      </c>
      <c r="N25" s="488">
        <f t="shared" si="7"/>
        <v>75000</v>
      </c>
      <c r="O25" s="490">
        <f t="shared" ref="O25" si="22">L25*M25-N25</f>
        <v>946.75384615384974</v>
      </c>
      <c r="P25" s="491">
        <f t="shared" si="9"/>
        <v>0.23307578684240515</v>
      </c>
      <c r="R25" s="1757">
        <v>37413</v>
      </c>
      <c r="S25" s="1179">
        <v>44835</v>
      </c>
      <c r="T25" s="1174">
        <f>CUT!AL25-CUT!AF25</f>
        <v>448.79265384615388</v>
      </c>
      <c r="U25" s="1177">
        <f t="shared" si="10"/>
        <v>1822995.759923077</v>
      </c>
      <c r="V25" s="1181">
        <f t="shared" si="11"/>
        <v>24000</v>
      </c>
      <c r="W25" s="1194">
        <f t="shared" si="12"/>
        <v>5.9084194977843429</v>
      </c>
    </row>
    <row r="26" spans="1:23" s="477" customFormat="1" ht="31.5" customHeight="1">
      <c r="A26" s="478">
        <v>20</v>
      </c>
      <c r="B26" s="1810" t="s">
        <v>2318</v>
      </c>
      <c r="C26" s="1384" t="s">
        <v>2319</v>
      </c>
      <c r="D26" s="1757">
        <v>45530</v>
      </c>
      <c r="E26" s="1151" t="s">
        <v>359</v>
      </c>
      <c r="F26" s="494">
        <f>CUT!AL26-CUT!AE26-CUT!AJ26-CUT!AK26-CUT!AF26-W26</f>
        <v>373.93773434836953</v>
      </c>
      <c r="G26" s="495">
        <v>4062</v>
      </c>
      <c r="H26" s="488">
        <f t="shared" ref="H26" si="23">F26*G26</f>
        <v>1518935.076923077</v>
      </c>
      <c r="I26" s="480">
        <v>1</v>
      </c>
      <c r="J26" s="520">
        <v>1</v>
      </c>
      <c r="K26" s="488">
        <f t="shared" ref="K26" si="24">150000*(J26+I26)</f>
        <v>300000</v>
      </c>
      <c r="L26" s="488">
        <f t="shared" si="2"/>
        <v>1218935.076923077</v>
      </c>
      <c r="M26" s="489">
        <f t="shared" si="6"/>
        <v>0</v>
      </c>
      <c r="N26" s="488">
        <f t="shared" si="7"/>
        <v>0</v>
      </c>
      <c r="O26" s="490">
        <f t="shared" ref="O26" si="25">L26*M26-N26</f>
        <v>0</v>
      </c>
      <c r="P26" s="491">
        <f t="shared" si="9"/>
        <v>0</v>
      </c>
      <c r="R26" s="1757">
        <v>36573</v>
      </c>
      <c r="S26" s="1179">
        <v>44835</v>
      </c>
      <c r="T26" s="1174">
        <f>CUT!AL26-CUT!AF26</f>
        <v>399.84615384615387</v>
      </c>
      <c r="U26" s="1177">
        <f t="shared" si="10"/>
        <v>1624175.076923077</v>
      </c>
      <c r="V26" s="1181">
        <f t="shared" si="11"/>
        <v>24000</v>
      </c>
      <c r="W26" s="1194">
        <f t="shared" si="12"/>
        <v>5.9084194977843429</v>
      </c>
    </row>
    <row r="27" spans="1:23" s="477" customFormat="1" ht="31.5" customHeight="1">
      <c r="A27" s="478">
        <v>21</v>
      </c>
      <c r="B27" s="688" t="s">
        <v>2190</v>
      </c>
      <c r="C27" s="625" t="s">
        <v>917</v>
      </c>
      <c r="D27" s="1473">
        <v>44378</v>
      </c>
      <c r="E27" s="614" t="s">
        <v>1113</v>
      </c>
      <c r="F27" s="494">
        <f>CUT!AL27-CUT!AE27-CUT!AJ27-CUT!AK27-CUT!AF27-W27</f>
        <v>562.85330186676845</v>
      </c>
      <c r="G27" s="495">
        <v>4062</v>
      </c>
      <c r="H27" s="488">
        <f t="shared" si="0"/>
        <v>2286310.1121828132</v>
      </c>
      <c r="I27" s="480">
        <v>0</v>
      </c>
      <c r="J27" s="520">
        <v>0</v>
      </c>
      <c r="K27" s="488">
        <f t="shared" si="1"/>
        <v>0</v>
      </c>
      <c r="L27" s="488">
        <f t="shared" si="2"/>
        <v>2286310.1121828132</v>
      </c>
      <c r="M27" s="489">
        <f t="shared" si="6"/>
        <v>0.1</v>
      </c>
      <c r="N27" s="488">
        <f t="shared" si="7"/>
        <v>175000</v>
      </c>
      <c r="O27" s="490">
        <f t="shared" si="3"/>
        <v>53631.011218281346</v>
      </c>
      <c r="P27" s="491">
        <f t="shared" si="9"/>
        <v>13.203104681999347</v>
      </c>
      <c r="R27" s="1186">
        <v>34821</v>
      </c>
      <c r="S27" s="1170">
        <v>44835</v>
      </c>
      <c r="T27" s="1174">
        <f>CUT!AL27-CUT!AF27</f>
        <v>588.76172136455284</v>
      </c>
      <c r="U27" s="1177">
        <f t="shared" si="10"/>
        <v>2391550.1121828137</v>
      </c>
      <c r="V27" s="1181">
        <f t="shared" si="11"/>
        <v>24000</v>
      </c>
      <c r="W27" s="1194">
        <f t="shared" si="12"/>
        <v>5.9084194977843429</v>
      </c>
    </row>
    <row r="28" spans="1:23" ht="38.25" customHeight="1">
      <c r="A28" s="1338"/>
      <c r="B28" s="1341"/>
      <c r="C28" s="1341"/>
      <c r="D28" s="1341"/>
      <c r="E28" s="1341"/>
      <c r="F28" s="1342">
        <f>SUM(F7:F27)</f>
        <v>7386.9800563030603</v>
      </c>
      <c r="G28" s="1341"/>
      <c r="H28" s="1341"/>
      <c r="I28" s="1341"/>
      <c r="J28" s="1341"/>
      <c r="K28" s="1341"/>
      <c r="L28" s="2129" t="s">
        <v>251</v>
      </c>
      <c r="M28" s="2130"/>
      <c r="N28" s="2131"/>
      <c r="O28" s="496">
        <f>SUM(O7:O27)</f>
        <v>54577.765064435196</v>
      </c>
      <c r="P28" s="491">
        <f>SUM(P7:P27)</f>
        <v>13.436180468841753</v>
      </c>
      <c r="R28" s="1193"/>
      <c r="S28" s="2174" t="s">
        <v>251</v>
      </c>
      <c r="T28" s="2175"/>
      <c r="U28" s="2176"/>
      <c r="V28" s="1201">
        <f>SUM(V7:V27)</f>
        <v>495101.00396170467</v>
      </c>
      <c r="W28" s="1204">
        <f>SUM(W7:W27)</f>
        <v>121.88601771583075</v>
      </c>
    </row>
  </sheetData>
  <mergeCells count="9">
    <mergeCell ref="S28:U28"/>
    <mergeCell ref="R1:W1"/>
    <mergeCell ref="R2:W2"/>
    <mergeCell ref="R3:W3"/>
    <mergeCell ref="A1:P1"/>
    <mergeCell ref="A2:P2"/>
    <mergeCell ref="A3:P3"/>
    <mergeCell ref="A4:E4"/>
    <mergeCell ref="L28:N28"/>
  </mergeCells>
  <phoneticPr fontId="171" type="noConversion"/>
  <conditionalFormatting sqref="M7:M27">
    <cfRule type="cellIs" dxfId="41" priority="17" stopIfTrue="1" operator="equal">
      <formula>0</formula>
    </cfRule>
  </conditionalFormatting>
  <printOptions horizontalCentered="1"/>
  <pageMargins left="0.2" right="0.19" top="0.2" bottom="0.2" header="0.3" footer="0.31"/>
  <pageSetup paperSize="9" scale="7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16"/>
  <sheetViews>
    <sheetView topLeftCell="A5" workbookViewId="0">
      <pane xSplit="4" ySplit="3" topLeftCell="K11" activePane="bottomRight" state="frozen"/>
      <selection activeCell="A5" sqref="A5"/>
      <selection pane="topRight" activeCell="E5" sqref="E5"/>
      <selection pane="bottomLeft" activeCell="A8" sqref="A8"/>
      <selection pane="bottomRight" activeCell="U16" sqref="U16"/>
    </sheetView>
  </sheetViews>
  <sheetFormatPr defaultRowHeight="14.25"/>
  <cols>
    <col min="1" max="1" width="5" customWidth="1"/>
    <col min="2" max="2" width="7.625" customWidth="1"/>
    <col min="3" max="3" width="10.5" customWidth="1"/>
  </cols>
  <sheetData>
    <row r="1" spans="1:37" s="839" customFormat="1" ht="42" hidden="1" customHeight="1">
      <c r="A1" s="2134" t="s">
        <v>222</v>
      </c>
      <c r="B1" s="2134"/>
      <c r="C1" s="2134"/>
      <c r="D1" s="2134"/>
      <c r="E1" s="2134"/>
      <c r="F1" s="2134"/>
      <c r="G1" s="2134"/>
      <c r="H1" s="2134"/>
      <c r="I1" s="2134"/>
      <c r="J1" s="2134"/>
      <c r="K1" s="2134"/>
      <c r="L1" s="2134"/>
      <c r="M1" s="2134"/>
      <c r="N1" s="2134"/>
      <c r="O1" s="2134"/>
      <c r="P1" s="2134"/>
      <c r="Q1" s="2134"/>
      <c r="R1" s="2134"/>
      <c r="S1" s="2134"/>
      <c r="T1" s="2134"/>
      <c r="U1" s="844"/>
      <c r="V1" s="844"/>
    </row>
    <row r="2" spans="1:37" s="871" customFormat="1" ht="42.75" hidden="1" customHeight="1">
      <c r="A2" s="2134" t="s">
        <v>221</v>
      </c>
      <c r="B2" s="2134"/>
      <c r="C2" s="2134"/>
      <c r="D2" s="2134"/>
      <c r="E2" s="2134"/>
      <c r="F2" s="2134"/>
      <c r="G2" s="2134"/>
      <c r="H2" s="2134"/>
      <c r="I2" s="2134"/>
      <c r="J2" s="2134"/>
      <c r="K2" s="2134"/>
      <c r="L2" s="2134"/>
      <c r="M2" s="2134"/>
      <c r="N2" s="2134"/>
      <c r="O2" s="2134"/>
      <c r="P2" s="2134"/>
      <c r="Q2" s="2134"/>
      <c r="R2" s="2134"/>
      <c r="S2" s="2134"/>
      <c r="T2" s="2134"/>
      <c r="U2" s="844"/>
      <c r="V2" s="844"/>
    </row>
    <row r="3" spans="1:37" s="871" customFormat="1" ht="42.75" hidden="1" customHeight="1">
      <c r="A3" s="2135" t="s">
        <v>1070</v>
      </c>
      <c r="B3" s="2135"/>
      <c r="C3" s="2135"/>
      <c r="D3" s="2135"/>
      <c r="E3" s="2135"/>
      <c r="F3" s="2135"/>
      <c r="G3" s="2135"/>
      <c r="H3" s="2135"/>
      <c r="I3" s="2135"/>
      <c r="J3" s="2135"/>
      <c r="K3" s="2135"/>
      <c r="L3" s="2135"/>
      <c r="M3" s="2135"/>
      <c r="N3" s="2135"/>
      <c r="O3" s="2135"/>
      <c r="P3" s="2135"/>
      <c r="Q3" s="2135"/>
      <c r="R3" s="2135"/>
      <c r="S3" s="2135"/>
      <c r="T3" s="2135"/>
      <c r="U3" s="845"/>
      <c r="V3" s="845"/>
    </row>
    <row r="4" spans="1:37" s="871" customFormat="1" ht="42.75" hidden="1" customHeight="1">
      <c r="A4" s="2135" t="s">
        <v>1071</v>
      </c>
      <c r="B4" s="2135"/>
      <c r="C4" s="2135"/>
      <c r="D4" s="2135"/>
      <c r="E4" s="2135"/>
      <c r="F4" s="2135"/>
      <c r="G4" s="2135"/>
      <c r="H4" s="2135"/>
      <c r="I4" s="2135"/>
      <c r="J4" s="2135"/>
      <c r="K4" s="2135"/>
      <c r="L4" s="2135"/>
      <c r="M4" s="2135"/>
      <c r="N4" s="2135"/>
      <c r="O4" s="2135"/>
      <c r="P4" s="2135"/>
      <c r="Q4" s="2135"/>
      <c r="R4" s="2135"/>
      <c r="S4" s="2135"/>
      <c r="T4" s="2135"/>
      <c r="U4" s="845"/>
      <c r="V4" s="845"/>
    </row>
    <row r="5" spans="1:37" s="856" customFormat="1" ht="20.25" customHeight="1">
      <c r="A5" s="2136" t="s">
        <v>1268</v>
      </c>
      <c r="B5" s="2136"/>
      <c r="C5" s="2136"/>
      <c r="D5" s="817"/>
      <c r="E5" s="817"/>
      <c r="F5" s="919"/>
      <c r="G5" s="919"/>
      <c r="H5" s="919"/>
      <c r="I5" s="919"/>
      <c r="J5" s="919"/>
      <c r="K5" s="919"/>
      <c r="L5" s="2136" t="s">
        <v>2347</v>
      </c>
      <c r="M5" s="2136"/>
      <c r="N5" s="2136"/>
      <c r="O5" s="2136"/>
      <c r="P5" s="2136"/>
      <c r="Q5" s="2136"/>
      <c r="R5" s="2136"/>
      <c r="S5" s="817"/>
      <c r="T5" s="817"/>
      <c r="U5" s="817"/>
      <c r="V5" s="819"/>
      <c r="W5" s="855"/>
    </row>
    <row r="6" spans="1:37" s="871" customFormat="1" ht="40.5" customHeight="1">
      <c r="A6" s="820" t="s">
        <v>252</v>
      </c>
      <c r="B6" s="820" t="s">
        <v>1072</v>
      </c>
      <c r="C6" s="820" t="s">
        <v>1073</v>
      </c>
      <c r="D6" s="820" t="s">
        <v>254</v>
      </c>
      <c r="E6" s="821" t="s">
        <v>227</v>
      </c>
      <c r="F6" s="2138" t="s">
        <v>1074</v>
      </c>
      <c r="G6" s="2139"/>
      <c r="H6" s="2139"/>
      <c r="I6" s="2139"/>
      <c r="J6" s="2139"/>
      <c r="K6" s="2139"/>
      <c r="L6" s="2139"/>
      <c r="M6" s="2139"/>
      <c r="N6" s="2139"/>
      <c r="O6" s="2139"/>
      <c r="P6" s="2139"/>
      <c r="Q6" s="2140"/>
      <c r="R6" s="822" t="s">
        <v>1075</v>
      </c>
      <c r="S6" s="900" t="s">
        <v>1076</v>
      </c>
      <c r="T6" s="822" t="s">
        <v>1077</v>
      </c>
      <c r="U6" s="822" t="s">
        <v>1126</v>
      </c>
      <c r="V6" s="850" t="s">
        <v>1128</v>
      </c>
      <c r="W6" s="823" t="s">
        <v>1078</v>
      </c>
      <c r="X6" s="504"/>
    </row>
    <row r="7" spans="1:37" s="839" customFormat="1" ht="34.5" customHeight="1">
      <c r="A7" s="858" t="s">
        <v>41</v>
      </c>
      <c r="B7" s="858" t="s">
        <v>42</v>
      </c>
      <c r="C7" s="858" t="s">
        <v>1079</v>
      </c>
      <c r="D7" s="858" t="s">
        <v>1080</v>
      </c>
      <c r="E7" s="859" t="s">
        <v>1081</v>
      </c>
      <c r="F7" s="930" t="s">
        <v>1082</v>
      </c>
      <c r="G7" s="930" t="s">
        <v>1083</v>
      </c>
      <c r="H7" s="930" t="s">
        <v>1084</v>
      </c>
      <c r="I7" s="930" t="s">
        <v>1085</v>
      </c>
      <c r="J7" s="930" t="s">
        <v>1086</v>
      </c>
      <c r="K7" s="920" t="s">
        <v>1087</v>
      </c>
      <c r="L7" s="920" t="s">
        <v>1088</v>
      </c>
      <c r="M7" s="920" t="s">
        <v>1089</v>
      </c>
      <c r="N7" s="920" t="s">
        <v>1090</v>
      </c>
      <c r="O7" s="920" t="s">
        <v>1091</v>
      </c>
      <c r="P7" s="920" t="s">
        <v>1092</v>
      </c>
      <c r="Q7" s="920" t="s">
        <v>1093</v>
      </c>
      <c r="R7" s="826" t="s">
        <v>1094</v>
      </c>
      <c r="S7" s="901" t="s">
        <v>1095</v>
      </c>
      <c r="T7" s="827" t="s">
        <v>1096</v>
      </c>
      <c r="U7" s="852" t="s">
        <v>1125</v>
      </c>
      <c r="V7" s="854" t="s">
        <v>1127</v>
      </c>
      <c r="W7" s="861" t="s">
        <v>1097</v>
      </c>
      <c r="X7" s="893"/>
      <c r="Y7" s="1701">
        <v>1</v>
      </c>
      <c r="Z7" s="1701">
        <v>2</v>
      </c>
      <c r="AA7" s="1701">
        <v>3</v>
      </c>
      <c r="AB7" s="1701">
        <v>4</v>
      </c>
      <c r="AC7" s="1701">
        <v>5</v>
      </c>
      <c r="AD7" s="1701">
        <v>6</v>
      </c>
      <c r="AE7" s="1701">
        <v>7</v>
      </c>
      <c r="AF7" s="1701">
        <v>8</v>
      </c>
      <c r="AG7" s="1701">
        <v>9</v>
      </c>
      <c r="AH7" s="1701">
        <v>10</v>
      </c>
      <c r="AI7" s="1701">
        <v>11</v>
      </c>
      <c r="AJ7" s="1701">
        <v>12</v>
      </c>
      <c r="AK7" s="1701" t="s">
        <v>74</v>
      </c>
    </row>
    <row r="8" spans="1:37" s="871" customFormat="1" ht="44.25" customHeight="1">
      <c r="A8" s="502">
        <v>1</v>
      </c>
      <c r="B8" s="518" t="s">
        <v>333</v>
      </c>
      <c r="C8" s="731" t="s">
        <v>1790</v>
      </c>
      <c r="D8" s="885">
        <v>41312</v>
      </c>
      <c r="E8" s="1084" t="s">
        <v>1266</v>
      </c>
      <c r="F8" s="1718">
        <v>299.12084520417852</v>
      </c>
      <c r="G8" s="1718">
        <v>311.47428398836939</v>
      </c>
      <c r="H8" s="1719">
        <v>268.41899311539851</v>
      </c>
      <c r="I8" s="1718">
        <v>298.64924218256186</v>
      </c>
      <c r="J8" s="1718">
        <v>353.12966488956579</v>
      </c>
      <c r="K8" s="1718">
        <v>375.596790226179</v>
      </c>
      <c r="L8" s="1718">
        <v>335.8280628728337</v>
      </c>
      <c r="M8" s="1718">
        <v>352.14889565879656</v>
      </c>
      <c r="N8" s="1718">
        <v>272.65526491928597</v>
      </c>
      <c r="O8" s="1306">
        <v>305.77710308957944</v>
      </c>
      <c r="P8" s="1306">
        <v>225.61538461538461</v>
      </c>
      <c r="Q8" s="1306">
        <v>30</v>
      </c>
      <c r="R8" s="882">
        <f>SUM(F8:Q8)</f>
        <v>3428.4145307621338</v>
      </c>
      <c r="S8" s="962">
        <f>R8/12</f>
        <v>285.70121089684449</v>
      </c>
      <c r="T8" s="882">
        <f>S8/26</f>
        <v>10.988508111417095</v>
      </c>
      <c r="U8" s="883">
        <f>WC!W7</f>
        <v>0</v>
      </c>
      <c r="V8" s="882">
        <f>T8*U8</f>
        <v>0</v>
      </c>
      <c r="W8" s="502"/>
      <c r="X8" s="505"/>
      <c r="Y8" s="883">
        <v>0</v>
      </c>
      <c r="Z8" s="883">
        <v>1</v>
      </c>
      <c r="AA8" s="1694">
        <v>2</v>
      </c>
      <c r="AB8" s="883">
        <v>1.5</v>
      </c>
      <c r="AC8" s="883">
        <v>0</v>
      </c>
      <c r="AD8" s="883">
        <v>0.5</v>
      </c>
      <c r="AE8" s="883">
        <v>2</v>
      </c>
      <c r="AF8" s="883">
        <v>0</v>
      </c>
      <c r="AG8" s="883">
        <v>2</v>
      </c>
      <c r="AH8" s="1694"/>
      <c r="AI8" s="1694"/>
      <c r="AJ8" s="1694"/>
      <c r="AK8" s="1699">
        <f>SUM(Y8:AJ8)</f>
        <v>9</v>
      </c>
    </row>
    <row r="9" spans="1:37" s="871" customFormat="1" ht="44.25" customHeight="1">
      <c r="A9" s="502">
        <v>2</v>
      </c>
      <c r="B9" s="1520" t="s">
        <v>1267</v>
      </c>
      <c r="C9" s="1488" t="s">
        <v>508</v>
      </c>
      <c r="D9" s="879">
        <v>41365</v>
      </c>
      <c r="E9" s="880" t="s">
        <v>1266</v>
      </c>
      <c r="F9" s="1718">
        <v>232.86728395061726</v>
      </c>
      <c r="G9" s="1718">
        <v>244.09740584747547</v>
      </c>
      <c r="H9" s="1719">
        <v>236.26424796021681</v>
      </c>
      <c r="I9" s="1718">
        <v>272.05751315483485</v>
      </c>
      <c r="J9" s="1718">
        <v>313.38518659558258</v>
      </c>
      <c r="K9" s="1718">
        <v>358.03351104341198</v>
      </c>
      <c r="L9" s="1718">
        <v>330.58226393031043</v>
      </c>
      <c r="M9" s="1718">
        <v>266.46499712484797</v>
      </c>
      <c r="N9" s="1718">
        <v>257.46182063370941</v>
      </c>
      <c r="O9" s="1306">
        <v>264.31023156782715</v>
      </c>
      <c r="P9" s="1306">
        <v>207.92307692307691</v>
      </c>
      <c r="Q9" s="1306">
        <v>30</v>
      </c>
      <c r="R9" s="882">
        <f t="shared" ref="R9:R14" si="0">SUM(F9:Q9)</f>
        <v>3013.4475387319108</v>
      </c>
      <c r="S9" s="962">
        <f t="shared" ref="S9:S12" si="1">R9/12</f>
        <v>251.12062822765924</v>
      </c>
      <c r="T9" s="882">
        <f t="shared" ref="T9:T14" si="2">S9/26</f>
        <v>9.6584857010638174</v>
      </c>
      <c r="U9" s="883">
        <f>WC!W8</f>
        <v>0</v>
      </c>
      <c r="V9" s="882">
        <f t="shared" ref="V9:V14" si="3">T9*U9</f>
        <v>0</v>
      </c>
      <c r="W9" s="502"/>
      <c r="X9" s="505"/>
      <c r="Y9" s="883">
        <v>0</v>
      </c>
      <c r="Z9" s="883">
        <v>2</v>
      </c>
      <c r="AA9" s="1694">
        <v>2</v>
      </c>
      <c r="AB9" s="883">
        <v>1.5</v>
      </c>
      <c r="AC9" s="883">
        <v>0</v>
      </c>
      <c r="AD9" s="883">
        <v>0</v>
      </c>
      <c r="AE9" s="883">
        <v>3</v>
      </c>
      <c r="AF9" s="883">
        <v>1</v>
      </c>
      <c r="AG9" s="883">
        <v>1</v>
      </c>
      <c r="AH9" s="1694"/>
      <c r="AI9" s="1694"/>
      <c r="AJ9" s="1694"/>
      <c r="AK9" s="1699">
        <f t="shared" ref="AK9:AK14" si="4">SUM(Y9:AJ9)</f>
        <v>10.5</v>
      </c>
    </row>
    <row r="10" spans="1:37" s="871" customFormat="1" ht="44.25" customHeight="1">
      <c r="A10" s="502">
        <v>3</v>
      </c>
      <c r="B10" s="1520" t="s">
        <v>335</v>
      </c>
      <c r="C10" s="1488" t="s">
        <v>509</v>
      </c>
      <c r="D10" s="879">
        <v>41519</v>
      </c>
      <c r="E10" s="880" t="s">
        <v>1266</v>
      </c>
      <c r="F10" s="1718">
        <v>299.12084520417852</v>
      </c>
      <c r="G10" s="1718">
        <v>308.70916429249758</v>
      </c>
      <c r="H10" s="1719">
        <v>268.46334468060508</v>
      </c>
      <c r="I10" s="1718">
        <v>322.73382838041374</v>
      </c>
      <c r="J10" s="1718">
        <v>420.79093678598622</v>
      </c>
      <c r="K10" s="1718">
        <v>454.75590251332824</v>
      </c>
      <c r="L10" s="1718">
        <v>407.37810240453121</v>
      </c>
      <c r="M10" s="1718">
        <v>354.62414318354917</v>
      </c>
      <c r="N10" s="1718">
        <v>270.14450002961456</v>
      </c>
      <c r="O10" s="1306">
        <v>301.9562305851764</v>
      </c>
      <c r="P10" s="1306">
        <v>210.23076923076923</v>
      </c>
      <c r="Q10" s="1306">
        <v>30</v>
      </c>
      <c r="R10" s="882">
        <f t="shared" si="0"/>
        <v>3648.9077672906496</v>
      </c>
      <c r="S10" s="962">
        <f t="shared" si="1"/>
        <v>304.07564727422078</v>
      </c>
      <c r="T10" s="882">
        <f t="shared" si="2"/>
        <v>11.695217202854646</v>
      </c>
      <c r="U10" s="883">
        <f>WC!W9</f>
        <v>0</v>
      </c>
      <c r="V10" s="882">
        <f t="shared" si="3"/>
        <v>0</v>
      </c>
      <c r="W10" s="502"/>
      <c r="X10" s="505"/>
      <c r="Y10" s="883">
        <v>0</v>
      </c>
      <c r="Z10" s="883">
        <v>0</v>
      </c>
      <c r="AA10" s="1694">
        <v>3</v>
      </c>
      <c r="AB10" s="883">
        <v>1.5</v>
      </c>
      <c r="AC10" s="883">
        <v>0</v>
      </c>
      <c r="AD10" s="883">
        <v>0</v>
      </c>
      <c r="AE10" s="883">
        <v>1</v>
      </c>
      <c r="AF10" s="883">
        <v>0</v>
      </c>
      <c r="AG10" s="883">
        <v>1</v>
      </c>
      <c r="AH10" s="1694"/>
      <c r="AI10" s="1694"/>
      <c r="AJ10" s="1694"/>
      <c r="AK10" s="1699">
        <f t="shared" si="4"/>
        <v>6.5</v>
      </c>
    </row>
    <row r="11" spans="1:37" s="871" customFormat="1" ht="44.25" customHeight="1">
      <c r="A11" s="502">
        <v>4</v>
      </c>
      <c r="B11" s="1520" t="s">
        <v>336</v>
      </c>
      <c r="C11" s="1488" t="s">
        <v>510</v>
      </c>
      <c r="D11" s="1517">
        <v>42452</v>
      </c>
      <c r="E11" s="880" t="s">
        <v>1266</v>
      </c>
      <c r="F11" s="1718">
        <v>296.12084520417852</v>
      </c>
      <c r="G11" s="1718">
        <v>308.60516899176048</v>
      </c>
      <c r="H11" s="1719">
        <v>266.67792017020281</v>
      </c>
      <c r="I11" s="1718">
        <v>305.61428482614417</v>
      </c>
      <c r="J11" s="1718">
        <v>350.26795741850515</v>
      </c>
      <c r="K11" s="1718">
        <v>393.55959634424977</v>
      </c>
      <c r="L11" s="1718">
        <v>343.61581688464372</v>
      </c>
      <c r="M11" s="1718">
        <v>338.37966488956584</v>
      </c>
      <c r="N11" s="1718">
        <v>267.11806304635587</v>
      </c>
      <c r="O11" s="1306">
        <v>308.36950685314309</v>
      </c>
      <c r="P11" s="1306">
        <v>218.95896608374454</v>
      </c>
      <c r="Q11" s="1306">
        <v>30</v>
      </c>
      <c r="R11" s="882">
        <f t="shared" si="0"/>
        <v>3427.2877907124939</v>
      </c>
      <c r="S11" s="962">
        <f t="shared" si="1"/>
        <v>285.60731589270785</v>
      </c>
      <c r="T11" s="882">
        <f t="shared" si="2"/>
        <v>10.984896765104148</v>
      </c>
      <c r="U11" s="883">
        <f>WC!W10</f>
        <v>0</v>
      </c>
      <c r="V11" s="882">
        <f t="shared" si="3"/>
        <v>0</v>
      </c>
      <c r="W11" s="502"/>
      <c r="X11" s="505"/>
      <c r="Y11" s="883">
        <v>0</v>
      </c>
      <c r="Z11" s="883">
        <v>1</v>
      </c>
      <c r="AA11" s="1694">
        <v>2</v>
      </c>
      <c r="AB11" s="883">
        <v>4.5</v>
      </c>
      <c r="AC11" s="883">
        <v>1</v>
      </c>
      <c r="AD11" s="883">
        <v>0</v>
      </c>
      <c r="AE11" s="883">
        <v>2</v>
      </c>
      <c r="AF11" s="883">
        <v>0</v>
      </c>
      <c r="AG11" s="883">
        <v>2</v>
      </c>
      <c r="AH11" s="1694"/>
      <c r="AI11" s="1694"/>
      <c r="AJ11" s="1694"/>
      <c r="AK11" s="1699">
        <f t="shared" si="4"/>
        <v>12.5</v>
      </c>
    </row>
    <row r="12" spans="1:37" s="871" customFormat="1" ht="44.25" customHeight="1">
      <c r="A12" s="502">
        <v>5</v>
      </c>
      <c r="B12" s="1520" t="s">
        <v>470</v>
      </c>
      <c r="C12" s="1488" t="s">
        <v>471</v>
      </c>
      <c r="D12" s="1517">
        <v>43633</v>
      </c>
      <c r="E12" s="880" t="s">
        <v>1266</v>
      </c>
      <c r="F12" s="1718">
        <v>289.56125356125358</v>
      </c>
      <c r="G12" s="1718">
        <v>302.70916429249758</v>
      </c>
      <c r="H12" s="1719">
        <v>264.21501894142023</v>
      </c>
      <c r="I12" s="1718">
        <v>129.03537651842862</v>
      </c>
      <c r="J12" s="1718">
        <v>414.79093678598622</v>
      </c>
      <c r="K12" s="1718">
        <v>459.624238385377</v>
      </c>
      <c r="L12" s="1718">
        <v>396.24922295294419</v>
      </c>
      <c r="M12" s="1718">
        <v>342.50190403655751</v>
      </c>
      <c r="N12" s="1718">
        <v>264.44867776357216</v>
      </c>
      <c r="O12" s="1306">
        <v>312.4857131174366</v>
      </c>
      <c r="P12" s="1306">
        <v>204.23076923076923</v>
      </c>
      <c r="Q12" s="1306">
        <v>30</v>
      </c>
      <c r="R12" s="882">
        <f t="shared" si="0"/>
        <v>3409.8522755862427</v>
      </c>
      <c r="S12" s="962">
        <f t="shared" si="1"/>
        <v>284.15435629885354</v>
      </c>
      <c r="T12" s="882">
        <f t="shared" si="2"/>
        <v>10.92901370380206</v>
      </c>
      <c r="U12" s="883">
        <f>WC!W11</f>
        <v>0</v>
      </c>
      <c r="V12" s="882">
        <f t="shared" si="3"/>
        <v>0</v>
      </c>
      <c r="W12" s="502"/>
      <c r="X12" s="505"/>
      <c r="Y12" s="883">
        <v>0</v>
      </c>
      <c r="Z12" s="883">
        <v>0</v>
      </c>
      <c r="AA12" s="1694">
        <v>2.5</v>
      </c>
      <c r="AB12" s="883">
        <v>1.5</v>
      </c>
      <c r="AC12" s="883">
        <v>0</v>
      </c>
      <c r="AD12" s="883">
        <v>0</v>
      </c>
      <c r="AE12" s="883">
        <v>2</v>
      </c>
      <c r="AF12" s="883">
        <v>0</v>
      </c>
      <c r="AG12" s="883">
        <v>1</v>
      </c>
      <c r="AH12" s="1694"/>
      <c r="AI12" s="1694"/>
      <c r="AJ12" s="1694"/>
      <c r="AK12" s="1699">
        <f t="shared" si="4"/>
        <v>7</v>
      </c>
    </row>
    <row r="13" spans="1:37" s="1146" customFormat="1" ht="44.25" customHeight="1">
      <c r="A13" s="502">
        <v>6</v>
      </c>
      <c r="B13" s="572" t="s">
        <v>1571</v>
      </c>
      <c r="C13" s="798" t="s">
        <v>1572</v>
      </c>
      <c r="D13" s="1476">
        <v>44713</v>
      </c>
      <c r="E13" s="880" t="s">
        <v>1266</v>
      </c>
      <c r="F13" s="1718">
        <v>251.42441754945878</v>
      </c>
      <c r="G13" s="1718">
        <v>250.85523861840883</v>
      </c>
      <c r="H13" s="1719">
        <v>303.09348694546077</v>
      </c>
      <c r="I13" s="1718">
        <v>354.16892825381751</v>
      </c>
      <c r="J13" s="1718">
        <v>323.74980959634422</v>
      </c>
      <c r="K13" s="1718">
        <v>386.56635632379323</v>
      </c>
      <c r="L13" s="1718">
        <v>375.74496630057257</v>
      </c>
      <c r="M13" s="1718">
        <v>198.69876032763057</v>
      </c>
      <c r="N13" s="1718">
        <v>253.63410900659593</v>
      </c>
      <c r="O13" s="1306">
        <v>227.95</v>
      </c>
      <c r="P13" s="1306">
        <v>143.53846153846155</v>
      </c>
      <c r="Q13" s="1306">
        <v>30</v>
      </c>
      <c r="R13" s="882">
        <f t="shared" si="0"/>
        <v>3099.4245344605438</v>
      </c>
      <c r="S13" s="962">
        <f>R13/12</f>
        <v>258.285377871712</v>
      </c>
      <c r="T13" s="882">
        <f t="shared" si="2"/>
        <v>9.934052995065846</v>
      </c>
      <c r="U13" s="883">
        <f>WC!W12</f>
        <v>0</v>
      </c>
      <c r="V13" s="882">
        <f t="shared" si="3"/>
        <v>0</v>
      </c>
      <c r="W13" s="502"/>
      <c r="X13" s="505"/>
      <c r="Y13" s="883">
        <v>0.5</v>
      </c>
      <c r="Z13" s="883">
        <v>1</v>
      </c>
      <c r="AA13" s="1694">
        <v>2</v>
      </c>
      <c r="AB13" s="883">
        <v>2</v>
      </c>
      <c r="AC13" s="883">
        <v>0</v>
      </c>
      <c r="AD13" s="883">
        <v>1</v>
      </c>
      <c r="AE13" s="883">
        <v>1</v>
      </c>
      <c r="AF13" s="883">
        <v>0.5</v>
      </c>
      <c r="AG13" s="883">
        <v>2.5</v>
      </c>
      <c r="AH13" s="1694"/>
      <c r="AI13" s="1694"/>
      <c r="AJ13" s="1694"/>
      <c r="AK13" s="1699">
        <f t="shared" si="4"/>
        <v>10.5</v>
      </c>
    </row>
    <row r="14" spans="1:37" s="871" customFormat="1" ht="44.25" customHeight="1">
      <c r="A14" s="502">
        <v>7</v>
      </c>
      <c r="B14" s="785" t="s">
        <v>1781</v>
      </c>
      <c r="C14" s="1518" t="s">
        <v>1782</v>
      </c>
      <c r="D14" s="1480">
        <v>44805</v>
      </c>
      <c r="E14" s="880" t="s">
        <v>1266</v>
      </c>
      <c r="F14" s="1718">
        <v>246.31528964862298</v>
      </c>
      <c r="G14" s="1718">
        <v>229.42283950617283</v>
      </c>
      <c r="H14" s="1719">
        <v>303.44391813497845</v>
      </c>
      <c r="I14" s="1718">
        <v>362.98212625056181</v>
      </c>
      <c r="J14" s="1718">
        <v>403.79303122619945</v>
      </c>
      <c r="K14" s="1718">
        <v>379.58910891089107</v>
      </c>
      <c r="L14" s="1718">
        <v>328.1202458814418</v>
      </c>
      <c r="M14" s="1718">
        <v>193.40727341964964</v>
      </c>
      <c r="N14" s="1718">
        <v>229.20400822041842</v>
      </c>
      <c r="O14" s="1306">
        <v>260.12</v>
      </c>
      <c r="P14" s="1306">
        <v>143.53846153846155</v>
      </c>
      <c r="Q14" s="1306">
        <v>30</v>
      </c>
      <c r="R14" s="882">
        <f t="shared" si="0"/>
        <v>3109.9363027373979</v>
      </c>
      <c r="S14" s="962">
        <f>R14/12</f>
        <v>259.16135856144984</v>
      </c>
      <c r="T14" s="882">
        <f t="shared" si="2"/>
        <v>9.9677445600557633</v>
      </c>
      <c r="U14" s="883">
        <f>WC!W13</f>
        <v>0</v>
      </c>
      <c r="V14" s="882">
        <f t="shared" si="3"/>
        <v>0</v>
      </c>
      <c r="W14" s="502"/>
      <c r="X14" s="505"/>
      <c r="Y14" s="883">
        <v>0</v>
      </c>
      <c r="Z14" s="883">
        <v>0</v>
      </c>
      <c r="AA14" s="1694">
        <v>2</v>
      </c>
      <c r="AB14" s="883">
        <v>1.5</v>
      </c>
      <c r="AC14" s="883">
        <v>0</v>
      </c>
      <c r="AD14" s="883">
        <v>0</v>
      </c>
      <c r="AE14" s="883">
        <v>1</v>
      </c>
      <c r="AF14" s="883">
        <v>0</v>
      </c>
      <c r="AG14" s="883">
        <v>1</v>
      </c>
      <c r="AH14" s="1694"/>
      <c r="AI14" s="1694"/>
      <c r="AJ14" s="1694"/>
      <c r="AK14" s="1699">
        <f t="shared" si="4"/>
        <v>5.5</v>
      </c>
    </row>
    <row r="15" spans="1:37" s="871" customFormat="1" ht="44.25" customHeight="1">
      <c r="A15" s="2181" t="s">
        <v>214</v>
      </c>
      <c r="B15" s="2182"/>
      <c r="C15" s="2182"/>
      <c r="D15" s="2182"/>
      <c r="E15" s="2182"/>
      <c r="F15" s="2182"/>
      <c r="G15" s="2182"/>
      <c r="H15" s="2182"/>
      <c r="I15" s="2182"/>
      <c r="J15" s="2182"/>
      <c r="K15" s="2182"/>
      <c r="L15" s="2182"/>
      <c r="M15" s="2182"/>
      <c r="N15" s="2182"/>
      <c r="O15" s="2182"/>
      <c r="P15" s="2182"/>
      <c r="Q15" s="2182"/>
      <c r="R15" s="2183"/>
      <c r="S15" s="868"/>
      <c r="T15" s="869"/>
      <c r="U15" s="917"/>
      <c r="V15" s="949">
        <f>SUM(V8:V14)</f>
        <v>0</v>
      </c>
      <c r="W15" s="504"/>
      <c r="X15" s="842"/>
    </row>
    <row r="16" spans="1:37" s="871" customFormat="1" ht="27" customHeight="1">
      <c r="A16" s="2132" t="s">
        <v>1155</v>
      </c>
      <c r="B16" s="2132"/>
      <c r="C16" s="2132"/>
      <c r="D16" s="872"/>
      <c r="F16" s="921"/>
      <c r="G16" s="921"/>
      <c r="H16" s="2186" t="s">
        <v>1156</v>
      </c>
      <c r="I16" s="2186"/>
      <c r="J16" s="2186"/>
      <c r="K16" s="2186"/>
      <c r="L16" s="921"/>
      <c r="M16" s="921"/>
      <c r="N16" s="921"/>
      <c r="O16" s="921"/>
      <c r="P16" s="921"/>
      <c r="Q16" s="921"/>
      <c r="R16" s="2133" t="s">
        <v>1157</v>
      </c>
      <c r="S16" s="2133"/>
      <c r="T16" s="2133"/>
      <c r="U16" s="898"/>
      <c r="V16" s="898"/>
      <c r="X16" s="843"/>
    </row>
  </sheetData>
  <mergeCells count="11">
    <mergeCell ref="A1:T1"/>
    <mergeCell ref="A2:T2"/>
    <mergeCell ref="A3:T3"/>
    <mergeCell ref="A4:T4"/>
    <mergeCell ref="A5:C5"/>
    <mergeCell ref="L5:R5"/>
    <mergeCell ref="F6:Q6"/>
    <mergeCell ref="A15:R15"/>
    <mergeCell ref="A16:C16"/>
    <mergeCell ref="H16:K16"/>
    <mergeCell ref="R16:T16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L20"/>
  <sheetViews>
    <sheetView view="pageBreakPreview" topLeftCell="A3" zoomScale="80" zoomScaleNormal="100" zoomScaleSheetLayoutView="80" workbookViewId="0">
      <pane xSplit="6" ySplit="4" topLeftCell="AH13" activePane="bottomRight" state="frozen"/>
      <selection activeCell="A3" sqref="A3"/>
      <selection pane="topRight" activeCell="G3" sqref="G3"/>
      <selection pane="bottomLeft" activeCell="A7" sqref="A7"/>
      <selection pane="bottomRight" activeCell="Q14" sqref="Q14"/>
    </sheetView>
  </sheetViews>
  <sheetFormatPr defaultRowHeight="15.75"/>
  <cols>
    <col min="1" max="1" width="5.25" style="544" customWidth="1"/>
    <col min="2" max="2" width="11.875" style="755" customWidth="1"/>
    <col min="3" max="3" width="10.625" style="755" customWidth="1"/>
    <col min="4" max="4" width="10.625" style="555" customWidth="1"/>
    <col min="5" max="5" width="8.125" style="544" customWidth="1"/>
    <col min="6" max="6" width="8.375" style="556" customWidth="1"/>
    <col min="7" max="7" width="6.625" style="544" customWidth="1"/>
    <col min="8" max="8" width="6.75" style="544" customWidth="1"/>
    <col min="9" max="9" width="8.375" style="544" customWidth="1"/>
    <col min="10" max="10" width="8.875" style="544" customWidth="1"/>
    <col min="11" max="11" width="5.75" style="544" customWidth="1"/>
    <col min="12" max="12" width="6.125" style="544" customWidth="1"/>
    <col min="13" max="13" width="8.875" style="544" customWidth="1"/>
    <col min="14" max="14" width="5.5" style="544" customWidth="1"/>
    <col min="15" max="15" width="5.75" style="544" customWidth="1"/>
    <col min="16" max="16" width="7.75" style="544" customWidth="1"/>
    <col min="17" max="17" width="5.75" style="544" customWidth="1"/>
    <col min="18" max="18" width="6.625" style="544" customWidth="1"/>
    <col min="19" max="19" width="7.875" style="544" customWidth="1"/>
    <col min="20" max="20" width="5.125" style="544" customWidth="1"/>
    <col min="21" max="21" width="5.75" style="544" customWidth="1"/>
    <col min="22" max="22" width="8.375" style="544" customWidth="1"/>
    <col min="23" max="23" width="5.375" style="544" customWidth="1"/>
    <col min="24" max="24" width="8.625" style="544" customWidth="1"/>
    <col min="25" max="25" width="6" style="544" customWidth="1"/>
    <col min="26" max="26" width="7.625" style="544" customWidth="1"/>
    <col min="27" max="27" width="8.75" style="544" customWidth="1"/>
    <col min="28" max="28" width="5.125" style="544" customWidth="1"/>
    <col min="29" max="29" width="7.25" style="544" customWidth="1"/>
    <col min="30" max="30" width="8.5" style="544" customWidth="1"/>
    <col min="31" max="31" width="7.75" style="544" customWidth="1"/>
    <col min="32" max="33" width="5.5" style="544" customWidth="1"/>
    <col min="34" max="34" width="7.375" style="544" customWidth="1"/>
    <col min="35" max="35" width="7" style="544" customWidth="1"/>
    <col min="36" max="36" width="10.625" style="544" customWidth="1"/>
    <col min="37" max="37" width="9.375" style="544" customWidth="1"/>
    <col min="38" max="38" width="11.125" style="544" customWidth="1"/>
    <col min="39" max="39" width="7.625" style="544" customWidth="1"/>
    <col min="40" max="40" width="8.75" style="544" customWidth="1"/>
    <col min="41" max="41" width="7.25" style="544" customWidth="1"/>
    <col min="42" max="42" width="9.125" style="544" customWidth="1"/>
    <col min="43" max="43" width="11.375" style="544" customWidth="1"/>
    <col min="44" max="44" width="13.875" style="544" customWidth="1"/>
    <col min="45" max="45" width="10.875" style="544" customWidth="1"/>
    <col min="46" max="46" width="17.75" style="544" customWidth="1"/>
    <col min="47" max="47" width="15.25" style="544" customWidth="1"/>
    <col min="48" max="48" width="10.5" style="544" hidden="1" customWidth="1"/>
    <col min="49" max="50" width="9" style="544"/>
    <col min="51" max="53" width="8.875" style="544" customWidth="1"/>
    <col min="54" max="54" width="8.75" style="544" customWidth="1"/>
    <col min="55" max="59" width="9" style="544"/>
    <col min="60" max="60" width="15.875" style="544" customWidth="1"/>
    <col min="61" max="61" width="9" style="544"/>
    <col min="62" max="64" width="13.5" style="544" customWidth="1"/>
    <col min="65" max="16384" width="9" style="544"/>
  </cols>
  <sheetData>
    <row r="1" spans="1:64" s="541" customFormat="1" ht="29.25" customHeight="1">
      <c r="A1" s="2110" t="s">
        <v>222</v>
      </c>
      <c r="B1" s="2110"/>
      <c r="C1" s="2110"/>
      <c r="D1" s="2110"/>
      <c r="E1" s="2110"/>
      <c r="F1" s="2110"/>
      <c r="G1" s="2110"/>
      <c r="H1" s="2110"/>
      <c r="I1" s="2110"/>
      <c r="J1" s="2110"/>
      <c r="K1" s="2110"/>
      <c r="L1" s="2110"/>
      <c r="M1" s="2110"/>
      <c r="N1" s="2110"/>
      <c r="O1" s="2110"/>
      <c r="P1" s="2110"/>
      <c r="Q1" s="2110"/>
      <c r="R1" s="2110"/>
      <c r="S1" s="2110"/>
      <c r="T1" s="2110"/>
      <c r="U1" s="2110"/>
      <c r="V1" s="2110"/>
      <c r="W1" s="2110"/>
      <c r="X1" s="2110"/>
      <c r="Y1" s="2110"/>
      <c r="Z1" s="2110"/>
      <c r="AA1" s="2110"/>
      <c r="AB1" s="2110"/>
      <c r="AC1" s="2110"/>
      <c r="AD1" s="2110"/>
      <c r="AE1" s="2110"/>
      <c r="AF1" s="2110"/>
      <c r="AG1" s="2110"/>
      <c r="AH1" s="2110"/>
      <c r="AI1" s="2110"/>
      <c r="AJ1" s="2110"/>
      <c r="AK1" s="2110"/>
      <c r="AL1" s="2110"/>
      <c r="AM1" s="2110"/>
      <c r="AN1" s="2110"/>
      <c r="AO1" s="2110"/>
      <c r="AP1" s="2110"/>
      <c r="AQ1" s="2110"/>
      <c r="AR1" s="2110"/>
      <c r="AS1" s="2110"/>
      <c r="AT1" s="2110"/>
      <c r="AU1" s="751"/>
    </row>
    <row r="2" spans="1:64" s="541" customFormat="1" ht="20.25" customHeight="1">
      <c r="A2" s="2110" t="s">
        <v>221</v>
      </c>
      <c r="B2" s="2110"/>
      <c r="C2" s="2110"/>
      <c r="D2" s="2110"/>
      <c r="E2" s="2110"/>
      <c r="F2" s="2110"/>
      <c r="G2" s="2110"/>
      <c r="H2" s="2110"/>
      <c r="I2" s="2110"/>
      <c r="J2" s="2110"/>
      <c r="K2" s="2110"/>
      <c r="L2" s="2110"/>
      <c r="M2" s="2110"/>
      <c r="N2" s="2110"/>
      <c r="O2" s="2110"/>
      <c r="P2" s="2110"/>
      <c r="Q2" s="2110"/>
      <c r="R2" s="2110"/>
      <c r="S2" s="2110"/>
      <c r="T2" s="2110"/>
      <c r="U2" s="2110"/>
      <c r="V2" s="2110"/>
      <c r="W2" s="2110"/>
      <c r="X2" s="2110"/>
      <c r="Y2" s="2110"/>
      <c r="Z2" s="2110"/>
      <c r="AA2" s="2110"/>
      <c r="AB2" s="2110"/>
      <c r="AC2" s="2110"/>
      <c r="AD2" s="2110"/>
      <c r="AE2" s="2110"/>
      <c r="AF2" s="2110"/>
      <c r="AG2" s="2110"/>
      <c r="AH2" s="2110"/>
      <c r="AI2" s="2110"/>
      <c r="AJ2" s="2110"/>
      <c r="AK2" s="2110"/>
      <c r="AL2" s="2110"/>
      <c r="AM2" s="2110"/>
      <c r="AN2" s="2110"/>
      <c r="AO2" s="2110"/>
      <c r="AP2" s="2110"/>
      <c r="AQ2" s="2110"/>
      <c r="AR2" s="2110"/>
      <c r="AS2" s="2110"/>
      <c r="AT2" s="2110"/>
      <c r="AU2" s="751"/>
    </row>
    <row r="3" spans="1:64" s="541" customFormat="1" ht="19.5" customHeight="1">
      <c r="A3" s="2111" t="s">
        <v>2342</v>
      </c>
      <c r="B3" s="2111"/>
      <c r="C3" s="2111"/>
      <c r="D3" s="2111"/>
      <c r="E3" s="2111"/>
      <c r="F3" s="2111"/>
      <c r="G3" s="2111"/>
      <c r="H3" s="2111"/>
      <c r="I3" s="2111"/>
      <c r="J3" s="2111"/>
      <c r="K3" s="2111"/>
      <c r="L3" s="2111"/>
      <c r="M3" s="2111"/>
      <c r="N3" s="2111"/>
      <c r="O3" s="2111"/>
      <c r="P3" s="2111"/>
      <c r="Q3" s="2111"/>
      <c r="R3" s="2111"/>
      <c r="S3" s="2111"/>
      <c r="T3" s="2111"/>
      <c r="U3" s="2111"/>
      <c r="V3" s="2111"/>
      <c r="W3" s="2111"/>
      <c r="X3" s="2111"/>
      <c r="Y3" s="2111"/>
      <c r="Z3" s="2111"/>
      <c r="AA3" s="2111"/>
      <c r="AB3" s="2111"/>
      <c r="AC3" s="2111"/>
      <c r="AD3" s="2111"/>
      <c r="AE3" s="2111"/>
      <c r="AF3" s="2111"/>
      <c r="AG3" s="2111"/>
      <c r="AH3" s="2111"/>
      <c r="AI3" s="2111"/>
      <c r="AJ3" s="2111"/>
      <c r="AK3" s="2111"/>
      <c r="AL3" s="2111"/>
      <c r="AM3" s="2111"/>
      <c r="AN3" s="2111"/>
      <c r="AO3" s="2111"/>
      <c r="AP3" s="2111"/>
      <c r="AQ3" s="2111"/>
      <c r="AR3" s="2111"/>
      <c r="AS3" s="2111"/>
      <c r="AT3" s="2111"/>
      <c r="AU3" s="752"/>
    </row>
    <row r="4" spans="1:64" s="1040" customFormat="1" ht="20.25" customHeight="1">
      <c r="A4" s="1373" t="s">
        <v>332</v>
      </c>
      <c r="B4" s="1375"/>
      <c r="C4" s="2091" t="s">
        <v>2341</v>
      </c>
      <c r="D4" s="2092"/>
      <c r="E4" s="2092"/>
      <c r="F4" s="2092"/>
      <c r="G4" s="1373"/>
      <c r="H4" s="1373"/>
      <c r="I4" s="1373"/>
      <c r="J4" s="1373"/>
      <c r="K4" s="1373"/>
      <c r="L4" s="1373"/>
      <c r="M4" s="1373"/>
      <c r="N4" s="1373"/>
      <c r="O4" s="1373"/>
      <c r="P4" s="1373"/>
      <c r="Q4" s="1373"/>
      <c r="R4" s="1373"/>
      <c r="S4" s="1373"/>
      <c r="T4" s="1373"/>
      <c r="U4" s="1373"/>
      <c r="V4" s="1373"/>
      <c r="W4" s="1373"/>
      <c r="X4" s="1373"/>
      <c r="Y4" s="1373"/>
      <c r="Z4" s="1373"/>
      <c r="AA4" s="1373"/>
      <c r="AB4" s="1373"/>
      <c r="AC4" s="1373"/>
      <c r="AD4" s="1373"/>
      <c r="AE4" s="1373"/>
      <c r="AF4" s="1373"/>
      <c r="AG4" s="1373"/>
      <c r="AH4" s="1373"/>
      <c r="AI4" s="1373"/>
      <c r="AJ4" s="1373"/>
      <c r="AK4" s="1373"/>
      <c r="AL4" s="1373"/>
      <c r="AM4" s="1373"/>
      <c r="AN4" s="1373"/>
      <c r="AO4" s="1373"/>
      <c r="AP4" s="1373"/>
      <c r="AQ4" s="1373"/>
      <c r="AR4" s="1373"/>
      <c r="AS4" s="1373"/>
      <c r="AT4" s="1373"/>
      <c r="AU4" s="1372"/>
      <c r="AW4" s="2075" t="s">
        <v>472</v>
      </c>
      <c r="AX4" s="2075"/>
      <c r="AY4" s="2075"/>
      <c r="AZ4" s="2075"/>
      <c r="BA4" s="2075"/>
      <c r="BB4" s="2075"/>
      <c r="BC4" s="2075"/>
      <c r="BD4" s="2075"/>
      <c r="BE4" s="2075"/>
      <c r="BF4" s="2075"/>
    </row>
    <row r="5" spans="1:64" ht="69.95" customHeight="1">
      <c r="A5" s="722" t="s">
        <v>252</v>
      </c>
      <c r="B5" s="722" t="s">
        <v>253</v>
      </c>
      <c r="C5" s="722" t="s">
        <v>1736</v>
      </c>
      <c r="D5" s="722" t="s">
        <v>254</v>
      </c>
      <c r="E5" s="643" t="s">
        <v>227</v>
      </c>
      <c r="F5" s="724" t="s">
        <v>255</v>
      </c>
      <c r="G5" s="643" t="s">
        <v>256</v>
      </c>
      <c r="H5" s="2120" t="s">
        <v>1743</v>
      </c>
      <c r="I5" s="2094"/>
      <c r="J5" s="2095"/>
      <c r="K5" s="2120" t="s">
        <v>1734</v>
      </c>
      <c r="L5" s="2094"/>
      <c r="M5" s="2095"/>
      <c r="N5" s="2120" t="s">
        <v>1689</v>
      </c>
      <c r="O5" s="2094"/>
      <c r="P5" s="2095"/>
      <c r="Q5" s="2120" t="s">
        <v>1776</v>
      </c>
      <c r="R5" s="2094"/>
      <c r="S5" s="2095"/>
      <c r="T5" s="2117" t="s">
        <v>1737</v>
      </c>
      <c r="U5" s="2118"/>
      <c r="V5" s="2119"/>
      <c r="W5" s="2102" t="s">
        <v>1674</v>
      </c>
      <c r="X5" s="2103"/>
      <c r="Y5" s="2093" t="s">
        <v>1675</v>
      </c>
      <c r="Z5" s="2094"/>
      <c r="AA5" s="2095"/>
      <c r="AB5" s="2096" t="s">
        <v>1739</v>
      </c>
      <c r="AC5" s="1126" t="s">
        <v>258</v>
      </c>
      <c r="AD5" s="2098" t="s">
        <v>220</v>
      </c>
      <c r="AE5" s="1139" t="s">
        <v>1835</v>
      </c>
      <c r="AF5" s="2100" t="s">
        <v>1840</v>
      </c>
      <c r="AG5" s="1268" t="s">
        <v>1832</v>
      </c>
      <c r="AH5" s="2080" t="s">
        <v>1666</v>
      </c>
      <c r="AI5" s="2080" t="s">
        <v>1665</v>
      </c>
      <c r="AJ5" s="2076" t="s">
        <v>1653</v>
      </c>
      <c r="AK5" s="2078" t="s">
        <v>1727</v>
      </c>
      <c r="AL5" s="2114" t="s">
        <v>1667</v>
      </c>
      <c r="AM5" s="2084" t="s">
        <v>1668</v>
      </c>
      <c r="AN5" s="2121" t="s">
        <v>1669</v>
      </c>
      <c r="AO5" s="2116" t="s">
        <v>1670</v>
      </c>
      <c r="AP5" s="2089" t="s">
        <v>1805</v>
      </c>
      <c r="AQ5" s="2146" t="s">
        <v>1932</v>
      </c>
      <c r="AR5" s="2146"/>
      <c r="AS5" s="2147"/>
      <c r="AT5" s="2088" t="s">
        <v>1672</v>
      </c>
      <c r="AU5" s="543"/>
      <c r="AV5" s="501"/>
      <c r="AW5" s="2081" t="s">
        <v>219</v>
      </c>
      <c r="AX5" s="2082"/>
      <c r="AY5" s="2083"/>
      <c r="AZ5" s="750"/>
      <c r="BA5" s="750"/>
      <c r="BB5" s="2086"/>
      <c r="BC5" s="2086"/>
      <c r="BD5" s="2086"/>
      <c r="BE5" s="2086"/>
      <c r="BF5" s="2087"/>
      <c r="BH5" s="690" t="s">
        <v>789</v>
      </c>
      <c r="BI5" s="2156" t="s">
        <v>568</v>
      </c>
      <c r="BJ5" s="2156" t="s">
        <v>569</v>
      </c>
      <c r="BK5" s="2156" t="s">
        <v>570</v>
      </c>
      <c r="BL5" s="2158" t="s">
        <v>713</v>
      </c>
    </row>
    <row r="6" spans="1:64" ht="99.95" customHeight="1">
      <c r="A6" s="725" t="s">
        <v>111</v>
      </c>
      <c r="B6" s="725" t="s">
        <v>1704</v>
      </c>
      <c r="C6" s="725" t="s">
        <v>1708</v>
      </c>
      <c r="D6" s="1122" t="s">
        <v>1722</v>
      </c>
      <c r="E6" s="607" t="s">
        <v>1655</v>
      </c>
      <c r="F6" s="1124" t="s">
        <v>1641</v>
      </c>
      <c r="G6" s="607" t="s">
        <v>1656</v>
      </c>
      <c r="H6" s="1141" t="s">
        <v>1657</v>
      </c>
      <c r="I6" s="546" t="s">
        <v>1658</v>
      </c>
      <c r="J6" s="546" t="s">
        <v>1644</v>
      </c>
      <c r="K6" s="1142" t="s">
        <v>1679</v>
      </c>
      <c r="L6" s="546" t="s">
        <v>1659</v>
      </c>
      <c r="M6" s="546" t="s">
        <v>1662</v>
      </c>
      <c r="N6" s="547" t="s">
        <v>1660</v>
      </c>
      <c r="O6" s="546" t="s">
        <v>1659</v>
      </c>
      <c r="P6" s="546" t="s">
        <v>1662</v>
      </c>
      <c r="Q6" s="1142" t="s">
        <v>1660</v>
      </c>
      <c r="R6" s="546" t="s">
        <v>1681</v>
      </c>
      <c r="S6" s="546" t="s">
        <v>1662</v>
      </c>
      <c r="T6" s="546" t="s">
        <v>1682</v>
      </c>
      <c r="U6" s="546" t="s">
        <v>1661</v>
      </c>
      <c r="V6" s="546" t="s">
        <v>1662</v>
      </c>
      <c r="W6" s="546" t="s">
        <v>1648</v>
      </c>
      <c r="X6" s="546" t="s">
        <v>1663</v>
      </c>
      <c r="Y6" s="546" t="s">
        <v>1649</v>
      </c>
      <c r="Z6" s="546" t="s">
        <v>1661</v>
      </c>
      <c r="AA6" s="546" t="s">
        <v>1738</v>
      </c>
      <c r="AB6" s="2097"/>
      <c r="AC6" s="1127" t="s">
        <v>1740</v>
      </c>
      <c r="AD6" s="2099"/>
      <c r="AE6" s="1118" t="s">
        <v>1678</v>
      </c>
      <c r="AF6" s="2101"/>
      <c r="AG6" s="1269" t="s">
        <v>1833</v>
      </c>
      <c r="AH6" s="2077"/>
      <c r="AI6" s="2077"/>
      <c r="AJ6" s="2077"/>
      <c r="AK6" s="2079"/>
      <c r="AL6" s="2115"/>
      <c r="AM6" s="2085"/>
      <c r="AN6" s="2122"/>
      <c r="AO6" s="2116"/>
      <c r="AP6" s="2090"/>
      <c r="AQ6" s="1135" t="s">
        <v>1671</v>
      </c>
      <c r="AR6" s="1134" t="s">
        <v>1707</v>
      </c>
      <c r="AS6" s="1136" t="s">
        <v>1702</v>
      </c>
      <c r="AT6" s="2088"/>
      <c r="AU6" s="543"/>
      <c r="AV6" s="501"/>
      <c r="AW6" s="539" t="s">
        <v>215</v>
      </c>
      <c r="AX6" s="539" t="s">
        <v>217</v>
      </c>
      <c r="AY6" s="573" t="s">
        <v>125</v>
      </c>
      <c r="AZ6" s="502" t="s">
        <v>728</v>
      </c>
      <c r="BA6" s="502" t="s">
        <v>729</v>
      </c>
      <c r="BB6" s="548" t="s">
        <v>723</v>
      </c>
      <c r="BC6" s="548" t="s">
        <v>216</v>
      </c>
      <c r="BD6" s="548" t="s">
        <v>731</v>
      </c>
      <c r="BE6" s="548" t="s">
        <v>215</v>
      </c>
      <c r="BF6" s="549" t="s">
        <v>125</v>
      </c>
      <c r="BH6" s="730" t="s">
        <v>761</v>
      </c>
      <c r="BI6" s="2157"/>
      <c r="BJ6" s="2157"/>
      <c r="BK6" s="2157"/>
      <c r="BL6" s="2173"/>
    </row>
    <row r="7" spans="1:64" s="755" customFormat="1" ht="66.75" customHeight="1">
      <c r="A7" s="1369">
        <v>1</v>
      </c>
      <c r="B7" s="1414" t="s">
        <v>333</v>
      </c>
      <c r="C7" s="1390" t="s">
        <v>1790</v>
      </c>
      <c r="D7" s="1841">
        <v>41312</v>
      </c>
      <c r="E7" s="1637" t="s">
        <v>319</v>
      </c>
      <c r="F7" s="617">
        <f>153+17+12+8+2+2+6+4</f>
        <v>204</v>
      </c>
      <c r="G7" s="630"/>
      <c r="H7" s="1754">
        <v>22</v>
      </c>
      <c r="I7" s="1408">
        <f t="shared" ref="I7:I13" si="0">F7/26*H7</f>
        <v>172.61538461538461</v>
      </c>
      <c r="J7" s="618">
        <f t="shared" ref="J7:J13" si="1">F7/26*H7</f>
        <v>172.61538461538461</v>
      </c>
      <c r="K7" s="1754">
        <v>30</v>
      </c>
      <c r="L7" s="510">
        <f t="shared" ref="L7:L13" si="2">F7/26/8*1.5</f>
        <v>1.471153846153846</v>
      </c>
      <c r="M7" s="618">
        <f t="shared" ref="M7:M13" si="3">K7*L7</f>
        <v>44.13461538461538</v>
      </c>
      <c r="N7" s="1754">
        <v>0</v>
      </c>
      <c r="O7" s="510">
        <f t="shared" ref="O7:O13" si="4">F7/26/8*2</f>
        <v>1.9615384615384615</v>
      </c>
      <c r="P7" s="503">
        <f t="shared" ref="P7:P13" si="5">N7*O7</f>
        <v>0</v>
      </c>
      <c r="Q7" s="1754">
        <v>24</v>
      </c>
      <c r="R7" s="510">
        <f t="shared" ref="R7:R13" si="6">F7/26/8*2</f>
        <v>1.9615384615384615</v>
      </c>
      <c r="S7" s="618">
        <f t="shared" ref="S7:S13" si="7">R7*Q7</f>
        <v>47.076923076923073</v>
      </c>
      <c r="T7" s="1754">
        <v>5</v>
      </c>
      <c r="U7" s="510">
        <f t="shared" ref="U7:U13" si="8">F7/26</f>
        <v>7.8461538461538458</v>
      </c>
      <c r="V7" s="618">
        <f t="shared" ref="V7:V13" si="9">U7*T7</f>
        <v>39.230769230769226</v>
      </c>
      <c r="W7" s="1754">
        <v>0</v>
      </c>
      <c r="X7" s="618">
        <f>'WC Salary'!T8*WC!W7</f>
        <v>0</v>
      </c>
      <c r="Y7" s="1754">
        <v>0</v>
      </c>
      <c r="Z7" s="510">
        <f t="shared" ref="Z7:Z13" si="10">F7/26/2</f>
        <v>3.9230769230769229</v>
      </c>
      <c r="AA7" s="618">
        <f t="shared" ref="AA7:AA13" si="11">Y7*Z7</f>
        <v>0</v>
      </c>
      <c r="AB7" s="1754">
        <v>0</v>
      </c>
      <c r="AC7" s="1416">
        <f t="shared" ref="AC7:AC13" si="12">H7+T7+Y7+AB7+W7</f>
        <v>27</v>
      </c>
      <c r="AD7" s="1001">
        <v>0</v>
      </c>
      <c r="AE7" s="1121">
        <v>0</v>
      </c>
      <c r="AF7" s="511">
        <v>0</v>
      </c>
      <c r="AG7" s="511">
        <v>0</v>
      </c>
      <c r="AH7" s="618">
        <v>10</v>
      </c>
      <c r="AI7" s="618">
        <v>11</v>
      </c>
      <c r="AJ7" s="618">
        <v>10</v>
      </c>
      <c r="AK7" s="618">
        <v>10</v>
      </c>
      <c r="AL7" s="1148">
        <f t="shared" ref="AL7:AL13" si="13">G7+J7+M7+P7+S7+V7+AA7+AD7+AF7+AH7+AI7+AJ7+AK7+X7+AE7+AG7</f>
        <v>344.05769230769232</v>
      </c>
      <c r="AM7" s="1631">
        <v>0.5</v>
      </c>
      <c r="AN7" s="1018">
        <v>102</v>
      </c>
      <c r="AO7" s="1096">
        <f>'Tax Calulation               '!P7</f>
        <v>0</v>
      </c>
      <c r="AP7" s="1096">
        <f>'Tax Calulation               '!W7</f>
        <v>5.9084194977843429</v>
      </c>
      <c r="AQ7" s="1686">
        <f t="shared" ref="AQ7:AQ13" si="14">AL7-AO7-AN7-AP7-AM7</f>
        <v>235.64927280990798</v>
      </c>
      <c r="AR7" s="1682">
        <f>ROUND((AQ7-AS7)*4040,-2)</f>
        <v>144000</v>
      </c>
      <c r="AS7" s="1683">
        <f>CEILING(AQ7,(100))-100</f>
        <v>200</v>
      </c>
      <c r="AT7" s="502"/>
      <c r="AU7" s="504"/>
      <c r="AV7" s="505">
        <f t="shared" ref="AV7:AV13" si="15">(J7+M7+P7+S7+V7+AA7+AH7+AI7+AJ7+AK7)*4000</f>
        <v>1376230.7692307692</v>
      </c>
      <c r="AW7" s="502">
        <f t="shared" ref="AW7:AW13" si="16">INT(AS7/100)</f>
        <v>2</v>
      </c>
      <c r="AX7" s="502">
        <f t="shared" ref="AX7:AX13" si="17">INT((AS7-AW7*100)/50)</f>
        <v>0</v>
      </c>
      <c r="AY7" s="573">
        <f>AW7*100+AX7*50</f>
        <v>200</v>
      </c>
      <c r="AZ7" s="573">
        <f t="shared" ref="AZ7:AZ13" si="18">INT((AR7/50000))</f>
        <v>2</v>
      </c>
      <c r="BA7" s="548">
        <f t="shared" ref="BA7:BA13" si="19">INT((AR7-AZ7*50000)/10000)</f>
        <v>4</v>
      </c>
      <c r="BB7" s="548">
        <f t="shared" ref="BB7:BB13" si="20">INT((AR7-AZ7*50000-BA7*10000)/5000)</f>
        <v>0</v>
      </c>
      <c r="BC7" s="548">
        <f t="shared" ref="BC7:BC13" si="21">INT((AR7-AZ7*50000-BA7*10000-BB7*5000)/1000)</f>
        <v>4</v>
      </c>
      <c r="BD7" s="548">
        <f t="shared" ref="BD7:BD13" si="22">INT((AR7-AZ7*50000-BA7*10000-BB7*5000-BC7*1000)/500)</f>
        <v>0</v>
      </c>
      <c r="BE7" s="548">
        <f t="shared" ref="BE7:BE13" si="23">INT((AR7-AZ7*50000-BA7*10000-BB7*5000-BC7*1000-BD7*500)/100)</f>
        <v>0</v>
      </c>
      <c r="BF7" s="549">
        <f>AZ7*50000+BA7*10000+BB7*5000+BC7*1000+BD7*500+BE7*100</f>
        <v>144000</v>
      </c>
      <c r="BH7" s="578" t="s">
        <v>1791</v>
      </c>
      <c r="BI7" s="578" t="s">
        <v>572</v>
      </c>
      <c r="BJ7" s="1154">
        <v>23627</v>
      </c>
      <c r="BK7" s="578" t="s">
        <v>698</v>
      </c>
      <c r="BL7" s="531">
        <v>30776676</v>
      </c>
    </row>
    <row r="8" spans="1:64" s="755" customFormat="1" ht="66.75" customHeight="1">
      <c r="A8" s="1369">
        <v>2</v>
      </c>
      <c r="B8" s="1414" t="s">
        <v>334</v>
      </c>
      <c r="C8" s="1390" t="s">
        <v>508</v>
      </c>
      <c r="D8" s="1841">
        <v>41365</v>
      </c>
      <c r="E8" s="1637" t="s">
        <v>319</v>
      </c>
      <c r="F8" s="617">
        <f>153+17+12+8+2+2+6+4</f>
        <v>204</v>
      </c>
      <c r="G8" s="630"/>
      <c r="H8" s="1754">
        <v>22</v>
      </c>
      <c r="I8" s="1408">
        <f t="shared" si="0"/>
        <v>172.61538461538461</v>
      </c>
      <c r="J8" s="618">
        <f t="shared" si="1"/>
        <v>172.61538461538461</v>
      </c>
      <c r="K8" s="1754">
        <v>30</v>
      </c>
      <c r="L8" s="510">
        <f t="shared" si="2"/>
        <v>1.471153846153846</v>
      </c>
      <c r="M8" s="618">
        <f t="shared" si="3"/>
        <v>44.13461538461538</v>
      </c>
      <c r="N8" s="1754">
        <v>0</v>
      </c>
      <c r="O8" s="510">
        <f t="shared" si="4"/>
        <v>1.9615384615384615</v>
      </c>
      <c r="P8" s="503">
        <f t="shared" si="5"/>
        <v>0</v>
      </c>
      <c r="Q8" s="1754">
        <v>8</v>
      </c>
      <c r="R8" s="510">
        <f t="shared" si="6"/>
        <v>1.9615384615384615</v>
      </c>
      <c r="S8" s="618">
        <f t="shared" si="7"/>
        <v>15.692307692307692</v>
      </c>
      <c r="T8" s="1754">
        <v>5</v>
      </c>
      <c r="U8" s="510">
        <f t="shared" si="8"/>
        <v>7.8461538461538458</v>
      </c>
      <c r="V8" s="618">
        <f t="shared" si="9"/>
        <v>39.230769230769226</v>
      </c>
      <c r="W8" s="1754">
        <v>0</v>
      </c>
      <c r="X8" s="618">
        <f>'WC Salary'!T9*WC!W8</f>
        <v>0</v>
      </c>
      <c r="Y8" s="1754">
        <v>0</v>
      </c>
      <c r="Z8" s="510">
        <f t="shared" si="10"/>
        <v>3.9230769230769229</v>
      </c>
      <c r="AA8" s="618">
        <f t="shared" si="11"/>
        <v>0</v>
      </c>
      <c r="AB8" s="1754">
        <v>0</v>
      </c>
      <c r="AC8" s="1416">
        <f>H8+T8+Y8+AB8+W8</f>
        <v>27</v>
      </c>
      <c r="AD8" s="1001">
        <v>0</v>
      </c>
      <c r="AE8" s="1121">
        <v>0</v>
      </c>
      <c r="AF8" s="511">
        <v>0</v>
      </c>
      <c r="AG8" s="511">
        <v>0</v>
      </c>
      <c r="AH8" s="618">
        <v>10</v>
      </c>
      <c r="AI8" s="618">
        <v>11</v>
      </c>
      <c r="AJ8" s="618">
        <v>10</v>
      </c>
      <c r="AK8" s="618">
        <v>10</v>
      </c>
      <c r="AL8" s="1148">
        <f t="shared" si="13"/>
        <v>312.67307692307691</v>
      </c>
      <c r="AM8" s="1631">
        <v>0.5</v>
      </c>
      <c r="AN8" s="1018">
        <v>102</v>
      </c>
      <c r="AO8" s="1096">
        <f>'Tax Calulation               '!P8</f>
        <v>0</v>
      </c>
      <c r="AP8" s="1096">
        <f>'Tax Calulation               '!W8</f>
        <v>5.9084194977843429</v>
      </c>
      <c r="AQ8" s="1686">
        <f t="shared" si="14"/>
        <v>204.26465742529257</v>
      </c>
      <c r="AR8" s="1682">
        <f t="shared" ref="AR8:AR13" si="24">ROUND((AQ8-AS8)*4040,-2)</f>
        <v>17200</v>
      </c>
      <c r="AS8" s="1683">
        <f t="shared" ref="AS8:AS13" si="25">CEILING(AQ8,(100))-100</f>
        <v>200</v>
      </c>
      <c r="AT8" s="502"/>
      <c r="AU8" s="504"/>
      <c r="AV8" s="505">
        <f t="shared" si="15"/>
        <v>1250692.3076923075</v>
      </c>
      <c r="AW8" s="502">
        <f t="shared" si="16"/>
        <v>2</v>
      </c>
      <c r="AX8" s="502">
        <f t="shared" si="17"/>
        <v>0</v>
      </c>
      <c r="AY8" s="573">
        <f t="shared" ref="AY8:AY12" si="26">AW8*100+AX8*50</f>
        <v>200</v>
      </c>
      <c r="AZ8" s="573">
        <f t="shared" si="18"/>
        <v>0</v>
      </c>
      <c r="BA8" s="548">
        <f t="shared" si="19"/>
        <v>1</v>
      </c>
      <c r="BB8" s="548">
        <f t="shared" si="20"/>
        <v>1</v>
      </c>
      <c r="BC8" s="548">
        <f t="shared" si="21"/>
        <v>2</v>
      </c>
      <c r="BD8" s="548">
        <f t="shared" si="22"/>
        <v>0</v>
      </c>
      <c r="BE8" s="548">
        <f t="shared" si="23"/>
        <v>2</v>
      </c>
      <c r="BF8" s="549">
        <f t="shared" ref="BF8:BF12" si="27">AZ8*50000+BA8*10000+BB8*5000+BC8*1000+BD8*500+BE8*100</f>
        <v>17200</v>
      </c>
      <c r="BH8" s="578" t="s">
        <v>852</v>
      </c>
      <c r="BI8" s="578" t="s">
        <v>574</v>
      </c>
      <c r="BJ8" s="1154">
        <v>25755</v>
      </c>
      <c r="BK8" s="578" t="s">
        <v>696</v>
      </c>
      <c r="BL8" s="531">
        <v>30136553</v>
      </c>
    </row>
    <row r="9" spans="1:64" s="755" customFormat="1" ht="66.75" customHeight="1">
      <c r="A9" s="1369">
        <v>3</v>
      </c>
      <c r="B9" s="1414" t="s">
        <v>335</v>
      </c>
      <c r="C9" s="1390" t="s">
        <v>509</v>
      </c>
      <c r="D9" s="1841">
        <v>41519</v>
      </c>
      <c r="E9" s="1637" t="s">
        <v>319</v>
      </c>
      <c r="F9" s="617">
        <f>153+17+12+8+2+2+6+4</f>
        <v>204</v>
      </c>
      <c r="G9" s="630"/>
      <c r="H9" s="1754">
        <v>22</v>
      </c>
      <c r="I9" s="1408">
        <f t="shared" si="0"/>
        <v>172.61538461538461</v>
      </c>
      <c r="J9" s="618">
        <f t="shared" si="1"/>
        <v>172.61538461538461</v>
      </c>
      <c r="K9" s="1754">
        <v>57</v>
      </c>
      <c r="L9" s="510">
        <f t="shared" si="2"/>
        <v>1.471153846153846</v>
      </c>
      <c r="M9" s="618">
        <f t="shared" si="3"/>
        <v>83.855769230769226</v>
      </c>
      <c r="N9" s="1754">
        <v>0</v>
      </c>
      <c r="O9" s="510">
        <f t="shared" si="4"/>
        <v>1.9615384615384615</v>
      </c>
      <c r="P9" s="503">
        <f t="shared" si="5"/>
        <v>0</v>
      </c>
      <c r="Q9" s="1754">
        <v>24</v>
      </c>
      <c r="R9" s="510">
        <f t="shared" si="6"/>
        <v>1.9615384615384615</v>
      </c>
      <c r="S9" s="618">
        <f t="shared" si="7"/>
        <v>47.076923076923073</v>
      </c>
      <c r="T9" s="1754">
        <v>5</v>
      </c>
      <c r="U9" s="510">
        <f t="shared" si="8"/>
        <v>7.8461538461538458</v>
      </c>
      <c r="V9" s="618">
        <f t="shared" si="9"/>
        <v>39.230769230769226</v>
      </c>
      <c r="W9" s="1754">
        <v>0</v>
      </c>
      <c r="X9" s="618">
        <f>'WC Salary'!T10*WC!W9</f>
        <v>0</v>
      </c>
      <c r="Y9" s="1754">
        <v>0</v>
      </c>
      <c r="Z9" s="510">
        <f t="shared" si="10"/>
        <v>3.9230769230769229</v>
      </c>
      <c r="AA9" s="618">
        <f t="shared" si="11"/>
        <v>0</v>
      </c>
      <c r="AB9" s="1754">
        <v>0</v>
      </c>
      <c r="AC9" s="1416">
        <f t="shared" si="12"/>
        <v>27</v>
      </c>
      <c r="AD9" s="1001">
        <v>0</v>
      </c>
      <c r="AE9" s="1121">
        <v>0</v>
      </c>
      <c r="AF9" s="511">
        <v>0</v>
      </c>
      <c r="AG9" s="511">
        <v>0</v>
      </c>
      <c r="AH9" s="618">
        <v>10</v>
      </c>
      <c r="AI9" s="618">
        <v>11</v>
      </c>
      <c r="AJ9" s="618">
        <v>10</v>
      </c>
      <c r="AK9" s="618">
        <v>10</v>
      </c>
      <c r="AL9" s="1148">
        <f t="shared" si="13"/>
        <v>383.77884615384613</v>
      </c>
      <c r="AM9" s="1631">
        <v>0.5</v>
      </c>
      <c r="AN9" s="1018">
        <v>102</v>
      </c>
      <c r="AO9" s="1096">
        <f>'Tax Calulation               '!P9</f>
        <v>0</v>
      </c>
      <c r="AP9" s="1096">
        <f>'Tax Calulation               '!W9</f>
        <v>5.9084194977843429</v>
      </c>
      <c r="AQ9" s="1686">
        <f t="shared" si="14"/>
        <v>275.3704266560618</v>
      </c>
      <c r="AR9" s="1682">
        <f t="shared" si="24"/>
        <v>304500</v>
      </c>
      <c r="AS9" s="1683">
        <f t="shared" si="25"/>
        <v>200</v>
      </c>
      <c r="AT9" s="502"/>
      <c r="AU9" s="504"/>
      <c r="AV9" s="505">
        <f t="shared" si="15"/>
        <v>1535115.3846153845</v>
      </c>
      <c r="AW9" s="502">
        <f t="shared" si="16"/>
        <v>2</v>
      </c>
      <c r="AX9" s="502">
        <f t="shared" si="17"/>
        <v>0</v>
      </c>
      <c r="AY9" s="573">
        <f t="shared" si="26"/>
        <v>200</v>
      </c>
      <c r="AZ9" s="573">
        <f t="shared" si="18"/>
        <v>6</v>
      </c>
      <c r="BA9" s="548">
        <f t="shared" si="19"/>
        <v>0</v>
      </c>
      <c r="BB9" s="548">
        <f t="shared" si="20"/>
        <v>0</v>
      </c>
      <c r="BC9" s="548">
        <f t="shared" si="21"/>
        <v>4</v>
      </c>
      <c r="BD9" s="548">
        <f t="shared" si="22"/>
        <v>1</v>
      </c>
      <c r="BE9" s="548">
        <f t="shared" si="23"/>
        <v>0</v>
      </c>
      <c r="BF9" s="549">
        <f t="shared" si="27"/>
        <v>304500</v>
      </c>
      <c r="BH9" s="578" t="s">
        <v>853</v>
      </c>
      <c r="BI9" s="578" t="s">
        <v>574</v>
      </c>
      <c r="BJ9" s="1154">
        <v>23413</v>
      </c>
      <c r="BK9" s="578" t="s">
        <v>693</v>
      </c>
      <c r="BL9" s="531">
        <v>10292902</v>
      </c>
    </row>
    <row r="10" spans="1:64" s="755" customFormat="1" ht="66.75" customHeight="1">
      <c r="A10" s="1369">
        <v>4</v>
      </c>
      <c r="B10" s="1414" t="s">
        <v>336</v>
      </c>
      <c r="C10" s="1390" t="s">
        <v>510</v>
      </c>
      <c r="D10" s="1841">
        <v>42452</v>
      </c>
      <c r="E10" s="1637" t="s">
        <v>319</v>
      </c>
      <c r="F10" s="617">
        <f>153+17+12+8+2+2+6+4</f>
        <v>204</v>
      </c>
      <c r="G10" s="630"/>
      <c r="H10" s="1754">
        <v>22</v>
      </c>
      <c r="I10" s="1408">
        <f t="shared" si="0"/>
        <v>172.61538461538461</v>
      </c>
      <c r="J10" s="618">
        <f t="shared" si="1"/>
        <v>172.61538461538461</v>
      </c>
      <c r="K10" s="1754">
        <v>59</v>
      </c>
      <c r="L10" s="510">
        <f t="shared" si="2"/>
        <v>1.471153846153846</v>
      </c>
      <c r="M10" s="618">
        <f t="shared" si="3"/>
        <v>86.79807692307692</v>
      </c>
      <c r="N10" s="1754">
        <v>0</v>
      </c>
      <c r="O10" s="510">
        <f t="shared" si="4"/>
        <v>1.9615384615384615</v>
      </c>
      <c r="P10" s="503">
        <f t="shared" si="5"/>
        <v>0</v>
      </c>
      <c r="Q10" s="1754">
        <v>24</v>
      </c>
      <c r="R10" s="510">
        <f t="shared" si="6"/>
        <v>1.9615384615384615</v>
      </c>
      <c r="S10" s="618">
        <f t="shared" si="7"/>
        <v>47.076923076923073</v>
      </c>
      <c r="T10" s="1754">
        <v>5</v>
      </c>
      <c r="U10" s="510">
        <f t="shared" si="8"/>
        <v>7.8461538461538458</v>
      </c>
      <c r="V10" s="618">
        <f t="shared" si="9"/>
        <v>39.230769230769226</v>
      </c>
      <c r="W10" s="1754">
        <v>0</v>
      </c>
      <c r="X10" s="618">
        <f>'WC Salary'!T11*WC!W10</f>
        <v>0</v>
      </c>
      <c r="Y10" s="1754">
        <v>0</v>
      </c>
      <c r="Z10" s="510">
        <f t="shared" si="10"/>
        <v>3.9230769230769229</v>
      </c>
      <c r="AA10" s="618">
        <f t="shared" si="11"/>
        <v>0</v>
      </c>
      <c r="AB10" s="1754">
        <v>0</v>
      </c>
      <c r="AC10" s="1416">
        <f>H10+T10+Y10+AB10+W10</f>
        <v>27</v>
      </c>
      <c r="AD10" s="1001">
        <v>0</v>
      </c>
      <c r="AE10" s="1121">
        <v>0</v>
      </c>
      <c r="AF10" s="511">
        <v>0</v>
      </c>
      <c r="AG10" s="511">
        <v>0</v>
      </c>
      <c r="AH10" s="618">
        <v>10</v>
      </c>
      <c r="AI10" s="618">
        <v>9</v>
      </c>
      <c r="AJ10" s="618">
        <v>10</v>
      </c>
      <c r="AK10" s="618">
        <v>10</v>
      </c>
      <c r="AL10" s="1148">
        <f t="shared" si="13"/>
        <v>384.72115384615387</v>
      </c>
      <c r="AM10" s="1631">
        <v>0.5</v>
      </c>
      <c r="AN10" s="1018">
        <v>102</v>
      </c>
      <c r="AO10" s="1096">
        <f>'Tax Calulation               '!P10</f>
        <v>0</v>
      </c>
      <c r="AP10" s="1096">
        <f>'Tax Calulation               '!W10</f>
        <v>5.9084194977843429</v>
      </c>
      <c r="AQ10" s="1686">
        <f t="shared" si="14"/>
        <v>276.31273434836953</v>
      </c>
      <c r="AR10" s="1682">
        <f t="shared" si="24"/>
        <v>308300</v>
      </c>
      <c r="AS10" s="1683">
        <f t="shared" si="25"/>
        <v>200</v>
      </c>
      <c r="AT10" s="502"/>
      <c r="AU10" s="504"/>
      <c r="AV10" s="505">
        <f t="shared" si="15"/>
        <v>1538884.6153846155</v>
      </c>
      <c r="AW10" s="502">
        <f t="shared" si="16"/>
        <v>2</v>
      </c>
      <c r="AX10" s="502">
        <f t="shared" si="17"/>
        <v>0</v>
      </c>
      <c r="AY10" s="573">
        <f t="shared" si="26"/>
        <v>200</v>
      </c>
      <c r="AZ10" s="573">
        <f t="shared" si="18"/>
        <v>6</v>
      </c>
      <c r="BA10" s="548">
        <f t="shared" si="19"/>
        <v>0</v>
      </c>
      <c r="BB10" s="548">
        <f t="shared" si="20"/>
        <v>1</v>
      </c>
      <c r="BC10" s="548">
        <f t="shared" si="21"/>
        <v>3</v>
      </c>
      <c r="BD10" s="548">
        <f t="shared" si="22"/>
        <v>0</v>
      </c>
      <c r="BE10" s="548">
        <f t="shared" si="23"/>
        <v>3</v>
      </c>
      <c r="BF10" s="549">
        <f t="shared" si="27"/>
        <v>308300</v>
      </c>
      <c r="BH10" s="578" t="s">
        <v>854</v>
      </c>
      <c r="BI10" s="578" t="s">
        <v>574</v>
      </c>
      <c r="BJ10" s="1154">
        <v>28041</v>
      </c>
      <c r="BK10" s="578" t="s">
        <v>694</v>
      </c>
      <c r="BL10" s="531">
        <v>30609887</v>
      </c>
    </row>
    <row r="11" spans="1:64" s="755" customFormat="1" ht="66.75" customHeight="1">
      <c r="A11" s="1369">
        <v>5</v>
      </c>
      <c r="B11" s="1414" t="s">
        <v>470</v>
      </c>
      <c r="C11" s="1390" t="s">
        <v>471</v>
      </c>
      <c r="D11" s="1841">
        <v>43633</v>
      </c>
      <c r="E11" s="1637" t="s">
        <v>319</v>
      </c>
      <c r="F11" s="617">
        <f>182+8+2+2+6+4</f>
        <v>204</v>
      </c>
      <c r="G11" s="630"/>
      <c r="H11" s="1754">
        <v>22</v>
      </c>
      <c r="I11" s="1408">
        <f t="shared" si="0"/>
        <v>172.61538461538461</v>
      </c>
      <c r="J11" s="618">
        <f t="shared" si="1"/>
        <v>172.61538461538461</v>
      </c>
      <c r="K11" s="1754">
        <v>68</v>
      </c>
      <c r="L11" s="510">
        <f t="shared" si="2"/>
        <v>1.471153846153846</v>
      </c>
      <c r="M11" s="618">
        <f t="shared" si="3"/>
        <v>100.03846153846153</v>
      </c>
      <c r="N11" s="1754">
        <v>0</v>
      </c>
      <c r="O11" s="510">
        <f t="shared" si="4"/>
        <v>1.9615384615384615</v>
      </c>
      <c r="P11" s="503">
        <f t="shared" si="5"/>
        <v>0</v>
      </c>
      <c r="Q11" s="1754">
        <v>20</v>
      </c>
      <c r="R11" s="510">
        <f t="shared" si="6"/>
        <v>1.9615384615384615</v>
      </c>
      <c r="S11" s="618">
        <f t="shared" si="7"/>
        <v>39.230769230769226</v>
      </c>
      <c r="T11" s="1754">
        <v>5</v>
      </c>
      <c r="U11" s="510">
        <f t="shared" si="8"/>
        <v>7.8461538461538458</v>
      </c>
      <c r="V11" s="618">
        <f t="shared" si="9"/>
        <v>39.230769230769226</v>
      </c>
      <c r="W11" s="1754">
        <v>0</v>
      </c>
      <c r="X11" s="618">
        <f>'WC Salary'!T12*WC!W11</f>
        <v>0</v>
      </c>
      <c r="Y11" s="1754">
        <v>0</v>
      </c>
      <c r="Z11" s="510">
        <f t="shared" si="10"/>
        <v>3.9230769230769229</v>
      </c>
      <c r="AA11" s="618">
        <f t="shared" si="11"/>
        <v>0</v>
      </c>
      <c r="AB11" s="1754">
        <v>0</v>
      </c>
      <c r="AC11" s="1416">
        <f t="shared" si="12"/>
        <v>27</v>
      </c>
      <c r="AD11" s="1001">
        <v>0</v>
      </c>
      <c r="AE11" s="1121">
        <v>0</v>
      </c>
      <c r="AF11" s="511">
        <v>0</v>
      </c>
      <c r="AG11" s="511">
        <v>0</v>
      </c>
      <c r="AH11" s="618">
        <v>10</v>
      </c>
      <c r="AI11" s="618">
        <v>6</v>
      </c>
      <c r="AJ11" s="618">
        <v>10</v>
      </c>
      <c r="AK11" s="618">
        <v>10</v>
      </c>
      <c r="AL11" s="1148">
        <f t="shared" si="13"/>
        <v>387.11538461538458</v>
      </c>
      <c r="AM11" s="1631">
        <v>0.5</v>
      </c>
      <c r="AN11" s="1018">
        <v>102</v>
      </c>
      <c r="AO11" s="1096">
        <f>'Tax Calulation               '!P11</f>
        <v>0</v>
      </c>
      <c r="AP11" s="1096">
        <f>'Tax Calulation               '!W11</f>
        <v>0</v>
      </c>
      <c r="AQ11" s="1686">
        <f t="shared" si="14"/>
        <v>284.61538461538458</v>
      </c>
      <c r="AR11" s="1682">
        <f t="shared" si="24"/>
        <v>341800</v>
      </c>
      <c r="AS11" s="1683">
        <f t="shared" si="25"/>
        <v>200</v>
      </c>
      <c r="AT11" s="502"/>
      <c r="AU11" s="504"/>
      <c r="AV11" s="505">
        <f t="shared" si="15"/>
        <v>1548461.5384615383</v>
      </c>
      <c r="AW11" s="502">
        <f t="shared" si="16"/>
        <v>2</v>
      </c>
      <c r="AX11" s="502">
        <f t="shared" si="17"/>
        <v>0</v>
      </c>
      <c r="AY11" s="573">
        <f t="shared" si="26"/>
        <v>200</v>
      </c>
      <c r="AZ11" s="573">
        <f t="shared" si="18"/>
        <v>6</v>
      </c>
      <c r="BA11" s="548">
        <f t="shared" si="19"/>
        <v>4</v>
      </c>
      <c r="BB11" s="548">
        <f t="shared" si="20"/>
        <v>0</v>
      </c>
      <c r="BC11" s="548">
        <f t="shared" si="21"/>
        <v>1</v>
      </c>
      <c r="BD11" s="548">
        <f t="shared" si="22"/>
        <v>1</v>
      </c>
      <c r="BE11" s="548">
        <f t="shared" si="23"/>
        <v>3</v>
      </c>
      <c r="BF11" s="549">
        <f t="shared" si="27"/>
        <v>341800</v>
      </c>
      <c r="BH11" s="578" t="s">
        <v>855</v>
      </c>
      <c r="BI11" s="578" t="s">
        <v>574</v>
      </c>
      <c r="BJ11" s="1154">
        <v>20646</v>
      </c>
      <c r="BK11" s="578" t="s">
        <v>695</v>
      </c>
      <c r="BL11" s="531">
        <v>250026320</v>
      </c>
    </row>
    <row r="12" spans="1:64" s="755" customFormat="1" ht="66.75" customHeight="1">
      <c r="A12" s="1369">
        <v>6</v>
      </c>
      <c r="B12" s="1415" t="s">
        <v>1571</v>
      </c>
      <c r="C12" s="1079" t="s">
        <v>1572</v>
      </c>
      <c r="D12" s="1841">
        <v>44713</v>
      </c>
      <c r="E12" s="1637" t="s">
        <v>319</v>
      </c>
      <c r="F12" s="617">
        <f>194+6+4</f>
        <v>204</v>
      </c>
      <c r="G12" s="630"/>
      <c r="H12" s="1754">
        <v>20.5</v>
      </c>
      <c r="I12" s="1408">
        <f t="shared" si="0"/>
        <v>160.84615384615384</v>
      </c>
      <c r="J12" s="618">
        <f t="shared" si="1"/>
        <v>160.84615384615384</v>
      </c>
      <c r="K12" s="1754">
        <v>48</v>
      </c>
      <c r="L12" s="510">
        <f t="shared" si="2"/>
        <v>1.471153846153846</v>
      </c>
      <c r="M12" s="618">
        <f t="shared" si="3"/>
        <v>70.615384615384613</v>
      </c>
      <c r="N12" s="1754">
        <v>0</v>
      </c>
      <c r="O12" s="510">
        <f t="shared" si="4"/>
        <v>1.9615384615384615</v>
      </c>
      <c r="P12" s="503">
        <f t="shared" ref="P12" si="28">N12*O12</f>
        <v>0</v>
      </c>
      <c r="Q12" s="1754">
        <v>16</v>
      </c>
      <c r="R12" s="510">
        <f t="shared" si="6"/>
        <v>1.9615384615384615</v>
      </c>
      <c r="S12" s="618">
        <f t="shared" ref="S12" si="29">R12*Q12</f>
        <v>31.384615384615383</v>
      </c>
      <c r="T12" s="1754">
        <v>5</v>
      </c>
      <c r="U12" s="510">
        <f t="shared" si="8"/>
        <v>7.8461538461538458</v>
      </c>
      <c r="V12" s="618">
        <f t="shared" si="9"/>
        <v>39.230769230769226</v>
      </c>
      <c r="W12" s="1754">
        <v>0</v>
      </c>
      <c r="X12" s="618">
        <f>'WC Salary'!T13*WC!W12</f>
        <v>0</v>
      </c>
      <c r="Y12" s="1754">
        <v>0</v>
      </c>
      <c r="Z12" s="510">
        <f t="shared" si="10"/>
        <v>3.9230769230769229</v>
      </c>
      <c r="AA12" s="618">
        <f t="shared" si="11"/>
        <v>0</v>
      </c>
      <c r="AB12" s="1754">
        <v>1.5</v>
      </c>
      <c r="AC12" s="1469">
        <f t="shared" ref="AC12" si="30">H12+T12+Y12+AB12+W12</f>
        <v>27</v>
      </c>
      <c r="AD12" s="1001">
        <v>0</v>
      </c>
      <c r="AE12" s="1121">
        <v>0</v>
      </c>
      <c r="AF12" s="511">
        <v>0</v>
      </c>
      <c r="AG12" s="511">
        <v>0</v>
      </c>
      <c r="AH12" s="618">
        <v>5.5</v>
      </c>
      <c r="AI12" s="618">
        <v>3</v>
      </c>
      <c r="AJ12" s="618">
        <v>10</v>
      </c>
      <c r="AK12" s="618">
        <v>10</v>
      </c>
      <c r="AL12" s="1148">
        <f t="shared" si="13"/>
        <v>330.57692307692304</v>
      </c>
      <c r="AM12" s="1632">
        <v>0</v>
      </c>
      <c r="AN12" s="1018">
        <v>102</v>
      </c>
      <c r="AO12" s="1096">
        <f>'Tax Calulation               '!P12</f>
        <v>0</v>
      </c>
      <c r="AP12" s="1096">
        <f>'Tax Calulation               '!W12</f>
        <v>5.9084194977843429</v>
      </c>
      <c r="AQ12" s="1686">
        <f t="shared" si="14"/>
        <v>222.6685035791387</v>
      </c>
      <c r="AR12" s="1682">
        <f t="shared" si="24"/>
        <v>91600</v>
      </c>
      <c r="AS12" s="1683">
        <f t="shared" ref="AS12" si="31">CEILING(AQ12,(100))-100</f>
        <v>200</v>
      </c>
      <c r="AT12" s="502"/>
      <c r="AU12" s="504"/>
      <c r="AV12" s="505">
        <f t="shared" si="15"/>
        <v>1322307.6923076923</v>
      </c>
      <c r="AW12" s="502">
        <f t="shared" ref="AW12" si="32">INT(AS12/100)</f>
        <v>2</v>
      </c>
      <c r="AX12" s="502">
        <f t="shared" ref="AX12" si="33">INT((AS12-AW12*100)/50)</f>
        <v>0</v>
      </c>
      <c r="AY12" s="1113">
        <f t="shared" si="26"/>
        <v>200</v>
      </c>
      <c r="AZ12" s="1113">
        <f t="shared" ref="AZ12" si="34">INT((AR12/50000))</f>
        <v>1</v>
      </c>
      <c r="BA12" s="548">
        <f t="shared" ref="BA12" si="35">INT((AR12-AZ12*50000)/10000)</f>
        <v>4</v>
      </c>
      <c r="BB12" s="548">
        <f t="shared" ref="BB12" si="36">INT((AR12-AZ12*50000-BA12*10000)/5000)</f>
        <v>0</v>
      </c>
      <c r="BC12" s="548">
        <f t="shared" ref="BC12" si="37">INT((AR12-AZ12*50000-BA12*10000-BB12*5000)/1000)</f>
        <v>1</v>
      </c>
      <c r="BD12" s="548">
        <f t="shared" ref="BD12" si="38">INT((AR12-AZ12*50000-BA12*10000-BB12*5000-BC12*1000)/500)</f>
        <v>1</v>
      </c>
      <c r="BE12" s="548">
        <f t="shared" ref="BE12" si="39">INT((AR12-AZ12*50000-BA12*10000-BB12*5000-BC12*1000-BD12*500)/100)</f>
        <v>1</v>
      </c>
      <c r="BF12" s="549">
        <f t="shared" si="27"/>
        <v>91600</v>
      </c>
      <c r="BH12" s="798" t="s">
        <v>1588</v>
      </c>
      <c r="BI12" s="578" t="s">
        <v>943</v>
      </c>
      <c r="BJ12" s="1156">
        <v>25940</v>
      </c>
      <c r="BK12" s="1102" t="s">
        <v>1587</v>
      </c>
      <c r="BL12" s="787">
        <v>110066614</v>
      </c>
    </row>
    <row r="13" spans="1:64" s="755" customFormat="1" ht="66.75" customHeight="1">
      <c r="A13" s="1369">
        <v>7</v>
      </c>
      <c r="B13" s="1419" t="s">
        <v>1781</v>
      </c>
      <c r="C13" s="1872" t="s">
        <v>1782</v>
      </c>
      <c r="D13" s="1869">
        <v>44805</v>
      </c>
      <c r="E13" s="1637" t="s">
        <v>319</v>
      </c>
      <c r="F13" s="617">
        <f>194+6+4</f>
        <v>204</v>
      </c>
      <c r="G13" s="630"/>
      <c r="H13" s="1754">
        <v>22</v>
      </c>
      <c r="I13" s="1408">
        <f t="shared" si="0"/>
        <v>172.61538461538461</v>
      </c>
      <c r="J13" s="618">
        <f t="shared" si="1"/>
        <v>172.61538461538461</v>
      </c>
      <c r="K13" s="1754">
        <v>56</v>
      </c>
      <c r="L13" s="510">
        <f t="shared" si="2"/>
        <v>1.471153846153846</v>
      </c>
      <c r="M13" s="618">
        <f t="shared" si="3"/>
        <v>82.384615384615373</v>
      </c>
      <c r="N13" s="1754">
        <v>0</v>
      </c>
      <c r="O13" s="510">
        <f t="shared" si="4"/>
        <v>1.9615384615384615</v>
      </c>
      <c r="P13" s="503">
        <f t="shared" si="5"/>
        <v>0</v>
      </c>
      <c r="Q13" s="1754">
        <v>16</v>
      </c>
      <c r="R13" s="510">
        <f t="shared" si="6"/>
        <v>1.9615384615384615</v>
      </c>
      <c r="S13" s="618">
        <f t="shared" si="7"/>
        <v>31.384615384615383</v>
      </c>
      <c r="T13" s="1754">
        <v>5</v>
      </c>
      <c r="U13" s="510">
        <f t="shared" si="8"/>
        <v>7.8461538461538458</v>
      </c>
      <c r="V13" s="618">
        <f t="shared" si="9"/>
        <v>39.230769230769226</v>
      </c>
      <c r="W13" s="1754">
        <v>0</v>
      </c>
      <c r="X13" s="618">
        <f>'WC Salary'!T14*WC!W13</f>
        <v>0</v>
      </c>
      <c r="Y13" s="1754">
        <v>0</v>
      </c>
      <c r="Z13" s="510">
        <f t="shared" si="10"/>
        <v>3.9230769230769229</v>
      </c>
      <c r="AA13" s="618">
        <f t="shared" si="11"/>
        <v>0</v>
      </c>
      <c r="AB13" s="1754">
        <v>0</v>
      </c>
      <c r="AC13" s="1469">
        <f t="shared" si="12"/>
        <v>27</v>
      </c>
      <c r="AD13" s="1282">
        <f>(193.41+229.2+18.56+358.62)*0.05</f>
        <v>39.9895</v>
      </c>
      <c r="AE13" s="1121">
        <v>0</v>
      </c>
      <c r="AF13" s="511">
        <v>0</v>
      </c>
      <c r="AG13" s="511">
        <v>0</v>
      </c>
      <c r="AH13" s="618">
        <v>10</v>
      </c>
      <c r="AI13" s="618">
        <v>3</v>
      </c>
      <c r="AJ13" s="618">
        <v>10</v>
      </c>
      <c r="AK13" s="618">
        <v>10</v>
      </c>
      <c r="AL13" s="1148">
        <f t="shared" si="13"/>
        <v>398.60488461538461</v>
      </c>
      <c r="AM13" s="1631">
        <v>0.5</v>
      </c>
      <c r="AN13" s="1018">
        <v>102</v>
      </c>
      <c r="AO13" s="1096">
        <f>'Tax Calulation               '!P13</f>
        <v>0</v>
      </c>
      <c r="AP13" s="1096">
        <f>'Tax Calulation               '!W13</f>
        <v>5.9084194977843429</v>
      </c>
      <c r="AQ13" s="1686">
        <f t="shared" si="14"/>
        <v>290.19646511760027</v>
      </c>
      <c r="AR13" s="1682">
        <f t="shared" si="24"/>
        <v>364400</v>
      </c>
      <c r="AS13" s="1683">
        <f t="shared" si="25"/>
        <v>200</v>
      </c>
      <c r="AT13" s="502"/>
      <c r="AU13" s="504"/>
      <c r="AV13" s="505">
        <f t="shared" si="15"/>
        <v>1434461.5384615383</v>
      </c>
      <c r="AW13" s="502">
        <f t="shared" si="16"/>
        <v>2</v>
      </c>
      <c r="AX13" s="502">
        <f t="shared" si="17"/>
        <v>0</v>
      </c>
      <c r="AY13" s="573">
        <f t="shared" ref="AY13" si="40">AW13*100+AX13*50</f>
        <v>200</v>
      </c>
      <c r="AZ13" s="573">
        <f t="shared" si="18"/>
        <v>7</v>
      </c>
      <c r="BA13" s="548">
        <f t="shared" si="19"/>
        <v>1</v>
      </c>
      <c r="BB13" s="548">
        <f t="shared" si="20"/>
        <v>0</v>
      </c>
      <c r="BC13" s="548">
        <f t="shared" si="21"/>
        <v>4</v>
      </c>
      <c r="BD13" s="548">
        <f t="shared" si="22"/>
        <v>0</v>
      </c>
      <c r="BE13" s="548">
        <f t="shared" si="23"/>
        <v>4</v>
      </c>
      <c r="BF13" s="549">
        <f t="shared" ref="BF13" si="41">AZ13*50000+BA13*10000+BB13*5000+BC13*1000+BD13*500+BE13*100</f>
        <v>364400</v>
      </c>
      <c r="BH13" s="798" t="s">
        <v>1588</v>
      </c>
      <c r="BI13" s="578" t="s">
        <v>943</v>
      </c>
      <c r="BJ13" s="1156">
        <v>35881</v>
      </c>
      <c r="BK13" s="1102" t="s">
        <v>1784</v>
      </c>
      <c r="BL13" s="787">
        <v>101270754</v>
      </c>
    </row>
    <row r="14" spans="1:64" ht="60" customHeight="1">
      <c r="A14" s="535" t="s">
        <v>214</v>
      </c>
      <c r="B14" s="750"/>
      <c r="C14" s="536"/>
      <c r="D14" s="536"/>
      <c r="E14" s="536"/>
      <c r="F14" s="536"/>
      <c r="G14" s="536"/>
      <c r="H14" s="536"/>
      <c r="I14" s="536"/>
      <c r="J14" s="536"/>
      <c r="K14" s="536"/>
      <c r="L14" s="536"/>
      <c r="M14" s="536"/>
      <c r="N14" s="536"/>
      <c r="O14" s="536"/>
      <c r="P14" s="536"/>
      <c r="Q14" s="536"/>
      <c r="R14" s="536"/>
      <c r="S14" s="536"/>
      <c r="T14" s="536"/>
      <c r="U14" s="536"/>
      <c r="V14" s="536"/>
      <c r="W14" s="536"/>
      <c r="X14" s="950">
        <f>SUM(X7:X13)</f>
        <v>0</v>
      </c>
      <c r="Y14" s="536"/>
      <c r="Z14" s="536"/>
      <c r="AA14" s="536"/>
      <c r="AB14" s="536"/>
      <c r="AC14" s="536"/>
      <c r="AD14" s="558">
        <f>SUM(AD7:AD13)</f>
        <v>39.9895</v>
      </c>
      <c r="AE14" s="1114">
        <f>SUM(AE7:AE13)</f>
        <v>0</v>
      </c>
      <c r="AF14" s="536"/>
      <c r="AG14" s="1290">
        <f>SUM(AG7:AG13)</f>
        <v>0</v>
      </c>
      <c r="AH14" s="536"/>
      <c r="AI14" s="536"/>
      <c r="AJ14" s="558">
        <f t="shared" ref="AJ14:AO14" si="42">SUM(AJ7:AJ13)</f>
        <v>70</v>
      </c>
      <c r="AK14" s="537">
        <f t="shared" si="42"/>
        <v>70</v>
      </c>
      <c r="AL14" s="551">
        <f t="shared" si="42"/>
        <v>2541.5279615384611</v>
      </c>
      <c r="AM14" s="1277">
        <f t="shared" si="42"/>
        <v>3</v>
      </c>
      <c r="AN14" s="809">
        <f t="shared" si="42"/>
        <v>714</v>
      </c>
      <c r="AO14" s="551">
        <f t="shared" si="42"/>
        <v>0</v>
      </c>
      <c r="AP14" s="551">
        <f t="shared" ref="AP14:AS14" si="43">SUM(AP7:AP13)</f>
        <v>35.450516986706056</v>
      </c>
      <c r="AQ14" s="1611">
        <f t="shared" si="43"/>
        <v>1789.0774445517554</v>
      </c>
      <c r="AR14" s="1612">
        <f t="shared" si="43"/>
        <v>1571800</v>
      </c>
      <c r="AS14" s="736">
        <f t="shared" si="43"/>
        <v>1400</v>
      </c>
      <c r="AT14" s="635"/>
      <c r="AU14" s="501"/>
      <c r="AV14" s="552"/>
      <c r="AW14" s="573">
        <f t="shared" ref="AW14:BF14" si="44">SUM(AW7:AW13)</f>
        <v>14</v>
      </c>
      <c r="AX14" s="573">
        <f t="shared" si="44"/>
        <v>0</v>
      </c>
      <c r="AY14" s="507">
        <f>SUM(AY7:AY13)</f>
        <v>1400</v>
      </c>
      <c r="AZ14" s="573">
        <f t="shared" si="44"/>
        <v>28</v>
      </c>
      <c r="BA14" s="573">
        <f t="shared" si="44"/>
        <v>14</v>
      </c>
      <c r="BB14" s="573">
        <f t="shared" si="44"/>
        <v>2</v>
      </c>
      <c r="BC14" s="573">
        <f t="shared" si="44"/>
        <v>19</v>
      </c>
      <c r="BD14" s="573">
        <f t="shared" si="44"/>
        <v>3</v>
      </c>
      <c r="BE14" s="573">
        <f t="shared" si="44"/>
        <v>13</v>
      </c>
      <c r="BF14" s="579">
        <f t="shared" si="44"/>
        <v>1571800</v>
      </c>
    </row>
    <row r="15" spans="1:64">
      <c r="A15" s="552"/>
      <c r="B15" s="567"/>
      <c r="C15" s="567"/>
      <c r="D15" s="508"/>
      <c r="E15" s="552"/>
      <c r="F15" s="554"/>
      <c r="G15" s="552"/>
      <c r="H15" s="552"/>
      <c r="I15" s="552"/>
      <c r="J15" s="552"/>
      <c r="K15" s="552"/>
      <c r="L15" s="552"/>
      <c r="M15" s="552"/>
      <c r="N15" s="552"/>
      <c r="O15" s="552"/>
      <c r="P15" s="552"/>
      <c r="Q15" s="552"/>
      <c r="R15" s="552"/>
      <c r="S15" s="552"/>
      <c r="T15" s="552"/>
      <c r="U15" s="552"/>
      <c r="V15" s="552"/>
      <c r="W15" s="552"/>
      <c r="X15" s="552"/>
      <c r="Y15" s="552"/>
      <c r="Z15" s="552"/>
      <c r="AA15" s="552"/>
      <c r="AB15" s="552"/>
      <c r="AC15" s="552"/>
      <c r="AD15" s="552"/>
      <c r="AE15" s="552"/>
      <c r="AF15" s="552"/>
      <c r="AG15" s="552"/>
      <c r="AH15" s="552"/>
      <c r="AI15" s="552"/>
      <c r="AJ15" s="552"/>
      <c r="AK15" s="552"/>
      <c r="AL15" s="552"/>
      <c r="AM15" s="552"/>
      <c r="AN15" s="552"/>
      <c r="AO15" s="552"/>
      <c r="AP15" s="552"/>
      <c r="AQ15" s="552"/>
      <c r="AR15" s="552"/>
      <c r="AS15" s="552"/>
      <c r="AT15" s="552"/>
      <c r="AU15" s="552"/>
      <c r="AV15" s="552"/>
      <c r="AW15" s="552"/>
      <c r="AX15" s="552"/>
      <c r="AY15" s="552"/>
      <c r="AZ15" s="552"/>
      <c r="BA15" s="552"/>
    </row>
    <row r="16" spans="1:64" s="1355" customFormat="1" ht="27" customHeight="1">
      <c r="A16" s="1355" t="s">
        <v>213</v>
      </c>
      <c r="B16" s="1358"/>
      <c r="C16" s="1358"/>
      <c r="F16" s="1359"/>
      <c r="L16" s="1355" t="s">
        <v>2168</v>
      </c>
      <c r="AF16" s="1357" t="s">
        <v>445</v>
      </c>
      <c r="AG16" s="1357"/>
      <c r="AS16" s="1355" t="s">
        <v>212</v>
      </c>
    </row>
    <row r="17" spans="1:53">
      <c r="A17" s="552"/>
      <c r="B17" s="567"/>
      <c r="C17" s="567"/>
      <c r="D17" s="508"/>
      <c r="E17" s="552"/>
      <c r="F17" s="554"/>
      <c r="G17" s="552"/>
      <c r="H17" s="552"/>
      <c r="I17" s="552"/>
      <c r="J17" s="552"/>
      <c r="K17" s="552"/>
      <c r="L17" s="552"/>
      <c r="M17" s="552"/>
      <c r="N17" s="552"/>
      <c r="O17" s="552"/>
      <c r="P17" s="552"/>
      <c r="Q17" s="552"/>
      <c r="R17" s="552"/>
      <c r="S17" s="552"/>
      <c r="T17" s="552"/>
      <c r="U17" s="552"/>
      <c r="V17" s="552"/>
      <c r="W17" s="552"/>
      <c r="X17" s="552"/>
      <c r="Y17" s="552"/>
      <c r="Z17" s="552"/>
      <c r="AA17" s="552"/>
      <c r="AB17" s="552"/>
      <c r="AC17" s="552"/>
      <c r="AD17" s="552"/>
      <c r="AE17" s="552"/>
      <c r="AF17" s="552"/>
      <c r="AG17" s="552"/>
      <c r="AH17" s="552"/>
      <c r="AI17" s="552"/>
      <c r="AJ17" s="552"/>
      <c r="AK17" s="552"/>
      <c r="AL17" s="552"/>
      <c r="AM17" s="552"/>
      <c r="AN17" s="552"/>
      <c r="AO17" s="552"/>
      <c r="AP17" s="552"/>
      <c r="AQ17" s="552"/>
      <c r="AR17" s="552"/>
      <c r="AS17" s="552"/>
      <c r="AT17" s="552"/>
      <c r="AU17" s="552"/>
      <c r="AV17" s="552"/>
      <c r="AW17" s="552"/>
      <c r="AX17" s="552"/>
      <c r="AY17" s="552"/>
      <c r="AZ17" s="552"/>
      <c r="BA17" s="552"/>
    </row>
    <row r="18" spans="1:53" ht="24.75" customHeight="1">
      <c r="AK18" s="755"/>
      <c r="AL18" s="755"/>
      <c r="AM18" s="755"/>
      <c r="AN18" s="755"/>
      <c r="AO18" s="755"/>
      <c r="AP18" s="755"/>
      <c r="AQ18" s="755"/>
      <c r="AR18" s="755"/>
      <c r="AS18" s="555"/>
    </row>
    <row r="19" spans="1:53" ht="24.75" customHeight="1">
      <c r="AK19" s="755"/>
      <c r="AL19" s="755"/>
      <c r="AM19" s="755"/>
      <c r="AN19" s="755"/>
      <c r="AO19" s="755"/>
      <c r="AP19" s="755"/>
      <c r="AQ19" s="755"/>
      <c r="AR19" s="755"/>
      <c r="AS19" s="555"/>
    </row>
    <row r="20" spans="1:53" ht="24.75" customHeight="1">
      <c r="AK20" s="755"/>
      <c r="AL20" s="755"/>
      <c r="AM20" s="755"/>
      <c r="AN20" s="755"/>
      <c r="AO20" s="755"/>
      <c r="AP20" s="755"/>
      <c r="AQ20" s="755"/>
      <c r="AR20" s="755"/>
      <c r="AS20" s="555"/>
    </row>
  </sheetData>
  <mergeCells count="32">
    <mergeCell ref="BI5:BI6"/>
    <mergeCell ref="BJ5:BJ6"/>
    <mergeCell ref="BK5:BK6"/>
    <mergeCell ref="BL5:BL6"/>
    <mergeCell ref="AI5:AI6"/>
    <mergeCell ref="AP5:AP6"/>
    <mergeCell ref="Y5:AA5"/>
    <mergeCell ref="AB5:AB6"/>
    <mergeCell ref="AD5:AD6"/>
    <mergeCell ref="AF5:AF6"/>
    <mergeCell ref="AH5:AH6"/>
    <mergeCell ref="H5:J5"/>
    <mergeCell ref="K5:M5"/>
    <mergeCell ref="N5:P5"/>
    <mergeCell ref="Q5:S5"/>
    <mergeCell ref="T5:V5"/>
    <mergeCell ref="W5:X5"/>
    <mergeCell ref="A1:AT1"/>
    <mergeCell ref="A2:AT2"/>
    <mergeCell ref="A3:AT3"/>
    <mergeCell ref="AW4:BF4"/>
    <mergeCell ref="C4:F4"/>
    <mergeCell ref="AT5:AT6"/>
    <mergeCell ref="AW5:AY5"/>
    <mergeCell ref="BB5:BF5"/>
    <mergeCell ref="AJ5:AJ6"/>
    <mergeCell ref="AK5:AK6"/>
    <mergeCell ref="AL5:AL6"/>
    <mergeCell ref="AM5:AM6"/>
    <mergeCell ref="AO5:AO6"/>
    <mergeCell ref="AQ5:AS5"/>
    <mergeCell ref="AN5:AN6"/>
  </mergeCells>
  <phoneticPr fontId="171" type="noConversion"/>
  <pageMargins left="0" right="0" top="0" bottom="0" header="0" footer="0"/>
  <pageSetup paperSize="9" scale="36" orientation="landscape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"/>
  <sheetViews>
    <sheetView workbookViewId="0">
      <pane xSplit="4" ySplit="6" topLeftCell="E10" activePane="bottomRight" state="frozen"/>
      <selection pane="topRight" activeCell="E1" sqref="E1"/>
      <selection pane="bottomLeft" activeCell="A7" sqref="A7"/>
      <selection pane="bottomRight" activeCell="F13" sqref="F13"/>
    </sheetView>
  </sheetViews>
  <sheetFormatPr defaultRowHeight="15.75"/>
  <cols>
    <col min="1" max="1" width="4.125" style="474" customWidth="1"/>
    <col min="2" max="2" width="8.125" style="474" customWidth="1"/>
    <col min="3" max="3" width="11.875" style="477" customWidth="1"/>
    <col min="4" max="4" width="11.25" style="475" customWidth="1"/>
    <col min="5" max="5" width="6.375" style="500" customWidth="1"/>
    <col min="6" max="6" width="13.25" style="474" customWidth="1"/>
    <col min="7" max="7" width="9.125" style="474" bestFit="1" customWidth="1"/>
    <col min="8" max="8" width="13.75" style="474" bestFit="1" customWidth="1"/>
    <col min="9" max="10" width="7.375" style="474" customWidth="1"/>
    <col min="11" max="11" width="9" style="474"/>
    <col min="12" max="12" width="10.875" style="474" customWidth="1"/>
    <col min="13" max="13" width="9" style="474"/>
    <col min="14" max="14" width="11.875" style="474" customWidth="1"/>
    <col min="15" max="15" width="12.125" style="474" customWidth="1"/>
    <col min="16" max="16" width="15.125" style="474" customWidth="1"/>
    <col min="17" max="17" width="9" style="474"/>
    <col min="18" max="19" width="15.625" style="474" customWidth="1"/>
    <col min="20" max="20" width="13" style="474" customWidth="1"/>
    <col min="21" max="21" width="12.875" style="474" customWidth="1"/>
    <col min="22" max="23" width="14.625" style="474" customWidth="1"/>
    <col min="24" max="16384" width="9" style="474"/>
  </cols>
  <sheetData>
    <row r="1" spans="1:39" s="479" customFormat="1" ht="29.25" customHeight="1">
      <c r="A1" s="2127" t="s">
        <v>222</v>
      </c>
      <c r="B1" s="2127"/>
      <c r="C1" s="2127"/>
      <c r="D1" s="2127"/>
      <c r="E1" s="2127"/>
      <c r="F1" s="2127"/>
      <c r="G1" s="2127"/>
      <c r="H1" s="2127"/>
      <c r="I1" s="2127"/>
      <c r="J1" s="2127"/>
      <c r="K1" s="2127"/>
      <c r="L1" s="2127"/>
      <c r="M1" s="2127"/>
      <c r="N1" s="2127"/>
      <c r="O1" s="2127"/>
      <c r="P1" s="2127"/>
      <c r="R1" s="2169" t="s">
        <v>222</v>
      </c>
      <c r="S1" s="2169"/>
      <c r="T1" s="2169"/>
      <c r="U1" s="2169"/>
      <c r="V1" s="2169"/>
      <c r="W1" s="2169"/>
    </row>
    <row r="2" spans="1:39" s="479" customFormat="1" ht="20.25" customHeight="1">
      <c r="A2" s="2127" t="s">
        <v>221</v>
      </c>
      <c r="B2" s="2127"/>
      <c r="C2" s="2127"/>
      <c r="D2" s="2127"/>
      <c r="E2" s="2127"/>
      <c r="F2" s="2127"/>
      <c r="G2" s="2127"/>
      <c r="H2" s="2127"/>
      <c r="I2" s="2127"/>
      <c r="J2" s="2127"/>
      <c r="K2" s="2127"/>
      <c r="L2" s="2127"/>
      <c r="M2" s="2127"/>
      <c r="N2" s="2127"/>
      <c r="O2" s="2127"/>
      <c r="P2" s="2127"/>
      <c r="R2" s="2126" t="s">
        <v>1807</v>
      </c>
      <c r="S2" s="2126"/>
      <c r="T2" s="2126"/>
      <c r="U2" s="2126"/>
      <c r="V2" s="2126"/>
      <c r="W2" s="2126"/>
    </row>
    <row r="3" spans="1:39" s="479" customFormat="1" ht="19.5" customHeight="1">
      <c r="A3" s="2126" t="s">
        <v>2354</v>
      </c>
      <c r="B3" s="2126"/>
      <c r="C3" s="2126"/>
      <c r="D3" s="2126"/>
      <c r="E3" s="2126"/>
      <c r="F3" s="2126"/>
      <c r="G3" s="2126"/>
      <c r="H3" s="2126"/>
      <c r="I3" s="2126"/>
      <c r="J3" s="2126"/>
      <c r="K3" s="2126"/>
      <c r="L3" s="2126"/>
      <c r="M3" s="2126"/>
      <c r="N3" s="2126"/>
      <c r="O3" s="2126"/>
      <c r="P3" s="2126"/>
      <c r="R3" s="2126" t="s">
        <v>2353</v>
      </c>
      <c r="S3" s="2126"/>
      <c r="T3" s="2126"/>
      <c r="U3" s="2126"/>
      <c r="V3" s="2126"/>
      <c r="W3" s="2126"/>
    </row>
    <row r="4" spans="1:39" s="479" customFormat="1" ht="20.25" customHeight="1" thickBot="1">
      <c r="A4" s="2128" t="s">
        <v>332</v>
      </c>
      <c r="B4" s="2128"/>
      <c r="C4" s="2128"/>
      <c r="D4" s="2128"/>
      <c r="E4" s="2128"/>
    </row>
    <row r="5" spans="1:39" s="473" customFormat="1" ht="63" customHeight="1" thickTop="1">
      <c r="A5" s="482" t="s">
        <v>223</v>
      </c>
      <c r="B5" s="482" t="s">
        <v>224</v>
      </c>
      <c r="C5" s="482" t="s">
        <v>225</v>
      </c>
      <c r="D5" s="482" t="s">
        <v>226</v>
      </c>
      <c r="E5" s="498" t="s">
        <v>227</v>
      </c>
      <c r="F5" s="482" t="s">
        <v>228</v>
      </c>
      <c r="G5" s="482" t="s">
        <v>229</v>
      </c>
      <c r="H5" s="482" t="s">
        <v>230</v>
      </c>
      <c r="I5" s="482" t="s">
        <v>231</v>
      </c>
      <c r="J5" s="482" t="s">
        <v>232</v>
      </c>
      <c r="K5" s="482" t="s">
        <v>233</v>
      </c>
      <c r="L5" s="482" t="s">
        <v>234</v>
      </c>
      <c r="M5" s="482" t="s">
        <v>235</v>
      </c>
      <c r="N5" s="482" t="s">
        <v>236</v>
      </c>
      <c r="O5" s="482" t="s">
        <v>237</v>
      </c>
      <c r="P5" s="482" t="s">
        <v>238</v>
      </c>
      <c r="Q5" s="483"/>
      <c r="R5" s="1203" t="s">
        <v>1810</v>
      </c>
      <c r="S5" s="1203" t="s">
        <v>1811</v>
      </c>
      <c r="T5" s="498" t="s">
        <v>1812</v>
      </c>
      <c r="U5" s="498" t="s">
        <v>1809</v>
      </c>
      <c r="V5" s="498" t="s">
        <v>1813</v>
      </c>
      <c r="W5" s="498" t="s">
        <v>1814</v>
      </c>
      <c r="X5" s="483"/>
      <c r="Y5" s="483"/>
      <c r="Z5" s="483"/>
      <c r="AA5" s="484"/>
      <c r="AB5" s="484"/>
      <c r="AC5" s="484"/>
      <c r="AD5" s="484"/>
      <c r="AE5" s="484"/>
      <c r="AF5" s="484"/>
      <c r="AG5" s="484"/>
      <c r="AH5" s="484"/>
      <c r="AI5" s="484"/>
      <c r="AJ5" s="484"/>
      <c r="AK5" s="484"/>
      <c r="AL5" s="484"/>
      <c r="AM5" s="484"/>
    </row>
    <row r="6" spans="1:39" s="473" customFormat="1" ht="33" customHeight="1">
      <c r="A6" s="485" t="s">
        <v>111</v>
      </c>
      <c r="B6" s="485" t="s">
        <v>239</v>
      </c>
      <c r="C6" s="485" t="s">
        <v>87</v>
      </c>
      <c r="D6" s="486" t="s">
        <v>240</v>
      </c>
      <c r="E6" s="538" t="s">
        <v>218</v>
      </c>
      <c r="F6" s="492" t="s">
        <v>241</v>
      </c>
      <c r="G6" s="492" t="s">
        <v>242</v>
      </c>
      <c r="H6" s="492" t="s">
        <v>243</v>
      </c>
      <c r="I6" s="492" t="s">
        <v>244</v>
      </c>
      <c r="J6" s="493" t="s">
        <v>245</v>
      </c>
      <c r="K6" s="492" t="s">
        <v>246</v>
      </c>
      <c r="L6" s="493" t="s">
        <v>247</v>
      </c>
      <c r="M6" s="492" t="s">
        <v>248</v>
      </c>
      <c r="N6" s="492"/>
      <c r="O6" s="492" t="s">
        <v>249</v>
      </c>
      <c r="P6" s="492" t="s">
        <v>250</v>
      </c>
      <c r="Q6" s="487"/>
      <c r="R6" s="1154"/>
      <c r="S6" s="1169"/>
      <c r="T6" s="1169"/>
      <c r="U6" s="488">
        <v>4062</v>
      </c>
      <c r="V6" s="1183">
        <v>0.02</v>
      </c>
      <c r="W6" s="488">
        <v>4062</v>
      </c>
      <c r="X6" s="487"/>
      <c r="Y6" s="487"/>
      <c r="Z6" s="487"/>
      <c r="AA6" s="481"/>
      <c r="AB6" s="481"/>
      <c r="AC6" s="481"/>
      <c r="AD6" s="481"/>
      <c r="AE6" s="481"/>
      <c r="AF6" s="481"/>
      <c r="AG6" s="484"/>
      <c r="AH6" s="484"/>
      <c r="AI6" s="484"/>
      <c r="AJ6" s="484"/>
      <c r="AK6" s="484"/>
      <c r="AL6" s="484"/>
      <c r="AM6" s="484"/>
    </row>
    <row r="7" spans="1:39" s="477" customFormat="1" ht="31.5" customHeight="1">
      <c r="A7" s="478">
        <v>1</v>
      </c>
      <c r="B7" s="518" t="s">
        <v>333</v>
      </c>
      <c r="C7" s="578" t="s">
        <v>1790</v>
      </c>
      <c r="D7" s="1563">
        <v>41312</v>
      </c>
      <c r="E7" s="527" t="s">
        <v>319</v>
      </c>
      <c r="F7" s="494">
        <f>WC!AL7-WC!AD7-WC!AE7-WC!AG7-WC!AJ7-WC!AK7-W7</f>
        <v>318.14927280990798</v>
      </c>
      <c r="G7" s="495">
        <v>4062</v>
      </c>
      <c r="H7" s="488">
        <f t="shared" ref="H7:H13" si="0">F7*G7</f>
        <v>1292322.3461538462</v>
      </c>
      <c r="I7" s="480"/>
      <c r="J7" s="524">
        <v>2</v>
      </c>
      <c r="K7" s="488">
        <f t="shared" ref="K7:K13" si="1">150000*(J7+I7)</f>
        <v>300000</v>
      </c>
      <c r="L7" s="488">
        <f t="shared" ref="L7:L13" si="2">H7-K7</f>
        <v>992322.34615384624</v>
      </c>
      <c r="M7" s="489">
        <f>IF(L7&gt;=12500000,20%,IF(L7&gt;=8500001,15%,IF(L7&gt;=2000001,10%,IF(L7&gt;=1500001,5%,0%))))</f>
        <v>0</v>
      </c>
      <c r="N7" s="488">
        <f>IF(M7=5%,75000,IF(M7=10%,175000,0))</f>
        <v>0</v>
      </c>
      <c r="O7" s="490">
        <f t="shared" ref="O7:O13" si="3">L7*M7-N7</f>
        <v>0</v>
      </c>
      <c r="P7" s="491">
        <f>O7/4062</f>
        <v>0</v>
      </c>
      <c r="R7" s="1186">
        <v>23627</v>
      </c>
      <c r="S7" s="1205">
        <v>44835</v>
      </c>
      <c r="T7" s="1174">
        <f>WC!AL7-WC!AE7</f>
        <v>344.05769230769232</v>
      </c>
      <c r="U7" s="1177">
        <f>T7*4062</f>
        <v>1397562.3461538462</v>
      </c>
      <c r="V7" s="1206">
        <f>IF(YEARFRAC(R7,S7)&gt;=60,"0",IF(U7&lt;400000,400000*2%,IF(U7&gt;1200000,1200000*2%,U7*2%)))</f>
        <v>24000</v>
      </c>
      <c r="W7" s="1207">
        <f>V7/4062</f>
        <v>5.9084194977843429</v>
      </c>
    </row>
    <row r="8" spans="1:39" s="477" customFormat="1" ht="31.5" customHeight="1">
      <c r="A8" s="478">
        <v>2</v>
      </c>
      <c r="B8" s="518" t="s">
        <v>334</v>
      </c>
      <c r="C8" s="584" t="s">
        <v>508</v>
      </c>
      <c r="D8" s="1563">
        <v>41365</v>
      </c>
      <c r="E8" s="527" t="s">
        <v>319</v>
      </c>
      <c r="F8" s="494">
        <f>WC!AL8-WC!AD8-WC!AE8-WC!AG8-WC!AJ8-WC!AK8-W8</f>
        <v>286.76465742529257</v>
      </c>
      <c r="G8" s="495">
        <v>4062</v>
      </c>
      <c r="H8" s="488">
        <f t="shared" si="0"/>
        <v>1164838.0384615385</v>
      </c>
      <c r="I8" s="480"/>
      <c r="J8" s="524">
        <v>3</v>
      </c>
      <c r="K8" s="488">
        <f t="shared" si="1"/>
        <v>450000</v>
      </c>
      <c r="L8" s="488">
        <f t="shared" si="2"/>
        <v>714838.0384615385</v>
      </c>
      <c r="M8" s="489">
        <f t="shared" ref="M8:M13" si="4">IF(L8&gt;=12500000,20%,IF(L8&gt;=8500001,15%,IF(L8&gt;=2000001,10%,IF(L8&gt;=1500001,5%,0%))))</f>
        <v>0</v>
      </c>
      <c r="N8" s="488">
        <f t="shared" ref="N8:N13" si="5">IF(M8=5%,75000,IF(M8=10%,175000,0))</f>
        <v>0</v>
      </c>
      <c r="O8" s="490">
        <f t="shared" si="3"/>
        <v>0</v>
      </c>
      <c r="P8" s="491">
        <f t="shared" ref="P8:P13" si="6">O8/4062</f>
        <v>0</v>
      </c>
      <c r="R8" s="1186">
        <v>25755</v>
      </c>
      <c r="S8" s="1205">
        <v>44835</v>
      </c>
      <c r="T8" s="1174">
        <f>WC!AL8-WC!AE8</f>
        <v>312.67307692307691</v>
      </c>
      <c r="U8" s="1177">
        <f t="shared" ref="U8:U13" si="7">T8*4062</f>
        <v>1270078.0384615385</v>
      </c>
      <c r="V8" s="1206">
        <f t="shared" ref="V8:V13" si="8">IF(YEARFRAC(R8,S8)&gt;=60,"0",IF(U8&lt;400000,400000*2%,IF(U8&gt;1200000,1200000*2%,U8*2%)))</f>
        <v>24000</v>
      </c>
      <c r="W8" s="1207">
        <f t="shared" ref="W8:W13" si="9">V8/4062</f>
        <v>5.9084194977843429</v>
      </c>
    </row>
    <row r="9" spans="1:39" s="477" customFormat="1" ht="31.5" customHeight="1">
      <c r="A9" s="478">
        <v>3</v>
      </c>
      <c r="B9" s="1572" t="s">
        <v>335</v>
      </c>
      <c r="C9" s="584" t="s">
        <v>509</v>
      </c>
      <c r="D9" s="1563">
        <v>41519</v>
      </c>
      <c r="E9" s="527" t="s">
        <v>319</v>
      </c>
      <c r="F9" s="494">
        <f>WC!AL9-WC!AD9-WC!AE9-WC!AG9-WC!AJ9-WC!AK9-W9</f>
        <v>357.8704266560618</v>
      </c>
      <c r="G9" s="495">
        <v>4062</v>
      </c>
      <c r="H9" s="488">
        <f t="shared" si="0"/>
        <v>1453669.673076923</v>
      </c>
      <c r="I9" s="495"/>
      <c r="J9" s="521">
        <v>1</v>
      </c>
      <c r="K9" s="488">
        <f t="shared" si="1"/>
        <v>150000</v>
      </c>
      <c r="L9" s="488">
        <f t="shared" si="2"/>
        <v>1303669.673076923</v>
      </c>
      <c r="M9" s="489">
        <f t="shared" si="4"/>
        <v>0</v>
      </c>
      <c r="N9" s="488">
        <f t="shared" si="5"/>
        <v>0</v>
      </c>
      <c r="O9" s="490">
        <f t="shared" si="3"/>
        <v>0</v>
      </c>
      <c r="P9" s="491">
        <f t="shared" si="6"/>
        <v>0</v>
      </c>
      <c r="R9" s="1186">
        <v>23413</v>
      </c>
      <c r="S9" s="1205">
        <v>44835</v>
      </c>
      <c r="T9" s="1174">
        <f>WC!AL9-WC!AE9</f>
        <v>383.77884615384613</v>
      </c>
      <c r="U9" s="1177">
        <f t="shared" si="7"/>
        <v>1558909.673076923</v>
      </c>
      <c r="V9" s="1206">
        <f t="shared" si="8"/>
        <v>24000</v>
      </c>
      <c r="W9" s="1207">
        <f t="shared" si="9"/>
        <v>5.9084194977843429</v>
      </c>
    </row>
    <row r="10" spans="1:39" s="477" customFormat="1" ht="31.5" customHeight="1">
      <c r="A10" s="478">
        <v>4</v>
      </c>
      <c r="B10" s="1572" t="s">
        <v>336</v>
      </c>
      <c r="C10" s="584" t="s">
        <v>510</v>
      </c>
      <c r="D10" s="1563">
        <v>42452</v>
      </c>
      <c r="E10" s="527" t="s">
        <v>319</v>
      </c>
      <c r="F10" s="494">
        <f>WC!AL10-WC!AD10-WC!AE10-WC!AG10-WC!AJ10-WC!AK10-W10</f>
        <v>358.81273434836953</v>
      </c>
      <c r="G10" s="495">
        <v>4062</v>
      </c>
      <c r="H10" s="488">
        <f t="shared" ref="H10" si="10">F10*G10</f>
        <v>1457497.326923077</v>
      </c>
      <c r="I10" s="495"/>
      <c r="J10" s="524">
        <v>2</v>
      </c>
      <c r="K10" s="488">
        <f t="shared" ref="K10" si="11">150000*(J10+I10)</f>
        <v>300000</v>
      </c>
      <c r="L10" s="488">
        <f t="shared" ref="L10" si="12">H10-K10</f>
        <v>1157497.326923077</v>
      </c>
      <c r="M10" s="489">
        <f t="shared" ref="M10" si="13">IF(L10&gt;=12500000,20%,IF(L10&gt;=8500001,15%,IF(L10&gt;=2000001,10%,IF(L10&gt;=1500001,5%,0%))))</f>
        <v>0</v>
      </c>
      <c r="N10" s="488">
        <f t="shared" ref="N10" si="14">IF(M10=5%,75000,IF(M10=10%,175000,0))</f>
        <v>0</v>
      </c>
      <c r="O10" s="490">
        <f t="shared" ref="O10" si="15">L10*M10-N10</f>
        <v>0</v>
      </c>
      <c r="P10" s="491">
        <f t="shared" si="6"/>
        <v>0</v>
      </c>
      <c r="R10" s="1186">
        <v>28041</v>
      </c>
      <c r="S10" s="1205">
        <v>44835</v>
      </c>
      <c r="T10" s="1174">
        <f>WC!AL10-WC!AE10</f>
        <v>384.72115384615387</v>
      </c>
      <c r="U10" s="1177">
        <f t="shared" si="7"/>
        <v>1562737.326923077</v>
      </c>
      <c r="V10" s="1206">
        <f t="shared" si="8"/>
        <v>24000</v>
      </c>
      <c r="W10" s="1207">
        <f t="shared" si="9"/>
        <v>5.9084194977843429</v>
      </c>
    </row>
    <row r="11" spans="1:39" s="477" customFormat="1" ht="31.5" customHeight="1">
      <c r="A11" s="478">
        <v>5</v>
      </c>
      <c r="B11" s="1572" t="s">
        <v>470</v>
      </c>
      <c r="C11" s="584" t="s">
        <v>471</v>
      </c>
      <c r="D11" s="1563">
        <v>43633</v>
      </c>
      <c r="E11" s="527" t="s">
        <v>319</v>
      </c>
      <c r="F11" s="494">
        <f>WC!AL11-WC!AD11-WC!AE11-WC!AG11-WC!AJ11-WC!AK11-W11</f>
        <v>367.11538461538458</v>
      </c>
      <c r="G11" s="495">
        <v>4062</v>
      </c>
      <c r="H11" s="488">
        <f t="shared" ref="H11" si="16">F11*G11</f>
        <v>1491222.6923076923</v>
      </c>
      <c r="I11" s="495"/>
      <c r="J11" s="521">
        <v>4</v>
      </c>
      <c r="K11" s="488">
        <f t="shared" ref="K11" si="17">150000*(J11+I11)</f>
        <v>600000</v>
      </c>
      <c r="L11" s="488">
        <f t="shared" ref="L11" si="18">H11-K11</f>
        <v>891222.69230769225</v>
      </c>
      <c r="M11" s="489">
        <f t="shared" ref="M11" si="19">IF(L11&gt;=12500000,20%,IF(L11&gt;=8500001,15%,IF(L11&gt;=2000001,10%,IF(L11&gt;=1500001,5%,0%))))</f>
        <v>0</v>
      </c>
      <c r="N11" s="488">
        <f t="shared" ref="N11" si="20">IF(M11=5%,75000,IF(M11=10%,175000,0))</f>
        <v>0</v>
      </c>
      <c r="O11" s="490">
        <f t="shared" ref="O11" si="21">L11*M11-N11</f>
        <v>0</v>
      </c>
      <c r="P11" s="491">
        <f t="shared" si="6"/>
        <v>0</v>
      </c>
      <c r="R11" s="1186">
        <v>20646</v>
      </c>
      <c r="S11" s="1205">
        <v>44835</v>
      </c>
      <c r="T11" s="1174">
        <f>WC!AL11-WC!AE11</f>
        <v>387.11538461538458</v>
      </c>
      <c r="U11" s="1177">
        <f t="shared" si="7"/>
        <v>1572462.6923076923</v>
      </c>
      <c r="V11" s="1206" t="str">
        <f t="shared" si="8"/>
        <v>0</v>
      </c>
      <c r="W11" s="1207">
        <f t="shared" si="9"/>
        <v>0</v>
      </c>
    </row>
    <row r="12" spans="1:39" s="477" customFormat="1" ht="31.5" customHeight="1">
      <c r="A12" s="478">
        <v>6</v>
      </c>
      <c r="B12" s="572" t="s">
        <v>1571</v>
      </c>
      <c r="C12" s="1079" t="s">
        <v>1572</v>
      </c>
      <c r="D12" s="1474">
        <v>44713</v>
      </c>
      <c r="E12" s="557" t="s">
        <v>319</v>
      </c>
      <c r="F12" s="494">
        <f>WC!AL12-WC!AD12-WC!AE12-WC!AG12-WC!AJ12-WC!AK12-W12</f>
        <v>304.6685035791387</v>
      </c>
      <c r="G12" s="495">
        <v>4062</v>
      </c>
      <c r="H12" s="488">
        <f t="shared" ref="H12" si="22">F12*G12</f>
        <v>1237563.4615384615</v>
      </c>
      <c r="I12" s="495"/>
      <c r="J12" s="524">
        <v>6</v>
      </c>
      <c r="K12" s="488">
        <f t="shared" ref="K12" si="23">150000*(J12+I12)</f>
        <v>900000</v>
      </c>
      <c r="L12" s="488">
        <f t="shared" ref="L12" si="24">H12-K12</f>
        <v>337563.4615384615</v>
      </c>
      <c r="M12" s="489">
        <f t="shared" si="4"/>
        <v>0</v>
      </c>
      <c r="N12" s="488">
        <f t="shared" si="5"/>
        <v>0</v>
      </c>
      <c r="O12" s="490">
        <f t="shared" ref="O12" si="25">L12*M12-N12</f>
        <v>0</v>
      </c>
      <c r="P12" s="491">
        <f t="shared" si="6"/>
        <v>0</v>
      </c>
      <c r="R12" s="1186">
        <v>25940</v>
      </c>
      <c r="S12" s="1205">
        <v>44835</v>
      </c>
      <c r="T12" s="1174">
        <f>WC!AL12-WC!AE12</f>
        <v>330.57692307692304</v>
      </c>
      <c r="U12" s="1177">
        <f t="shared" si="7"/>
        <v>1342803.4615384613</v>
      </c>
      <c r="V12" s="1206">
        <f t="shared" si="8"/>
        <v>24000</v>
      </c>
      <c r="W12" s="1207">
        <f t="shared" si="9"/>
        <v>5.9084194977843429</v>
      </c>
    </row>
    <row r="13" spans="1:39" s="477" customFormat="1" ht="31.5" customHeight="1">
      <c r="A13" s="478">
        <v>7</v>
      </c>
      <c r="B13" s="785" t="s">
        <v>1781</v>
      </c>
      <c r="C13" s="584" t="s">
        <v>1782</v>
      </c>
      <c r="D13" s="1563">
        <v>44805</v>
      </c>
      <c r="E13" s="557" t="s">
        <v>319</v>
      </c>
      <c r="F13" s="494">
        <f>WC!AL13-WC!AD13-WC!AE13-WC!AG13-WC!AJ13-WC!AK13-W13</f>
        <v>332.70696511760025</v>
      </c>
      <c r="G13" s="495">
        <v>4062</v>
      </c>
      <c r="H13" s="488">
        <f t="shared" si="0"/>
        <v>1351455.6923076923</v>
      </c>
      <c r="I13" s="495"/>
      <c r="J13" s="524">
        <v>0</v>
      </c>
      <c r="K13" s="488">
        <f t="shared" si="1"/>
        <v>0</v>
      </c>
      <c r="L13" s="488">
        <f t="shared" si="2"/>
        <v>1351455.6923076923</v>
      </c>
      <c r="M13" s="489">
        <f t="shared" si="4"/>
        <v>0</v>
      </c>
      <c r="N13" s="488">
        <f t="shared" si="5"/>
        <v>0</v>
      </c>
      <c r="O13" s="490">
        <f t="shared" si="3"/>
        <v>0</v>
      </c>
      <c r="P13" s="491">
        <f t="shared" si="6"/>
        <v>0</v>
      </c>
      <c r="R13" s="1208">
        <v>35881</v>
      </c>
      <c r="S13" s="1205">
        <v>44835</v>
      </c>
      <c r="T13" s="1174">
        <f>WC!AL13-WC!AE13</f>
        <v>398.60488461538461</v>
      </c>
      <c r="U13" s="1177">
        <f t="shared" si="7"/>
        <v>1619133.0413076922</v>
      </c>
      <c r="V13" s="1206">
        <f t="shared" si="8"/>
        <v>24000</v>
      </c>
      <c r="W13" s="1207">
        <f t="shared" si="9"/>
        <v>5.9084194977843429</v>
      </c>
    </row>
    <row r="14" spans="1:39" ht="38.25" customHeight="1">
      <c r="A14" s="1338"/>
      <c r="B14" s="1339"/>
      <c r="C14" s="1339"/>
      <c r="D14" s="1339"/>
      <c r="E14" s="1339"/>
      <c r="F14" s="1340">
        <f>SUM(F7:F13)</f>
        <v>2326.0879445517553</v>
      </c>
      <c r="G14" s="1339"/>
      <c r="H14" s="1339"/>
      <c r="I14" s="1339"/>
      <c r="J14" s="1339"/>
      <c r="K14" s="1339"/>
      <c r="L14" s="2129" t="s">
        <v>251</v>
      </c>
      <c r="M14" s="2130"/>
      <c r="N14" s="2131"/>
      <c r="O14" s="496">
        <f>SUM(O7:O13)</f>
        <v>0</v>
      </c>
      <c r="P14" s="497">
        <f>SUM(P7:P13)</f>
        <v>0</v>
      </c>
      <c r="R14" s="1178"/>
      <c r="S14" s="2187" t="s">
        <v>251</v>
      </c>
      <c r="T14" s="2188"/>
      <c r="U14" s="2189"/>
      <c r="V14" s="1210">
        <f>SUM(V7:V13)</f>
        <v>144000</v>
      </c>
      <c r="W14" s="1204">
        <f>SUM(W7:W13)</f>
        <v>35.450516986706056</v>
      </c>
    </row>
    <row r="16" spans="1:39" ht="14.25" customHeight="1"/>
  </sheetData>
  <mergeCells count="9">
    <mergeCell ref="S14:U14"/>
    <mergeCell ref="R1:W1"/>
    <mergeCell ref="R2:W2"/>
    <mergeCell ref="R3:W3"/>
    <mergeCell ref="A1:P1"/>
    <mergeCell ref="A2:P2"/>
    <mergeCell ref="A3:P3"/>
    <mergeCell ref="A4:E4"/>
    <mergeCell ref="L14:N14"/>
  </mergeCells>
  <phoneticPr fontId="171" type="noConversion"/>
  <conditionalFormatting sqref="M7:M9 M12:M13">
    <cfRule type="cellIs" dxfId="40" priority="10" stopIfTrue="1" operator="equal">
      <formula>0</formula>
    </cfRule>
  </conditionalFormatting>
  <conditionalFormatting sqref="M11">
    <cfRule type="cellIs" dxfId="39" priority="2" stopIfTrue="1" operator="equal">
      <formula>0</formula>
    </cfRule>
  </conditionalFormatting>
  <conditionalFormatting sqref="M10">
    <cfRule type="cellIs" dxfId="38" priority="1" stopIfTrue="1" operator="equal">
      <formula>0</formula>
    </cfRule>
  </conditionalFormatting>
  <printOptions horizontalCentered="1"/>
  <pageMargins left="0.2" right="0.19" top="0.2" bottom="0.2" header="0.3" footer="0.31"/>
  <pageSetup paperSize="9" scale="7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L15"/>
  <sheetViews>
    <sheetView topLeftCell="A5" workbookViewId="0">
      <pane xSplit="2" ySplit="1" topLeftCell="J6" activePane="bottomRight" state="frozen"/>
      <selection activeCell="A5" sqref="A5"/>
      <selection pane="topRight" activeCell="C5" sqref="C5"/>
      <selection pane="bottomLeft" activeCell="A6" sqref="A6"/>
      <selection pane="bottomRight" activeCell="S12" sqref="S12"/>
    </sheetView>
  </sheetViews>
  <sheetFormatPr defaultRowHeight="14.25"/>
  <cols>
    <col min="1" max="1" width="6.125" customWidth="1"/>
    <col min="4" max="4" width="10.375" bestFit="1" customWidth="1"/>
  </cols>
  <sheetData>
    <row r="1" spans="1:38" s="839" customFormat="1" ht="42" hidden="1" customHeight="1">
      <c r="A1" s="2134" t="s">
        <v>222</v>
      </c>
      <c r="B1" s="2134"/>
      <c r="C1" s="2134"/>
      <c r="D1" s="2134"/>
      <c r="E1" s="2134"/>
      <c r="F1" s="2134"/>
      <c r="G1" s="2134"/>
      <c r="H1" s="2134"/>
      <c r="I1" s="2134"/>
      <c r="J1" s="2134"/>
      <c r="K1" s="2134"/>
      <c r="L1" s="2134"/>
      <c r="M1" s="2134"/>
      <c r="N1" s="2134"/>
      <c r="O1" s="2134"/>
      <c r="P1" s="2134"/>
      <c r="Q1" s="2134"/>
      <c r="R1" s="2134"/>
      <c r="S1" s="2134"/>
      <c r="T1" s="2134"/>
      <c r="U1" s="844"/>
      <c r="V1" s="844"/>
    </row>
    <row r="2" spans="1:38" s="871" customFormat="1" ht="42.75" hidden="1" customHeight="1">
      <c r="A2" s="2134" t="s">
        <v>221</v>
      </c>
      <c r="B2" s="2134"/>
      <c r="C2" s="2134"/>
      <c r="D2" s="2134"/>
      <c r="E2" s="2134"/>
      <c r="F2" s="2134"/>
      <c r="G2" s="2134"/>
      <c r="H2" s="2134"/>
      <c r="I2" s="2134"/>
      <c r="J2" s="2134"/>
      <c r="K2" s="2134"/>
      <c r="L2" s="2134"/>
      <c r="M2" s="2134"/>
      <c r="N2" s="2134"/>
      <c r="O2" s="2134"/>
      <c r="P2" s="2134"/>
      <c r="Q2" s="2134"/>
      <c r="R2" s="2134"/>
      <c r="S2" s="2134"/>
      <c r="T2" s="2134"/>
      <c r="U2" s="844"/>
      <c r="V2" s="844"/>
    </row>
    <row r="3" spans="1:38" s="871" customFormat="1" ht="42.75" hidden="1" customHeight="1">
      <c r="A3" s="2135" t="s">
        <v>1070</v>
      </c>
      <c r="B3" s="2135"/>
      <c r="C3" s="2135"/>
      <c r="D3" s="2135"/>
      <c r="E3" s="2135"/>
      <c r="F3" s="2135"/>
      <c r="G3" s="2135"/>
      <c r="H3" s="2135"/>
      <c r="I3" s="2135"/>
      <c r="J3" s="2135"/>
      <c r="K3" s="2135"/>
      <c r="L3" s="2135"/>
      <c r="M3" s="2135"/>
      <c r="N3" s="2135"/>
      <c r="O3" s="2135"/>
      <c r="P3" s="2135"/>
      <c r="Q3" s="2135"/>
      <c r="R3" s="2135"/>
      <c r="S3" s="2135"/>
      <c r="T3" s="2135"/>
      <c r="U3" s="845"/>
      <c r="V3" s="845"/>
    </row>
    <row r="4" spans="1:38" s="871" customFormat="1" ht="42.75" hidden="1" customHeight="1">
      <c r="A4" s="2135" t="s">
        <v>1071</v>
      </c>
      <c r="B4" s="2135"/>
      <c r="C4" s="2135"/>
      <c r="D4" s="2135"/>
      <c r="E4" s="2135"/>
      <c r="F4" s="2135"/>
      <c r="G4" s="2135"/>
      <c r="H4" s="2135"/>
      <c r="I4" s="2135"/>
      <c r="J4" s="2135"/>
      <c r="K4" s="2135"/>
      <c r="L4" s="2135"/>
      <c r="M4" s="2135"/>
      <c r="N4" s="2135"/>
      <c r="O4" s="2135"/>
      <c r="P4" s="2135"/>
      <c r="Q4" s="2135"/>
      <c r="R4" s="2135"/>
      <c r="S4" s="2135"/>
      <c r="T4" s="2135"/>
      <c r="U4" s="845"/>
      <c r="V4" s="845"/>
    </row>
    <row r="5" spans="1:38" s="856" customFormat="1" ht="20.25" customHeight="1">
      <c r="A5" s="2136" t="s">
        <v>1303</v>
      </c>
      <c r="B5" s="2136"/>
      <c r="C5" s="2136"/>
      <c r="D5" s="817"/>
      <c r="E5" s="817"/>
      <c r="F5" s="817"/>
      <c r="G5" s="817"/>
      <c r="H5" s="817"/>
      <c r="I5" s="817"/>
      <c r="J5" s="817"/>
      <c r="K5" s="817"/>
      <c r="L5" s="2136" t="s">
        <v>2347</v>
      </c>
      <c r="M5" s="2136"/>
      <c r="N5" s="2136"/>
      <c r="O5" s="2136"/>
      <c r="P5" s="2136"/>
      <c r="Q5" s="2136"/>
      <c r="R5" s="2136"/>
      <c r="S5" s="818"/>
      <c r="T5" s="817"/>
      <c r="U5" s="817"/>
      <c r="V5" s="819"/>
      <c r="W5" s="819"/>
      <c r="X5" s="855"/>
    </row>
    <row r="6" spans="1:38" s="871" customFormat="1" ht="37.5" customHeight="1">
      <c r="A6" s="820" t="s">
        <v>252</v>
      </c>
      <c r="B6" s="820" t="s">
        <v>1072</v>
      </c>
      <c r="C6" s="820" t="s">
        <v>1073</v>
      </c>
      <c r="D6" s="820" t="s">
        <v>254</v>
      </c>
      <c r="E6" s="821" t="s">
        <v>227</v>
      </c>
      <c r="F6" s="2138" t="s">
        <v>1074</v>
      </c>
      <c r="G6" s="2139"/>
      <c r="H6" s="2139"/>
      <c r="I6" s="2139"/>
      <c r="J6" s="2139"/>
      <c r="K6" s="2139"/>
      <c r="L6" s="2139"/>
      <c r="M6" s="2139"/>
      <c r="N6" s="2139"/>
      <c r="O6" s="2139"/>
      <c r="P6" s="2139"/>
      <c r="Q6" s="2140"/>
      <c r="R6" s="822" t="s">
        <v>1075</v>
      </c>
      <c r="S6" s="822" t="s">
        <v>1076</v>
      </c>
      <c r="T6" s="822" t="s">
        <v>1077</v>
      </c>
      <c r="U6" s="822" t="s">
        <v>1126</v>
      </c>
      <c r="V6" s="850" t="s">
        <v>1128</v>
      </c>
      <c r="W6" s="823" t="s">
        <v>1078</v>
      </c>
      <c r="X6" s="857"/>
    </row>
    <row r="7" spans="1:38" s="839" customFormat="1" ht="42" customHeight="1">
      <c r="A7" s="824" t="s">
        <v>41</v>
      </c>
      <c r="B7" s="858" t="s">
        <v>42</v>
      </c>
      <c r="C7" s="858" t="s">
        <v>1079</v>
      </c>
      <c r="D7" s="858" t="s">
        <v>1080</v>
      </c>
      <c r="E7" s="859" t="s">
        <v>1081</v>
      </c>
      <c r="F7" s="859" t="s">
        <v>1082</v>
      </c>
      <c r="G7" s="859" t="s">
        <v>1083</v>
      </c>
      <c r="H7" s="859" t="s">
        <v>1084</v>
      </c>
      <c r="I7" s="859" t="s">
        <v>1085</v>
      </c>
      <c r="J7" s="859" t="s">
        <v>1086</v>
      </c>
      <c r="K7" s="825" t="s">
        <v>1087</v>
      </c>
      <c r="L7" s="825" t="s">
        <v>1088</v>
      </c>
      <c r="M7" s="825" t="s">
        <v>1089</v>
      </c>
      <c r="N7" s="825" t="s">
        <v>1090</v>
      </c>
      <c r="O7" s="825" t="s">
        <v>1091</v>
      </c>
      <c r="P7" s="825" t="s">
        <v>1092</v>
      </c>
      <c r="Q7" s="825" t="s">
        <v>1093</v>
      </c>
      <c r="R7" s="826" t="s">
        <v>1094</v>
      </c>
      <c r="S7" s="827" t="s">
        <v>1095</v>
      </c>
      <c r="T7" s="827" t="s">
        <v>1096</v>
      </c>
      <c r="U7" s="852" t="s">
        <v>1125</v>
      </c>
      <c r="V7" s="908" t="s">
        <v>1127</v>
      </c>
      <c r="W7" s="828" t="s">
        <v>1097</v>
      </c>
      <c r="X7" s="837"/>
      <c r="Z7" s="1701">
        <v>1</v>
      </c>
      <c r="AA7" s="1701">
        <v>2</v>
      </c>
      <c r="AB7" s="1701">
        <v>3</v>
      </c>
      <c r="AC7" s="1701">
        <v>4</v>
      </c>
      <c r="AD7" s="1701">
        <v>5</v>
      </c>
      <c r="AE7" s="1701">
        <v>6</v>
      </c>
      <c r="AF7" s="1701">
        <v>7</v>
      </c>
      <c r="AG7" s="1701">
        <v>8</v>
      </c>
      <c r="AH7" s="1701">
        <v>9</v>
      </c>
      <c r="AI7" s="1701">
        <v>10</v>
      </c>
      <c r="AJ7" s="1701">
        <v>11</v>
      </c>
      <c r="AK7" s="1701">
        <v>12</v>
      </c>
      <c r="AL7" s="1701" t="s">
        <v>74</v>
      </c>
    </row>
    <row r="8" spans="1:38" s="871" customFormat="1" ht="60" customHeight="1">
      <c r="A8" s="829">
        <v>1</v>
      </c>
      <c r="B8" s="1494" t="s">
        <v>337</v>
      </c>
      <c r="C8" s="1500" t="s">
        <v>511</v>
      </c>
      <c r="D8" s="1492">
        <v>41303</v>
      </c>
      <c r="E8" s="922" t="s">
        <v>1269</v>
      </c>
      <c r="F8" s="1718">
        <v>366.57757597340935</v>
      </c>
      <c r="G8" s="1718">
        <v>377.1178181386515</v>
      </c>
      <c r="H8" s="1719">
        <v>334.37674122398164</v>
      </c>
      <c r="I8" s="1718">
        <v>400.40905774578334</v>
      </c>
      <c r="J8" s="1718">
        <v>505.2236290936786</v>
      </c>
      <c r="K8" s="1718">
        <v>577.64558739527797</v>
      </c>
      <c r="L8" s="1718">
        <v>566.50806702452837</v>
      </c>
      <c r="M8" s="1718">
        <v>432.56338572909357</v>
      </c>
      <c r="N8" s="1718">
        <v>337.76619696668894</v>
      </c>
      <c r="O8" s="1306">
        <v>415.69072411872321</v>
      </c>
      <c r="P8" s="1306">
        <v>268.53846153846155</v>
      </c>
      <c r="Q8" s="1306">
        <v>30</v>
      </c>
      <c r="R8" s="831">
        <f>SUM(F8:Q8)</f>
        <v>4612.4172449482785</v>
      </c>
      <c r="S8" s="831">
        <f>R8/12</f>
        <v>384.36810374568989</v>
      </c>
      <c r="T8" s="831">
        <f>S8/26</f>
        <v>14.783388605603458</v>
      </c>
      <c r="U8" s="924">
        <f>'R'!W7</f>
        <v>0</v>
      </c>
      <c r="V8" s="874">
        <f>T8*U8</f>
        <v>0</v>
      </c>
      <c r="W8" s="853"/>
      <c r="X8" s="504"/>
      <c r="Z8" s="1709">
        <v>0</v>
      </c>
      <c r="AA8" s="924">
        <v>0</v>
      </c>
      <c r="AB8" s="1694">
        <v>2</v>
      </c>
      <c r="AC8" s="924">
        <v>1.5</v>
      </c>
      <c r="AD8" s="924">
        <v>0</v>
      </c>
      <c r="AE8" s="924">
        <v>0</v>
      </c>
      <c r="AF8" s="924">
        <v>1</v>
      </c>
      <c r="AG8" s="924">
        <v>0.5</v>
      </c>
      <c r="AH8" s="924">
        <v>1.5</v>
      </c>
      <c r="AI8" s="1694"/>
      <c r="AJ8" s="1694"/>
      <c r="AK8" s="1694"/>
      <c r="AL8" s="1699">
        <f>SUM(Z8:AK8)</f>
        <v>6.5</v>
      </c>
    </row>
    <row r="9" spans="1:38" s="871" customFormat="1" ht="60" customHeight="1">
      <c r="A9" s="829">
        <v>2</v>
      </c>
      <c r="B9" s="1494" t="s">
        <v>338</v>
      </c>
      <c r="C9" s="1500" t="s">
        <v>1270</v>
      </c>
      <c r="D9" s="1492">
        <v>42117</v>
      </c>
      <c r="E9" s="922" t="s">
        <v>1271</v>
      </c>
      <c r="F9" s="1718">
        <v>364.57757597340935</v>
      </c>
      <c r="G9" s="1718">
        <v>375.1178181386515</v>
      </c>
      <c r="H9" s="1719">
        <v>331.36635569813933</v>
      </c>
      <c r="I9" s="1718">
        <v>398.80143594169903</v>
      </c>
      <c r="J9" s="1718">
        <v>496.1494668697639</v>
      </c>
      <c r="K9" s="1718">
        <v>577.26439927646607</v>
      </c>
      <c r="L9" s="1718">
        <v>547.08340917520047</v>
      </c>
      <c r="M9" s="1718">
        <v>452.9096040563573</v>
      </c>
      <c r="N9" s="1718">
        <v>333.77502048848118</v>
      </c>
      <c r="O9" s="1306">
        <v>395.22271309101103</v>
      </c>
      <c r="P9" s="1306">
        <v>285.38348138348135</v>
      </c>
      <c r="Q9" s="1306">
        <v>30</v>
      </c>
      <c r="R9" s="831">
        <f t="shared" ref="R9:R10" si="0">SUM(F9:Q9)</f>
        <v>4587.6512800926603</v>
      </c>
      <c r="S9" s="831">
        <f t="shared" ref="S9" si="1">R9/12</f>
        <v>382.30427334105502</v>
      </c>
      <c r="T9" s="831">
        <f t="shared" ref="T9:T12" si="2">S9/26</f>
        <v>14.704010513117501</v>
      </c>
      <c r="U9" s="924">
        <f>'R'!W8</f>
        <v>0</v>
      </c>
      <c r="V9" s="874">
        <f t="shared" ref="V9:V12" si="3">T9*U9</f>
        <v>0</v>
      </c>
      <c r="W9" s="853"/>
      <c r="X9" s="504"/>
      <c r="Z9" s="1709">
        <v>0</v>
      </c>
      <c r="AA9" s="924">
        <v>0</v>
      </c>
      <c r="AB9" s="1694">
        <v>2</v>
      </c>
      <c r="AC9" s="924">
        <v>1.5</v>
      </c>
      <c r="AD9" s="924">
        <v>0</v>
      </c>
      <c r="AE9" s="924">
        <v>0</v>
      </c>
      <c r="AF9" s="924">
        <v>1</v>
      </c>
      <c r="AG9" s="924">
        <v>1</v>
      </c>
      <c r="AH9" s="924">
        <v>1</v>
      </c>
      <c r="AI9" s="1694"/>
      <c r="AJ9" s="1694"/>
      <c r="AK9" s="1694"/>
      <c r="AL9" s="1699">
        <f t="shared" ref="AL9:AL12" si="4">SUM(Z9:AK9)</f>
        <v>6.5</v>
      </c>
    </row>
    <row r="10" spans="1:38" s="1670" customFormat="1" ht="60" customHeight="1">
      <c r="A10" s="829">
        <v>3</v>
      </c>
      <c r="B10" s="1494" t="s">
        <v>438</v>
      </c>
      <c r="C10" s="1500" t="s">
        <v>1272</v>
      </c>
      <c r="D10" s="1492">
        <v>43238</v>
      </c>
      <c r="E10" s="922" t="s">
        <v>1271</v>
      </c>
      <c r="F10" s="1718">
        <v>318.18745529811792</v>
      </c>
      <c r="G10" s="1718">
        <v>353.46028180093316</v>
      </c>
      <c r="H10" s="1719">
        <v>311.36932866405971</v>
      </c>
      <c r="I10" s="1718">
        <v>391.023979943124</v>
      </c>
      <c r="J10" s="1718">
        <v>458.17349621644155</v>
      </c>
      <c r="K10" s="1718">
        <v>526.45327970297035</v>
      </c>
      <c r="L10" s="1718">
        <v>552.50974415079168</v>
      </c>
      <c r="M10" s="1718">
        <v>380.93413825600544</v>
      </c>
      <c r="N10" s="1718">
        <v>300.04672612522995</v>
      </c>
      <c r="O10" s="1306">
        <v>388.04958546325071</v>
      </c>
      <c r="P10" s="1306">
        <v>253.41600122850122</v>
      </c>
      <c r="Q10" s="1306">
        <v>30</v>
      </c>
      <c r="R10" s="831">
        <f t="shared" si="0"/>
        <v>4263.624016849426</v>
      </c>
      <c r="S10" s="831">
        <f t="shared" ref="S10" si="5">R10/12</f>
        <v>355.30200140411881</v>
      </c>
      <c r="T10" s="831">
        <f t="shared" ref="T10:T11" si="6">S10/26</f>
        <v>13.665461592466109</v>
      </c>
      <c r="U10" s="924">
        <f>'R'!W9</f>
        <v>0</v>
      </c>
      <c r="V10" s="874">
        <f t="shared" si="3"/>
        <v>0</v>
      </c>
      <c r="W10" s="853"/>
      <c r="X10" s="504"/>
      <c r="Z10" s="1709">
        <v>1</v>
      </c>
      <c r="AA10" s="924">
        <v>1</v>
      </c>
      <c r="AB10" s="1694">
        <v>2</v>
      </c>
      <c r="AC10" s="924">
        <v>2.5</v>
      </c>
      <c r="AD10" s="924">
        <v>1</v>
      </c>
      <c r="AE10" s="924">
        <v>0</v>
      </c>
      <c r="AF10" s="924">
        <v>2</v>
      </c>
      <c r="AG10" s="924">
        <v>1</v>
      </c>
      <c r="AH10" s="924">
        <v>1</v>
      </c>
      <c r="AI10" s="1694"/>
      <c r="AJ10" s="1694"/>
      <c r="AK10" s="1694"/>
      <c r="AL10" s="1699">
        <f t="shared" si="4"/>
        <v>11.5</v>
      </c>
    </row>
    <row r="11" spans="1:38" s="1914" customFormat="1" ht="60" customHeight="1">
      <c r="A11" s="829">
        <v>4</v>
      </c>
      <c r="B11" s="1400" t="s">
        <v>2158</v>
      </c>
      <c r="C11" s="533" t="s">
        <v>2159</v>
      </c>
      <c r="D11" s="1385">
        <v>45313</v>
      </c>
      <c r="E11" s="922" t="s">
        <v>1271</v>
      </c>
      <c r="F11" s="1718">
        <v>244.1146225071225</v>
      </c>
      <c r="G11" s="1718">
        <v>546.79666059427279</v>
      </c>
      <c r="H11" s="1719">
        <v>538.36197242697665</v>
      </c>
      <c r="I11" s="1718">
        <v>631.780378983486</v>
      </c>
      <c r="J11" s="1718">
        <v>773.26767189913789</v>
      </c>
      <c r="K11" s="1718">
        <v>813.49898354112884</v>
      </c>
      <c r="L11" s="1718">
        <v>817.52131578534863</v>
      </c>
      <c r="M11" s="1718">
        <v>628.72443844754275</v>
      </c>
      <c r="N11" s="1718">
        <v>528.90909848273861</v>
      </c>
      <c r="O11" s="1097">
        <v>0</v>
      </c>
      <c r="P11" s="1097">
        <v>0</v>
      </c>
      <c r="Q11" s="1097">
        <v>0</v>
      </c>
      <c r="R11" s="831">
        <f t="shared" ref="R11:R12" si="7">SUM(F11:Q11)</f>
        <v>5522.9751426677549</v>
      </c>
      <c r="S11" s="831">
        <f>R11/9</f>
        <v>613.66390474086165</v>
      </c>
      <c r="T11" s="831">
        <f t="shared" si="6"/>
        <v>23.602457874648525</v>
      </c>
      <c r="U11" s="924">
        <f>'R'!W10</f>
        <v>1</v>
      </c>
      <c r="V11" s="874">
        <f t="shared" si="3"/>
        <v>23.602457874648525</v>
      </c>
      <c r="W11" s="853"/>
      <c r="X11" s="504"/>
      <c r="Z11" s="1709">
        <v>0</v>
      </c>
      <c r="AA11" s="924">
        <v>0.5</v>
      </c>
      <c r="AB11" s="1694">
        <v>2</v>
      </c>
      <c r="AC11" s="924">
        <v>1.5</v>
      </c>
      <c r="AD11" s="924">
        <v>1.5</v>
      </c>
      <c r="AE11" s="924">
        <v>2</v>
      </c>
      <c r="AF11" s="924">
        <v>1.5</v>
      </c>
      <c r="AG11" s="924">
        <v>1</v>
      </c>
      <c r="AH11" s="924">
        <v>2</v>
      </c>
      <c r="AI11" s="1694"/>
      <c r="AJ11" s="1694"/>
      <c r="AK11" s="1694"/>
      <c r="AL11" s="1699">
        <f t="shared" ref="AL11" si="8">SUM(Z11:AK11)</f>
        <v>12</v>
      </c>
    </row>
    <row r="12" spans="1:38" s="871" customFormat="1" ht="60" customHeight="1">
      <c r="A12" s="829">
        <v>5</v>
      </c>
      <c r="B12" s="1400" t="s">
        <v>2391</v>
      </c>
      <c r="C12" s="578" t="s">
        <v>2392</v>
      </c>
      <c r="D12" s="1385">
        <v>45586</v>
      </c>
      <c r="E12" s="922" t="s">
        <v>1271</v>
      </c>
      <c r="F12" s="1097">
        <v>0</v>
      </c>
      <c r="G12" s="1097">
        <v>0</v>
      </c>
      <c r="H12" s="1097">
        <v>0</v>
      </c>
      <c r="I12" s="1097">
        <v>0</v>
      </c>
      <c r="J12" s="1097">
        <v>0</v>
      </c>
      <c r="K12" s="1097">
        <v>0</v>
      </c>
      <c r="L12" s="1097">
        <v>0</v>
      </c>
      <c r="M12" s="1097">
        <v>0</v>
      </c>
      <c r="N12" s="1097">
        <v>0</v>
      </c>
      <c r="O12" s="1097">
        <v>0</v>
      </c>
      <c r="P12" s="1097">
        <v>0</v>
      </c>
      <c r="Q12" s="1097">
        <v>0</v>
      </c>
      <c r="R12" s="831">
        <f t="shared" si="7"/>
        <v>0</v>
      </c>
      <c r="S12" s="831">
        <f>R12/1</f>
        <v>0</v>
      </c>
      <c r="T12" s="831">
        <f t="shared" si="2"/>
        <v>0</v>
      </c>
      <c r="U12" s="924">
        <f>'R'!W11</f>
        <v>0</v>
      </c>
      <c r="V12" s="874">
        <f t="shared" si="3"/>
        <v>0</v>
      </c>
      <c r="W12" s="853"/>
      <c r="X12" s="504"/>
      <c r="Z12" s="1709">
        <v>0</v>
      </c>
      <c r="AA12" s="924">
        <v>0.5</v>
      </c>
      <c r="AB12" s="1694">
        <v>2</v>
      </c>
      <c r="AC12" s="924">
        <v>1.5</v>
      </c>
      <c r="AD12" s="924">
        <v>1.5</v>
      </c>
      <c r="AE12" s="924">
        <v>2</v>
      </c>
      <c r="AF12" s="924">
        <v>1.5</v>
      </c>
      <c r="AG12" s="924">
        <v>1</v>
      </c>
      <c r="AH12" s="924">
        <v>2</v>
      </c>
      <c r="AI12" s="1694"/>
      <c r="AJ12" s="1694"/>
      <c r="AK12" s="1694"/>
      <c r="AL12" s="1699">
        <f t="shared" si="4"/>
        <v>12</v>
      </c>
    </row>
    <row r="13" spans="1:38" s="871" customFormat="1" ht="39.75" customHeight="1">
      <c r="A13" s="2141" t="s">
        <v>214</v>
      </c>
      <c r="B13" s="2142"/>
      <c r="C13" s="2142"/>
      <c r="D13" s="2142"/>
      <c r="E13" s="2142"/>
      <c r="F13" s="2142"/>
      <c r="G13" s="2142"/>
      <c r="H13" s="2142"/>
      <c r="I13" s="2142"/>
      <c r="J13" s="2142"/>
      <c r="K13" s="2141"/>
      <c r="L13" s="2141"/>
      <c r="M13" s="2141"/>
      <c r="N13" s="2141"/>
      <c r="O13" s="2141"/>
      <c r="P13" s="2141"/>
      <c r="Q13" s="2141"/>
      <c r="R13" s="2141"/>
      <c r="S13" s="835"/>
      <c r="T13" s="835"/>
      <c r="U13" s="915"/>
      <c r="V13" s="949">
        <f>SUM(V8:V12)</f>
        <v>23.602457874648525</v>
      </c>
      <c r="W13" s="836"/>
      <c r="X13" s="504"/>
    </row>
    <row r="14" spans="1:38" s="871" customFormat="1" ht="15.75">
      <c r="A14" s="842"/>
      <c r="B14" s="842"/>
      <c r="C14" s="842"/>
      <c r="D14" s="567"/>
      <c r="E14" s="842"/>
      <c r="F14" s="842"/>
      <c r="G14" s="842"/>
      <c r="H14" s="842"/>
      <c r="I14" s="842"/>
      <c r="J14" s="842"/>
      <c r="K14" s="842"/>
      <c r="L14" s="842"/>
      <c r="M14" s="842"/>
      <c r="N14" s="842"/>
      <c r="O14" s="842"/>
      <c r="P14" s="842"/>
      <c r="Q14" s="842"/>
      <c r="R14" s="870"/>
      <c r="S14" s="870"/>
      <c r="T14" s="870"/>
      <c r="U14" s="896"/>
      <c r="V14" s="896"/>
      <c r="W14" s="842"/>
      <c r="X14" s="842"/>
    </row>
    <row r="15" spans="1:38" s="871" customFormat="1" ht="27" customHeight="1">
      <c r="A15" s="2132" t="s">
        <v>1155</v>
      </c>
      <c r="B15" s="2132"/>
      <c r="C15" s="2132"/>
      <c r="D15" s="872"/>
      <c r="H15" s="2132" t="s">
        <v>1156</v>
      </c>
      <c r="I15" s="2132"/>
      <c r="J15" s="2132"/>
      <c r="K15" s="2132"/>
      <c r="R15" s="2133" t="s">
        <v>1157</v>
      </c>
      <c r="S15" s="2133"/>
      <c r="T15" s="2133"/>
      <c r="U15" s="898"/>
      <c r="V15" s="898"/>
      <c r="X15" s="843"/>
    </row>
  </sheetData>
  <mergeCells count="11">
    <mergeCell ref="A1:T1"/>
    <mergeCell ref="A2:T2"/>
    <mergeCell ref="A3:T3"/>
    <mergeCell ref="A4:T4"/>
    <mergeCell ref="A5:C5"/>
    <mergeCell ref="L5:R5"/>
    <mergeCell ref="F6:Q6"/>
    <mergeCell ref="A13:R13"/>
    <mergeCell ref="A15:C15"/>
    <mergeCell ref="H15:K15"/>
    <mergeCell ref="R15:T15"/>
  </mergeCell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J18"/>
  <sheetViews>
    <sheetView view="pageBreakPreview" topLeftCell="A3" zoomScale="80" zoomScaleNormal="100" zoomScaleSheetLayoutView="80" workbookViewId="0">
      <pane xSplit="6" ySplit="4" topLeftCell="G10" activePane="bottomRight" state="frozen"/>
      <selection activeCell="A3" sqref="A3"/>
      <selection pane="topRight" activeCell="G3" sqref="G3"/>
      <selection pane="bottomLeft" activeCell="A7" sqref="A7"/>
      <selection pane="bottomRight" activeCell="Q11" sqref="Q11"/>
    </sheetView>
  </sheetViews>
  <sheetFormatPr defaultRowHeight="21"/>
  <cols>
    <col min="1" max="1" width="6" style="544" customWidth="1"/>
    <col min="2" max="2" width="10.5" style="544" customWidth="1"/>
    <col min="3" max="3" width="11.5" style="555" customWidth="1"/>
    <col min="4" max="4" width="12.125" style="555" customWidth="1"/>
    <col min="5" max="5" width="5.75" style="735" customWidth="1"/>
    <col min="6" max="6" width="8.375" style="556" customWidth="1"/>
    <col min="7" max="7" width="6.375" style="544" customWidth="1"/>
    <col min="8" max="8" width="6" style="544" customWidth="1"/>
    <col min="9" max="9" width="8.25" style="544" customWidth="1"/>
    <col min="10" max="10" width="8.125" style="544" customWidth="1"/>
    <col min="11" max="11" width="6.125" style="544" customWidth="1"/>
    <col min="12" max="12" width="6.25" style="544" customWidth="1"/>
    <col min="13" max="13" width="8.5" style="544" customWidth="1"/>
    <col min="14" max="14" width="5.375" style="544" customWidth="1"/>
    <col min="15" max="15" width="5.875" style="544" customWidth="1"/>
    <col min="16" max="16" width="8.375" style="544" customWidth="1"/>
    <col min="17" max="17" width="5.75" style="544" customWidth="1"/>
    <col min="18" max="18" width="6.375" style="544" customWidth="1"/>
    <col min="19" max="19" width="7.625" style="544" customWidth="1"/>
    <col min="20" max="20" width="5.125" style="544" customWidth="1"/>
    <col min="21" max="21" width="5.75" style="544" customWidth="1"/>
    <col min="22" max="22" width="7.75" style="544" customWidth="1"/>
    <col min="23" max="23" width="6.125" style="544" customWidth="1"/>
    <col min="24" max="24" width="8.75" style="544" customWidth="1"/>
    <col min="25" max="25" width="5.375" style="544" customWidth="1"/>
    <col min="26" max="26" width="6.625" style="544" customWidth="1"/>
    <col min="27" max="27" width="7.875" style="544" customWidth="1"/>
    <col min="28" max="28" width="5.125" style="544" customWidth="1"/>
    <col min="29" max="29" width="5.75" style="544" customWidth="1"/>
    <col min="30" max="30" width="7.75" style="544" customWidth="1"/>
    <col min="31" max="31" width="7.25" style="544" customWidth="1"/>
    <col min="32" max="32" width="6" style="544" customWidth="1"/>
    <col min="33" max="33" width="7.375" style="544" customWidth="1"/>
    <col min="34" max="34" width="6.875" style="544" customWidth="1"/>
    <col min="35" max="35" width="7.125" style="544" customWidth="1"/>
    <col min="36" max="36" width="7.625" style="544" customWidth="1"/>
    <col min="37" max="37" width="10.5" style="544" customWidth="1"/>
    <col min="38" max="38" width="6.625" style="544" customWidth="1"/>
    <col min="39" max="39" width="9.5" style="544" customWidth="1"/>
    <col min="40" max="41" width="7.75" style="544" customWidth="1"/>
    <col min="42" max="42" width="11.75" style="544" customWidth="1"/>
    <col min="43" max="43" width="14.375" style="544" customWidth="1"/>
    <col min="44" max="44" width="11.375" style="544" customWidth="1"/>
    <col min="45" max="45" width="18" style="544" customWidth="1"/>
    <col min="46" max="46" width="15.25" style="544" customWidth="1"/>
    <col min="47" max="47" width="10.5" style="544" customWidth="1"/>
    <col min="48" max="51" width="9" style="544"/>
    <col min="52" max="52" width="8.875" style="544" customWidth="1"/>
    <col min="53" max="54" width="8.75" style="544" customWidth="1"/>
    <col min="55" max="55" width="9" style="544"/>
    <col min="56" max="56" width="11.625" style="544" bestFit="1" customWidth="1"/>
    <col min="57" max="57" width="9" style="544"/>
    <col min="58" max="58" width="15.875" style="544" customWidth="1"/>
    <col min="59" max="59" width="9" style="544"/>
    <col min="60" max="62" width="14.5" style="544" customWidth="1"/>
    <col min="63" max="16384" width="9" style="544"/>
  </cols>
  <sheetData>
    <row r="1" spans="1:62" s="541" customFormat="1" ht="29.25" customHeight="1">
      <c r="A1" s="2110" t="s">
        <v>222</v>
      </c>
      <c r="B1" s="2110"/>
      <c r="C1" s="2110"/>
      <c r="D1" s="2110"/>
      <c r="E1" s="2110"/>
      <c r="F1" s="2110"/>
      <c r="G1" s="2110"/>
      <c r="H1" s="2110"/>
      <c r="I1" s="2110"/>
      <c r="J1" s="2110"/>
      <c r="K1" s="2110"/>
      <c r="L1" s="2110"/>
      <c r="M1" s="2110"/>
      <c r="N1" s="2110"/>
      <c r="O1" s="2110"/>
      <c r="P1" s="2110"/>
      <c r="Q1" s="2110"/>
      <c r="R1" s="2110"/>
      <c r="S1" s="2110"/>
      <c r="T1" s="2110"/>
      <c r="U1" s="2110"/>
      <c r="V1" s="2110"/>
      <c r="W1" s="2110"/>
      <c r="X1" s="2110"/>
      <c r="Y1" s="2110"/>
      <c r="Z1" s="2110"/>
      <c r="AA1" s="2110"/>
      <c r="AB1" s="2110"/>
      <c r="AC1" s="2110"/>
      <c r="AD1" s="2110"/>
      <c r="AE1" s="2110"/>
      <c r="AF1" s="2110"/>
      <c r="AG1" s="2110"/>
      <c r="AH1" s="2110"/>
      <c r="AI1" s="2110"/>
      <c r="AJ1" s="2110"/>
      <c r="AK1" s="2110"/>
      <c r="AL1" s="2110"/>
      <c r="AM1" s="2110"/>
      <c r="AN1" s="2110"/>
      <c r="AO1" s="2110"/>
      <c r="AP1" s="2110"/>
      <c r="AQ1" s="2110"/>
      <c r="AR1" s="2110"/>
      <c r="AS1" s="2110"/>
      <c r="AT1" s="751"/>
    </row>
    <row r="2" spans="1:62" s="541" customFormat="1" ht="20.25" customHeight="1">
      <c r="A2" s="2110" t="s">
        <v>221</v>
      </c>
      <c r="B2" s="2110"/>
      <c r="C2" s="2110"/>
      <c r="D2" s="2110"/>
      <c r="E2" s="2110"/>
      <c r="F2" s="2110"/>
      <c r="G2" s="2110"/>
      <c r="H2" s="2110"/>
      <c r="I2" s="2110"/>
      <c r="J2" s="2110"/>
      <c r="K2" s="2110"/>
      <c r="L2" s="2110"/>
      <c r="M2" s="2110"/>
      <c r="N2" s="2110"/>
      <c r="O2" s="2110"/>
      <c r="P2" s="2110"/>
      <c r="Q2" s="2110"/>
      <c r="R2" s="2110"/>
      <c r="S2" s="2110"/>
      <c r="T2" s="2110"/>
      <c r="U2" s="2110"/>
      <c r="V2" s="2110"/>
      <c r="W2" s="2110"/>
      <c r="X2" s="2110"/>
      <c r="Y2" s="2110"/>
      <c r="Z2" s="2110"/>
      <c r="AA2" s="2110"/>
      <c r="AB2" s="2110"/>
      <c r="AC2" s="2110"/>
      <c r="AD2" s="2110"/>
      <c r="AE2" s="2110"/>
      <c r="AF2" s="2110"/>
      <c r="AG2" s="2110"/>
      <c r="AH2" s="2110"/>
      <c r="AI2" s="2110"/>
      <c r="AJ2" s="2110"/>
      <c r="AK2" s="2110"/>
      <c r="AL2" s="2110"/>
      <c r="AM2" s="2110"/>
      <c r="AN2" s="2110"/>
      <c r="AO2" s="2110"/>
      <c r="AP2" s="2110"/>
      <c r="AQ2" s="2110"/>
      <c r="AR2" s="2110"/>
      <c r="AS2" s="2110"/>
      <c r="AT2" s="751"/>
    </row>
    <row r="3" spans="1:62" s="541" customFormat="1" ht="19.5" customHeight="1">
      <c r="A3" s="2111" t="s">
        <v>2342</v>
      </c>
      <c r="B3" s="2111"/>
      <c r="C3" s="2111"/>
      <c r="D3" s="2111"/>
      <c r="E3" s="2111"/>
      <c r="F3" s="2111"/>
      <c r="G3" s="2111"/>
      <c r="H3" s="2111"/>
      <c r="I3" s="2111"/>
      <c r="J3" s="2111"/>
      <c r="K3" s="2111"/>
      <c r="L3" s="2111"/>
      <c r="M3" s="2111"/>
      <c r="N3" s="2111"/>
      <c r="O3" s="2111"/>
      <c r="P3" s="2111"/>
      <c r="Q3" s="2111"/>
      <c r="R3" s="2111"/>
      <c r="S3" s="2111"/>
      <c r="T3" s="2111"/>
      <c r="U3" s="2111"/>
      <c r="V3" s="2111"/>
      <c r="W3" s="2111"/>
      <c r="X3" s="2111"/>
      <c r="Y3" s="2111"/>
      <c r="Z3" s="2111"/>
      <c r="AA3" s="2111"/>
      <c r="AB3" s="2111"/>
      <c r="AC3" s="2111"/>
      <c r="AD3" s="2111"/>
      <c r="AE3" s="2111"/>
      <c r="AF3" s="2111"/>
      <c r="AG3" s="2111"/>
      <c r="AH3" s="2111"/>
      <c r="AI3" s="2111"/>
      <c r="AJ3" s="2111"/>
      <c r="AK3" s="2111"/>
      <c r="AL3" s="2111"/>
      <c r="AM3" s="2111"/>
      <c r="AN3" s="2111"/>
      <c r="AO3" s="2111"/>
      <c r="AP3" s="2111"/>
      <c r="AQ3" s="2111"/>
      <c r="AR3" s="2111"/>
      <c r="AS3" s="2111"/>
      <c r="AT3" s="752"/>
    </row>
    <row r="4" spans="1:62" s="1040" customFormat="1" ht="20.25" customHeight="1">
      <c r="A4" s="1373" t="s">
        <v>340</v>
      </c>
      <c r="B4" s="1373"/>
      <c r="C4" s="2091" t="s">
        <v>2341</v>
      </c>
      <c r="D4" s="2092"/>
      <c r="E4" s="2092"/>
      <c r="F4" s="2092"/>
      <c r="G4" s="1373"/>
      <c r="H4" s="1373"/>
      <c r="I4" s="1373"/>
      <c r="J4" s="1373"/>
      <c r="K4" s="1373"/>
      <c r="L4" s="1373"/>
      <c r="M4" s="1373"/>
      <c r="N4" s="1373"/>
      <c r="O4" s="1373"/>
      <c r="P4" s="1373"/>
      <c r="Q4" s="1373"/>
      <c r="R4" s="1373"/>
      <c r="S4" s="1373"/>
      <c r="T4" s="1373"/>
      <c r="U4" s="1373"/>
      <c r="V4" s="1373"/>
      <c r="W4" s="1373"/>
      <c r="X4" s="1373"/>
      <c r="Y4" s="1373"/>
      <c r="Z4" s="1373"/>
      <c r="AA4" s="1373"/>
      <c r="AB4" s="1373"/>
      <c r="AC4" s="1373"/>
      <c r="AD4" s="1373"/>
      <c r="AE4" s="1373"/>
      <c r="AF4" s="1373"/>
      <c r="AG4" s="1373"/>
      <c r="AH4" s="1373"/>
      <c r="AI4" s="1373"/>
      <c r="AJ4" s="1373"/>
      <c r="AK4" s="1373"/>
      <c r="AL4" s="1373"/>
      <c r="AM4" s="1373"/>
      <c r="AN4" s="1373"/>
      <c r="AO4" s="1373"/>
      <c r="AP4" s="1373"/>
      <c r="AQ4" s="1373"/>
      <c r="AR4" s="1373"/>
      <c r="AS4" s="1373"/>
      <c r="AT4" s="1372"/>
      <c r="AV4" s="2075" t="s">
        <v>472</v>
      </c>
      <c r="AW4" s="2075"/>
      <c r="AX4" s="2075"/>
      <c r="AY4" s="2075"/>
      <c r="AZ4" s="2075"/>
      <c r="BA4" s="2075"/>
      <c r="BB4" s="2075"/>
      <c r="BC4" s="2075"/>
      <c r="BD4" s="2075"/>
      <c r="BE4" s="2075"/>
    </row>
    <row r="5" spans="1:62" ht="69.95" customHeight="1">
      <c r="A5" s="722" t="s">
        <v>252</v>
      </c>
      <c r="B5" s="722" t="s">
        <v>253</v>
      </c>
      <c r="C5" s="722" t="s">
        <v>911</v>
      </c>
      <c r="D5" s="1123" t="s">
        <v>254</v>
      </c>
      <c r="E5" s="723" t="s">
        <v>227</v>
      </c>
      <c r="F5" s="724" t="s">
        <v>255</v>
      </c>
      <c r="G5" s="643" t="s">
        <v>256</v>
      </c>
      <c r="H5" s="2120" t="s">
        <v>1743</v>
      </c>
      <c r="I5" s="2094"/>
      <c r="J5" s="2095"/>
      <c r="K5" s="2120" t="s">
        <v>1744</v>
      </c>
      <c r="L5" s="2094"/>
      <c r="M5" s="2095"/>
      <c r="N5" s="2120" t="s">
        <v>1689</v>
      </c>
      <c r="O5" s="2094"/>
      <c r="P5" s="2095"/>
      <c r="Q5" s="2120" t="s">
        <v>1735</v>
      </c>
      <c r="R5" s="2094"/>
      <c r="S5" s="2095"/>
      <c r="T5" s="2117" t="s">
        <v>1647</v>
      </c>
      <c r="U5" s="2118"/>
      <c r="V5" s="2119"/>
      <c r="W5" s="2102" t="s">
        <v>1674</v>
      </c>
      <c r="X5" s="2103"/>
      <c r="Y5" s="2093" t="s">
        <v>1675</v>
      </c>
      <c r="Z5" s="2094"/>
      <c r="AA5" s="2095"/>
      <c r="AB5" s="2096" t="s">
        <v>1664</v>
      </c>
      <c r="AC5" s="1126" t="s">
        <v>258</v>
      </c>
      <c r="AD5" s="2098" t="s">
        <v>220</v>
      </c>
      <c r="AE5" s="1117" t="s">
        <v>1835</v>
      </c>
      <c r="AF5" s="2100" t="s">
        <v>1840</v>
      </c>
      <c r="AG5" s="2080" t="s">
        <v>1666</v>
      </c>
      <c r="AH5" s="2080" t="s">
        <v>1665</v>
      </c>
      <c r="AI5" s="2076" t="s">
        <v>1653</v>
      </c>
      <c r="AJ5" s="2078" t="s">
        <v>1727</v>
      </c>
      <c r="AK5" s="2114" t="s">
        <v>1742</v>
      </c>
      <c r="AL5" s="2084" t="s">
        <v>1668</v>
      </c>
      <c r="AM5" s="2121" t="s">
        <v>1669</v>
      </c>
      <c r="AN5" s="2116" t="s">
        <v>1670</v>
      </c>
      <c r="AO5" s="2089" t="s">
        <v>1805</v>
      </c>
      <c r="AP5" s="2146" t="s">
        <v>1690</v>
      </c>
      <c r="AQ5" s="2146"/>
      <c r="AR5" s="2147"/>
      <c r="AS5" s="2088" t="s">
        <v>1672</v>
      </c>
      <c r="AT5" s="543"/>
      <c r="AU5" s="2081" t="s">
        <v>219</v>
      </c>
      <c r="AV5" s="2082"/>
      <c r="AW5" s="2083"/>
      <c r="AX5" s="750"/>
      <c r="AY5" s="750"/>
      <c r="AZ5" s="2190"/>
      <c r="BA5" s="2086"/>
      <c r="BB5" s="2086"/>
      <c r="BC5" s="2086"/>
      <c r="BD5" s="2087"/>
      <c r="BF5" s="690" t="s">
        <v>789</v>
      </c>
      <c r="BG5" s="2156" t="s">
        <v>568</v>
      </c>
      <c r="BH5" s="2156" t="s">
        <v>569</v>
      </c>
      <c r="BI5" s="2156" t="s">
        <v>570</v>
      </c>
      <c r="BJ5" s="2158" t="s">
        <v>713</v>
      </c>
    </row>
    <row r="6" spans="1:62" ht="99.95" customHeight="1">
      <c r="A6" s="725" t="s">
        <v>111</v>
      </c>
      <c r="B6" s="725" t="s">
        <v>1732</v>
      </c>
      <c r="C6" s="1122" t="s">
        <v>1741</v>
      </c>
      <c r="D6" s="725" t="s">
        <v>1729</v>
      </c>
      <c r="E6" s="607" t="s">
        <v>1703</v>
      </c>
      <c r="F6" s="1124" t="s">
        <v>1731</v>
      </c>
      <c r="G6" s="607" t="s">
        <v>1656</v>
      </c>
      <c r="H6" s="545" t="s">
        <v>1657</v>
      </c>
      <c r="I6" s="546" t="s">
        <v>1658</v>
      </c>
      <c r="J6" s="546" t="s">
        <v>1644</v>
      </c>
      <c r="K6" s="1131" t="s">
        <v>1645</v>
      </c>
      <c r="L6" s="546" t="s">
        <v>1680</v>
      </c>
      <c r="M6" s="546" t="s">
        <v>1745</v>
      </c>
      <c r="N6" s="547" t="s">
        <v>1660</v>
      </c>
      <c r="O6" s="546" t="s">
        <v>1659</v>
      </c>
      <c r="P6" s="546" t="s">
        <v>1662</v>
      </c>
      <c r="Q6" s="1131" t="s">
        <v>1660</v>
      </c>
      <c r="R6" s="546" t="s">
        <v>1659</v>
      </c>
      <c r="S6" s="546" t="s">
        <v>1662</v>
      </c>
      <c r="T6" s="546" t="s">
        <v>1682</v>
      </c>
      <c r="U6" s="546" t="s">
        <v>1661</v>
      </c>
      <c r="V6" s="546" t="s">
        <v>1662</v>
      </c>
      <c r="W6" s="546" t="s">
        <v>1683</v>
      </c>
      <c r="X6" s="546" t="s">
        <v>1663</v>
      </c>
      <c r="Y6" s="546" t="s">
        <v>1649</v>
      </c>
      <c r="Z6" s="546" t="s">
        <v>1661</v>
      </c>
      <c r="AA6" s="546" t="s">
        <v>1726</v>
      </c>
      <c r="AB6" s="2097"/>
      <c r="AC6" s="1127" t="s">
        <v>1651</v>
      </c>
      <c r="AD6" s="2099"/>
      <c r="AE6" s="1118" t="s">
        <v>1678</v>
      </c>
      <c r="AF6" s="2101"/>
      <c r="AG6" s="2077"/>
      <c r="AH6" s="2077"/>
      <c r="AI6" s="2077"/>
      <c r="AJ6" s="2079"/>
      <c r="AK6" s="2115"/>
      <c r="AL6" s="2085"/>
      <c r="AM6" s="2122"/>
      <c r="AN6" s="2116"/>
      <c r="AO6" s="2090"/>
      <c r="AP6" s="1135" t="s">
        <v>1671</v>
      </c>
      <c r="AQ6" s="1134" t="s">
        <v>1707</v>
      </c>
      <c r="AR6" s="1136" t="s">
        <v>1702</v>
      </c>
      <c r="AS6" s="2088"/>
      <c r="AT6" s="543"/>
      <c r="AU6" s="539" t="s">
        <v>215</v>
      </c>
      <c r="AV6" s="539" t="s">
        <v>217</v>
      </c>
      <c r="AW6" s="573" t="s">
        <v>125</v>
      </c>
      <c r="AX6" s="502" t="s">
        <v>728</v>
      </c>
      <c r="AY6" s="502" t="s">
        <v>729</v>
      </c>
      <c r="AZ6" s="548" t="s">
        <v>723</v>
      </c>
      <c r="BA6" s="548" t="s">
        <v>216</v>
      </c>
      <c r="BB6" s="548" t="s">
        <v>731</v>
      </c>
      <c r="BC6" s="548" t="s">
        <v>215</v>
      </c>
      <c r="BD6" s="549" t="s">
        <v>125</v>
      </c>
      <c r="BF6" s="730" t="s">
        <v>761</v>
      </c>
      <c r="BG6" s="2157"/>
      <c r="BH6" s="2157"/>
      <c r="BI6" s="2157"/>
      <c r="BJ6" s="2173"/>
    </row>
    <row r="7" spans="1:62" s="755" customFormat="1" ht="68.25" customHeight="1">
      <c r="A7" s="1369">
        <v>1</v>
      </c>
      <c r="B7" s="1414" t="s">
        <v>337</v>
      </c>
      <c r="C7" s="1329" t="s">
        <v>511</v>
      </c>
      <c r="D7" s="1858">
        <v>41311</v>
      </c>
      <c r="E7" s="812" t="s">
        <v>358</v>
      </c>
      <c r="F7" s="617">
        <f>13+185+17+12+8+2</f>
        <v>237</v>
      </c>
      <c r="G7" s="617">
        <f>25+2</f>
        <v>27</v>
      </c>
      <c r="H7" s="1001">
        <v>22</v>
      </c>
      <c r="I7" s="1408">
        <f>F7/26*H7</f>
        <v>200.53846153846152</v>
      </c>
      <c r="J7" s="618">
        <f>F7/26*H7</f>
        <v>200.53846153846152</v>
      </c>
      <c r="K7" s="1001">
        <v>68</v>
      </c>
      <c r="L7" s="510">
        <f>F7/26/8*1.5</f>
        <v>1.7091346153846154</v>
      </c>
      <c r="M7" s="618">
        <f>K7*L7</f>
        <v>116.22115384615385</v>
      </c>
      <c r="N7" s="1001">
        <v>0</v>
      </c>
      <c r="O7" s="510">
        <f>F7/26/8*2</f>
        <v>2.2788461538461537</v>
      </c>
      <c r="P7" s="503">
        <f t="shared" ref="P7:P11" si="0">N7*O7</f>
        <v>0</v>
      </c>
      <c r="Q7" s="1001">
        <v>24</v>
      </c>
      <c r="R7" s="510">
        <f>F7/26/8*2</f>
        <v>2.2788461538461537</v>
      </c>
      <c r="S7" s="618">
        <f t="shared" ref="S7:S11" si="1">R7*Q7</f>
        <v>54.692307692307693</v>
      </c>
      <c r="T7" s="1001">
        <v>5</v>
      </c>
      <c r="U7" s="510">
        <f>F7/26</f>
        <v>9.115384615384615</v>
      </c>
      <c r="V7" s="618">
        <f>U7*T7</f>
        <v>45.576923076923073</v>
      </c>
      <c r="W7" s="1001">
        <v>0</v>
      </c>
      <c r="X7" s="618">
        <f>'R Salary'!T8*'R'!W7</f>
        <v>0</v>
      </c>
      <c r="Y7" s="1001">
        <v>0</v>
      </c>
      <c r="Z7" s="510">
        <f>F7/26/2</f>
        <v>4.5576923076923075</v>
      </c>
      <c r="AA7" s="618">
        <f>Y7*Z7</f>
        <v>0</v>
      </c>
      <c r="AB7" s="1001">
        <v>0</v>
      </c>
      <c r="AC7" s="1467">
        <f>H7+T7+Y7+AB7+W7</f>
        <v>27</v>
      </c>
      <c r="AD7" s="1724">
        <v>0</v>
      </c>
      <c r="AE7" s="1121">
        <v>0</v>
      </c>
      <c r="AF7" s="511">
        <v>0</v>
      </c>
      <c r="AG7" s="618">
        <v>10</v>
      </c>
      <c r="AH7" s="1410">
        <v>11</v>
      </c>
      <c r="AI7" s="1410">
        <v>10</v>
      </c>
      <c r="AJ7" s="1410">
        <v>10</v>
      </c>
      <c r="AK7" s="1148">
        <f>G7+J7+M7+P7+S7+V7+AA7+AD7+AF7+AG7+AH7+AI7+AJ7+X7+AE7</f>
        <v>485.02884615384613</v>
      </c>
      <c r="AL7" s="911">
        <v>0</v>
      </c>
      <c r="AM7" s="1404">
        <v>102</v>
      </c>
      <c r="AN7" s="1096">
        <f>'Tax Calulation              '!P7</f>
        <v>0</v>
      </c>
      <c r="AO7" s="1096">
        <f>'Tax Calulation              '!W7</f>
        <v>5.9084194977843429</v>
      </c>
      <c r="AP7" s="1686">
        <f>AK7-AN7-AM7-AO7-AL7</f>
        <v>377.1204266560618</v>
      </c>
      <c r="AQ7" s="1682">
        <f>ROUND((AP7-AR7)*4040,-2)</f>
        <v>311600</v>
      </c>
      <c r="AR7" s="1683">
        <f>CEILING(AP7,(100))-100</f>
        <v>300</v>
      </c>
      <c r="AS7" s="502"/>
      <c r="AT7" s="504"/>
      <c r="AU7" s="502">
        <f>INT(AR7/100)</f>
        <v>3</v>
      </c>
      <c r="AV7" s="502">
        <f>INT((AR7-AU7*100)/50)</f>
        <v>0</v>
      </c>
      <c r="AW7" s="573">
        <f>AU7*100+AV7*50</f>
        <v>300</v>
      </c>
      <c r="AX7" s="573">
        <f>INT((AQ7/50000))</f>
        <v>6</v>
      </c>
      <c r="AY7" s="548">
        <f>INT((AQ7-AX7*50000)/10000)</f>
        <v>1</v>
      </c>
      <c r="AZ7" s="548">
        <f>INT((AQ7-AX7*50000-AY7*10000)/5000)</f>
        <v>0</v>
      </c>
      <c r="BA7" s="548">
        <f>INT((AQ7-AX7*50000-AY7*10000-AZ7*5000)/1000)</f>
        <v>1</v>
      </c>
      <c r="BB7" s="548">
        <f>INT((AQ7-AX7*50000-AY7*10000-AZ7*5000-BA7*1000)/500)</f>
        <v>1</v>
      </c>
      <c r="BC7" s="548">
        <f>INT((AQ7-AX7*50000-AY7*10000-AZ7*5000-BA7*1000-BB7*500)/100)</f>
        <v>1</v>
      </c>
      <c r="BD7" s="549">
        <f>AX7*50000+AY7*10000+AZ7*5000+BA7*1000+BB7*500+BC7*100</f>
        <v>311600</v>
      </c>
      <c r="BF7" s="578" t="s">
        <v>856</v>
      </c>
      <c r="BG7" s="578" t="s">
        <v>571</v>
      </c>
      <c r="BH7" s="1154">
        <v>31174</v>
      </c>
      <c r="BI7" s="578" t="s">
        <v>690</v>
      </c>
      <c r="BJ7" s="531">
        <v>101067820</v>
      </c>
    </row>
    <row r="8" spans="1:62" s="755" customFormat="1" ht="68.25" customHeight="1">
      <c r="A8" s="1369">
        <v>2</v>
      </c>
      <c r="B8" s="1414" t="s">
        <v>338</v>
      </c>
      <c r="C8" s="1329" t="s">
        <v>1270</v>
      </c>
      <c r="D8" s="1841">
        <v>42117</v>
      </c>
      <c r="E8" s="812" t="s">
        <v>358</v>
      </c>
      <c r="F8" s="617">
        <f>13+185+17+12+8+2</f>
        <v>237</v>
      </c>
      <c r="G8" s="617">
        <f>25+2</f>
        <v>27</v>
      </c>
      <c r="H8" s="1001">
        <v>22</v>
      </c>
      <c r="I8" s="1408">
        <f t="shared" ref="I8:I11" si="2">F8/26*H8</f>
        <v>200.53846153846152</v>
      </c>
      <c r="J8" s="618">
        <f t="shared" ref="J8:J11" si="3">F8/26*H8</f>
        <v>200.53846153846152</v>
      </c>
      <c r="K8" s="1001">
        <v>68</v>
      </c>
      <c r="L8" s="510">
        <f t="shared" ref="L8:L11" si="4">F8/26/8*1.5</f>
        <v>1.7091346153846154</v>
      </c>
      <c r="M8" s="618">
        <f t="shared" ref="M8:M11" si="5">K8*L8</f>
        <v>116.22115384615385</v>
      </c>
      <c r="N8" s="1001">
        <v>0</v>
      </c>
      <c r="O8" s="510">
        <f t="shared" ref="O8:O11" si="6">F8/26/8*2</f>
        <v>2.2788461538461537</v>
      </c>
      <c r="P8" s="503">
        <f t="shared" si="0"/>
        <v>0</v>
      </c>
      <c r="Q8" s="1001">
        <v>16</v>
      </c>
      <c r="R8" s="510">
        <f t="shared" ref="R8:R11" si="7">F8/26/8*2</f>
        <v>2.2788461538461537</v>
      </c>
      <c r="S8" s="618">
        <f t="shared" si="1"/>
        <v>36.46153846153846</v>
      </c>
      <c r="T8" s="1001">
        <v>5</v>
      </c>
      <c r="U8" s="510">
        <f t="shared" ref="U8:U11" si="8">F8/26</f>
        <v>9.115384615384615</v>
      </c>
      <c r="V8" s="618">
        <f t="shared" ref="V8:V11" si="9">U8*T8</f>
        <v>45.576923076923073</v>
      </c>
      <c r="W8" s="1001">
        <v>0</v>
      </c>
      <c r="X8" s="618">
        <f>'R Salary'!T9*'R'!W8</f>
        <v>0</v>
      </c>
      <c r="Y8" s="1001">
        <v>0</v>
      </c>
      <c r="Z8" s="510">
        <f t="shared" ref="Z8:Z11" si="10">F8/26/2</f>
        <v>4.5576923076923075</v>
      </c>
      <c r="AA8" s="618">
        <f t="shared" ref="AA8:AA11" si="11">Y8*Z8</f>
        <v>0</v>
      </c>
      <c r="AB8" s="1001">
        <v>0</v>
      </c>
      <c r="AC8" s="1467">
        <f t="shared" ref="AC8:AC11" si="12">H8+T8+Y8+AB8+W8</f>
        <v>27</v>
      </c>
      <c r="AD8" s="1724">
        <v>0</v>
      </c>
      <c r="AE8" s="1121">
        <v>0</v>
      </c>
      <c r="AF8" s="511">
        <v>0</v>
      </c>
      <c r="AG8" s="618">
        <v>10</v>
      </c>
      <c r="AH8" s="1410">
        <v>10</v>
      </c>
      <c r="AI8" s="1410">
        <v>10</v>
      </c>
      <c r="AJ8" s="1410">
        <v>10</v>
      </c>
      <c r="AK8" s="1148">
        <f t="shared" ref="AK8:AK11" si="13">G8+J8+M8+P8+S8+V8+AA8+AD8+AF8+AG8+AH8+AI8+AJ8+X8+AE8</f>
        <v>465.79807692307691</v>
      </c>
      <c r="AL8" s="911">
        <v>0</v>
      </c>
      <c r="AM8" s="1404">
        <v>102</v>
      </c>
      <c r="AN8" s="1096">
        <f>'Tax Calulation              '!P8</f>
        <v>0</v>
      </c>
      <c r="AO8" s="1096">
        <f>'Tax Calulation              '!W8</f>
        <v>5.9084194977843429</v>
      </c>
      <c r="AP8" s="1686">
        <f t="shared" ref="AP8:AP11" si="14">AK8-AN8-AM8-AO8-AL8</f>
        <v>357.88965742529257</v>
      </c>
      <c r="AQ8" s="1682">
        <f t="shared" ref="AQ8:AQ11" si="15">ROUND((AP8-AR8)*4040,-2)</f>
        <v>233900</v>
      </c>
      <c r="AR8" s="1683">
        <f t="shared" ref="AR8:AR11" si="16">CEILING(AP8,(100))-100</f>
        <v>300</v>
      </c>
      <c r="AS8" s="502"/>
      <c r="AT8" s="504"/>
      <c r="AU8" s="502">
        <f>INT(AR8/100)</f>
        <v>3</v>
      </c>
      <c r="AV8" s="502">
        <f>INT((AR8-AU8*100)/50)</f>
        <v>0</v>
      </c>
      <c r="AW8" s="573">
        <f t="shared" ref="AW8:AW11" si="17">AU8*100+AV8*50</f>
        <v>300</v>
      </c>
      <c r="AX8" s="573">
        <f>INT((AQ8/50000))</f>
        <v>4</v>
      </c>
      <c r="AY8" s="548">
        <f>INT((AQ8-AX8*50000)/10000)</f>
        <v>3</v>
      </c>
      <c r="AZ8" s="548">
        <f>INT((AQ8-AX8*50000-AY8*10000)/5000)</f>
        <v>0</v>
      </c>
      <c r="BA8" s="548">
        <f>INT((AQ8-AX8*50000-AY8*10000-AZ8*5000)/1000)</f>
        <v>3</v>
      </c>
      <c r="BB8" s="548">
        <f>INT((AQ8-AX8*50000-AY8*10000-AZ8*5000-BA8*1000)/500)</f>
        <v>1</v>
      </c>
      <c r="BC8" s="548">
        <f>INT((AQ8-AX8*50000-AY8*10000-AZ8*5000-BA8*1000-BB8*500)/100)</f>
        <v>4</v>
      </c>
      <c r="BD8" s="549">
        <f t="shared" ref="BD8:BD11" si="18">AX8*50000+AY8*10000+AZ8*5000+BA8*1000+BB8*500+BC8*100</f>
        <v>233900</v>
      </c>
      <c r="BF8" s="578" t="s">
        <v>857</v>
      </c>
      <c r="BG8" s="578" t="s">
        <v>571</v>
      </c>
      <c r="BH8" s="1154">
        <v>32727</v>
      </c>
      <c r="BI8" s="578" t="s">
        <v>691</v>
      </c>
      <c r="BJ8" s="531">
        <v>110549377</v>
      </c>
    </row>
    <row r="9" spans="1:62" s="755" customFormat="1" ht="68.25" customHeight="1">
      <c r="A9" s="1369">
        <v>3</v>
      </c>
      <c r="B9" s="1415" t="s">
        <v>438</v>
      </c>
      <c r="C9" s="1329" t="s">
        <v>1338</v>
      </c>
      <c r="D9" s="1841">
        <v>43238</v>
      </c>
      <c r="E9" s="812" t="s">
        <v>358</v>
      </c>
      <c r="F9" s="617">
        <f>199+12+8+2</f>
        <v>221</v>
      </c>
      <c r="G9" s="617">
        <f>10+2</f>
        <v>12</v>
      </c>
      <c r="H9" s="1001">
        <v>22</v>
      </c>
      <c r="I9" s="1408">
        <f t="shared" ref="I9:I10" si="19">F9/26*H9</f>
        <v>187</v>
      </c>
      <c r="J9" s="618">
        <f t="shared" si="3"/>
        <v>187</v>
      </c>
      <c r="K9" s="1001">
        <v>73</v>
      </c>
      <c r="L9" s="510">
        <f t="shared" ref="L9:L10" si="20">F9/26/8*1.5</f>
        <v>1.59375</v>
      </c>
      <c r="M9" s="618">
        <f t="shared" si="5"/>
        <v>116.34375</v>
      </c>
      <c r="N9" s="1001">
        <v>0</v>
      </c>
      <c r="O9" s="510">
        <f t="shared" ref="O9:O10" si="21">F9/26/8*2</f>
        <v>2.125</v>
      </c>
      <c r="P9" s="503">
        <f t="shared" ref="P9:P10" si="22">N9*O9</f>
        <v>0</v>
      </c>
      <c r="Q9" s="1001">
        <v>16</v>
      </c>
      <c r="R9" s="510">
        <f t="shared" ref="R9:R10" si="23">F9/26/8*2</f>
        <v>2.125</v>
      </c>
      <c r="S9" s="618">
        <f t="shared" si="1"/>
        <v>34</v>
      </c>
      <c r="T9" s="1001">
        <v>5</v>
      </c>
      <c r="U9" s="510">
        <f t="shared" ref="U9:U10" si="24">F9/26</f>
        <v>8.5</v>
      </c>
      <c r="V9" s="618">
        <f t="shared" si="9"/>
        <v>42.5</v>
      </c>
      <c r="W9" s="1001">
        <v>0</v>
      </c>
      <c r="X9" s="618">
        <f>'R Salary'!T10*'R'!W9</f>
        <v>0</v>
      </c>
      <c r="Y9" s="1001">
        <v>0</v>
      </c>
      <c r="Z9" s="510">
        <f t="shared" ref="Z9:Z10" si="25">F9/26/2</f>
        <v>4.25</v>
      </c>
      <c r="AA9" s="618">
        <f t="shared" ref="AA9:AA10" si="26">Y9*Z9</f>
        <v>0</v>
      </c>
      <c r="AB9" s="1001">
        <v>0</v>
      </c>
      <c r="AC9" s="1467">
        <f t="shared" ref="AC9:AC10" si="27">H9+T9+Y9+AB9+W9</f>
        <v>27</v>
      </c>
      <c r="AD9" s="1724">
        <v>0</v>
      </c>
      <c r="AE9" s="1121">
        <v>0</v>
      </c>
      <c r="AF9" s="511">
        <v>0</v>
      </c>
      <c r="AG9" s="618">
        <v>10</v>
      </c>
      <c r="AH9" s="1410">
        <v>7</v>
      </c>
      <c r="AI9" s="1410">
        <v>10</v>
      </c>
      <c r="AJ9" s="1410">
        <v>10</v>
      </c>
      <c r="AK9" s="1148">
        <f t="shared" si="13"/>
        <v>428.84375</v>
      </c>
      <c r="AL9" s="911">
        <v>0.5</v>
      </c>
      <c r="AM9" s="1404">
        <v>102</v>
      </c>
      <c r="AN9" s="1096">
        <f>'Tax Calulation              '!P9</f>
        <v>0</v>
      </c>
      <c r="AO9" s="1096">
        <f>'Tax Calulation              '!W9</f>
        <v>5.9084194977843429</v>
      </c>
      <c r="AP9" s="1686">
        <f t="shared" si="14"/>
        <v>320.43533050221566</v>
      </c>
      <c r="AQ9" s="1682">
        <f t="shared" si="15"/>
        <v>82600</v>
      </c>
      <c r="AR9" s="1683">
        <f t="shared" ref="AR9:AR10" si="28">CEILING(AP9,(100))-100</f>
        <v>300</v>
      </c>
      <c r="AS9" s="502"/>
      <c r="AT9" s="504"/>
      <c r="AU9" s="502">
        <f>INT(AR9/100)</f>
        <v>3</v>
      </c>
      <c r="AV9" s="502">
        <f>INT((AR9-AU9*100)/50)</f>
        <v>0</v>
      </c>
      <c r="AW9" s="1113">
        <f t="shared" ref="AW9:AW10" si="29">AU9*100+AV9*50</f>
        <v>300</v>
      </c>
      <c r="AX9" s="1113">
        <f>INT((AQ9/50000))</f>
        <v>1</v>
      </c>
      <c r="AY9" s="548">
        <f>INT((AQ9-AX9*50000)/10000)</f>
        <v>3</v>
      </c>
      <c r="AZ9" s="548">
        <f>INT((AQ9-AX9*50000-AY9*10000)/5000)</f>
        <v>0</v>
      </c>
      <c r="BA9" s="548">
        <f>INT((AQ9-AX9*50000-AY9*10000-AZ9*5000)/1000)</f>
        <v>2</v>
      </c>
      <c r="BB9" s="548">
        <f>INT((AQ9-AX9*50000-AY9*10000-AZ9*5000-BA9*1000)/500)</f>
        <v>1</v>
      </c>
      <c r="BC9" s="548">
        <f>INT((AQ9-AX9*50000-AY9*10000-AZ9*5000-BA9*1000-BB9*500)/100)</f>
        <v>1</v>
      </c>
      <c r="BD9" s="549">
        <f t="shared" ref="BD9:BD10" si="30">AX9*50000+AY9*10000+AZ9*5000+BA9*1000+BB9*500+BC9*100</f>
        <v>82600</v>
      </c>
      <c r="BF9" s="578" t="s">
        <v>858</v>
      </c>
      <c r="BG9" s="578" t="s">
        <v>571</v>
      </c>
      <c r="BH9" s="1154">
        <v>36043</v>
      </c>
      <c r="BI9" s="578" t="s">
        <v>692</v>
      </c>
      <c r="BJ9" s="531">
        <v>30666627</v>
      </c>
    </row>
    <row r="10" spans="1:62" s="755" customFormat="1" ht="68.25" customHeight="1">
      <c r="A10" s="1369">
        <v>4</v>
      </c>
      <c r="B10" s="1398" t="s">
        <v>2158</v>
      </c>
      <c r="C10" s="1329" t="s">
        <v>2159</v>
      </c>
      <c r="D10" s="1852">
        <v>45313</v>
      </c>
      <c r="E10" s="812" t="s">
        <v>358</v>
      </c>
      <c r="F10" s="617">
        <v>342</v>
      </c>
      <c r="G10" s="617">
        <v>72</v>
      </c>
      <c r="H10" s="1001">
        <v>21</v>
      </c>
      <c r="I10" s="1408">
        <f t="shared" si="19"/>
        <v>276.23076923076923</v>
      </c>
      <c r="J10" s="618">
        <f t="shared" ref="J10" si="31">F10/26*H10</f>
        <v>276.23076923076923</v>
      </c>
      <c r="K10" s="1001">
        <v>68</v>
      </c>
      <c r="L10" s="510">
        <f t="shared" si="20"/>
        <v>2.4663461538461537</v>
      </c>
      <c r="M10" s="618">
        <f t="shared" ref="M10" si="32">K10*L10</f>
        <v>167.71153846153845</v>
      </c>
      <c r="N10" s="1001">
        <v>0</v>
      </c>
      <c r="O10" s="510">
        <f t="shared" si="21"/>
        <v>3.2884615384615383</v>
      </c>
      <c r="P10" s="503">
        <f t="shared" si="22"/>
        <v>0</v>
      </c>
      <c r="Q10" s="1001">
        <v>24</v>
      </c>
      <c r="R10" s="510">
        <f t="shared" si="23"/>
        <v>3.2884615384615383</v>
      </c>
      <c r="S10" s="618">
        <f t="shared" ref="S10" si="33">R10*Q10</f>
        <v>78.92307692307692</v>
      </c>
      <c r="T10" s="1001">
        <v>5</v>
      </c>
      <c r="U10" s="510">
        <f t="shared" si="24"/>
        <v>13.153846153846153</v>
      </c>
      <c r="V10" s="618">
        <f t="shared" ref="V10" si="34">U10*T10</f>
        <v>65.769230769230774</v>
      </c>
      <c r="W10" s="1001">
        <v>1</v>
      </c>
      <c r="X10" s="618">
        <f>'R Salary'!T11*'R'!W10</f>
        <v>23.602457874648525</v>
      </c>
      <c r="Y10" s="1001">
        <v>0</v>
      </c>
      <c r="Z10" s="510">
        <f t="shared" si="25"/>
        <v>6.5769230769230766</v>
      </c>
      <c r="AA10" s="618">
        <f t="shared" si="26"/>
        <v>0</v>
      </c>
      <c r="AB10" s="1001">
        <v>0</v>
      </c>
      <c r="AC10" s="1468">
        <f t="shared" si="27"/>
        <v>27</v>
      </c>
      <c r="AD10" s="1724">
        <v>0</v>
      </c>
      <c r="AE10" s="1121">
        <v>0</v>
      </c>
      <c r="AF10" s="511">
        <v>0</v>
      </c>
      <c r="AG10" s="618">
        <v>10</v>
      </c>
      <c r="AH10" s="1410">
        <v>0</v>
      </c>
      <c r="AI10" s="1410">
        <v>10</v>
      </c>
      <c r="AJ10" s="1410">
        <v>10</v>
      </c>
      <c r="AK10" s="1148">
        <f t="shared" ref="AK10" si="35">G10+J10+M10+P10+S10+V10+AA10+AD10+AF10+AG10+AH10+AI10+AJ10+X10+AE10</f>
        <v>714.23707325926375</v>
      </c>
      <c r="AL10" s="911">
        <v>0</v>
      </c>
      <c r="AM10" s="1404">
        <v>102</v>
      </c>
      <c r="AN10" s="1096">
        <f>'Tax Calulation              '!P10</f>
        <v>14.672353313124802</v>
      </c>
      <c r="AO10" s="1096">
        <f>'Tax Calulation              '!W10</f>
        <v>5.9084194977843429</v>
      </c>
      <c r="AP10" s="1686">
        <f t="shared" ref="AP10" si="36">AK10-AN10-AM10-AO10-AL10</f>
        <v>591.6563004483545</v>
      </c>
      <c r="AQ10" s="1682">
        <f t="shared" ref="AQ10" si="37">ROUND((AP10-AR10)*4040,-2)</f>
        <v>370300</v>
      </c>
      <c r="AR10" s="1683">
        <f t="shared" si="28"/>
        <v>500</v>
      </c>
      <c r="AS10" s="502"/>
      <c r="AT10" s="504"/>
      <c r="AU10" s="502">
        <f>INT(AR10/100)</f>
        <v>5</v>
      </c>
      <c r="AV10" s="502">
        <f>INT((AR10-AU10*100)/50)</f>
        <v>0</v>
      </c>
      <c r="AW10" s="1113">
        <f t="shared" si="29"/>
        <v>500</v>
      </c>
      <c r="AX10" s="1113">
        <f>INT((AQ10/50000))</f>
        <v>7</v>
      </c>
      <c r="AY10" s="548">
        <f>INT((AQ10-AX10*50000)/10000)</f>
        <v>2</v>
      </c>
      <c r="AZ10" s="548">
        <f>INT((AQ10-AX10*50000-AY10*10000)/5000)</f>
        <v>0</v>
      </c>
      <c r="BA10" s="548">
        <f>INT((AQ10-AX10*50000-AY10*10000-AZ10*5000)/1000)</f>
        <v>0</v>
      </c>
      <c r="BB10" s="548">
        <f>INT((AQ10-AX10*50000-AY10*10000-AZ10*5000-BA10*1000)/500)</f>
        <v>0</v>
      </c>
      <c r="BC10" s="548">
        <f>INT((AQ10-AX10*50000-AY10*10000-AZ10*5000-BA10*1000-BB10*500)/100)</f>
        <v>3</v>
      </c>
      <c r="BD10" s="549">
        <f t="shared" si="30"/>
        <v>370300</v>
      </c>
      <c r="BF10" s="578" t="s">
        <v>2160</v>
      </c>
      <c r="BG10" s="578" t="s">
        <v>571</v>
      </c>
      <c r="BH10" s="1434">
        <v>35336</v>
      </c>
      <c r="BI10" s="1102" t="s">
        <v>2161</v>
      </c>
      <c r="BJ10" s="1452" t="s">
        <v>2162</v>
      </c>
    </row>
    <row r="11" spans="1:62" s="755" customFormat="1" ht="68.25" customHeight="1">
      <c r="A11" s="1369">
        <v>5</v>
      </c>
      <c r="B11" s="1398" t="s">
        <v>2391</v>
      </c>
      <c r="C11" s="1329" t="s">
        <v>2392</v>
      </c>
      <c r="D11" s="1852">
        <v>45586</v>
      </c>
      <c r="E11" s="812" t="s">
        <v>358</v>
      </c>
      <c r="F11" s="617">
        <v>202</v>
      </c>
      <c r="G11" s="617"/>
      <c r="H11" s="1001">
        <v>8</v>
      </c>
      <c r="I11" s="1408">
        <f t="shared" si="2"/>
        <v>62.153846153846153</v>
      </c>
      <c r="J11" s="618">
        <f t="shared" si="3"/>
        <v>62.153846153846153</v>
      </c>
      <c r="K11" s="1001">
        <v>9</v>
      </c>
      <c r="L11" s="510">
        <f t="shared" si="4"/>
        <v>1.4567307692307692</v>
      </c>
      <c r="M11" s="618">
        <f t="shared" si="5"/>
        <v>13.110576923076923</v>
      </c>
      <c r="N11" s="1001">
        <v>8</v>
      </c>
      <c r="O11" s="510">
        <f t="shared" si="6"/>
        <v>1.9423076923076923</v>
      </c>
      <c r="P11" s="503">
        <f t="shared" si="0"/>
        <v>15.538461538461538</v>
      </c>
      <c r="Q11" s="1001">
        <v>8</v>
      </c>
      <c r="R11" s="510">
        <f t="shared" si="7"/>
        <v>1.9423076923076923</v>
      </c>
      <c r="S11" s="618">
        <f t="shared" si="1"/>
        <v>15.538461538461538</v>
      </c>
      <c r="T11" s="1001">
        <v>0</v>
      </c>
      <c r="U11" s="510">
        <f t="shared" si="8"/>
        <v>7.7692307692307692</v>
      </c>
      <c r="V11" s="618">
        <f t="shared" si="9"/>
        <v>0</v>
      </c>
      <c r="W11" s="1001">
        <v>0</v>
      </c>
      <c r="X11" s="618">
        <f>'R Salary'!T12*'R'!W11</f>
        <v>0</v>
      </c>
      <c r="Y11" s="1001">
        <v>0</v>
      </c>
      <c r="Z11" s="510">
        <f t="shared" si="10"/>
        <v>3.8846153846153846</v>
      </c>
      <c r="AA11" s="618">
        <f t="shared" si="11"/>
        <v>0</v>
      </c>
      <c r="AB11" s="1001">
        <v>1</v>
      </c>
      <c r="AC11" s="1915">
        <f t="shared" si="12"/>
        <v>9</v>
      </c>
      <c r="AD11" s="1724">
        <v>0</v>
      </c>
      <c r="AE11" s="1121">
        <v>0</v>
      </c>
      <c r="AF11" s="511">
        <v>0</v>
      </c>
      <c r="AG11" s="618">
        <v>0.46</v>
      </c>
      <c r="AH11" s="1410">
        <v>0</v>
      </c>
      <c r="AI11" s="1410">
        <v>3.46</v>
      </c>
      <c r="AJ11" s="1410">
        <v>5</v>
      </c>
      <c r="AK11" s="1148">
        <f t="shared" si="13"/>
        <v>115.26134615384613</v>
      </c>
      <c r="AL11" s="911">
        <v>0</v>
      </c>
      <c r="AM11" s="1404"/>
      <c r="AN11" s="1096">
        <f>'Tax Calulation              '!P11</f>
        <v>0</v>
      </c>
      <c r="AO11" s="1096">
        <f>'Tax Calulation              '!W11</f>
        <v>2.3052269230769227</v>
      </c>
      <c r="AP11" s="1686">
        <f t="shared" si="14"/>
        <v>112.95611923076922</v>
      </c>
      <c r="AQ11" s="1682">
        <f t="shared" si="15"/>
        <v>52300</v>
      </c>
      <c r="AR11" s="1683">
        <f t="shared" si="16"/>
        <v>100</v>
      </c>
      <c r="AS11" s="502"/>
      <c r="AT11" s="504"/>
      <c r="AU11" s="502">
        <f>INT(AR11/100)</f>
        <v>1</v>
      </c>
      <c r="AV11" s="502">
        <f>INT((AR11-AU11*100)/50)</f>
        <v>0</v>
      </c>
      <c r="AW11" s="573">
        <f t="shared" si="17"/>
        <v>100</v>
      </c>
      <c r="AX11" s="573">
        <f>INT((AQ11/50000))</f>
        <v>1</v>
      </c>
      <c r="AY11" s="548">
        <f>INT((AQ11-AX11*50000)/10000)</f>
        <v>0</v>
      </c>
      <c r="AZ11" s="548">
        <f>INT((AQ11-AX11*50000-AY11*10000)/5000)</f>
        <v>0</v>
      </c>
      <c r="BA11" s="548">
        <f>INT((AQ11-AX11*50000-AY11*10000-AZ11*5000)/1000)</f>
        <v>2</v>
      </c>
      <c r="BB11" s="548">
        <f>INT((AQ11-AX11*50000-AY11*10000-AZ11*5000-BA11*1000)/500)</f>
        <v>0</v>
      </c>
      <c r="BC11" s="548">
        <f>INT((AQ11-AX11*50000-AY11*10000-AZ11*5000-BA11*1000-BB11*500)/100)</f>
        <v>3</v>
      </c>
      <c r="BD11" s="549">
        <f t="shared" si="18"/>
        <v>52300</v>
      </c>
      <c r="BF11" s="578" t="s">
        <v>2393</v>
      </c>
      <c r="BG11" s="578" t="s">
        <v>571</v>
      </c>
      <c r="BH11" s="1434">
        <v>38238</v>
      </c>
      <c r="BI11" s="1102" t="s">
        <v>2394</v>
      </c>
      <c r="BJ11" s="1920">
        <v>151008775</v>
      </c>
    </row>
    <row r="12" spans="1:62" ht="60" customHeight="1">
      <c r="A12" s="535" t="s">
        <v>454</v>
      </c>
      <c r="B12" s="536"/>
      <c r="C12" s="536"/>
      <c r="D12" s="536"/>
      <c r="E12" s="576"/>
      <c r="F12" s="536"/>
      <c r="G12" s="536"/>
      <c r="H12" s="536"/>
      <c r="I12" s="536"/>
      <c r="J12" s="536"/>
      <c r="K12" s="536"/>
      <c r="L12" s="536"/>
      <c r="M12" s="536"/>
      <c r="N12" s="536"/>
      <c r="O12" s="536"/>
      <c r="P12" s="536"/>
      <c r="Q12" s="536"/>
      <c r="R12" s="536"/>
      <c r="S12" s="536"/>
      <c r="T12" s="536"/>
      <c r="U12" s="536"/>
      <c r="V12" s="536"/>
      <c r="W12" s="536"/>
      <c r="X12" s="950">
        <f>SUM(X7:X11)</f>
        <v>23.602457874648525</v>
      </c>
      <c r="Y12" s="536"/>
      <c r="Z12" s="536"/>
      <c r="AA12" s="536"/>
      <c r="AB12" s="536"/>
      <c r="AC12" s="536"/>
      <c r="AD12" s="558">
        <f>SUM(AD7:AD11)</f>
        <v>0</v>
      </c>
      <c r="AE12" s="1114">
        <f>SUM(AE7:AE11)</f>
        <v>0</v>
      </c>
      <c r="AF12" s="536"/>
      <c r="AG12" s="536"/>
      <c r="AH12" s="536"/>
      <c r="AI12" s="622">
        <f t="shared" ref="AI12:AR12" si="38">SUM(AI7:AI11)</f>
        <v>43.46</v>
      </c>
      <c r="AJ12" s="622">
        <f t="shared" si="38"/>
        <v>45</v>
      </c>
      <c r="AK12" s="623">
        <f t="shared" si="38"/>
        <v>2209.1690924900331</v>
      </c>
      <c r="AL12" s="1276">
        <f t="shared" si="38"/>
        <v>0.5</v>
      </c>
      <c r="AM12" s="809">
        <f>SUM(AM7:AM11)</f>
        <v>408</v>
      </c>
      <c r="AN12" s="623">
        <f t="shared" si="38"/>
        <v>14.672353313124802</v>
      </c>
      <c r="AO12" s="623">
        <f t="shared" si="38"/>
        <v>25.938904914214294</v>
      </c>
      <c r="AP12" s="623">
        <f t="shared" si="38"/>
        <v>1760.0578342626936</v>
      </c>
      <c r="AQ12" s="1612">
        <f t="shared" si="38"/>
        <v>1050700</v>
      </c>
      <c r="AR12" s="736">
        <f t="shared" si="38"/>
        <v>1500</v>
      </c>
      <c r="AS12" s="506"/>
      <c r="AT12" s="501"/>
      <c r="AU12" s="573">
        <f t="shared" ref="AU12:BD12" si="39">SUM(AU7:AU11)</f>
        <v>15</v>
      </c>
      <c r="AV12" s="573">
        <f t="shared" si="39"/>
        <v>0</v>
      </c>
      <c r="AW12" s="641">
        <f t="shared" si="39"/>
        <v>1500</v>
      </c>
      <c r="AX12" s="573">
        <f t="shared" si="39"/>
        <v>19</v>
      </c>
      <c r="AY12" s="573">
        <f t="shared" si="39"/>
        <v>9</v>
      </c>
      <c r="AZ12" s="573">
        <f t="shared" si="39"/>
        <v>0</v>
      </c>
      <c r="BA12" s="573">
        <f t="shared" si="39"/>
        <v>8</v>
      </c>
      <c r="BB12" s="573">
        <f t="shared" si="39"/>
        <v>3</v>
      </c>
      <c r="BC12" s="573">
        <f t="shared" si="39"/>
        <v>12</v>
      </c>
      <c r="BD12" s="642">
        <f t="shared" si="39"/>
        <v>1050700</v>
      </c>
    </row>
    <row r="13" spans="1:62" ht="20.25">
      <c r="A13" s="552"/>
      <c r="B13" s="552"/>
      <c r="C13" s="508"/>
      <c r="D13" s="508"/>
      <c r="E13" s="577"/>
      <c r="F13" s="554"/>
      <c r="G13" s="552"/>
      <c r="H13" s="552"/>
      <c r="I13" s="552"/>
      <c r="J13" s="552"/>
      <c r="K13" s="552"/>
      <c r="L13" s="552"/>
      <c r="M13" s="552"/>
      <c r="N13" s="552"/>
      <c r="O13" s="552"/>
      <c r="P13" s="552"/>
      <c r="Q13" s="552"/>
      <c r="R13" s="552"/>
      <c r="S13" s="552"/>
      <c r="T13" s="552"/>
      <c r="U13" s="552"/>
      <c r="V13" s="552"/>
      <c r="W13" s="552"/>
      <c r="X13" s="552"/>
      <c r="Y13" s="552"/>
      <c r="Z13" s="552"/>
      <c r="AA13" s="552"/>
      <c r="AB13" s="552"/>
      <c r="AC13" s="552"/>
      <c r="AD13" s="552"/>
      <c r="AE13" s="552"/>
      <c r="AF13" s="552"/>
      <c r="AG13" s="552"/>
      <c r="AH13" s="552"/>
      <c r="AI13" s="552"/>
      <c r="AJ13" s="552"/>
      <c r="AK13" s="552"/>
      <c r="AL13" s="552"/>
      <c r="AM13" s="552"/>
      <c r="AN13" s="552"/>
      <c r="AO13" s="552"/>
      <c r="AP13" s="552"/>
      <c r="AQ13" s="552"/>
      <c r="AR13" s="552"/>
      <c r="AS13" s="552"/>
      <c r="AT13" s="552"/>
      <c r="AU13" s="552"/>
      <c r="AV13" s="552"/>
      <c r="AW13" s="552"/>
      <c r="AX13" s="552"/>
      <c r="AY13" s="552"/>
      <c r="AZ13" s="552"/>
    </row>
    <row r="14" spans="1:62" s="555" customFormat="1" ht="27" customHeight="1">
      <c r="A14" s="555" t="s">
        <v>213</v>
      </c>
      <c r="E14" s="734"/>
      <c r="F14" s="556"/>
      <c r="L14" s="1355" t="s">
        <v>2168</v>
      </c>
      <c r="AF14" s="540" t="s">
        <v>445</v>
      </c>
      <c r="AR14" s="555" t="s">
        <v>212</v>
      </c>
    </row>
    <row r="15" spans="1:62" ht="20.25">
      <c r="A15" s="552"/>
      <c r="B15" s="552"/>
      <c r="C15" s="508"/>
      <c r="D15" s="508"/>
      <c r="E15" s="577"/>
      <c r="F15" s="554"/>
      <c r="G15" s="552"/>
      <c r="H15" s="552"/>
      <c r="I15" s="552"/>
      <c r="J15" s="552"/>
      <c r="K15" s="552"/>
      <c r="L15" s="552"/>
      <c r="M15" s="552"/>
      <c r="N15" s="552"/>
      <c r="O15" s="552"/>
      <c r="P15" s="552"/>
      <c r="Q15" s="552"/>
      <c r="R15" s="552"/>
      <c r="S15" s="552"/>
      <c r="T15" s="552"/>
      <c r="U15" s="552"/>
      <c r="V15" s="552"/>
      <c r="W15" s="552"/>
      <c r="X15" s="552"/>
      <c r="Y15" s="552"/>
      <c r="Z15" s="552"/>
      <c r="AA15" s="552"/>
      <c r="AB15" s="552"/>
      <c r="AC15" s="552"/>
      <c r="AD15" s="552"/>
      <c r="AE15" s="552"/>
      <c r="AF15" s="552"/>
      <c r="AG15" s="552"/>
      <c r="AH15" s="552"/>
      <c r="AI15" s="552"/>
      <c r="AJ15" s="552"/>
      <c r="AK15" s="552"/>
      <c r="AL15" s="552"/>
      <c r="AM15" s="552"/>
      <c r="AN15" s="552"/>
      <c r="AO15" s="552"/>
      <c r="AP15" s="552"/>
      <c r="AQ15" s="552"/>
      <c r="AR15" s="552"/>
      <c r="AS15" s="552"/>
      <c r="AT15" s="552"/>
      <c r="AU15" s="552"/>
      <c r="AV15" s="552"/>
      <c r="AW15" s="552"/>
      <c r="AX15" s="552"/>
      <c r="AY15" s="552"/>
      <c r="AZ15" s="552"/>
    </row>
    <row r="16" spans="1:62" ht="24" customHeight="1"/>
    <row r="17" ht="24" customHeight="1"/>
    <row r="18" ht="24" customHeight="1"/>
  </sheetData>
  <mergeCells count="32">
    <mergeCell ref="BG5:BG6"/>
    <mergeCell ref="BH5:BH6"/>
    <mergeCell ref="BI5:BI6"/>
    <mergeCell ref="BJ5:BJ6"/>
    <mergeCell ref="Y5:AA5"/>
    <mergeCell ref="AB5:AB6"/>
    <mergeCell ref="AD5:AD6"/>
    <mergeCell ref="AF5:AF6"/>
    <mergeCell ref="AH5:AH6"/>
    <mergeCell ref="AM5:AM6"/>
    <mergeCell ref="AO5:AO6"/>
    <mergeCell ref="H5:J5"/>
    <mergeCell ref="K5:M5"/>
    <mergeCell ref="N5:P5"/>
    <mergeCell ref="Q5:S5"/>
    <mergeCell ref="T5:V5"/>
    <mergeCell ref="W5:X5"/>
    <mergeCell ref="A1:AS1"/>
    <mergeCell ref="A2:AS2"/>
    <mergeCell ref="A3:AS3"/>
    <mergeCell ref="AV4:BE4"/>
    <mergeCell ref="C4:F4"/>
    <mergeCell ref="AG5:AG6"/>
    <mergeCell ref="AS5:AS6"/>
    <mergeCell ref="AU5:AW5"/>
    <mergeCell ref="AZ5:BD5"/>
    <mergeCell ref="AI5:AI6"/>
    <mergeCell ref="AJ5:AJ6"/>
    <mergeCell ref="AK5:AK6"/>
    <mergeCell ref="AL5:AL6"/>
    <mergeCell ref="AN5:AN6"/>
    <mergeCell ref="AP5:AR5"/>
  </mergeCells>
  <phoneticPr fontId="171" type="noConversion"/>
  <pageMargins left="0" right="0" top="0.5" bottom="0.5" header="0" footer="0"/>
  <pageSetup paperSize="9" scale="38" orientation="landscape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12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7" sqref="A7:A11"/>
    </sheetView>
  </sheetViews>
  <sheetFormatPr defaultRowHeight="15.75"/>
  <cols>
    <col min="1" max="1" width="3.625" style="474" customWidth="1"/>
    <col min="2" max="2" width="6.75" style="474" customWidth="1"/>
    <col min="3" max="3" width="11.625" style="476" customWidth="1"/>
    <col min="4" max="4" width="11.25" style="475" customWidth="1"/>
    <col min="5" max="5" width="6.375" style="500" customWidth="1"/>
    <col min="6" max="6" width="12.75" style="474" customWidth="1"/>
    <col min="7" max="7" width="9.125" style="474" bestFit="1" customWidth="1"/>
    <col min="8" max="8" width="13.75" style="474" bestFit="1" customWidth="1"/>
    <col min="9" max="10" width="7.375" style="474" customWidth="1"/>
    <col min="11" max="11" width="9" style="474"/>
    <col min="12" max="12" width="10.875" style="474" customWidth="1"/>
    <col min="13" max="13" width="9" style="474"/>
    <col min="14" max="14" width="11.875" style="474" customWidth="1"/>
    <col min="15" max="15" width="12.125" style="474" customWidth="1"/>
    <col min="16" max="16" width="15.125" style="474" customWidth="1"/>
    <col min="17" max="17" width="9" style="474"/>
    <col min="18" max="19" width="15.625" style="474" customWidth="1"/>
    <col min="20" max="20" width="13.25" style="474" customWidth="1"/>
    <col min="21" max="21" width="12.75" style="474" customWidth="1"/>
    <col min="22" max="23" width="14.625" style="474" customWidth="1"/>
    <col min="24" max="16384" width="9" style="474"/>
  </cols>
  <sheetData>
    <row r="1" spans="1:39" s="479" customFormat="1" ht="29.25" customHeight="1">
      <c r="A1" s="2127" t="s">
        <v>222</v>
      </c>
      <c r="B1" s="2127"/>
      <c r="C1" s="2127"/>
      <c r="D1" s="2127"/>
      <c r="E1" s="2127"/>
      <c r="F1" s="2127"/>
      <c r="G1" s="2127"/>
      <c r="H1" s="2127"/>
      <c r="I1" s="2127"/>
      <c r="J1" s="2127"/>
      <c r="K1" s="2127"/>
      <c r="L1" s="2127"/>
      <c r="M1" s="2127"/>
      <c r="N1" s="2127"/>
      <c r="O1" s="2127"/>
      <c r="P1" s="2127"/>
      <c r="R1" s="2169" t="s">
        <v>222</v>
      </c>
      <c r="S1" s="2169"/>
      <c r="T1" s="2169"/>
      <c r="U1" s="2169"/>
      <c r="V1" s="2169"/>
      <c r="W1" s="2169"/>
    </row>
    <row r="2" spans="1:39" s="479" customFormat="1" ht="20.25" customHeight="1">
      <c r="A2" s="2127" t="s">
        <v>221</v>
      </c>
      <c r="B2" s="2127"/>
      <c r="C2" s="2127"/>
      <c r="D2" s="2127"/>
      <c r="E2" s="2127"/>
      <c r="F2" s="2127"/>
      <c r="G2" s="2127"/>
      <c r="H2" s="2127"/>
      <c r="I2" s="2127"/>
      <c r="J2" s="2127"/>
      <c r="K2" s="2127"/>
      <c r="L2" s="2127"/>
      <c r="M2" s="2127"/>
      <c r="N2" s="2127"/>
      <c r="O2" s="2127"/>
      <c r="P2" s="2127"/>
      <c r="R2" s="2126" t="s">
        <v>1807</v>
      </c>
      <c r="S2" s="2126"/>
      <c r="T2" s="2126"/>
      <c r="U2" s="2126"/>
      <c r="V2" s="2126"/>
      <c r="W2" s="2126"/>
    </row>
    <row r="3" spans="1:39" s="479" customFormat="1" ht="19.5" customHeight="1">
      <c r="A3" s="2126" t="s">
        <v>2354</v>
      </c>
      <c r="B3" s="2126"/>
      <c r="C3" s="2126"/>
      <c r="D3" s="2126"/>
      <c r="E3" s="2126"/>
      <c r="F3" s="2126"/>
      <c r="G3" s="2126"/>
      <c r="H3" s="2126"/>
      <c r="I3" s="2126"/>
      <c r="J3" s="2126"/>
      <c r="K3" s="2126"/>
      <c r="L3" s="2126"/>
      <c r="M3" s="2126"/>
      <c r="N3" s="2126"/>
      <c r="O3" s="2126"/>
      <c r="P3" s="2126"/>
      <c r="R3" s="2126" t="s">
        <v>2351</v>
      </c>
      <c r="S3" s="2126"/>
      <c r="T3" s="2126"/>
      <c r="U3" s="2126"/>
      <c r="V3" s="2126"/>
      <c r="W3" s="2126"/>
    </row>
    <row r="4" spans="1:39" s="479" customFormat="1" ht="20.25" customHeight="1" thickBot="1">
      <c r="A4" s="2128" t="s">
        <v>340</v>
      </c>
      <c r="B4" s="2128"/>
      <c r="C4" s="2128"/>
      <c r="D4" s="2128"/>
      <c r="E4" s="2128"/>
      <c r="R4" s="479" t="s">
        <v>2355</v>
      </c>
    </row>
    <row r="5" spans="1:39" s="473" customFormat="1" ht="63" customHeight="1" thickTop="1">
      <c r="A5" s="482" t="s">
        <v>223</v>
      </c>
      <c r="B5" s="482" t="s">
        <v>224</v>
      </c>
      <c r="C5" s="482" t="s">
        <v>225</v>
      </c>
      <c r="D5" s="482" t="s">
        <v>226</v>
      </c>
      <c r="E5" s="498" t="s">
        <v>227</v>
      </c>
      <c r="F5" s="482" t="s">
        <v>228</v>
      </c>
      <c r="G5" s="482" t="s">
        <v>229</v>
      </c>
      <c r="H5" s="482" t="s">
        <v>230</v>
      </c>
      <c r="I5" s="482" t="s">
        <v>231</v>
      </c>
      <c r="J5" s="482" t="s">
        <v>232</v>
      </c>
      <c r="K5" s="482" t="s">
        <v>233</v>
      </c>
      <c r="L5" s="482" t="s">
        <v>234</v>
      </c>
      <c r="M5" s="482" t="s">
        <v>235</v>
      </c>
      <c r="N5" s="482" t="s">
        <v>236</v>
      </c>
      <c r="O5" s="482" t="s">
        <v>237</v>
      </c>
      <c r="P5" s="482" t="s">
        <v>238</v>
      </c>
      <c r="Q5" s="483"/>
      <c r="R5" s="1203" t="s">
        <v>1810</v>
      </c>
      <c r="S5" s="1203" t="s">
        <v>1811</v>
      </c>
      <c r="T5" s="498" t="s">
        <v>1812</v>
      </c>
      <c r="U5" s="498" t="s">
        <v>1809</v>
      </c>
      <c r="V5" s="498" t="s">
        <v>1813</v>
      </c>
      <c r="W5" s="498" t="s">
        <v>1814</v>
      </c>
      <c r="X5" s="483"/>
      <c r="Y5" s="483"/>
      <c r="Z5" s="483"/>
      <c r="AA5" s="484"/>
      <c r="AB5" s="484"/>
      <c r="AC5" s="484"/>
      <c r="AD5" s="484"/>
      <c r="AE5" s="484"/>
      <c r="AF5" s="484"/>
      <c r="AG5" s="484"/>
      <c r="AH5" s="484"/>
      <c r="AI5" s="484"/>
      <c r="AJ5" s="484"/>
      <c r="AK5" s="484"/>
      <c r="AL5" s="484"/>
      <c r="AM5" s="484"/>
    </row>
    <row r="6" spans="1:39" s="473" customFormat="1" ht="33" customHeight="1">
      <c r="A6" s="485" t="s">
        <v>111</v>
      </c>
      <c r="B6" s="485" t="s">
        <v>239</v>
      </c>
      <c r="C6" s="485" t="s">
        <v>87</v>
      </c>
      <c r="D6" s="486" t="s">
        <v>240</v>
      </c>
      <c r="E6" s="499" t="s">
        <v>218</v>
      </c>
      <c r="F6" s="492" t="s">
        <v>241</v>
      </c>
      <c r="G6" s="492" t="s">
        <v>242</v>
      </c>
      <c r="H6" s="492" t="s">
        <v>243</v>
      </c>
      <c r="I6" s="492" t="s">
        <v>244</v>
      </c>
      <c r="J6" s="493" t="s">
        <v>245</v>
      </c>
      <c r="K6" s="492" t="s">
        <v>246</v>
      </c>
      <c r="L6" s="493" t="s">
        <v>247</v>
      </c>
      <c r="M6" s="492" t="s">
        <v>248</v>
      </c>
      <c r="N6" s="492"/>
      <c r="O6" s="492" t="s">
        <v>249</v>
      </c>
      <c r="P6" s="492" t="s">
        <v>250</v>
      </c>
      <c r="Q6" s="487"/>
      <c r="R6" s="1154"/>
      <c r="S6" s="1169"/>
      <c r="T6" s="1169"/>
      <c r="U6" s="488">
        <v>4062</v>
      </c>
      <c r="V6" s="1183">
        <v>0.02</v>
      </c>
      <c r="W6" s="488">
        <v>4062</v>
      </c>
      <c r="X6" s="487"/>
      <c r="Y6" s="487"/>
      <c r="Z6" s="487"/>
      <c r="AA6" s="481"/>
      <c r="AB6" s="481"/>
      <c r="AC6" s="481"/>
      <c r="AD6" s="481"/>
      <c r="AE6" s="481"/>
      <c r="AF6" s="481"/>
      <c r="AG6" s="484"/>
      <c r="AH6" s="484"/>
      <c r="AI6" s="484"/>
      <c r="AJ6" s="484"/>
      <c r="AK6" s="484"/>
      <c r="AL6" s="484"/>
      <c r="AM6" s="484"/>
    </row>
    <row r="7" spans="1:39" s="477" customFormat="1" ht="31.5" customHeight="1">
      <c r="A7" s="478">
        <v>1</v>
      </c>
      <c r="B7" s="1572" t="s">
        <v>337</v>
      </c>
      <c r="C7" s="584" t="s">
        <v>511</v>
      </c>
      <c r="D7" s="1566">
        <v>41311</v>
      </c>
      <c r="E7" s="640" t="s">
        <v>358</v>
      </c>
      <c r="F7" s="494">
        <f>'R'!AK7-'R'!AD7-'R'!AI7-'R'!AJ7-'R'!AE7-W7</f>
        <v>459.1204266560618</v>
      </c>
      <c r="G7" s="495">
        <v>4062</v>
      </c>
      <c r="H7" s="488">
        <f>F7*G7</f>
        <v>1864947.173076923</v>
      </c>
      <c r="I7" s="480">
        <v>1</v>
      </c>
      <c r="J7" s="525">
        <v>2</v>
      </c>
      <c r="K7" s="488">
        <f>150000*(J7+I7)</f>
        <v>450000</v>
      </c>
      <c r="L7" s="488">
        <f>H7-K7</f>
        <v>1414947.173076923</v>
      </c>
      <c r="M7" s="489">
        <f>IF(L7&gt;=12500000,20%,IF(L7&gt;=8500001,15%,IF(L7&gt;=2000001,10%,IF(L7&gt;=1500001,5%,0%))))</f>
        <v>0</v>
      </c>
      <c r="N7" s="488">
        <f>IF(M7=5%,75000,IF(M7=10%,175000,0))</f>
        <v>0</v>
      </c>
      <c r="O7" s="490">
        <f>L7*M7-N7</f>
        <v>0</v>
      </c>
      <c r="P7" s="491">
        <f>O7/4062</f>
        <v>0</v>
      </c>
      <c r="R7" s="1186">
        <v>31174</v>
      </c>
      <c r="S7" s="1170">
        <v>44835</v>
      </c>
      <c r="T7" s="1174">
        <f>'R'!AK7-'R'!AE7</f>
        <v>485.02884615384613</v>
      </c>
      <c r="U7" s="1177">
        <f>T7*4062</f>
        <v>1970187.173076923</v>
      </c>
      <c r="V7" s="1206">
        <f>IF(YEARFRAC(R7,S7)&gt;=60,"0",IF(U7&lt;400000,400000*2%,IF(U7&gt;1200000,1200000*2%,U7*2%)))</f>
        <v>24000</v>
      </c>
      <c r="W7" s="1194">
        <f>V7/4062</f>
        <v>5.9084194977843429</v>
      </c>
    </row>
    <row r="8" spans="1:39" s="477" customFormat="1" ht="31.5" customHeight="1">
      <c r="A8" s="478">
        <v>2</v>
      </c>
      <c r="B8" s="518" t="s">
        <v>338</v>
      </c>
      <c r="C8" s="578" t="s">
        <v>339</v>
      </c>
      <c r="D8" s="1474">
        <v>42117</v>
      </c>
      <c r="E8" s="640" t="s">
        <v>358</v>
      </c>
      <c r="F8" s="494">
        <f>'R'!AK8-'R'!AD8-'R'!AI8-'R'!AJ8-'R'!AE8-W8</f>
        <v>439.88965742529257</v>
      </c>
      <c r="G8" s="495">
        <v>4062</v>
      </c>
      <c r="H8" s="488">
        <f t="shared" ref="H8:H11" si="0">F8*G8</f>
        <v>1786831.7884615385</v>
      </c>
      <c r="I8" s="480">
        <v>1</v>
      </c>
      <c r="J8" s="525">
        <v>1</v>
      </c>
      <c r="K8" s="488">
        <f t="shared" ref="K8:K11" si="1">150000*(J8+I8)</f>
        <v>300000</v>
      </c>
      <c r="L8" s="488">
        <f t="shared" ref="L8:L11" si="2">H8-K8</f>
        <v>1486831.7884615385</v>
      </c>
      <c r="M8" s="489">
        <f t="shared" ref="M8:M11" si="3">IF(L8&gt;=12500000,20%,IF(L8&gt;=8500001,15%,IF(L8&gt;=2000001,10%,IF(L8&gt;=1500001,5%,0%))))</f>
        <v>0</v>
      </c>
      <c r="N8" s="488">
        <f t="shared" ref="N8:N11" si="4">IF(M8=5%,75000,IF(M8=10%,175000,0))</f>
        <v>0</v>
      </c>
      <c r="O8" s="490">
        <f t="shared" ref="O8:O11" si="5">L8*M8-N8</f>
        <v>0</v>
      </c>
      <c r="P8" s="491">
        <f t="shared" ref="P8:P11" si="6">O8/4062</f>
        <v>0</v>
      </c>
      <c r="R8" s="1186">
        <v>32727</v>
      </c>
      <c r="S8" s="1170">
        <v>44835</v>
      </c>
      <c r="T8" s="1174">
        <f>'R'!AK8-'R'!AE8</f>
        <v>465.79807692307691</v>
      </c>
      <c r="U8" s="1177">
        <f t="shared" ref="U8:U11" si="7">T8*4062</f>
        <v>1892071.7884615385</v>
      </c>
      <c r="V8" s="1206">
        <f t="shared" ref="V8:V11" si="8">IF(YEARFRAC(R8,S8)&gt;=60,"0",IF(U8&lt;400000,400000*2%,IF(U8&gt;1200000,1200000*2%,U8*2%)))</f>
        <v>24000</v>
      </c>
      <c r="W8" s="1194">
        <f t="shared" ref="W8:W11" si="9">V8/4062</f>
        <v>5.9084194977843429</v>
      </c>
    </row>
    <row r="9" spans="1:39" s="477" customFormat="1" ht="31.5" customHeight="1">
      <c r="A9" s="478">
        <v>3</v>
      </c>
      <c r="B9" s="591" t="s">
        <v>438</v>
      </c>
      <c r="C9" s="584" t="s">
        <v>439</v>
      </c>
      <c r="D9" s="1563">
        <v>43238</v>
      </c>
      <c r="E9" s="640" t="s">
        <v>358</v>
      </c>
      <c r="F9" s="494">
        <f>'R'!AK9-'R'!AD9-'R'!AI9-'R'!AJ9-'R'!AE9-W9</f>
        <v>402.93533050221566</v>
      </c>
      <c r="G9" s="495">
        <v>4062</v>
      </c>
      <c r="H9" s="488">
        <f t="shared" si="0"/>
        <v>1636723.3125</v>
      </c>
      <c r="I9" s="480">
        <v>1</v>
      </c>
      <c r="J9" s="524">
        <v>2</v>
      </c>
      <c r="K9" s="488">
        <f t="shared" si="1"/>
        <v>450000</v>
      </c>
      <c r="L9" s="488">
        <f t="shared" si="2"/>
        <v>1186723.3125</v>
      </c>
      <c r="M9" s="489">
        <f t="shared" si="3"/>
        <v>0</v>
      </c>
      <c r="N9" s="488">
        <f t="shared" si="4"/>
        <v>0</v>
      </c>
      <c r="O9" s="490">
        <f t="shared" si="5"/>
        <v>0</v>
      </c>
      <c r="P9" s="491">
        <f t="shared" si="6"/>
        <v>0</v>
      </c>
      <c r="R9" s="1208">
        <v>36043</v>
      </c>
      <c r="S9" s="1179">
        <v>44835</v>
      </c>
      <c r="T9" s="1174">
        <f>'R'!AK9-'R'!AE9</f>
        <v>428.84375</v>
      </c>
      <c r="U9" s="1177">
        <f t="shared" si="7"/>
        <v>1741963.3125</v>
      </c>
      <c r="V9" s="1206">
        <f t="shared" si="8"/>
        <v>24000</v>
      </c>
      <c r="W9" s="1194">
        <f t="shared" si="9"/>
        <v>5.9084194977843429</v>
      </c>
    </row>
    <row r="10" spans="1:39" s="477" customFormat="1" ht="31.5" customHeight="1">
      <c r="A10" s="478">
        <v>4</v>
      </c>
      <c r="B10" s="1381" t="s">
        <v>2158</v>
      </c>
      <c r="C10" s="578" t="s">
        <v>2159</v>
      </c>
      <c r="D10" s="1434">
        <v>45313</v>
      </c>
      <c r="E10" s="640" t="s">
        <v>358</v>
      </c>
      <c r="F10" s="494">
        <f>'R'!AK10-'R'!AD10-'R'!AI10-'R'!AJ10-'R'!AE10-W10</f>
        <v>688.32865376147936</v>
      </c>
      <c r="G10" s="495">
        <v>4062</v>
      </c>
      <c r="H10" s="488">
        <f t="shared" ref="H10" si="10">F10*G10</f>
        <v>2795990.9915791294</v>
      </c>
      <c r="I10" s="480">
        <v>1</v>
      </c>
      <c r="J10" s="524">
        <v>2</v>
      </c>
      <c r="K10" s="488">
        <f t="shared" ref="K10" si="11">150000*(J10+I10)</f>
        <v>450000</v>
      </c>
      <c r="L10" s="488">
        <f t="shared" si="2"/>
        <v>2345990.9915791294</v>
      </c>
      <c r="M10" s="489">
        <f t="shared" si="3"/>
        <v>0.1</v>
      </c>
      <c r="N10" s="488">
        <f t="shared" si="4"/>
        <v>175000</v>
      </c>
      <c r="O10" s="490">
        <f t="shared" si="5"/>
        <v>59599.099157912948</v>
      </c>
      <c r="P10" s="491">
        <f t="shared" si="6"/>
        <v>14.672353313124802</v>
      </c>
      <c r="R10" s="1558">
        <v>35336</v>
      </c>
      <c r="S10" s="1179">
        <v>44835</v>
      </c>
      <c r="T10" s="1174">
        <f>'R'!AK10-'R'!AE10</f>
        <v>714.23707325926375</v>
      </c>
      <c r="U10" s="1177">
        <f t="shared" si="7"/>
        <v>2901230.9915791294</v>
      </c>
      <c r="V10" s="1206">
        <f t="shared" si="8"/>
        <v>24000</v>
      </c>
      <c r="W10" s="1194">
        <f t="shared" si="9"/>
        <v>5.9084194977843429</v>
      </c>
    </row>
    <row r="11" spans="1:39" s="477" customFormat="1" ht="31.5" customHeight="1">
      <c r="A11" s="478">
        <v>5</v>
      </c>
      <c r="B11" s="1381" t="s">
        <v>2391</v>
      </c>
      <c r="C11" s="1390" t="s">
        <v>2392</v>
      </c>
      <c r="D11" s="1852">
        <v>45586</v>
      </c>
      <c r="E11" s="640" t="s">
        <v>358</v>
      </c>
      <c r="F11" s="494">
        <f>'R'!AK11-'R'!AD11-'R'!AI11-'R'!AJ11-'R'!AE11-W11</f>
        <v>104.49611923076921</v>
      </c>
      <c r="G11" s="495">
        <v>4062</v>
      </c>
      <c r="H11" s="488">
        <f t="shared" si="0"/>
        <v>424463.23631538451</v>
      </c>
      <c r="I11" s="480">
        <v>0</v>
      </c>
      <c r="J11" s="524">
        <v>0</v>
      </c>
      <c r="K11" s="488">
        <f t="shared" si="1"/>
        <v>0</v>
      </c>
      <c r="L11" s="488">
        <f t="shared" si="2"/>
        <v>424463.23631538451</v>
      </c>
      <c r="M11" s="489">
        <f t="shared" si="3"/>
        <v>0</v>
      </c>
      <c r="N11" s="488">
        <f t="shared" si="4"/>
        <v>0</v>
      </c>
      <c r="O11" s="490">
        <f t="shared" si="5"/>
        <v>0</v>
      </c>
      <c r="P11" s="491">
        <f t="shared" si="6"/>
        <v>0</v>
      </c>
      <c r="R11" s="1558">
        <v>38238</v>
      </c>
      <c r="S11" s="1179">
        <v>44835</v>
      </c>
      <c r="T11" s="1174">
        <f>'R'!AK11-'R'!AE11</f>
        <v>115.26134615384613</v>
      </c>
      <c r="U11" s="1177">
        <f t="shared" si="7"/>
        <v>468191.58807692298</v>
      </c>
      <c r="V11" s="1206">
        <f t="shared" si="8"/>
        <v>9363.8317615384603</v>
      </c>
      <c r="W11" s="1194">
        <f t="shared" si="9"/>
        <v>2.3052269230769227</v>
      </c>
    </row>
    <row r="12" spans="1:39" ht="38.25" customHeight="1">
      <c r="A12" s="1338"/>
      <c r="B12" s="1339"/>
      <c r="C12" s="1339"/>
      <c r="D12" s="1339"/>
      <c r="E12" s="1339"/>
      <c r="F12" s="1340">
        <f>SUM(F7:F11)</f>
        <v>2094.7701875758185</v>
      </c>
      <c r="G12" s="495"/>
      <c r="H12" s="1339"/>
      <c r="I12" s="1339"/>
      <c r="J12" s="1339"/>
      <c r="K12" s="1339"/>
      <c r="L12" s="2129" t="s">
        <v>251</v>
      </c>
      <c r="M12" s="2130"/>
      <c r="N12" s="2131"/>
      <c r="O12" s="496">
        <f>SUM(O7:O11)</f>
        <v>59599.099157912948</v>
      </c>
      <c r="P12" s="491">
        <f>SUM(P7:P11)</f>
        <v>14.672353313124802</v>
      </c>
      <c r="R12" s="1178"/>
      <c r="S12" s="2187" t="s">
        <v>251</v>
      </c>
      <c r="T12" s="2188"/>
      <c r="U12" s="2189"/>
      <c r="V12" s="1209">
        <f>SUM(V7:V11)</f>
        <v>105363.83176153846</v>
      </c>
      <c r="W12" s="1211">
        <f>SUM(W7:W11)</f>
        <v>25.938904914214294</v>
      </c>
    </row>
  </sheetData>
  <mergeCells count="9">
    <mergeCell ref="S12:U12"/>
    <mergeCell ref="R1:W1"/>
    <mergeCell ref="R2:W2"/>
    <mergeCell ref="R3:W3"/>
    <mergeCell ref="A1:P1"/>
    <mergeCell ref="A2:P2"/>
    <mergeCell ref="A3:P3"/>
    <mergeCell ref="A4:E4"/>
    <mergeCell ref="L12:N12"/>
  </mergeCells>
  <phoneticPr fontId="171" type="noConversion"/>
  <conditionalFormatting sqref="M7:M11">
    <cfRule type="cellIs" dxfId="37" priority="3" stopIfTrue="1" operator="equal">
      <formula>0</formula>
    </cfRule>
  </conditionalFormatting>
  <printOptions horizontalCentered="1"/>
  <pageMargins left="0.2" right="0.19" top="0.2" bottom="0.2" header="0.3" footer="0.31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38"/>
  <sheetViews>
    <sheetView topLeftCell="A27" zoomScaleNormal="100" workbookViewId="0">
      <pane xSplit="4" topLeftCell="P1" activePane="topRight" state="frozen"/>
      <selection activeCell="A5" sqref="A5"/>
      <selection pane="topRight" activeCell="W32" sqref="W32"/>
    </sheetView>
  </sheetViews>
  <sheetFormatPr defaultRowHeight="14.25"/>
  <cols>
    <col min="1" max="1" width="4.625" style="140" customWidth="1"/>
    <col min="2" max="2" width="8.125" style="140" customWidth="1"/>
    <col min="3" max="3" width="10.125" style="140" customWidth="1"/>
    <col min="4" max="4" width="10.375" style="140" bestFit="1" customWidth="1"/>
    <col min="5" max="5" width="8" style="140" customWidth="1"/>
    <col min="6" max="16384" width="9" style="140"/>
  </cols>
  <sheetData>
    <row r="1" spans="1:37" s="1225" customFormat="1" ht="42" hidden="1" customHeight="1">
      <c r="A1" s="2070" t="s">
        <v>222</v>
      </c>
      <c r="B1" s="2070"/>
      <c r="C1" s="2070"/>
      <c r="D1" s="2070"/>
      <c r="E1" s="2070"/>
      <c r="F1" s="2070"/>
      <c r="G1" s="2070"/>
      <c r="H1" s="2070"/>
      <c r="I1" s="2070"/>
      <c r="J1" s="2070"/>
      <c r="K1" s="2070"/>
      <c r="L1" s="2070"/>
      <c r="M1" s="2070"/>
      <c r="N1" s="2070"/>
      <c r="O1" s="2070"/>
      <c r="P1" s="2070"/>
      <c r="Q1" s="2070"/>
      <c r="R1" s="2070"/>
      <c r="S1" s="2070"/>
      <c r="T1" s="2070"/>
      <c r="U1" s="2070"/>
      <c r="V1" s="2070"/>
      <c r="W1" s="2070"/>
      <c r="X1" s="1224"/>
    </row>
    <row r="2" spans="1:37" s="804" customFormat="1" ht="42.75" hidden="1" customHeight="1">
      <c r="A2" s="2070" t="s">
        <v>221</v>
      </c>
      <c r="B2" s="2070"/>
      <c r="C2" s="2070"/>
      <c r="D2" s="2070"/>
      <c r="E2" s="2070"/>
      <c r="F2" s="2070"/>
      <c r="G2" s="2070"/>
      <c r="H2" s="2070"/>
      <c r="I2" s="2070"/>
      <c r="J2" s="2070"/>
      <c r="K2" s="2070"/>
      <c r="L2" s="2070"/>
      <c r="M2" s="2070"/>
      <c r="N2" s="2070"/>
      <c r="O2" s="2070"/>
      <c r="P2" s="2070"/>
      <c r="Q2" s="2070"/>
      <c r="R2" s="2070"/>
      <c r="S2" s="2070"/>
      <c r="T2" s="2070"/>
      <c r="U2" s="2070"/>
      <c r="V2" s="2070"/>
      <c r="W2" s="2070"/>
      <c r="X2" s="763"/>
    </row>
    <row r="3" spans="1:37" s="804" customFormat="1" ht="42.75" hidden="1" customHeight="1">
      <c r="A3" s="2071" t="s">
        <v>1070</v>
      </c>
      <c r="B3" s="2071"/>
      <c r="C3" s="2071"/>
      <c r="D3" s="2071"/>
      <c r="E3" s="2071"/>
      <c r="F3" s="2071"/>
      <c r="G3" s="2071"/>
      <c r="H3" s="2071"/>
      <c r="I3" s="2071"/>
      <c r="J3" s="2071"/>
      <c r="K3" s="2071"/>
      <c r="L3" s="2071"/>
      <c r="M3" s="2071"/>
      <c r="N3" s="2071"/>
      <c r="O3" s="2071"/>
      <c r="P3" s="2071"/>
      <c r="Q3" s="2071"/>
      <c r="R3" s="2071"/>
      <c r="S3" s="2071"/>
      <c r="T3" s="2071"/>
      <c r="U3" s="2071"/>
      <c r="V3" s="2071"/>
      <c r="W3" s="2071"/>
      <c r="X3" s="763"/>
    </row>
    <row r="4" spans="1:37" s="804" customFormat="1" ht="42.75" hidden="1" customHeight="1">
      <c r="A4" s="2071" t="s">
        <v>1071</v>
      </c>
      <c r="B4" s="2071"/>
      <c r="C4" s="2071"/>
      <c r="D4" s="2071"/>
      <c r="E4" s="2071"/>
      <c r="F4" s="2071"/>
      <c r="G4" s="2071"/>
      <c r="H4" s="2071"/>
      <c r="I4" s="2071"/>
      <c r="J4" s="2071"/>
      <c r="K4" s="2071"/>
      <c r="L4" s="2071"/>
      <c r="M4" s="2071"/>
      <c r="N4" s="2071"/>
      <c r="O4" s="2071"/>
      <c r="P4" s="2071"/>
      <c r="Q4" s="2071"/>
      <c r="R4" s="2071"/>
      <c r="S4" s="2071"/>
      <c r="T4" s="2071"/>
      <c r="U4" s="2071"/>
      <c r="V4" s="2071"/>
      <c r="W4" s="2071"/>
      <c r="X4" s="763"/>
    </row>
    <row r="5" spans="1:37" s="804" customFormat="1" ht="42.75" customHeight="1">
      <c r="A5" s="2069" t="s">
        <v>1300</v>
      </c>
      <c r="B5" s="2069"/>
      <c r="C5" s="2069"/>
      <c r="D5" s="1226"/>
      <c r="E5" s="1226"/>
      <c r="F5" s="1226"/>
      <c r="G5" s="1226"/>
      <c r="H5" s="1226"/>
      <c r="I5" s="1226"/>
      <c r="J5" s="1226"/>
      <c r="K5" s="1226"/>
      <c r="L5" s="2069" t="s">
        <v>2347</v>
      </c>
      <c r="M5" s="2069"/>
      <c r="N5" s="2069"/>
      <c r="O5" s="2069"/>
      <c r="P5" s="2069"/>
      <c r="Q5" s="2069"/>
      <c r="R5" s="2069"/>
      <c r="S5" s="1227"/>
      <c r="T5" s="1226"/>
      <c r="U5" s="1228"/>
      <c r="V5" s="1228"/>
      <c r="W5" s="1228"/>
      <c r="X5" s="763"/>
    </row>
    <row r="6" spans="1:37" s="804" customFormat="1" ht="42.75" customHeight="1">
      <c r="A6" s="1229" t="s">
        <v>252</v>
      </c>
      <c r="B6" s="1229" t="s">
        <v>1072</v>
      </c>
      <c r="C6" s="1229" t="s">
        <v>1073</v>
      </c>
      <c r="D6" s="1229" t="s">
        <v>254</v>
      </c>
      <c r="E6" s="1230" t="s">
        <v>227</v>
      </c>
      <c r="F6" s="2072" t="s">
        <v>1074</v>
      </c>
      <c r="G6" s="2073"/>
      <c r="H6" s="2073"/>
      <c r="I6" s="2073"/>
      <c r="J6" s="2073"/>
      <c r="K6" s="2073"/>
      <c r="L6" s="2073"/>
      <c r="M6" s="2073"/>
      <c r="N6" s="2073"/>
      <c r="O6" s="2073"/>
      <c r="P6" s="2073"/>
      <c r="Q6" s="2074"/>
      <c r="R6" s="1231" t="s">
        <v>1075</v>
      </c>
      <c r="S6" s="1231" t="s">
        <v>1076</v>
      </c>
      <c r="T6" s="1231" t="s">
        <v>1077</v>
      </c>
      <c r="U6" s="1231" t="s">
        <v>1126</v>
      </c>
      <c r="V6" s="1232" t="s">
        <v>1128</v>
      </c>
      <c r="W6" s="1233" t="s">
        <v>1078</v>
      </c>
      <c r="X6" s="763"/>
    </row>
    <row r="7" spans="1:37" s="804" customFormat="1" ht="42.75" customHeight="1">
      <c r="A7" s="1234" t="s">
        <v>41</v>
      </c>
      <c r="B7" s="1234" t="s">
        <v>42</v>
      </c>
      <c r="C7" s="1234" t="s">
        <v>1079</v>
      </c>
      <c r="D7" s="1234" t="s">
        <v>1080</v>
      </c>
      <c r="E7" s="1235" t="s">
        <v>1081</v>
      </c>
      <c r="F7" s="1236" t="s">
        <v>1082</v>
      </c>
      <c r="G7" s="1236" t="s">
        <v>1083</v>
      </c>
      <c r="H7" s="1236" t="s">
        <v>1084</v>
      </c>
      <c r="I7" s="1236" t="s">
        <v>1085</v>
      </c>
      <c r="J7" s="1236" t="s">
        <v>1086</v>
      </c>
      <c r="K7" s="1235" t="s">
        <v>1087</v>
      </c>
      <c r="L7" s="1235" t="s">
        <v>1088</v>
      </c>
      <c r="M7" s="1235" t="s">
        <v>1089</v>
      </c>
      <c r="N7" s="1235" t="s">
        <v>1090</v>
      </c>
      <c r="O7" s="1235" t="s">
        <v>1091</v>
      </c>
      <c r="P7" s="1235" t="s">
        <v>1092</v>
      </c>
      <c r="Q7" s="1235" t="s">
        <v>1093</v>
      </c>
      <c r="R7" s="1237" t="s">
        <v>1094</v>
      </c>
      <c r="S7" s="1238" t="s">
        <v>1095</v>
      </c>
      <c r="T7" s="1238" t="s">
        <v>1096</v>
      </c>
      <c r="U7" s="1239" t="s">
        <v>1125</v>
      </c>
      <c r="V7" s="1240" t="s">
        <v>1127</v>
      </c>
      <c r="W7" s="1241" t="s">
        <v>1097</v>
      </c>
      <c r="X7" s="763"/>
      <c r="Y7" s="1701">
        <v>1</v>
      </c>
      <c r="Z7" s="1701">
        <v>2</v>
      </c>
      <c r="AA7" s="1701">
        <v>3</v>
      </c>
      <c r="AB7" s="1701">
        <v>4</v>
      </c>
      <c r="AC7" s="1701">
        <v>5</v>
      </c>
      <c r="AD7" s="1701">
        <v>6</v>
      </c>
      <c r="AE7" s="1701">
        <v>7</v>
      </c>
      <c r="AF7" s="1701">
        <v>8</v>
      </c>
      <c r="AG7" s="1701">
        <v>9</v>
      </c>
      <c r="AH7" s="1701">
        <v>10</v>
      </c>
      <c r="AI7" s="1701">
        <v>11</v>
      </c>
      <c r="AJ7" s="1701">
        <v>12</v>
      </c>
      <c r="AK7" s="1701" t="s">
        <v>74</v>
      </c>
    </row>
    <row r="8" spans="1:37" s="804" customFormat="1" ht="43.5" customHeight="1">
      <c r="A8" s="1242">
        <v>1</v>
      </c>
      <c r="B8" s="796" t="s">
        <v>1099</v>
      </c>
      <c r="C8" s="1537" t="s">
        <v>922</v>
      </c>
      <c r="D8" s="1555">
        <v>44382</v>
      </c>
      <c r="E8" s="1483" t="s">
        <v>1098</v>
      </c>
      <c r="F8" s="1718">
        <v>303.57276828110162</v>
      </c>
      <c r="G8" s="1718">
        <v>288.53722220777371</v>
      </c>
      <c r="H8" s="1718">
        <v>272.24520753780536</v>
      </c>
      <c r="I8" s="1718">
        <v>324.53766269631251</v>
      </c>
      <c r="J8" s="1718">
        <v>381.67085531166941</v>
      </c>
      <c r="K8" s="1718">
        <v>367.86733625285603</v>
      </c>
      <c r="L8" s="1718">
        <v>429.11505305039793</v>
      </c>
      <c r="M8" s="1718">
        <v>253.61514661081497</v>
      </c>
      <c r="N8" s="1718">
        <v>246.72323951367559</v>
      </c>
      <c r="O8" s="1306">
        <v>311.56451358885687</v>
      </c>
      <c r="P8" s="1306">
        <v>213.30769230769232</v>
      </c>
      <c r="Q8" s="1306">
        <v>30</v>
      </c>
      <c r="R8" s="1243">
        <f t="shared" ref="R8:R37" si="0">SUM(F8:Q8)</f>
        <v>3422.756697358956</v>
      </c>
      <c r="S8" s="1243">
        <f>R8/12</f>
        <v>285.229724779913</v>
      </c>
      <c r="T8" s="1243">
        <f t="shared" ref="T8:T37" si="1">S8/26</f>
        <v>10.970374029996654</v>
      </c>
      <c r="U8" s="1244">
        <f>'S1'!W7</f>
        <v>0</v>
      </c>
      <c r="V8" s="1790">
        <f t="shared" ref="V8:V37" si="2">T8*U8</f>
        <v>0</v>
      </c>
      <c r="W8" s="1053"/>
      <c r="X8" s="763"/>
      <c r="Y8" s="1692">
        <v>0</v>
      </c>
      <c r="Z8" s="1244">
        <v>1.5</v>
      </c>
      <c r="AA8" s="1244">
        <v>2</v>
      </c>
      <c r="AB8" s="1244">
        <v>1.5</v>
      </c>
      <c r="AC8" s="1244">
        <v>1</v>
      </c>
      <c r="AD8" s="1244">
        <v>0</v>
      </c>
      <c r="AE8" s="1244">
        <v>0</v>
      </c>
      <c r="AF8" s="801"/>
      <c r="AG8" s="1244">
        <v>1.5</v>
      </c>
      <c r="AH8" s="801"/>
      <c r="AI8" s="801"/>
      <c r="AJ8" s="801"/>
      <c r="AK8" s="1702">
        <f>SUM(Y8:AJ8)</f>
        <v>7.5</v>
      </c>
    </row>
    <row r="9" spans="1:37" s="804" customFormat="1" ht="43.5" customHeight="1">
      <c r="A9" s="1242">
        <v>2</v>
      </c>
      <c r="B9" s="796" t="s">
        <v>1100</v>
      </c>
      <c r="C9" s="1537" t="s">
        <v>955</v>
      </c>
      <c r="D9" s="1555">
        <v>44505</v>
      </c>
      <c r="E9" s="1483" t="s">
        <v>1098</v>
      </c>
      <c r="F9" s="1718">
        <v>300.60161443494781</v>
      </c>
      <c r="G9" s="1718">
        <v>295.11882716049382</v>
      </c>
      <c r="H9" s="1718">
        <v>276.06234846949815</v>
      </c>
      <c r="I9" s="1718">
        <v>332.44288554215211</v>
      </c>
      <c r="J9" s="1718">
        <v>425.03408225437937</v>
      </c>
      <c r="K9" s="1718">
        <v>477.02856054836252</v>
      </c>
      <c r="L9" s="1718">
        <v>443.46859605911328</v>
      </c>
      <c r="M9" s="1718">
        <v>355.95725437928405</v>
      </c>
      <c r="N9" s="1718">
        <v>274.57588100674002</v>
      </c>
      <c r="O9" s="1306">
        <v>323.86375789469383</v>
      </c>
      <c r="P9" s="1306">
        <v>213.30769230769232</v>
      </c>
      <c r="Q9" s="1306">
        <v>30</v>
      </c>
      <c r="R9" s="1243">
        <f t="shared" si="0"/>
        <v>3747.4615000573572</v>
      </c>
      <c r="S9" s="1243">
        <f t="shared" ref="S9:S10" si="3">R9/12</f>
        <v>312.28845833811312</v>
      </c>
      <c r="T9" s="1243">
        <f t="shared" si="1"/>
        <v>12.01109455146589</v>
      </c>
      <c r="U9" s="1244">
        <f>'S1'!W8</f>
        <v>0</v>
      </c>
      <c r="V9" s="1790">
        <f t="shared" si="2"/>
        <v>0</v>
      </c>
      <c r="W9" s="1053"/>
      <c r="X9" s="763"/>
      <c r="Y9" s="1692">
        <v>0</v>
      </c>
      <c r="Z9" s="1244">
        <v>0</v>
      </c>
      <c r="AA9" s="1244">
        <v>4</v>
      </c>
      <c r="AB9" s="1244">
        <v>1.5</v>
      </c>
      <c r="AC9" s="1244">
        <v>0</v>
      </c>
      <c r="AD9" s="1244">
        <v>0</v>
      </c>
      <c r="AE9" s="1244">
        <v>0</v>
      </c>
      <c r="AF9" s="801"/>
      <c r="AG9" s="1244">
        <v>1</v>
      </c>
      <c r="AH9" s="801"/>
      <c r="AI9" s="801"/>
      <c r="AJ9" s="801"/>
      <c r="AK9" s="1702">
        <f t="shared" ref="AK9:AK37" si="4">SUM(Y9:AJ9)</f>
        <v>6.5</v>
      </c>
    </row>
    <row r="10" spans="1:37" s="804" customFormat="1" ht="43.5" customHeight="1">
      <c r="A10" s="1242">
        <v>3</v>
      </c>
      <c r="B10" s="796" t="s">
        <v>1101</v>
      </c>
      <c r="C10" s="1537" t="s">
        <v>956</v>
      </c>
      <c r="D10" s="1555">
        <v>44523</v>
      </c>
      <c r="E10" s="1483" t="s">
        <v>1098</v>
      </c>
      <c r="F10" s="1718">
        <v>303.57276828110162</v>
      </c>
      <c r="G10" s="1718">
        <v>307.46600914469684</v>
      </c>
      <c r="H10" s="1718">
        <v>269.12436852188875</v>
      </c>
      <c r="I10" s="1718">
        <v>333.36890316814032</v>
      </c>
      <c r="J10" s="1718">
        <v>417.11100533130247</v>
      </c>
      <c r="K10" s="1718">
        <v>488.29236481340445</v>
      </c>
      <c r="L10" s="1718">
        <v>447.29407446002278</v>
      </c>
      <c r="M10" s="1718">
        <v>345.07244149969387</v>
      </c>
      <c r="N10" s="1718">
        <v>276.60583160566546</v>
      </c>
      <c r="O10" s="1306">
        <v>322.54000000000002</v>
      </c>
      <c r="P10" s="1306">
        <v>213.30769230769232</v>
      </c>
      <c r="Q10" s="1306">
        <v>30</v>
      </c>
      <c r="R10" s="1243">
        <f t="shared" si="0"/>
        <v>3753.7554591336088</v>
      </c>
      <c r="S10" s="1243">
        <f t="shared" si="3"/>
        <v>312.81295492780072</v>
      </c>
      <c r="T10" s="1243">
        <f t="shared" si="1"/>
        <v>12.031267497223105</v>
      </c>
      <c r="U10" s="1244">
        <f>'S1'!W9</f>
        <v>0.5</v>
      </c>
      <c r="V10" s="1790">
        <f t="shared" si="2"/>
        <v>6.0156337486115525</v>
      </c>
      <c r="W10" s="1053"/>
      <c r="X10" s="763"/>
      <c r="Y10" s="1692">
        <v>0</v>
      </c>
      <c r="Z10" s="1244">
        <v>0.5</v>
      </c>
      <c r="AA10" s="1244">
        <v>2</v>
      </c>
      <c r="AB10" s="1244">
        <v>2</v>
      </c>
      <c r="AC10" s="1244">
        <v>0</v>
      </c>
      <c r="AD10" s="1244">
        <v>0</v>
      </c>
      <c r="AE10" s="1244">
        <v>0</v>
      </c>
      <c r="AF10" s="1244">
        <v>1.5</v>
      </c>
      <c r="AG10" s="1244">
        <v>1.5</v>
      </c>
      <c r="AH10" s="801"/>
      <c r="AI10" s="801"/>
      <c r="AJ10" s="801"/>
      <c r="AK10" s="1702">
        <f t="shared" si="4"/>
        <v>7.5</v>
      </c>
    </row>
    <row r="11" spans="1:37" s="804" customFormat="1" ht="43.5" customHeight="1">
      <c r="A11" s="1242">
        <v>4</v>
      </c>
      <c r="B11" s="1400" t="s">
        <v>1910</v>
      </c>
      <c r="C11" s="1435" t="s">
        <v>1911</v>
      </c>
      <c r="D11" s="1475">
        <v>45048</v>
      </c>
      <c r="E11" s="1483" t="s">
        <v>1098</v>
      </c>
      <c r="F11" s="1718">
        <v>298.12084520417852</v>
      </c>
      <c r="G11" s="1718">
        <v>306.48341528901369</v>
      </c>
      <c r="H11" s="1718">
        <v>266.88751757135577</v>
      </c>
      <c r="I11" s="1718">
        <v>324.05835280853432</v>
      </c>
      <c r="J11" s="1718">
        <v>420.55331302361003</v>
      </c>
      <c r="K11" s="1718">
        <v>466.9533753967338</v>
      </c>
      <c r="L11" s="1718">
        <v>446.10070102311477</v>
      </c>
      <c r="M11" s="1718">
        <v>355.74845441963191</v>
      </c>
      <c r="N11" s="1718">
        <v>271.31269715437372</v>
      </c>
      <c r="O11" s="1306">
        <v>316.72898323292321</v>
      </c>
      <c r="P11" s="1306">
        <v>209.23076923076923</v>
      </c>
      <c r="Q11" s="1306">
        <v>30</v>
      </c>
      <c r="R11" s="1243">
        <f t="shared" si="0"/>
        <v>3712.1784243542388</v>
      </c>
      <c r="S11" s="1243">
        <f>R11/12</f>
        <v>309.34820202951988</v>
      </c>
      <c r="T11" s="1243">
        <f t="shared" si="1"/>
        <v>11.898007770366149</v>
      </c>
      <c r="U11" s="1244">
        <f>'S1'!W10</f>
        <v>0</v>
      </c>
      <c r="V11" s="1790">
        <f t="shared" si="2"/>
        <v>0</v>
      </c>
      <c r="W11" s="1053"/>
      <c r="X11" s="763"/>
      <c r="Y11" s="1692">
        <v>0</v>
      </c>
      <c r="Z11" s="1244">
        <v>1</v>
      </c>
      <c r="AA11" s="1244">
        <v>2</v>
      </c>
      <c r="AB11" s="1244">
        <v>3.5</v>
      </c>
      <c r="AC11" s="1244">
        <v>0</v>
      </c>
      <c r="AD11" s="1244">
        <v>0.5</v>
      </c>
      <c r="AE11" s="1244">
        <v>0</v>
      </c>
      <c r="AF11" s="1244">
        <v>1</v>
      </c>
      <c r="AG11" s="1244">
        <v>1</v>
      </c>
      <c r="AH11" s="801"/>
      <c r="AI11" s="801"/>
      <c r="AJ11" s="801"/>
      <c r="AK11" s="1702">
        <f t="shared" si="4"/>
        <v>9</v>
      </c>
    </row>
    <row r="12" spans="1:37" s="804" customFormat="1" ht="43.5" customHeight="1">
      <c r="A12" s="1242">
        <v>5</v>
      </c>
      <c r="B12" s="1400" t="s">
        <v>1912</v>
      </c>
      <c r="C12" s="1435" t="s">
        <v>1913</v>
      </c>
      <c r="D12" s="1475">
        <v>45048</v>
      </c>
      <c r="E12" s="1483" t="s">
        <v>1098</v>
      </c>
      <c r="F12" s="1718">
        <v>298.12084520417852</v>
      </c>
      <c r="G12" s="1718">
        <v>301.60237248127618</v>
      </c>
      <c r="H12" s="1718">
        <v>266.20828358746792</v>
      </c>
      <c r="I12" s="1718">
        <v>320.12275935856769</v>
      </c>
      <c r="J12" s="1718">
        <v>436.24562071591777</v>
      </c>
      <c r="K12" s="1718">
        <v>447.66501388611204</v>
      </c>
      <c r="L12" s="1718">
        <v>441.78955295493864</v>
      </c>
      <c r="M12" s="1718">
        <v>355.62414318354917</v>
      </c>
      <c r="N12" s="1718">
        <v>271.27204484016534</v>
      </c>
      <c r="O12" s="1306">
        <v>315.46505330720078</v>
      </c>
      <c r="P12" s="1306">
        <v>209.23076923076923</v>
      </c>
      <c r="Q12" s="1306">
        <v>30</v>
      </c>
      <c r="R12" s="1243">
        <f t="shared" si="0"/>
        <v>3693.3464587501435</v>
      </c>
      <c r="S12" s="1243">
        <f>R12/12</f>
        <v>307.77887156251194</v>
      </c>
      <c r="T12" s="1243">
        <f t="shared" si="1"/>
        <v>11.837648906250459</v>
      </c>
      <c r="U12" s="1244">
        <f>'S1'!W11</f>
        <v>0</v>
      </c>
      <c r="V12" s="1790">
        <f t="shared" si="2"/>
        <v>0</v>
      </c>
      <c r="W12" s="1053"/>
      <c r="X12" s="763"/>
      <c r="Y12" s="1692">
        <v>0</v>
      </c>
      <c r="Z12" s="1244">
        <v>2</v>
      </c>
      <c r="AA12" s="1244">
        <v>2</v>
      </c>
      <c r="AB12" s="1244">
        <v>1.5</v>
      </c>
      <c r="AC12" s="1244">
        <v>0</v>
      </c>
      <c r="AD12" s="1244">
        <v>1</v>
      </c>
      <c r="AE12" s="1244">
        <v>1</v>
      </c>
      <c r="AF12" s="801"/>
      <c r="AG12" s="1244">
        <v>1</v>
      </c>
      <c r="AH12" s="801"/>
      <c r="AI12" s="801"/>
      <c r="AJ12" s="801"/>
      <c r="AK12" s="1702">
        <f t="shared" si="4"/>
        <v>8.5</v>
      </c>
    </row>
    <row r="13" spans="1:37" s="804" customFormat="1" ht="43.5" customHeight="1">
      <c r="A13" s="1242">
        <v>6</v>
      </c>
      <c r="B13" s="789" t="s">
        <v>1963</v>
      </c>
      <c r="C13" s="805" t="s">
        <v>1964</v>
      </c>
      <c r="D13" s="1473">
        <v>45120</v>
      </c>
      <c r="E13" s="1483" t="s">
        <v>1098</v>
      </c>
      <c r="F13" s="1718">
        <v>293.12084520417852</v>
      </c>
      <c r="G13" s="1718">
        <v>299.14957264957263</v>
      </c>
      <c r="H13" s="1718">
        <v>257.74215365520291</v>
      </c>
      <c r="I13" s="1718">
        <v>318.32665635808218</v>
      </c>
      <c r="J13" s="1718">
        <v>390.73876618431069</v>
      </c>
      <c r="K13" s="1718">
        <v>465.94306930693062</v>
      </c>
      <c r="L13" s="1718">
        <v>450.99564228874567</v>
      </c>
      <c r="M13" s="1718">
        <v>352.06302361005328</v>
      </c>
      <c r="N13" s="1718">
        <v>271.00194720371093</v>
      </c>
      <c r="O13" s="1306">
        <v>292.87680455242219</v>
      </c>
      <c r="P13" s="1306">
        <v>204.23076923076923</v>
      </c>
      <c r="Q13" s="1306">
        <v>30</v>
      </c>
      <c r="R13" s="1243">
        <f t="shared" si="0"/>
        <v>3626.1892502439787</v>
      </c>
      <c r="S13" s="1243">
        <f>R13/12</f>
        <v>302.18243752033158</v>
      </c>
      <c r="T13" s="1243">
        <f t="shared" si="1"/>
        <v>11.622401443089675</v>
      </c>
      <c r="U13" s="1244">
        <f>'S1'!W12</f>
        <v>0</v>
      </c>
      <c r="V13" s="1790">
        <f t="shared" si="2"/>
        <v>0</v>
      </c>
      <c r="W13" s="1053"/>
      <c r="X13" s="763"/>
      <c r="Y13" s="1692">
        <v>0</v>
      </c>
      <c r="Z13" s="1244">
        <v>0</v>
      </c>
      <c r="AA13" s="1244">
        <v>2</v>
      </c>
      <c r="AB13" s="1244">
        <v>1.5</v>
      </c>
      <c r="AC13" s="1244">
        <v>0</v>
      </c>
      <c r="AD13" s="1244">
        <v>0</v>
      </c>
      <c r="AE13" s="1244">
        <v>0</v>
      </c>
      <c r="AF13" s="801"/>
      <c r="AG13" s="1244">
        <v>1</v>
      </c>
      <c r="AH13" s="801"/>
      <c r="AI13" s="801"/>
      <c r="AJ13" s="801"/>
      <c r="AK13" s="1702">
        <f t="shared" si="4"/>
        <v>4.5</v>
      </c>
    </row>
    <row r="14" spans="1:37" s="804" customFormat="1" ht="43.5" customHeight="1">
      <c r="A14" s="1242">
        <v>7</v>
      </c>
      <c r="B14" s="1381" t="s">
        <v>2257</v>
      </c>
      <c r="C14" s="1401" t="s">
        <v>2258</v>
      </c>
      <c r="D14" s="1425">
        <v>45476</v>
      </c>
      <c r="E14" s="1483" t="s">
        <v>1098</v>
      </c>
      <c r="F14" s="1325">
        <v>0</v>
      </c>
      <c r="G14" s="1325">
        <v>0</v>
      </c>
      <c r="H14" s="1325">
        <v>0</v>
      </c>
      <c r="I14" s="1325">
        <v>0</v>
      </c>
      <c r="J14" s="1325">
        <v>0</v>
      </c>
      <c r="K14" s="1325">
        <v>0</v>
      </c>
      <c r="L14" s="1718">
        <v>385.21595017051919</v>
      </c>
      <c r="M14" s="1718">
        <v>340.7010662604722</v>
      </c>
      <c r="N14" s="1718">
        <v>271.48050621849393</v>
      </c>
      <c r="O14" s="1325">
        <v>0</v>
      </c>
      <c r="P14" s="1325">
        <v>0</v>
      </c>
      <c r="Q14" s="1325">
        <v>0</v>
      </c>
      <c r="R14" s="1243">
        <f t="shared" si="0"/>
        <v>997.39752264948538</v>
      </c>
      <c r="S14" s="1243">
        <f>R14/3</f>
        <v>332.46584088316177</v>
      </c>
      <c r="T14" s="1243">
        <f t="shared" si="1"/>
        <v>12.787147726275453</v>
      </c>
      <c r="U14" s="1244">
        <f>'S1'!W13</f>
        <v>0</v>
      </c>
      <c r="V14" s="1790">
        <f t="shared" si="2"/>
        <v>0</v>
      </c>
      <c r="W14" s="1053"/>
      <c r="X14" s="763"/>
      <c r="Y14" s="1692"/>
      <c r="Z14" s="1244"/>
      <c r="AA14" s="1244"/>
      <c r="AB14" s="1244"/>
      <c r="AC14" s="1244"/>
      <c r="AD14" s="1244"/>
      <c r="AE14" s="1244">
        <v>0</v>
      </c>
      <c r="AF14" s="801"/>
      <c r="AG14" s="1244">
        <v>1</v>
      </c>
      <c r="AH14" s="801"/>
      <c r="AI14" s="801"/>
      <c r="AJ14" s="801"/>
      <c r="AK14" s="1702"/>
    </row>
    <row r="15" spans="1:37" s="804" customFormat="1" ht="43.5" customHeight="1">
      <c r="A15" s="1242">
        <v>8</v>
      </c>
      <c r="B15" s="1882" t="s">
        <v>2366</v>
      </c>
      <c r="C15" s="1881" t="s">
        <v>2367</v>
      </c>
      <c r="D15" s="1884">
        <v>45574</v>
      </c>
      <c r="E15" s="1483"/>
      <c r="F15" s="1325">
        <v>0</v>
      </c>
      <c r="G15" s="1325">
        <v>0</v>
      </c>
      <c r="H15" s="1325">
        <v>0</v>
      </c>
      <c r="I15" s="1325">
        <v>0</v>
      </c>
      <c r="J15" s="1325">
        <v>0</v>
      </c>
      <c r="K15" s="1325">
        <v>0</v>
      </c>
      <c r="L15" s="1325">
        <v>0</v>
      </c>
      <c r="M15" s="1325">
        <v>0</v>
      </c>
      <c r="N15" s="1325">
        <v>0</v>
      </c>
      <c r="O15" s="1325">
        <v>0</v>
      </c>
      <c r="P15" s="1325">
        <v>0</v>
      </c>
      <c r="Q15" s="1325">
        <v>0</v>
      </c>
      <c r="R15" s="1243">
        <f t="shared" si="0"/>
        <v>0</v>
      </c>
      <c r="S15" s="1243">
        <f>R15/1</f>
        <v>0</v>
      </c>
      <c r="T15" s="1243">
        <f t="shared" ref="T15:T19" si="5">S15/26</f>
        <v>0</v>
      </c>
      <c r="U15" s="1244">
        <f>'S1'!W14</f>
        <v>0</v>
      </c>
      <c r="V15" s="1790">
        <f t="shared" ref="V15:V19" si="6">T15*U15</f>
        <v>0</v>
      </c>
      <c r="W15" s="1053"/>
      <c r="X15" s="763"/>
      <c r="Y15" s="1692"/>
      <c r="Z15" s="1244"/>
      <c r="AA15" s="1244"/>
      <c r="AB15" s="1244"/>
      <c r="AC15" s="1244"/>
      <c r="AD15" s="1244"/>
      <c r="AE15" s="1244"/>
      <c r="AF15" s="801"/>
      <c r="AG15" s="1244"/>
      <c r="AH15" s="801"/>
      <c r="AI15" s="801"/>
      <c r="AJ15" s="801"/>
      <c r="AK15" s="1702"/>
    </row>
    <row r="16" spans="1:37" s="804" customFormat="1" ht="43.5" customHeight="1">
      <c r="A16" s="1242">
        <v>9</v>
      </c>
      <c r="B16" s="1882" t="s">
        <v>2358</v>
      </c>
      <c r="C16" s="1881" t="s">
        <v>2359</v>
      </c>
      <c r="D16" s="1884">
        <v>45574</v>
      </c>
      <c r="E16" s="1483"/>
      <c r="F16" s="1325">
        <v>0</v>
      </c>
      <c r="G16" s="1325">
        <v>0</v>
      </c>
      <c r="H16" s="1325">
        <v>0</v>
      </c>
      <c r="I16" s="1325">
        <v>0</v>
      </c>
      <c r="J16" s="1325">
        <v>0</v>
      </c>
      <c r="K16" s="1325">
        <v>0</v>
      </c>
      <c r="L16" s="1325">
        <v>0</v>
      </c>
      <c r="M16" s="1325">
        <v>0</v>
      </c>
      <c r="N16" s="1325">
        <v>0</v>
      </c>
      <c r="O16" s="1325">
        <v>0</v>
      </c>
      <c r="P16" s="1325">
        <v>0</v>
      </c>
      <c r="Q16" s="1325">
        <v>0</v>
      </c>
      <c r="R16" s="1243">
        <f t="shared" si="0"/>
        <v>0</v>
      </c>
      <c r="S16" s="1243">
        <f t="shared" ref="S16:S19" si="7">R16/1</f>
        <v>0</v>
      </c>
      <c r="T16" s="1243">
        <f t="shared" si="5"/>
        <v>0</v>
      </c>
      <c r="U16" s="1244">
        <f>'S1'!W15</f>
        <v>0</v>
      </c>
      <c r="V16" s="1790">
        <f t="shared" si="6"/>
        <v>0</v>
      </c>
      <c r="W16" s="1053"/>
      <c r="X16" s="763"/>
      <c r="Y16" s="1692"/>
      <c r="Z16" s="1244"/>
      <c r="AA16" s="1244"/>
      <c r="AB16" s="1244"/>
      <c r="AC16" s="1244"/>
      <c r="AD16" s="1244"/>
      <c r="AE16" s="1244"/>
      <c r="AF16" s="801"/>
      <c r="AG16" s="1244"/>
      <c r="AH16" s="801"/>
      <c r="AI16" s="801"/>
      <c r="AJ16" s="801"/>
      <c r="AK16" s="1702"/>
    </row>
    <row r="17" spans="1:37" s="804" customFormat="1" ht="43.5" customHeight="1">
      <c r="A17" s="1242">
        <v>10</v>
      </c>
      <c r="B17" s="1882" t="s">
        <v>2360</v>
      </c>
      <c r="C17" s="1881" t="s">
        <v>2361</v>
      </c>
      <c r="D17" s="1884">
        <v>45575</v>
      </c>
      <c r="E17" s="1483"/>
      <c r="F17" s="1325">
        <v>0</v>
      </c>
      <c r="G17" s="1325">
        <v>0</v>
      </c>
      <c r="H17" s="1325">
        <v>0</v>
      </c>
      <c r="I17" s="1325">
        <v>0</v>
      </c>
      <c r="J17" s="1325">
        <v>0</v>
      </c>
      <c r="K17" s="1325">
        <v>0</v>
      </c>
      <c r="L17" s="1325">
        <v>0</v>
      </c>
      <c r="M17" s="1325">
        <v>0</v>
      </c>
      <c r="N17" s="1325">
        <v>0</v>
      </c>
      <c r="O17" s="1325">
        <v>0</v>
      </c>
      <c r="P17" s="1325">
        <v>0</v>
      </c>
      <c r="Q17" s="1325">
        <v>0</v>
      </c>
      <c r="R17" s="1243">
        <f t="shared" si="0"/>
        <v>0</v>
      </c>
      <c r="S17" s="1243">
        <f t="shared" si="7"/>
        <v>0</v>
      </c>
      <c r="T17" s="1243">
        <f t="shared" si="5"/>
        <v>0</v>
      </c>
      <c r="U17" s="1244">
        <f>'S1'!W16</f>
        <v>0</v>
      </c>
      <c r="V17" s="1790">
        <f t="shared" si="6"/>
        <v>0</v>
      </c>
      <c r="W17" s="1053"/>
      <c r="X17" s="763"/>
      <c r="Y17" s="1692"/>
      <c r="Z17" s="1244"/>
      <c r="AA17" s="1244"/>
      <c r="AB17" s="1244"/>
      <c r="AC17" s="1244"/>
      <c r="AD17" s="1244"/>
      <c r="AE17" s="1244"/>
      <c r="AF17" s="801"/>
      <c r="AG17" s="1244"/>
      <c r="AH17" s="801"/>
      <c r="AI17" s="801"/>
      <c r="AJ17" s="801"/>
      <c r="AK17" s="1702"/>
    </row>
    <row r="18" spans="1:37" s="804" customFormat="1" ht="43.5" customHeight="1">
      <c r="A18" s="1242">
        <v>11</v>
      </c>
      <c r="B18" s="1882" t="s">
        <v>2362</v>
      </c>
      <c r="C18" s="1881" t="s">
        <v>2363</v>
      </c>
      <c r="D18" s="1884">
        <v>45576</v>
      </c>
      <c r="E18" s="1483"/>
      <c r="F18" s="1325">
        <v>0</v>
      </c>
      <c r="G18" s="1325">
        <v>0</v>
      </c>
      <c r="H18" s="1325">
        <v>0</v>
      </c>
      <c r="I18" s="1325">
        <v>0</v>
      </c>
      <c r="J18" s="1325">
        <v>0</v>
      </c>
      <c r="K18" s="1325">
        <v>0</v>
      </c>
      <c r="L18" s="1325">
        <v>0</v>
      </c>
      <c r="M18" s="1325">
        <v>0</v>
      </c>
      <c r="N18" s="1325">
        <v>0</v>
      </c>
      <c r="O18" s="1325">
        <v>0</v>
      </c>
      <c r="P18" s="1325">
        <v>0</v>
      </c>
      <c r="Q18" s="1325">
        <v>0</v>
      </c>
      <c r="R18" s="1243">
        <f t="shared" si="0"/>
        <v>0</v>
      </c>
      <c r="S18" s="1243">
        <f t="shared" si="7"/>
        <v>0</v>
      </c>
      <c r="T18" s="1243">
        <f t="shared" si="5"/>
        <v>0</v>
      </c>
      <c r="U18" s="1244">
        <f>'S1'!W17</f>
        <v>0</v>
      </c>
      <c r="V18" s="1790">
        <f t="shared" si="6"/>
        <v>0</v>
      </c>
      <c r="W18" s="1053"/>
      <c r="X18" s="763"/>
      <c r="Y18" s="1692"/>
      <c r="Z18" s="1244"/>
      <c r="AA18" s="1244"/>
      <c r="AB18" s="1244"/>
      <c r="AC18" s="1244"/>
      <c r="AD18" s="1244"/>
      <c r="AE18" s="1244"/>
      <c r="AF18" s="801"/>
      <c r="AG18" s="1244"/>
      <c r="AH18" s="801"/>
      <c r="AI18" s="801"/>
      <c r="AJ18" s="801"/>
      <c r="AK18" s="1702"/>
    </row>
    <row r="19" spans="1:37" s="804" customFormat="1" ht="43.5" customHeight="1">
      <c r="A19" s="1242">
        <v>12</v>
      </c>
      <c r="B19" s="1882" t="s">
        <v>2364</v>
      </c>
      <c r="C19" s="1881" t="s">
        <v>2365</v>
      </c>
      <c r="D19" s="1884">
        <v>45577</v>
      </c>
      <c r="E19" s="1483"/>
      <c r="F19" s="1325">
        <v>0</v>
      </c>
      <c r="G19" s="1325">
        <v>0</v>
      </c>
      <c r="H19" s="1325">
        <v>0</v>
      </c>
      <c r="I19" s="1325">
        <v>0</v>
      </c>
      <c r="J19" s="1325">
        <v>0</v>
      </c>
      <c r="K19" s="1325">
        <v>0</v>
      </c>
      <c r="L19" s="1325">
        <v>0</v>
      </c>
      <c r="M19" s="1325">
        <v>0</v>
      </c>
      <c r="N19" s="1325">
        <v>0</v>
      </c>
      <c r="O19" s="1325">
        <v>0</v>
      </c>
      <c r="P19" s="1325">
        <v>0</v>
      </c>
      <c r="Q19" s="1325">
        <v>0</v>
      </c>
      <c r="R19" s="1243">
        <f t="shared" si="0"/>
        <v>0</v>
      </c>
      <c r="S19" s="1243">
        <f t="shared" si="7"/>
        <v>0</v>
      </c>
      <c r="T19" s="1243">
        <f t="shared" si="5"/>
        <v>0</v>
      </c>
      <c r="U19" s="1244">
        <f>'S1'!W18</f>
        <v>0</v>
      </c>
      <c r="V19" s="1790">
        <f t="shared" si="6"/>
        <v>0</v>
      </c>
      <c r="W19" s="1053"/>
      <c r="X19" s="763"/>
      <c r="Y19" s="1692"/>
      <c r="Z19" s="1244"/>
      <c r="AA19" s="1244"/>
      <c r="AB19" s="1244"/>
      <c r="AC19" s="1244"/>
      <c r="AD19" s="1244"/>
      <c r="AE19" s="1244"/>
      <c r="AF19" s="801"/>
      <c r="AG19" s="1244"/>
      <c r="AH19" s="801"/>
      <c r="AI19" s="801"/>
      <c r="AJ19" s="801"/>
      <c r="AK19" s="1702"/>
    </row>
    <row r="20" spans="1:37" s="804" customFormat="1" ht="43.5" customHeight="1">
      <c r="A20" s="1242">
        <v>13</v>
      </c>
      <c r="B20" s="796" t="s">
        <v>1046</v>
      </c>
      <c r="C20" s="1556" t="s">
        <v>1047</v>
      </c>
      <c r="D20" s="1555">
        <v>44565</v>
      </c>
      <c r="E20" s="1483" t="s">
        <v>1098</v>
      </c>
      <c r="F20" s="1718">
        <v>299.98433048433048</v>
      </c>
      <c r="G20" s="1718">
        <v>309.63034188034186</v>
      </c>
      <c r="H20" s="1718">
        <v>276.94808347107949</v>
      </c>
      <c r="I20" s="1718">
        <v>302.80403013063773</v>
      </c>
      <c r="J20" s="1718">
        <v>425.03408225437937</v>
      </c>
      <c r="K20" s="1718">
        <v>499.18673838537705</v>
      </c>
      <c r="L20" s="1718">
        <v>456.47690933192047</v>
      </c>
      <c r="M20" s="1718">
        <v>355.95725437928405</v>
      </c>
      <c r="N20" s="1718">
        <v>274.46013075059614</v>
      </c>
      <c r="O20" s="1306">
        <v>314.35717859406009</v>
      </c>
      <c r="P20" s="1306">
        <v>194.38461538461542</v>
      </c>
      <c r="Q20" s="1306">
        <v>30</v>
      </c>
      <c r="R20" s="1243">
        <f t="shared" si="0"/>
        <v>3739.2236950466222</v>
      </c>
      <c r="S20" s="1243">
        <f>R20/12</f>
        <v>311.60197458721854</v>
      </c>
      <c r="T20" s="1243">
        <f t="shared" si="1"/>
        <v>11.984691330277636</v>
      </c>
      <c r="U20" s="1244">
        <f>'S1'!W19</f>
        <v>0</v>
      </c>
      <c r="V20" s="1790">
        <f t="shared" si="2"/>
        <v>0</v>
      </c>
      <c r="W20" s="1053"/>
      <c r="X20" s="763"/>
      <c r="Y20" s="1692">
        <v>0</v>
      </c>
      <c r="Z20" s="1244">
        <v>0</v>
      </c>
      <c r="AA20" s="1244">
        <v>4</v>
      </c>
      <c r="AB20" s="1244">
        <v>1.5</v>
      </c>
      <c r="AC20" s="1244">
        <v>2</v>
      </c>
      <c r="AD20" s="1244">
        <v>0</v>
      </c>
      <c r="AE20" s="1244">
        <v>0.5</v>
      </c>
      <c r="AF20" s="801"/>
      <c r="AG20" s="1244">
        <v>1</v>
      </c>
      <c r="AH20" s="801"/>
      <c r="AI20" s="801"/>
      <c r="AJ20" s="801"/>
      <c r="AK20" s="1702">
        <f t="shared" si="4"/>
        <v>9</v>
      </c>
    </row>
    <row r="21" spans="1:37" s="804" customFormat="1" ht="43.5" customHeight="1">
      <c r="A21" s="1242">
        <v>14</v>
      </c>
      <c r="B21" s="626" t="s">
        <v>1319</v>
      </c>
      <c r="C21" s="627" t="s">
        <v>1320</v>
      </c>
      <c r="D21" s="1473">
        <v>44579</v>
      </c>
      <c r="E21" s="1483" t="s">
        <v>1098</v>
      </c>
      <c r="F21" s="1718">
        <v>303.57276828110162</v>
      </c>
      <c r="G21" s="1718">
        <v>313.21877967711305</v>
      </c>
      <c r="H21" s="1718">
        <v>272.98495620790271</v>
      </c>
      <c r="I21" s="1718">
        <v>328.74726407986032</v>
      </c>
      <c r="J21" s="1718">
        <v>425.03408225437937</v>
      </c>
      <c r="K21" s="1718">
        <v>493.43279671176026</v>
      </c>
      <c r="L21" s="1718">
        <v>425.21237342675181</v>
      </c>
      <c r="M21" s="1718">
        <v>352.53614359682678</v>
      </c>
      <c r="N21" s="1718">
        <v>274.54669629034476</v>
      </c>
      <c r="O21" s="1306">
        <v>322.52280071659021</v>
      </c>
      <c r="P21" s="1306">
        <v>212.30769230769232</v>
      </c>
      <c r="Q21" s="1306">
        <v>30</v>
      </c>
      <c r="R21" s="1243">
        <f t="shared" si="0"/>
        <v>3754.1163535503229</v>
      </c>
      <c r="S21" s="1243">
        <f>R21/12</f>
        <v>312.84302946252689</v>
      </c>
      <c r="T21" s="1243">
        <f t="shared" si="1"/>
        <v>12.032424210097188</v>
      </c>
      <c r="U21" s="1244">
        <f>'S1'!W20</f>
        <v>0</v>
      </c>
      <c r="V21" s="1790">
        <f t="shared" si="2"/>
        <v>0</v>
      </c>
      <c r="W21" s="1053"/>
      <c r="X21" s="763"/>
      <c r="Y21" s="1692">
        <v>0</v>
      </c>
      <c r="Z21" s="1244">
        <v>0</v>
      </c>
      <c r="AA21" s="1244">
        <v>2</v>
      </c>
      <c r="AB21" s="1244">
        <v>1.5</v>
      </c>
      <c r="AC21" s="1244">
        <v>0</v>
      </c>
      <c r="AD21" s="1244">
        <v>0.5</v>
      </c>
      <c r="AE21" s="1244">
        <v>1</v>
      </c>
      <c r="AF21" s="1244">
        <v>1</v>
      </c>
      <c r="AG21" s="1244">
        <v>1</v>
      </c>
      <c r="AH21" s="801"/>
      <c r="AI21" s="801"/>
      <c r="AJ21" s="801"/>
      <c r="AK21" s="1702">
        <f t="shared" si="4"/>
        <v>7</v>
      </c>
    </row>
    <row r="22" spans="1:37" s="804" customFormat="1" ht="43.5" customHeight="1">
      <c r="A22" s="1242">
        <v>15</v>
      </c>
      <c r="B22" s="972" t="s">
        <v>1365</v>
      </c>
      <c r="C22" s="805" t="s">
        <v>1366</v>
      </c>
      <c r="D22" s="1473">
        <v>44607</v>
      </c>
      <c r="E22" s="1483" t="s">
        <v>1098</v>
      </c>
      <c r="F22" s="1718">
        <v>297.12084520417852</v>
      </c>
      <c r="G22" s="1718">
        <v>303.53228869895537</v>
      </c>
      <c r="H22" s="1718">
        <v>245.85354550052853</v>
      </c>
      <c r="I22" s="1718">
        <v>325.67633766105564</v>
      </c>
      <c r="J22" s="1718">
        <v>402.86100533130235</v>
      </c>
      <c r="K22" s="1718">
        <v>473.78922315308449</v>
      </c>
      <c r="L22" s="1718">
        <v>415.32289693065553</v>
      </c>
      <c r="M22" s="1718">
        <v>350.06302361005328</v>
      </c>
      <c r="N22" s="1718">
        <v>269.00960649331444</v>
      </c>
      <c r="O22" s="1306">
        <v>286.33999999999997</v>
      </c>
      <c r="P22" s="1306">
        <v>208.07692307692309</v>
      </c>
      <c r="Q22" s="1306">
        <v>30</v>
      </c>
      <c r="R22" s="1243">
        <f t="shared" si="0"/>
        <v>3607.6456956600514</v>
      </c>
      <c r="S22" s="1243">
        <f>R22/12</f>
        <v>300.63714130500426</v>
      </c>
      <c r="T22" s="1243">
        <f t="shared" si="1"/>
        <v>11.562966973269395</v>
      </c>
      <c r="U22" s="1244">
        <f>'S1'!W21</f>
        <v>0</v>
      </c>
      <c r="V22" s="1790">
        <f t="shared" si="2"/>
        <v>0</v>
      </c>
      <c r="W22" s="1053"/>
      <c r="X22" s="763"/>
      <c r="Y22" s="1692">
        <v>0</v>
      </c>
      <c r="Z22" s="1244">
        <v>0</v>
      </c>
      <c r="AA22" s="1244">
        <v>4</v>
      </c>
      <c r="AB22" s="1244">
        <v>1.5</v>
      </c>
      <c r="AC22" s="1244">
        <v>0</v>
      </c>
      <c r="AD22" s="1244">
        <v>0</v>
      </c>
      <c r="AE22" s="1244">
        <v>0</v>
      </c>
      <c r="AF22" s="801"/>
      <c r="AG22" s="1244">
        <v>1</v>
      </c>
      <c r="AH22" s="801"/>
      <c r="AI22" s="801"/>
      <c r="AJ22" s="801"/>
      <c r="AK22" s="1702">
        <f t="shared" si="4"/>
        <v>6.5</v>
      </c>
    </row>
    <row r="23" spans="1:37" s="804" customFormat="1" ht="43.5" customHeight="1">
      <c r="A23" s="1242">
        <v>16</v>
      </c>
      <c r="B23" s="796" t="s">
        <v>1103</v>
      </c>
      <c r="C23" s="1537" t="s">
        <v>1104</v>
      </c>
      <c r="D23" s="1555">
        <v>43256</v>
      </c>
      <c r="E23" s="1483" t="s">
        <v>1119</v>
      </c>
      <c r="F23" s="1718">
        <v>296.12084520417852</v>
      </c>
      <c r="G23" s="1718">
        <v>305.70916429249758</v>
      </c>
      <c r="H23" s="1718">
        <v>265.92487537164811</v>
      </c>
      <c r="I23" s="1718">
        <v>324.70928122780526</v>
      </c>
      <c r="J23" s="1718">
        <v>416.55331302361003</v>
      </c>
      <c r="K23" s="1718">
        <v>495.5938690022848</v>
      </c>
      <c r="L23" s="1718">
        <v>460.00307881773392</v>
      </c>
      <c r="M23" s="1718">
        <v>351.62414318354917</v>
      </c>
      <c r="N23" s="1718">
        <v>267.44722975483353</v>
      </c>
      <c r="O23" s="1306">
        <v>315.59964624345071</v>
      </c>
      <c r="P23" s="1306">
        <v>207.23076923076923</v>
      </c>
      <c r="Q23" s="1306">
        <v>30</v>
      </c>
      <c r="R23" s="1243">
        <f t="shared" si="0"/>
        <v>3736.5162153523611</v>
      </c>
      <c r="S23" s="1243">
        <f t="shared" ref="S23:S24" si="8">R23/12</f>
        <v>311.3763512793634</v>
      </c>
      <c r="T23" s="1243">
        <f t="shared" si="1"/>
        <v>11.976013510744746</v>
      </c>
      <c r="U23" s="1244">
        <f>'S1'!W22</f>
        <v>0</v>
      </c>
      <c r="V23" s="1790">
        <f t="shared" si="2"/>
        <v>0</v>
      </c>
      <c r="W23" s="1053"/>
      <c r="X23" s="763"/>
      <c r="Y23" s="1692">
        <v>0</v>
      </c>
      <c r="Z23" s="1244">
        <v>0</v>
      </c>
      <c r="AA23" s="1244">
        <v>2</v>
      </c>
      <c r="AB23" s="1244">
        <v>1.5</v>
      </c>
      <c r="AC23" s="1244">
        <v>0</v>
      </c>
      <c r="AD23" s="1244">
        <v>0</v>
      </c>
      <c r="AE23" s="1244">
        <v>0</v>
      </c>
      <c r="AF23" s="801"/>
      <c r="AG23" s="1244">
        <v>1</v>
      </c>
      <c r="AH23" s="801"/>
      <c r="AI23" s="801"/>
      <c r="AJ23" s="801"/>
      <c r="AK23" s="1702">
        <f t="shared" si="4"/>
        <v>4.5</v>
      </c>
    </row>
    <row r="24" spans="1:37" s="804" customFormat="1" ht="43.5" customHeight="1">
      <c r="A24" s="1242">
        <v>17</v>
      </c>
      <c r="B24" s="796" t="s">
        <v>1105</v>
      </c>
      <c r="C24" s="1537" t="s">
        <v>1106</v>
      </c>
      <c r="D24" s="1555">
        <v>43256</v>
      </c>
      <c r="E24" s="1483" t="s">
        <v>1098</v>
      </c>
      <c r="F24" s="1718">
        <v>295.69776828110162</v>
      </c>
      <c r="G24" s="1718">
        <v>307.14957264957263</v>
      </c>
      <c r="H24" s="1718">
        <v>271.14772735419353</v>
      </c>
      <c r="I24" s="1718">
        <v>329.85897738031088</v>
      </c>
      <c r="J24" s="1718">
        <v>414.43107387661837</v>
      </c>
      <c r="K24" s="1718">
        <v>492.13413937547602</v>
      </c>
      <c r="L24" s="1718">
        <v>466.85846911708978</v>
      </c>
      <c r="M24" s="1718">
        <v>350.50190403655751</v>
      </c>
      <c r="N24" s="1718">
        <v>273.53592423127702</v>
      </c>
      <c r="O24" s="1306">
        <v>321.30631535832481</v>
      </c>
      <c r="P24" s="1306">
        <v>212.07692307692309</v>
      </c>
      <c r="Q24" s="1306">
        <v>30</v>
      </c>
      <c r="R24" s="1243">
        <f t="shared" si="0"/>
        <v>3764.6987947374455</v>
      </c>
      <c r="S24" s="1243">
        <f t="shared" si="8"/>
        <v>313.72489956145381</v>
      </c>
      <c r="T24" s="1243">
        <f t="shared" si="1"/>
        <v>12.066342290825146</v>
      </c>
      <c r="U24" s="1244">
        <f>'S1'!W23</f>
        <v>0</v>
      </c>
      <c r="V24" s="1790">
        <f t="shared" si="2"/>
        <v>0</v>
      </c>
      <c r="W24" s="1053"/>
      <c r="X24" s="763"/>
      <c r="Y24" s="1692">
        <v>0</v>
      </c>
      <c r="Z24" s="1244">
        <v>0</v>
      </c>
      <c r="AA24" s="1244">
        <v>2</v>
      </c>
      <c r="AB24" s="1244">
        <v>1.5</v>
      </c>
      <c r="AC24" s="1244">
        <v>0</v>
      </c>
      <c r="AD24" s="1244">
        <v>0</v>
      </c>
      <c r="AE24" s="1244">
        <v>0</v>
      </c>
      <c r="AF24" s="801"/>
      <c r="AG24" s="1244">
        <v>1</v>
      </c>
      <c r="AH24" s="801"/>
      <c r="AI24" s="801"/>
      <c r="AJ24" s="801"/>
      <c r="AK24" s="1702">
        <f t="shared" si="4"/>
        <v>4.5</v>
      </c>
    </row>
    <row r="25" spans="1:37" s="804" customFormat="1" ht="43.5" customHeight="1">
      <c r="A25" s="1242">
        <v>18</v>
      </c>
      <c r="B25" s="796" t="s">
        <v>1107</v>
      </c>
      <c r="C25" s="1537" t="s">
        <v>479</v>
      </c>
      <c r="D25" s="1555">
        <v>43649</v>
      </c>
      <c r="E25" s="1483" t="s">
        <v>1098</v>
      </c>
      <c r="F25" s="1718">
        <v>300.12084520417852</v>
      </c>
      <c r="G25" s="1718">
        <v>299.79131562498509</v>
      </c>
      <c r="H25" s="1718">
        <v>261.81644456205453</v>
      </c>
      <c r="I25" s="1718">
        <v>327.33900152819393</v>
      </c>
      <c r="J25" s="1718">
        <v>395.62547600913933</v>
      </c>
      <c r="K25" s="1718">
        <v>387.2763709063214</v>
      </c>
      <c r="L25" s="1718">
        <v>438.98820575975748</v>
      </c>
      <c r="M25" s="1718">
        <v>298.35079899895595</v>
      </c>
      <c r="N25" s="1718">
        <v>273.88202415905738</v>
      </c>
      <c r="O25" s="1306">
        <v>317.06601026429399</v>
      </c>
      <c r="P25" s="1306">
        <v>197.21153846153848</v>
      </c>
      <c r="Q25" s="1306">
        <v>30</v>
      </c>
      <c r="R25" s="1243">
        <f t="shared" si="0"/>
        <v>3527.4680314784769</v>
      </c>
      <c r="S25" s="1243">
        <f t="shared" ref="S25" si="9">R25/12</f>
        <v>293.95566928987307</v>
      </c>
      <c r="T25" s="1243">
        <f t="shared" si="1"/>
        <v>11.305987280379734</v>
      </c>
      <c r="U25" s="1244">
        <f>'S1'!W24</f>
        <v>1</v>
      </c>
      <c r="V25" s="1790">
        <f t="shared" si="2"/>
        <v>11.305987280379734</v>
      </c>
      <c r="W25" s="1053"/>
      <c r="X25" s="763"/>
      <c r="Y25" s="1692">
        <v>0</v>
      </c>
      <c r="Z25" s="1244">
        <v>2</v>
      </c>
      <c r="AA25" s="1244">
        <v>4</v>
      </c>
      <c r="AB25" s="1244">
        <v>1.5</v>
      </c>
      <c r="AC25" s="1244">
        <v>0</v>
      </c>
      <c r="AD25" s="1244">
        <v>0</v>
      </c>
      <c r="AE25" s="1244">
        <v>0</v>
      </c>
      <c r="AF25" s="1244">
        <v>0.5</v>
      </c>
      <c r="AG25" s="1244">
        <v>4</v>
      </c>
      <c r="AH25" s="801"/>
      <c r="AI25" s="801"/>
      <c r="AJ25" s="801"/>
      <c r="AK25" s="1702">
        <f t="shared" si="4"/>
        <v>12</v>
      </c>
    </row>
    <row r="26" spans="1:37" s="804" customFormat="1" ht="43.5" customHeight="1">
      <c r="A26" s="1242">
        <v>19</v>
      </c>
      <c r="B26" s="515" t="s">
        <v>2175</v>
      </c>
      <c r="C26" s="581" t="s">
        <v>2171</v>
      </c>
      <c r="D26" s="1474">
        <v>42888</v>
      </c>
      <c r="E26" s="1483" t="s">
        <v>1098</v>
      </c>
      <c r="F26" s="1097" t="s">
        <v>1102</v>
      </c>
      <c r="G26" s="1718">
        <v>224.16904083570751</v>
      </c>
      <c r="H26" s="1718">
        <v>258.42407479638439</v>
      </c>
      <c r="I26" s="1718">
        <v>329.00260714090672</v>
      </c>
      <c r="J26" s="1718">
        <v>383.52570329061996</v>
      </c>
      <c r="K26" s="1718">
        <v>461.80285412809604</v>
      </c>
      <c r="L26" s="1718">
        <v>350.12007875705962</v>
      </c>
      <c r="M26" s="1718">
        <v>335.67431454683935</v>
      </c>
      <c r="N26" s="1718">
        <v>276.10251818038557</v>
      </c>
      <c r="O26" s="1380">
        <v>235.21496281608256</v>
      </c>
      <c r="P26" s="1097" t="s">
        <v>1102</v>
      </c>
      <c r="Q26" s="1097" t="s">
        <v>1102</v>
      </c>
      <c r="R26" s="1243">
        <f t="shared" si="0"/>
        <v>2854.0361544920816</v>
      </c>
      <c r="S26" s="1243">
        <f>R26/10</f>
        <v>285.40361544920813</v>
      </c>
      <c r="T26" s="1243">
        <f t="shared" si="1"/>
        <v>10.977062132661851</v>
      </c>
      <c r="U26" s="1244">
        <f>'S1'!W25</f>
        <v>1</v>
      </c>
      <c r="V26" s="1790">
        <f t="shared" si="2"/>
        <v>10.977062132661851</v>
      </c>
      <c r="W26" s="1053"/>
      <c r="X26" s="763"/>
      <c r="Y26" s="1692"/>
      <c r="Z26" s="1244">
        <v>0</v>
      </c>
      <c r="AA26" s="1244">
        <v>2</v>
      </c>
      <c r="AB26" s="1244">
        <v>3</v>
      </c>
      <c r="AC26" s="1244">
        <v>0</v>
      </c>
      <c r="AD26" s="1244">
        <v>1</v>
      </c>
      <c r="AE26" s="1244">
        <v>6</v>
      </c>
      <c r="AF26" s="801"/>
      <c r="AG26" s="1244">
        <v>1</v>
      </c>
      <c r="AH26" s="801"/>
      <c r="AI26" s="801"/>
      <c r="AJ26" s="801"/>
      <c r="AK26" s="1702"/>
    </row>
    <row r="27" spans="1:37" s="804" customFormat="1" ht="43.5" customHeight="1">
      <c r="A27" s="1242">
        <v>20</v>
      </c>
      <c r="B27" s="796" t="s">
        <v>1108</v>
      </c>
      <c r="C27" s="1537" t="s">
        <v>1109</v>
      </c>
      <c r="D27" s="1555">
        <v>43825</v>
      </c>
      <c r="E27" s="1483" t="s">
        <v>1098</v>
      </c>
      <c r="F27" s="1718">
        <v>305.57276828110162</v>
      </c>
      <c r="G27" s="1718">
        <v>315.21877967711305</v>
      </c>
      <c r="H27" s="1718">
        <v>278.56451261463292</v>
      </c>
      <c r="I27" s="1718">
        <v>334.57758340437334</v>
      </c>
      <c r="J27" s="1718">
        <v>427.03408225437937</v>
      </c>
      <c r="K27" s="1718">
        <v>479.02856054836252</v>
      </c>
      <c r="L27" s="1718">
        <v>434.47572316069085</v>
      </c>
      <c r="M27" s="1718">
        <v>361.54722010662607</v>
      </c>
      <c r="N27" s="1718">
        <v>280.78602596530754</v>
      </c>
      <c r="O27" s="1306">
        <v>324.85067578275948</v>
      </c>
      <c r="P27" s="1306">
        <v>216.35777381825002</v>
      </c>
      <c r="Q27" s="1306">
        <v>30</v>
      </c>
      <c r="R27" s="1243">
        <f t="shared" si="0"/>
        <v>3788.0137056135968</v>
      </c>
      <c r="S27" s="1243">
        <f t="shared" ref="S27:S37" si="10">R27/12</f>
        <v>315.66780880113305</v>
      </c>
      <c r="T27" s="1243">
        <f t="shared" si="1"/>
        <v>12.141069569274348</v>
      </c>
      <c r="U27" s="1244">
        <f>'S1'!W26</f>
        <v>1.5</v>
      </c>
      <c r="V27" s="1790">
        <f t="shared" si="2"/>
        <v>18.211604353911522</v>
      </c>
      <c r="W27" s="1053"/>
      <c r="X27" s="763"/>
      <c r="Y27" s="1692">
        <v>0</v>
      </c>
      <c r="Z27" s="1244">
        <v>0</v>
      </c>
      <c r="AA27" s="1244">
        <v>3</v>
      </c>
      <c r="AB27" s="1244">
        <v>1.5</v>
      </c>
      <c r="AC27" s="1244">
        <v>1</v>
      </c>
      <c r="AD27" s="1244">
        <v>0</v>
      </c>
      <c r="AE27" s="1244">
        <v>1</v>
      </c>
      <c r="AF27" s="801"/>
      <c r="AG27" s="1736">
        <v>2</v>
      </c>
      <c r="AH27" s="801"/>
      <c r="AI27" s="801"/>
      <c r="AJ27" s="801"/>
      <c r="AK27" s="1702">
        <f t="shared" si="4"/>
        <v>8.5</v>
      </c>
    </row>
    <row r="28" spans="1:37" s="804" customFormat="1" ht="43.5" customHeight="1">
      <c r="A28" s="1242">
        <v>21</v>
      </c>
      <c r="B28" s="796" t="s">
        <v>1110</v>
      </c>
      <c r="C28" s="1537" t="s">
        <v>1111</v>
      </c>
      <c r="D28" s="1555">
        <v>43825</v>
      </c>
      <c r="E28" s="1483" t="s">
        <v>1098</v>
      </c>
      <c r="F28" s="1718">
        <v>300.12084520417852</v>
      </c>
      <c r="G28" s="1718">
        <v>309.70916429249758</v>
      </c>
      <c r="H28" s="1718">
        <v>271.81011170305408</v>
      </c>
      <c r="I28" s="1718">
        <v>328.13730705662738</v>
      </c>
      <c r="J28" s="1718">
        <v>420.55331302361003</v>
      </c>
      <c r="K28" s="1718">
        <v>472.06702208682401</v>
      </c>
      <c r="L28" s="1718">
        <v>427.80197630328536</v>
      </c>
      <c r="M28" s="1718">
        <v>355.62414318354917</v>
      </c>
      <c r="N28" s="1718">
        <v>271.32645960976947</v>
      </c>
      <c r="O28" s="1306">
        <v>317.5527008665527</v>
      </c>
      <c r="P28" s="1306">
        <v>204.71153846153848</v>
      </c>
      <c r="Q28" s="1306">
        <v>30</v>
      </c>
      <c r="R28" s="1243">
        <f t="shared" si="0"/>
        <v>3709.4145817914869</v>
      </c>
      <c r="S28" s="1243">
        <f t="shared" si="10"/>
        <v>309.11788181595722</v>
      </c>
      <c r="T28" s="1243">
        <f t="shared" si="1"/>
        <v>11.88914930061374</v>
      </c>
      <c r="U28" s="1244">
        <f>'S1'!W27</f>
        <v>0</v>
      </c>
      <c r="V28" s="1790">
        <f t="shared" si="2"/>
        <v>0</v>
      </c>
      <c r="W28" s="1053"/>
      <c r="X28" s="763"/>
      <c r="Y28" s="1692">
        <v>0</v>
      </c>
      <c r="Z28" s="1244">
        <v>0</v>
      </c>
      <c r="AA28" s="1244">
        <v>3</v>
      </c>
      <c r="AB28" s="1244">
        <v>1.5</v>
      </c>
      <c r="AC28" s="1244">
        <v>0</v>
      </c>
      <c r="AD28" s="1244">
        <v>0</v>
      </c>
      <c r="AE28" s="1244">
        <v>1</v>
      </c>
      <c r="AF28" s="801"/>
      <c r="AG28" s="1244">
        <v>1</v>
      </c>
      <c r="AH28" s="801"/>
      <c r="AI28" s="801"/>
      <c r="AJ28" s="801"/>
      <c r="AK28" s="1702">
        <f t="shared" si="4"/>
        <v>6.5</v>
      </c>
    </row>
    <row r="29" spans="1:37" s="804" customFormat="1" ht="43.5" customHeight="1">
      <c r="A29" s="1242">
        <v>22</v>
      </c>
      <c r="B29" s="624" t="s">
        <v>1487</v>
      </c>
      <c r="C29" s="627" t="s">
        <v>1489</v>
      </c>
      <c r="D29" s="1473">
        <v>44635</v>
      </c>
      <c r="E29" s="1483" t="s">
        <v>1098</v>
      </c>
      <c r="F29" s="1718">
        <v>278.54973884140549</v>
      </c>
      <c r="G29" s="1718">
        <v>307.08126388416395</v>
      </c>
      <c r="H29" s="1718">
        <v>273.38277274587307</v>
      </c>
      <c r="I29" s="1718">
        <v>320.02430125908597</v>
      </c>
      <c r="J29" s="1718">
        <v>417.85415079969539</v>
      </c>
      <c r="K29" s="1718">
        <v>473.56121477532378</v>
      </c>
      <c r="L29" s="1718">
        <v>410.33578059871161</v>
      </c>
      <c r="M29" s="1718">
        <v>355.95725437928405</v>
      </c>
      <c r="N29" s="1718">
        <v>270.72599652015788</v>
      </c>
      <c r="O29" s="1306">
        <v>317.86266239424344</v>
      </c>
      <c r="P29" s="1306">
        <v>217.30769230769232</v>
      </c>
      <c r="Q29" s="1306">
        <v>30</v>
      </c>
      <c r="R29" s="1243">
        <f t="shared" si="0"/>
        <v>3672.6428285056372</v>
      </c>
      <c r="S29" s="1243">
        <f t="shared" ref="S29:S31" si="11">R29/12</f>
        <v>306.05356904213642</v>
      </c>
      <c r="T29" s="1243">
        <f t="shared" si="1"/>
        <v>11.771291117005246</v>
      </c>
      <c r="U29" s="1244">
        <f>'S1'!W28</f>
        <v>0</v>
      </c>
      <c r="V29" s="1790">
        <f t="shared" si="2"/>
        <v>0</v>
      </c>
      <c r="W29" s="1053"/>
      <c r="X29" s="763"/>
      <c r="Y29" s="1692">
        <v>0</v>
      </c>
      <c r="Z29" s="1244">
        <v>1</v>
      </c>
      <c r="AA29" s="1244">
        <v>3</v>
      </c>
      <c r="AB29" s="1244">
        <v>1.5</v>
      </c>
      <c r="AC29" s="1244">
        <v>0</v>
      </c>
      <c r="AD29" s="1244">
        <v>0</v>
      </c>
      <c r="AE29" s="1244">
        <v>0</v>
      </c>
      <c r="AF29" s="801"/>
      <c r="AG29" s="1244">
        <v>1</v>
      </c>
      <c r="AH29" s="801"/>
      <c r="AI29" s="801"/>
      <c r="AJ29" s="801"/>
      <c r="AK29" s="1702">
        <f t="shared" si="4"/>
        <v>6.5</v>
      </c>
    </row>
    <row r="30" spans="1:37" s="804" customFormat="1" ht="43.5" customHeight="1">
      <c r="A30" s="1242">
        <v>23</v>
      </c>
      <c r="B30" s="624" t="s">
        <v>1514</v>
      </c>
      <c r="C30" s="627" t="s">
        <v>1513</v>
      </c>
      <c r="D30" s="1473">
        <v>44652</v>
      </c>
      <c r="E30" s="1483" t="s">
        <v>1098</v>
      </c>
      <c r="F30" s="1718">
        <v>297.12084520417852</v>
      </c>
      <c r="G30" s="1718">
        <v>306.70916429249758</v>
      </c>
      <c r="H30" s="1718">
        <v>266.98596623424385</v>
      </c>
      <c r="I30" s="1718">
        <v>326.72136255722489</v>
      </c>
      <c r="J30" s="1718">
        <v>414.18636955197167</v>
      </c>
      <c r="K30" s="1718">
        <v>499.56007235338916</v>
      </c>
      <c r="L30" s="1718">
        <v>475.86367942402427</v>
      </c>
      <c r="M30" s="1718">
        <v>353.62414318354917</v>
      </c>
      <c r="N30" s="1718">
        <v>269.49828796841638</v>
      </c>
      <c r="O30" s="1306">
        <v>304.75170999692619</v>
      </c>
      <c r="P30" s="1306">
        <v>208.07692307692309</v>
      </c>
      <c r="Q30" s="1306">
        <v>30</v>
      </c>
      <c r="R30" s="1243">
        <f t="shared" si="0"/>
        <v>3753.098523843345</v>
      </c>
      <c r="S30" s="1243">
        <f t="shared" si="11"/>
        <v>312.75821032027875</v>
      </c>
      <c r="T30" s="1243">
        <f t="shared" si="1"/>
        <v>12.029161935395337</v>
      </c>
      <c r="U30" s="1244">
        <f>'S1'!W29</f>
        <v>0</v>
      </c>
      <c r="V30" s="1790">
        <f t="shared" si="2"/>
        <v>0</v>
      </c>
      <c r="W30" s="1053"/>
      <c r="X30" s="763"/>
      <c r="Y30" s="1692">
        <v>0</v>
      </c>
      <c r="Z30" s="1244">
        <v>0</v>
      </c>
      <c r="AA30" s="1244">
        <v>2</v>
      </c>
      <c r="AB30" s="1244">
        <v>1.5</v>
      </c>
      <c r="AC30" s="1244">
        <v>0</v>
      </c>
      <c r="AD30" s="1244">
        <v>0</v>
      </c>
      <c r="AE30" s="1244">
        <v>0</v>
      </c>
      <c r="AF30" s="801"/>
      <c r="AG30" s="1244">
        <v>1</v>
      </c>
      <c r="AH30" s="801"/>
      <c r="AI30" s="801"/>
      <c r="AJ30" s="801"/>
      <c r="AK30" s="1702">
        <f t="shared" si="4"/>
        <v>4.5</v>
      </c>
    </row>
    <row r="31" spans="1:37" s="804" customFormat="1" ht="43.5" customHeight="1">
      <c r="A31" s="1242">
        <v>24</v>
      </c>
      <c r="B31" s="789" t="s">
        <v>1521</v>
      </c>
      <c r="C31" s="805" t="s">
        <v>1522</v>
      </c>
      <c r="D31" s="1473">
        <v>44691</v>
      </c>
      <c r="E31" s="1483" t="s">
        <v>1119</v>
      </c>
      <c r="F31" s="1718">
        <v>288.56125356125358</v>
      </c>
      <c r="G31" s="1718">
        <v>299.68999952687454</v>
      </c>
      <c r="H31" s="1718">
        <v>261.14489834771484</v>
      </c>
      <c r="I31" s="1718">
        <v>316.56270117577623</v>
      </c>
      <c r="J31" s="1718">
        <v>402.86995430312254</v>
      </c>
      <c r="K31" s="1718">
        <v>439.95493507628561</v>
      </c>
      <c r="L31" s="1718">
        <v>430.37244221295936</v>
      </c>
      <c r="M31" s="1718">
        <v>341.50190403655751</v>
      </c>
      <c r="N31" s="1718">
        <v>267.43700003828548</v>
      </c>
      <c r="O31" s="1306">
        <v>290.93324256309143</v>
      </c>
      <c r="P31" s="1306">
        <v>203.23076923076925</v>
      </c>
      <c r="Q31" s="1306">
        <v>30</v>
      </c>
      <c r="R31" s="1243">
        <f t="shared" si="0"/>
        <v>3572.2591000726902</v>
      </c>
      <c r="S31" s="1243">
        <f t="shared" si="11"/>
        <v>297.68825833939087</v>
      </c>
      <c r="T31" s="1243">
        <f t="shared" si="1"/>
        <v>11.449548397668879</v>
      </c>
      <c r="U31" s="1244">
        <f>'S1'!W30</f>
        <v>0</v>
      </c>
      <c r="V31" s="1790">
        <f t="shared" si="2"/>
        <v>0</v>
      </c>
      <c r="W31" s="1053"/>
      <c r="X31" s="763"/>
      <c r="Y31" s="1692">
        <v>0</v>
      </c>
      <c r="Z31" s="1244">
        <v>2</v>
      </c>
      <c r="AA31" s="1244">
        <v>2</v>
      </c>
      <c r="AB31" s="1244">
        <v>1.5</v>
      </c>
      <c r="AC31" s="1244">
        <v>1</v>
      </c>
      <c r="AD31" s="1244">
        <v>1</v>
      </c>
      <c r="AE31" s="1244">
        <v>0</v>
      </c>
      <c r="AF31" s="801"/>
      <c r="AG31" s="1736">
        <v>2</v>
      </c>
      <c r="AH31" s="801"/>
      <c r="AI31" s="801"/>
      <c r="AJ31" s="801"/>
      <c r="AK31" s="1702">
        <f>SUM(Y31:AJ31)</f>
        <v>9.5</v>
      </c>
    </row>
    <row r="32" spans="1:37" s="804" customFormat="1" ht="43.5" customHeight="1">
      <c r="A32" s="1242">
        <v>25</v>
      </c>
      <c r="B32" s="796" t="s">
        <v>1112</v>
      </c>
      <c r="C32" s="1537" t="s">
        <v>484</v>
      </c>
      <c r="D32" s="1555">
        <v>41456</v>
      </c>
      <c r="E32" s="1483" t="s">
        <v>1113</v>
      </c>
      <c r="F32" s="1718">
        <v>458.48622981956316</v>
      </c>
      <c r="G32" s="1718">
        <v>421.55158480888269</v>
      </c>
      <c r="H32" s="1718">
        <v>424.02880375712164</v>
      </c>
      <c r="I32" s="1718">
        <v>518.77798897276261</v>
      </c>
      <c r="J32" s="1718">
        <v>663.04303122619956</v>
      </c>
      <c r="K32" s="1718">
        <v>682.28471852421387</v>
      </c>
      <c r="L32" s="1718">
        <v>646.99526335733242</v>
      </c>
      <c r="M32" s="1718">
        <v>523.7887682928523</v>
      </c>
      <c r="N32" s="1718">
        <v>423.92180836825185</v>
      </c>
      <c r="O32" s="1306">
        <v>496.80500592234949</v>
      </c>
      <c r="P32" s="1306">
        <v>354.48696092822036</v>
      </c>
      <c r="Q32" s="1306">
        <v>30</v>
      </c>
      <c r="R32" s="1243">
        <f t="shared" si="0"/>
        <v>5644.1701639777502</v>
      </c>
      <c r="S32" s="1243">
        <f t="shared" si="10"/>
        <v>470.34751366481254</v>
      </c>
      <c r="T32" s="1243">
        <f t="shared" si="1"/>
        <v>18.090288987108174</v>
      </c>
      <c r="U32" s="1244">
        <f>'S1'!W31</f>
        <v>0</v>
      </c>
      <c r="V32" s="1790">
        <f t="shared" si="2"/>
        <v>0</v>
      </c>
      <c r="W32" s="1053"/>
      <c r="X32" s="763"/>
      <c r="Y32" s="1692">
        <v>0</v>
      </c>
      <c r="Z32" s="1244">
        <v>1</v>
      </c>
      <c r="AA32" s="1244">
        <v>2</v>
      </c>
      <c r="AB32" s="1244">
        <v>1.5</v>
      </c>
      <c r="AC32" s="1244">
        <v>0</v>
      </c>
      <c r="AD32" s="1244">
        <v>1</v>
      </c>
      <c r="AE32" s="1244">
        <v>0</v>
      </c>
      <c r="AF32" s="1244">
        <v>1</v>
      </c>
      <c r="AG32" s="1244">
        <v>1</v>
      </c>
      <c r="AH32" s="1697"/>
      <c r="AI32" s="1697"/>
      <c r="AJ32" s="1697"/>
      <c r="AK32" s="1702">
        <f t="shared" si="4"/>
        <v>7.5</v>
      </c>
    </row>
    <row r="33" spans="1:37" s="804" customFormat="1" ht="43.5" customHeight="1">
      <c r="A33" s="1242">
        <v>26</v>
      </c>
      <c r="B33" s="1454" t="s">
        <v>2147</v>
      </c>
      <c r="C33" s="966" t="s">
        <v>2143</v>
      </c>
      <c r="D33" s="1385">
        <v>45316</v>
      </c>
      <c r="E33" s="1151" t="s">
        <v>544</v>
      </c>
      <c r="F33" s="1718">
        <v>70.955650522317185</v>
      </c>
      <c r="G33" s="1718">
        <v>294.5822649572649</v>
      </c>
      <c r="H33" s="1719">
        <v>248.21299674921468</v>
      </c>
      <c r="I33" s="1718">
        <v>316.2290808182957</v>
      </c>
      <c r="J33" s="1718">
        <v>401.47981721249045</v>
      </c>
      <c r="K33" s="1718">
        <v>465.70506473724294</v>
      </c>
      <c r="L33" s="1718">
        <v>459.62916824554753</v>
      </c>
      <c r="M33" s="1718">
        <v>351.62414318354917</v>
      </c>
      <c r="N33" s="1718">
        <v>270.40819474693109</v>
      </c>
      <c r="O33" s="1097">
        <v>0</v>
      </c>
      <c r="P33" s="1097">
        <v>0</v>
      </c>
      <c r="Q33" s="1097">
        <v>0</v>
      </c>
      <c r="R33" s="1243">
        <f t="shared" si="0"/>
        <v>2878.8263811728539</v>
      </c>
      <c r="S33" s="1243">
        <f>R33/9</f>
        <v>319.86959790809487</v>
      </c>
      <c r="T33" s="1243">
        <f t="shared" si="1"/>
        <v>12.302676842619034</v>
      </c>
      <c r="U33" s="1244">
        <f>'S1'!W32</f>
        <v>0</v>
      </c>
      <c r="V33" s="1790">
        <f t="shared" si="2"/>
        <v>0</v>
      </c>
      <c r="W33" s="1053"/>
      <c r="X33" s="763"/>
      <c r="Y33" s="1692">
        <v>0</v>
      </c>
      <c r="Z33" s="894">
        <v>0</v>
      </c>
      <c r="AA33" s="1694">
        <v>2</v>
      </c>
      <c r="AB33" s="894">
        <v>1.5</v>
      </c>
      <c r="AC33" s="1244">
        <v>0</v>
      </c>
      <c r="AD33" s="1244">
        <v>0</v>
      </c>
      <c r="AE33" s="1244">
        <v>0</v>
      </c>
      <c r="AF33" s="1697"/>
      <c r="AG33" s="1244">
        <v>1.5</v>
      </c>
      <c r="AH33" s="1697"/>
      <c r="AI33" s="1697"/>
      <c r="AJ33" s="1697"/>
      <c r="AK33" s="1702">
        <f t="shared" si="4"/>
        <v>5</v>
      </c>
    </row>
    <row r="34" spans="1:37" s="804" customFormat="1" ht="43.5" customHeight="1">
      <c r="A34" s="1242">
        <v>27</v>
      </c>
      <c r="B34" s="796" t="s">
        <v>1114</v>
      </c>
      <c r="C34" s="1537" t="s">
        <v>485</v>
      </c>
      <c r="D34" s="1555">
        <v>41568</v>
      </c>
      <c r="E34" s="1483" t="s">
        <v>1098</v>
      </c>
      <c r="F34" s="1718">
        <v>307.50413377469044</v>
      </c>
      <c r="G34" s="1718">
        <v>312.14957264957263</v>
      </c>
      <c r="H34" s="1718">
        <v>275.38451556583232</v>
      </c>
      <c r="I34" s="1718">
        <v>305.79164401954711</v>
      </c>
      <c r="J34" s="1718">
        <v>358.89204112718954</v>
      </c>
      <c r="K34" s="1718">
        <v>413.96686976389941</v>
      </c>
      <c r="L34" s="1718">
        <v>377.24024251610456</v>
      </c>
      <c r="M34" s="1718">
        <v>348.58912772284833</v>
      </c>
      <c r="N34" s="1718">
        <v>274.77432565178202</v>
      </c>
      <c r="O34" s="1306">
        <v>305.47488392057943</v>
      </c>
      <c r="P34" s="1306">
        <v>217.07692307692309</v>
      </c>
      <c r="Q34" s="1306">
        <v>30</v>
      </c>
      <c r="R34" s="1243">
        <f t="shared" si="0"/>
        <v>3526.8442797889693</v>
      </c>
      <c r="S34" s="1243">
        <f t="shared" si="10"/>
        <v>293.90368998241411</v>
      </c>
      <c r="T34" s="1243">
        <f t="shared" si="1"/>
        <v>11.303988076246696</v>
      </c>
      <c r="U34" s="1244">
        <f>'S1'!W33</f>
        <v>0</v>
      </c>
      <c r="V34" s="1790">
        <f t="shared" si="2"/>
        <v>0</v>
      </c>
      <c r="W34" s="1053"/>
      <c r="X34" s="1245"/>
      <c r="Y34" s="1692">
        <v>0.5</v>
      </c>
      <c r="Z34" s="1244">
        <v>0</v>
      </c>
      <c r="AA34" s="1244">
        <v>2</v>
      </c>
      <c r="AB34" s="1244">
        <v>1.5</v>
      </c>
      <c r="AC34" s="1244">
        <v>0</v>
      </c>
      <c r="AD34" s="1244">
        <v>0</v>
      </c>
      <c r="AE34" s="1244">
        <v>0</v>
      </c>
      <c r="AF34" s="1244">
        <v>1.5</v>
      </c>
      <c r="AG34" s="1244">
        <v>1</v>
      </c>
      <c r="AH34" s="1697"/>
      <c r="AI34" s="1697"/>
      <c r="AJ34" s="1697"/>
      <c r="AK34" s="1702">
        <f t="shared" si="4"/>
        <v>6.5</v>
      </c>
    </row>
    <row r="35" spans="1:37" ht="43.5" customHeight="1">
      <c r="A35" s="1242">
        <v>28</v>
      </c>
      <c r="B35" s="796" t="s">
        <v>1115</v>
      </c>
      <c r="C35" s="1537" t="s">
        <v>1116</v>
      </c>
      <c r="D35" s="1555">
        <v>41755</v>
      </c>
      <c r="E35" s="1483" t="s">
        <v>1098</v>
      </c>
      <c r="F35" s="1718">
        <v>305.12084520417852</v>
      </c>
      <c r="G35" s="1718">
        <v>313.904716262639</v>
      </c>
      <c r="H35" s="1718">
        <v>275.5137492285179</v>
      </c>
      <c r="I35" s="1718">
        <v>330.93089098770531</v>
      </c>
      <c r="J35" s="1718">
        <v>426.55331302361003</v>
      </c>
      <c r="K35" s="1718">
        <v>507.56007235338916</v>
      </c>
      <c r="L35" s="1718">
        <v>483.6676145270784</v>
      </c>
      <c r="M35" s="1718">
        <v>364.24176584504443</v>
      </c>
      <c r="N35" s="1718">
        <v>274.89277487547679</v>
      </c>
      <c r="O35" s="1306">
        <v>326.74177076247469</v>
      </c>
      <c r="P35" s="1306">
        <v>216.07692307692309</v>
      </c>
      <c r="Q35" s="1306">
        <v>30</v>
      </c>
      <c r="R35" s="1243">
        <f t="shared" si="0"/>
        <v>3855.2044361470371</v>
      </c>
      <c r="S35" s="1243">
        <f t="shared" si="10"/>
        <v>321.2670363455864</v>
      </c>
      <c r="T35" s="1243">
        <f t="shared" si="1"/>
        <v>12.356424474830247</v>
      </c>
      <c r="U35" s="1244">
        <f>'S1'!W34</f>
        <v>0</v>
      </c>
      <c r="V35" s="1790">
        <f t="shared" si="2"/>
        <v>0</v>
      </c>
      <c r="W35" s="1053"/>
      <c r="Y35" s="1692">
        <v>0</v>
      </c>
      <c r="Z35" s="1244">
        <v>3</v>
      </c>
      <c r="AA35" s="1244">
        <v>2</v>
      </c>
      <c r="AB35" s="1244">
        <v>1.5</v>
      </c>
      <c r="AC35" s="1244">
        <v>0</v>
      </c>
      <c r="AD35" s="1244">
        <v>0</v>
      </c>
      <c r="AE35" s="1244">
        <v>0.5</v>
      </c>
      <c r="AF35" s="1244">
        <v>4</v>
      </c>
      <c r="AG35" s="1244">
        <v>1</v>
      </c>
      <c r="AH35" s="1697"/>
      <c r="AI35" s="1697"/>
      <c r="AJ35" s="1697"/>
      <c r="AK35" s="1702">
        <f t="shared" si="4"/>
        <v>12</v>
      </c>
    </row>
    <row r="36" spans="1:37" ht="43.5" customHeight="1">
      <c r="A36" s="1242">
        <v>29</v>
      </c>
      <c r="B36" s="796" t="s">
        <v>1117</v>
      </c>
      <c r="C36" s="1537" t="s">
        <v>1118</v>
      </c>
      <c r="D36" s="1555">
        <v>41788</v>
      </c>
      <c r="E36" s="1483" t="s">
        <v>1119</v>
      </c>
      <c r="F36" s="1718">
        <v>267.30935422602084</v>
      </c>
      <c r="G36" s="1718">
        <v>309.22116424560232</v>
      </c>
      <c r="H36" s="1718">
        <v>270.05560762013192</v>
      </c>
      <c r="I36" s="1718">
        <v>328.81500096510672</v>
      </c>
      <c r="J36" s="1718">
        <v>417.99219345011414</v>
      </c>
      <c r="K36" s="1718">
        <v>502.56007235338916</v>
      </c>
      <c r="L36" s="1718">
        <v>468.14084529353215</v>
      </c>
      <c r="M36" s="1718">
        <v>349.12121024635383</v>
      </c>
      <c r="N36" s="1718">
        <v>272.50857990351108</v>
      </c>
      <c r="O36" s="1306">
        <v>324.91545193367114</v>
      </c>
      <c r="P36" s="1306">
        <v>215.57641884374848</v>
      </c>
      <c r="Q36" s="1306">
        <v>30</v>
      </c>
      <c r="R36" s="1243">
        <f t="shared" si="0"/>
        <v>3756.2158990811813</v>
      </c>
      <c r="S36" s="1243">
        <f t="shared" si="10"/>
        <v>313.01799159009846</v>
      </c>
      <c r="T36" s="1243">
        <f t="shared" si="1"/>
        <v>12.039153522696095</v>
      </c>
      <c r="U36" s="1244">
        <f>'S1'!W35</f>
        <v>0</v>
      </c>
      <c r="V36" s="1790">
        <f t="shared" si="2"/>
        <v>0</v>
      </c>
      <c r="W36" s="1053"/>
      <c r="X36" s="1791"/>
      <c r="Y36" s="1692">
        <v>0</v>
      </c>
      <c r="Z36" s="1244">
        <v>1</v>
      </c>
      <c r="AA36" s="1244">
        <v>2</v>
      </c>
      <c r="AB36" s="1244">
        <v>1.5</v>
      </c>
      <c r="AC36" s="1244">
        <v>0</v>
      </c>
      <c r="AD36" s="1244">
        <v>0</v>
      </c>
      <c r="AE36" s="1244">
        <v>3</v>
      </c>
      <c r="AF36" s="1244">
        <v>1</v>
      </c>
      <c r="AG36" s="1244">
        <v>1</v>
      </c>
      <c r="AH36" s="1697"/>
      <c r="AI36" s="1697"/>
      <c r="AJ36" s="1697"/>
      <c r="AK36" s="1702">
        <f t="shared" si="4"/>
        <v>9.5</v>
      </c>
    </row>
    <row r="37" spans="1:37" ht="43.5" customHeight="1">
      <c r="A37" s="1242">
        <v>30</v>
      </c>
      <c r="B37" s="796" t="s">
        <v>1120</v>
      </c>
      <c r="C37" s="1537" t="s">
        <v>1121</v>
      </c>
      <c r="D37" s="1555">
        <v>42129</v>
      </c>
      <c r="E37" s="1483" t="s">
        <v>1122</v>
      </c>
      <c r="F37" s="1718">
        <v>312.13348765432102</v>
      </c>
      <c r="G37" s="1718">
        <v>339.38774571937165</v>
      </c>
      <c r="H37" s="1718">
        <v>317.97231702013988</v>
      </c>
      <c r="I37" s="1718">
        <v>350.90116664911943</v>
      </c>
      <c r="J37" s="1718">
        <v>296.37896694956333</v>
      </c>
      <c r="K37" s="1718">
        <v>474.08353960396039</v>
      </c>
      <c r="L37" s="1718">
        <v>443.26693349753697</v>
      </c>
      <c r="M37" s="1718">
        <v>380.24504950495049</v>
      </c>
      <c r="N37" s="1718">
        <v>322.37069913817447</v>
      </c>
      <c r="O37" s="1306">
        <v>366.00709907714707</v>
      </c>
      <c r="P37" s="1306">
        <v>248.08086826196615</v>
      </c>
      <c r="Q37" s="1306">
        <v>30</v>
      </c>
      <c r="R37" s="1243">
        <f t="shared" si="0"/>
        <v>3880.8278730762513</v>
      </c>
      <c r="S37" s="1243">
        <f t="shared" si="10"/>
        <v>323.40232275635429</v>
      </c>
      <c r="T37" s="1243">
        <f t="shared" si="1"/>
        <v>12.438550875244395</v>
      </c>
      <c r="U37" s="1244">
        <f>'S1'!W36</f>
        <v>1</v>
      </c>
      <c r="V37" s="1790">
        <f t="shared" si="2"/>
        <v>12.438550875244395</v>
      </c>
      <c r="W37" s="1053"/>
      <c r="Y37" s="1692">
        <v>0</v>
      </c>
      <c r="Z37" s="1244">
        <v>0.5</v>
      </c>
      <c r="AA37" s="1244">
        <v>2.5</v>
      </c>
      <c r="AB37" s="1244">
        <v>2</v>
      </c>
      <c r="AC37" s="1244">
        <v>1</v>
      </c>
      <c r="AD37" s="1244">
        <v>0</v>
      </c>
      <c r="AE37" s="1244">
        <v>0</v>
      </c>
      <c r="AF37" s="1697"/>
      <c r="AG37" s="1244">
        <v>1</v>
      </c>
      <c r="AH37" s="1697"/>
      <c r="AI37" s="1697"/>
      <c r="AJ37" s="1697"/>
      <c r="AK37" s="1702">
        <f t="shared" si="4"/>
        <v>7</v>
      </c>
    </row>
    <row r="38" spans="1:37" ht="42.95" customHeight="1">
      <c r="A38" s="2066" t="s">
        <v>214</v>
      </c>
      <c r="B38" s="2067"/>
      <c r="C38" s="2067"/>
      <c r="D38" s="2067"/>
      <c r="E38" s="2067"/>
      <c r="F38" s="2067"/>
      <c r="G38" s="2067"/>
      <c r="H38" s="2067"/>
      <c r="I38" s="2067"/>
      <c r="J38" s="2067"/>
      <c r="K38" s="2067"/>
      <c r="L38" s="2067"/>
      <c r="M38" s="2067"/>
      <c r="N38" s="2067"/>
      <c r="O38" s="2067"/>
      <c r="P38" s="2067"/>
      <c r="Q38" s="2067"/>
      <c r="R38" s="2068"/>
      <c r="S38" s="1246"/>
      <c r="T38" s="1246"/>
      <c r="U38" s="1247"/>
      <c r="V38" s="1248">
        <f>SUM(V8:V37)</f>
        <v>58.948838390809051</v>
      </c>
      <c r="W38" s="1249"/>
    </row>
  </sheetData>
  <mergeCells count="8">
    <mergeCell ref="A38:R38"/>
    <mergeCell ref="A5:C5"/>
    <mergeCell ref="L5:R5"/>
    <mergeCell ref="A2:W2"/>
    <mergeCell ref="A1:W1"/>
    <mergeCell ref="A3:W3"/>
    <mergeCell ref="A4:W4"/>
    <mergeCell ref="F6:Q6"/>
  </mergeCells>
  <pageMargins left="0.7" right="0.7" top="0.75" bottom="0.75" header="0.3" footer="0.3"/>
  <pageSetup paperSize="9" scale="48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16"/>
  <sheetViews>
    <sheetView topLeftCell="A5" zoomScaleNormal="100" workbookViewId="0">
      <pane xSplit="4" ySplit="3" topLeftCell="Q8" activePane="bottomRight" state="frozen"/>
      <selection activeCell="A5" sqref="A5"/>
      <selection pane="topRight" activeCell="E5" sqref="E5"/>
      <selection pane="bottomLeft" activeCell="A8" sqref="A8"/>
      <selection pane="bottomRight" activeCell="U10" sqref="U10"/>
    </sheetView>
  </sheetViews>
  <sheetFormatPr defaultRowHeight="14.25"/>
  <cols>
    <col min="1" max="1" width="5.625" customWidth="1"/>
    <col min="2" max="2" width="8" customWidth="1"/>
    <col min="3" max="3" width="10.75" customWidth="1"/>
  </cols>
  <sheetData>
    <row r="1" spans="1:37" s="839" customFormat="1" ht="42" hidden="1" customHeight="1">
      <c r="A1" s="2134" t="s">
        <v>222</v>
      </c>
      <c r="B1" s="2134"/>
      <c r="C1" s="2134"/>
      <c r="D1" s="2134"/>
      <c r="E1" s="2134"/>
      <c r="F1" s="2134"/>
      <c r="G1" s="2134"/>
      <c r="H1" s="2134"/>
      <c r="I1" s="2134"/>
      <c r="J1" s="2134"/>
      <c r="K1" s="2134"/>
      <c r="L1" s="2134"/>
      <c r="M1" s="2134"/>
      <c r="N1" s="2134"/>
      <c r="O1" s="2134"/>
      <c r="P1" s="2134"/>
      <c r="Q1" s="2134"/>
      <c r="R1" s="2134"/>
      <c r="S1" s="2134"/>
      <c r="T1" s="2134"/>
      <c r="U1" s="844"/>
      <c r="V1" s="844"/>
    </row>
    <row r="2" spans="1:37" s="871" customFormat="1" ht="42.75" hidden="1" customHeight="1">
      <c r="A2" s="2134" t="s">
        <v>221</v>
      </c>
      <c r="B2" s="2134"/>
      <c r="C2" s="2134"/>
      <c r="D2" s="2134"/>
      <c r="E2" s="2134"/>
      <c r="F2" s="2134"/>
      <c r="G2" s="2134"/>
      <c r="H2" s="2134"/>
      <c r="I2" s="2134"/>
      <c r="J2" s="2134"/>
      <c r="K2" s="2134"/>
      <c r="L2" s="2134"/>
      <c r="M2" s="2134"/>
      <c r="N2" s="2134"/>
      <c r="O2" s="2134"/>
      <c r="P2" s="2134"/>
      <c r="Q2" s="2134"/>
      <c r="R2" s="2134"/>
      <c r="S2" s="2134"/>
      <c r="T2" s="2134"/>
      <c r="U2" s="844"/>
      <c r="V2" s="844"/>
    </row>
    <row r="3" spans="1:37" s="871" customFormat="1" ht="42.75" hidden="1" customHeight="1">
      <c r="A3" s="2135" t="s">
        <v>1070</v>
      </c>
      <c r="B3" s="2135"/>
      <c r="C3" s="2135"/>
      <c r="D3" s="2135"/>
      <c r="E3" s="2135"/>
      <c r="F3" s="2135"/>
      <c r="G3" s="2135"/>
      <c r="H3" s="2135"/>
      <c r="I3" s="2135"/>
      <c r="J3" s="2135"/>
      <c r="K3" s="2135"/>
      <c r="L3" s="2135"/>
      <c r="M3" s="2135"/>
      <c r="N3" s="2135"/>
      <c r="O3" s="2135"/>
      <c r="P3" s="2135"/>
      <c r="Q3" s="2135"/>
      <c r="R3" s="2135"/>
      <c r="S3" s="2135"/>
      <c r="T3" s="2135"/>
      <c r="U3" s="845"/>
      <c r="V3" s="845"/>
    </row>
    <row r="4" spans="1:37" s="871" customFormat="1" ht="42.75" hidden="1" customHeight="1">
      <c r="A4" s="2135" t="s">
        <v>1071</v>
      </c>
      <c r="B4" s="2135"/>
      <c r="C4" s="2135"/>
      <c r="D4" s="2135"/>
      <c r="E4" s="2135"/>
      <c r="F4" s="2135"/>
      <c r="G4" s="2135"/>
      <c r="H4" s="2135"/>
      <c r="I4" s="2135"/>
      <c r="J4" s="2135"/>
      <c r="K4" s="2135"/>
      <c r="L4" s="2135"/>
      <c r="M4" s="2135"/>
      <c r="N4" s="2135"/>
      <c r="O4" s="2135"/>
      <c r="P4" s="2135"/>
      <c r="Q4" s="2135"/>
      <c r="R4" s="2135"/>
      <c r="S4" s="2135"/>
      <c r="T4" s="2135"/>
      <c r="U4" s="845"/>
      <c r="V4" s="845"/>
    </row>
    <row r="5" spans="1:37" s="856" customFormat="1" ht="20.25" customHeight="1">
      <c r="A5" s="2136" t="s">
        <v>1277</v>
      </c>
      <c r="B5" s="2136"/>
      <c r="C5" s="2136"/>
      <c r="D5" s="817"/>
      <c r="E5" s="817"/>
      <c r="F5" s="817"/>
      <c r="G5" s="817"/>
      <c r="H5" s="817"/>
      <c r="I5" s="817"/>
      <c r="J5" s="817"/>
      <c r="K5" s="817"/>
      <c r="L5" s="2136" t="s">
        <v>2347</v>
      </c>
      <c r="M5" s="2136"/>
      <c r="N5" s="2136"/>
      <c r="O5" s="2136"/>
      <c r="P5" s="2136"/>
      <c r="Q5" s="2136"/>
      <c r="R5" s="2136"/>
      <c r="S5" s="817"/>
      <c r="T5" s="817"/>
      <c r="U5" s="817"/>
      <c r="V5" s="817"/>
      <c r="W5" s="855"/>
    </row>
    <row r="6" spans="1:37" s="871" customFormat="1" ht="30" customHeight="1">
      <c r="A6" s="820" t="s">
        <v>252</v>
      </c>
      <c r="B6" s="820" t="s">
        <v>1072</v>
      </c>
      <c r="C6" s="820" t="s">
        <v>1073</v>
      </c>
      <c r="D6" s="820" t="s">
        <v>254</v>
      </c>
      <c r="E6" s="821" t="s">
        <v>227</v>
      </c>
      <c r="F6" s="2138" t="s">
        <v>1074</v>
      </c>
      <c r="G6" s="2139"/>
      <c r="H6" s="2139"/>
      <c r="I6" s="2139"/>
      <c r="J6" s="2139"/>
      <c r="K6" s="2139"/>
      <c r="L6" s="2139"/>
      <c r="M6" s="2139"/>
      <c r="N6" s="2139"/>
      <c r="O6" s="2139"/>
      <c r="P6" s="2139"/>
      <c r="Q6" s="2140"/>
      <c r="R6" s="822" t="s">
        <v>1075</v>
      </c>
      <c r="S6" s="900" t="s">
        <v>1076</v>
      </c>
      <c r="T6" s="822" t="s">
        <v>1077</v>
      </c>
      <c r="U6" s="822" t="s">
        <v>1126</v>
      </c>
      <c r="V6" s="850" t="s">
        <v>1128</v>
      </c>
      <c r="W6" s="823" t="s">
        <v>1078</v>
      </c>
      <c r="X6" s="504"/>
    </row>
    <row r="7" spans="1:37" s="839" customFormat="1" ht="34.5" customHeight="1">
      <c r="A7" s="858" t="s">
        <v>41</v>
      </c>
      <c r="B7" s="858" t="s">
        <v>42</v>
      </c>
      <c r="C7" s="858" t="s">
        <v>1079</v>
      </c>
      <c r="D7" s="858" t="s">
        <v>1080</v>
      </c>
      <c r="E7" s="859" t="s">
        <v>1081</v>
      </c>
      <c r="F7" s="859" t="s">
        <v>1082</v>
      </c>
      <c r="G7" s="859" t="s">
        <v>1083</v>
      </c>
      <c r="H7" s="859" t="s">
        <v>1084</v>
      </c>
      <c r="I7" s="859" t="s">
        <v>1085</v>
      </c>
      <c r="J7" s="859" t="s">
        <v>1086</v>
      </c>
      <c r="K7" s="825" t="s">
        <v>1087</v>
      </c>
      <c r="L7" s="825" t="s">
        <v>1088</v>
      </c>
      <c r="M7" s="825" t="s">
        <v>1089</v>
      </c>
      <c r="N7" s="825" t="s">
        <v>1090</v>
      </c>
      <c r="O7" s="825" t="s">
        <v>1091</v>
      </c>
      <c r="P7" s="926" t="s">
        <v>1092</v>
      </c>
      <c r="Q7" s="825" t="s">
        <v>1093</v>
      </c>
      <c r="R7" s="826" t="s">
        <v>1094</v>
      </c>
      <c r="S7" s="901" t="s">
        <v>1095</v>
      </c>
      <c r="T7" s="827" t="s">
        <v>1096</v>
      </c>
      <c r="U7" s="852" t="s">
        <v>1125</v>
      </c>
      <c r="V7" s="908" t="s">
        <v>1127</v>
      </c>
      <c r="W7" s="861" t="s">
        <v>1097</v>
      </c>
      <c r="X7" s="893"/>
      <c r="Y7" s="1701">
        <v>1</v>
      </c>
      <c r="Z7" s="1701">
        <v>2</v>
      </c>
      <c r="AA7" s="1701">
        <v>3</v>
      </c>
      <c r="AB7" s="1701">
        <v>4</v>
      </c>
      <c r="AC7" s="1701">
        <v>5</v>
      </c>
      <c r="AD7" s="1701">
        <v>6</v>
      </c>
      <c r="AE7" s="1701">
        <v>7</v>
      </c>
      <c r="AF7" s="1701">
        <v>8</v>
      </c>
      <c r="AG7" s="1701">
        <v>9</v>
      </c>
      <c r="AH7" s="1701">
        <v>10</v>
      </c>
      <c r="AI7" s="1701">
        <v>11</v>
      </c>
      <c r="AJ7" s="1701">
        <v>12</v>
      </c>
      <c r="AK7" s="1701" t="s">
        <v>74</v>
      </c>
    </row>
    <row r="8" spans="1:37" s="871" customFormat="1" ht="57.75" customHeight="1">
      <c r="A8" s="829">
        <v>1</v>
      </c>
      <c r="B8" s="688" t="s">
        <v>2304</v>
      </c>
      <c r="C8" s="628" t="s">
        <v>516</v>
      </c>
      <c r="D8" s="1473">
        <v>41709</v>
      </c>
      <c r="E8" s="1587" t="s">
        <v>357</v>
      </c>
      <c r="F8" s="1718">
        <v>316.37809098409627</v>
      </c>
      <c r="G8" s="1718">
        <v>349.1032937846266</v>
      </c>
      <c r="H8" s="1719">
        <v>298.84684428754196</v>
      </c>
      <c r="I8" s="1718">
        <v>349.27477583886554</v>
      </c>
      <c r="J8" s="1718">
        <v>485.52170601675556</v>
      </c>
      <c r="K8" s="1718">
        <v>562.78427265803498</v>
      </c>
      <c r="L8" s="1718">
        <v>531.46233509436786</v>
      </c>
      <c r="M8" s="1718">
        <v>377.54721974622515</v>
      </c>
      <c r="N8" s="1718">
        <v>311.83104157691156</v>
      </c>
      <c r="O8" s="1306">
        <v>266.04315196998124</v>
      </c>
      <c r="P8" s="1306">
        <v>252.30769230769232</v>
      </c>
      <c r="Q8" s="1306">
        <v>30</v>
      </c>
      <c r="R8" s="902">
        <f>SUM(F8:Q8)</f>
        <v>4131.1004242650988</v>
      </c>
      <c r="S8" s="902">
        <f>R8/12</f>
        <v>344.25836868875825</v>
      </c>
      <c r="T8" s="902">
        <f>S8/26</f>
        <v>13.240706488029163</v>
      </c>
      <c r="U8" s="904">
        <f>WH!W7</f>
        <v>0.5</v>
      </c>
      <c r="V8" s="929">
        <f>T8*U8</f>
        <v>6.6203532440145816</v>
      </c>
      <c r="W8" s="832"/>
      <c r="X8" s="504"/>
      <c r="Y8" s="883">
        <v>2</v>
      </c>
      <c r="Z8" s="883">
        <v>3</v>
      </c>
      <c r="AA8" s="883">
        <v>2</v>
      </c>
      <c r="AB8" s="883">
        <v>1.5</v>
      </c>
      <c r="AC8" s="1694"/>
      <c r="AD8" s="883"/>
      <c r="AE8" s="883">
        <v>1</v>
      </c>
      <c r="AF8" s="904">
        <v>2</v>
      </c>
      <c r="AG8" s="904">
        <v>1.5</v>
      </c>
      <c r="AH8" s="1694"/>
      <c r="AI8" s="1694"/>
      <c r="AJ8" s="1694"/>
      <c r="AK8" s="1704">
        <f>SUM(Y8:AJ8)</f>
        <v>13</v>
      </c>
    </row>
    <row r="9" spans="1:37" s="1799" customFormat="1" ht="57.75" customHeight="1">
      <c r="A9" s="829">
        <v>2</v>
      </c>
      <c r="B9" s="534" t="s">
        <v>1273</v>
      </c>
      <c r="C9" s="1488" t="s">
        <v>1274</v>
      </c>
      <c r="D9" s="1517">
        <v>41311</v>
      </c>
      <c r="E9" s="880" t="s">
        <v>1275</v>
      </c>
      <c r="F9" s="1718">
        <v>303.57276828110162</v>
      </c>
      <c r="G9" s="1718">
        <v>313.41521305954103</v>
      </c>
      <c r="H9" s="1719">
        <v>272.05092199579008</v>
      </c>
      <c r="I9" s="1718">
        <v>289.73786743083753</v>
      </c>
      <c r="J9" s="1718">
        <v>359.24525032676451</v>
      </c>
      <c r="K9" s="1718">
        <v>392.35424600152328</v>
      </c>
      <c r="L9" s="1718">
        <v>344.14288620077485</v>
      </c>
      <c r="M9" s="1718">
        <v>325.49718548741367</v>
      </c>
      <c r="N9" s="1718">
        <v>269.3202680740759</v>
      </c>
      <c r="O9" s="1306">
        <v>302.68569296438852</v>
      </c>
      <c r="P9" s="1306">
        <v>220.69356207899543</v>
      </c>
      <c r="Q9" s="1306">
        <v>30</v>
      </c>
      <c r="R9" s="902">
        <f t="shared" ref="R9:R12" si="0">SUM(F9:Q9)</f>
        <v>3422.7158619012066</v>
      </c>
      <c r="S9" s="902">
        <f t="shared" ref="S9:S12" si="1">R9/12</f>
        <v>285.22632182510057</v>
      </c>
      <c r="T9" s="902">
        <f t="shared" ref="T9:T12" si="2">S9/26</f>
        <v>10.970243147119252</v>
      </c>
      <c r="U9" s="904">
        <f>WH!W8</f>
        <v>0</v>
      </c>
      <c r="V9" s="929">
        <f t="shared" ref="V9:V12" si="3">T9*U9</f>
        <v>0</v>
      </c>
      <c r="W9" s="832"/>
      <c r="X9" s="504"/>
      <c r="Y9" s="1695"/>
      <c r="Z9" s="904">
        <v>1.5</v>
      </c>
      <c r="AA9" s="1694">
        <v>2</v>
      </c>
      <c r="AB9" s="904">
        <v>3.5</v>
      </c>
      <c r="AC9" s="904">
        <v>0.5</v>
      </c>
      <c r="AD9" s="904">
        <v>0</v>
      </c>
      <c r="AE9" s="904">
        <v>1</v>
      </c>
      <c r="AF9" s="904">
        <v>1</v>
      </c>
      <c r="AG9" s="904">
        <v>1</v>
      </c>
      <c r="AH9" s="1694"/>
      <c r="AI9" s="1694"/>
      <c r="AJ9" s="1694"/>
      <c r="AK9" s="1704">
        <f>SUM(Y9:AJ9)</f>
        <v>10.5</v>
      </c>
    </row>
    <row r="10" spans="1:37" s="928" customFormat="1" ht="54" customHeight="1">
      <c r="A10" s="829">
        <v>3</v>
      </c>
      <c r="B10" s="534" t="s">
        <v>459</v>
      </c>
      <c r="C10" s="1518" t="s">
        <v>1276</v>
      </c>
      <c r="D10" s="1480">
        <v>43579</v>
      </c>
      <c r="E10" s="880" t="s">
        <v>1275</v>
      </c>
      <c r="F10" s="1718">
        <v>295.12084520417852</v>
      </c>
      <c r="G10" s="1718">
        <v>297.58998100664763</v>
      </c>
      <c r="H10" s="1719">
        <v>302.18682519626543</v>
      </c>
      <c r="I10" s="1718">
        <v>374.24526877107536</v>
      </c>
      <c r="J10" s="1718">
        <v>414.22981721249039</v>
      </c>
      <c r="K10" s="1718">
        <v>477.89803884234573</v>
      </c>
      <c r="L10" s="1718">
        <v>427.87399723634553</v>
      </c>
      <c r="M10" s="1718">
        <v>324.22105864432598</v>
      </c>
      <c r="N10" s="1718">
        <v>254.93384011598931</v>
      </c>
      <c r="O10" s="1306">
        <v>283.99450992128698</v>
      </c>
      <c r="P10" s="1306">
        <v>196.34615384615384</v>
      </c>
      <c r="Q10" s="1306">
        <v>30</v>
      </c>
      <c r="R10" s="902">
        <f t="shared" si="0"/>
        <v>3678.6403359971046</v>
      </c>
      <c r="S10" s="902">
        <f t="shared" si="1"/>
        <v>306.55336133309203</v>
      </c>
      <c r="T10" s="902">
        <f t="shared" si="2"/>
        <v>11.790513897426617</v>
      </c>
      <c r="U10" s="904">
        <f>WH!W9</f>
        <v>0.5</v>
      </c>
      <c r="V10" s="929">
        <f t="shared" si="3"/>
        <v>5.8952569487133086</v>
      </c>
      <c r="W10" s="502"/>
      <c r="X10" s="927"/>
      <c r="Y10" s="1695"/>
      <c r="Z10" s="904">
        <v>0</v>
      </c>
      <c r="AA10" s="1694">
        <v>3</v>
      </c>
      <c r="AB10" s="904">
        <v>2.5</v>
      </c>
      <c r="AC10" s="904">
        <v>0</v>
      </c>
      <c r="AD10" s="904">
        <v>0</v>
      </c>
      <c r="AE10" s="904">
        <v>0.5</v>
      </c>
      <c r="AF10" s="904">
        <v>0</v>
      </c>
      <c r="AG10" s="904">
        <v>1.5</v>
      </c>
      <c r="AH10" s="1694"/>
      <c r="AI10" s="1694"/>
      <c r="AJ10" s="1694"/>
      <c r="AK10" s="1704">
        <f t="shared" ref="AK10:AK12" si="4">SUM(Y10:AJ10)</f>
        <v>7.5</v>
      </c>
    </row>
    <row r="11" spans="1:37" s="928" customFormat="1" ht="54" customHeight="1">
      <c r="A11" s="829">
        <v>4</v>
      </c>
      <c r="B11" s="534" t="s">
        <v>1066</v>
      </c>
      <c r="C11" s="1518" t="s">
        <v>1067</v>
      </c>
      <c r="D11" s="1480">
        <v>44574</v>
      </c>
      <c r="E11" s="880" t="s">
        <v>1275</v>
      </c>
      <c r="F11" s="1718">
        <v>293.12084520417852</v>
      </c>
      <c r="G11" s="1718">
        <v>288.47079772079769</v>
      </c>
      <c r="H11" s="1719">
        <v>308.70069656277587</v>
      </c>
      <c r="I11" s="1718">
        <v>375.23978913823476</v>
      </c>
      <c r="J11" s="1718">
        <v>420.10417606933538</v>
      </c>
      <c r="K11" s="1718">
        <v>439.96018314550724</v>
      </c>
      <c r="L11" s="1718">
        <v>414.79215611974229</v>
      </c>
      <c r="M11" s="1718">
        <v>306.27384062244403</v>
      </c>
      <c r="N11" s="1718">
        <v>252.39058997961317</v>
      </c>
      <c r="O11" s="1306">
        <v>285.68746087277231</v>
      </c>
      <c r="P11" s="1306">
        <v>222.03292494952646</v>
      </c>
      <c r="Q11" s="1306">
        <v>30</v>
      </c>
      <c r="R11" s="902">
        <f t="shared" si="0"/>
        <v>3636.7734603849276</v>
      </c>
      <c r="S11" s="902">
        <f t="shared" si="1"/>
        <v>303.06445503207732</v>
      </c>
      <c r="T11" s="902">
        <f t="shared" si="2"/>
        <v>11.656325193541436</v>
      </c>
      <c r="U11" s="904">
        <f>WH!W10</f>
        <v>0.5</v>
      </c>
      <c r="V11" s="929">
        <f t="shared" si="3"/>
        <v>5.828162596770718</v>
      </c>
      <c r="W11" s="502"/>
      <c r="X11" s="927"/>
      <c r="Y11" s="1695"/>
      <c r="Z11" s="904">
        <v>0</v>
      </c>
      <c r="AA11" s="1694">
        <v>2</v>
      </c>
      <c r="AB11" s="904">
        <v>1.5</v>
      </c>
      <c r="AC11" s="904">
        <v>1</v>
      </c>
      <c r="AD11" s="904">
        <v>1</v>
      </c>
      <c r="AE11" s="904">
        <v>0</v>
      </c>
      <c r="AF11" s="904">
        <v>3</v>
      </c>
      <c r="AG11" s="904">
        <v>1.5</v>
      </c>
      <c r="AH11" s="1694"/>
      <c r="AI11" s="1694"/>
      <c r="AJ11" s="1694"/>
      <c r="AK11" s="1704">
        <f t="shared" si="4"/>
        <v>10</v>
      </c>
    </row>
    <row r="12" spans="1:37" s="928" customFormat="1" ht="54" customHeight="1">
      <c r="A12" s="829">
        <v>5</v>
      </c>
      <c r="B12" s="789" t="s">
        <v>1573</v>
      </c>
      <c r="C12" s="805" t="s">
        <v>1574</v>
      </c>
      <c r="D12" s="1477">
        <v>44725</v>
      </c>
      <c r="E12" s="880" t="s">
        <v>1275</v>
      </c>
      <c r="F12" s="1718">
        <v>263.30935422602084</v>
      </c>
      <c r="G12" s="1718">
        <v>301.70916429249758</v>
      </c>
      <c r="H12" s="1719">
        <v>264.30689515029377</v>
      </c>
      <c r="I12" s="1718">
        <v>320.35158208646271</v>
      </c>
      <c r="J12" s="1718">
        <v>434.68115645684662</v>
      </c>
      <c r="K12" s="1718">
        <v>462.675017969799</v>
      </c>
      <c r="L12" s="1718">
        <v>458.05033900090621</v>
      </c>
      <c r="M12" s="1718">
        <v>337.14062770412215</v>
      </c>
      <c r="N12" s="1718">
        <v>263.53585797227686</v>
      </c>
      <c r="O12" s="1306">
        <v>308.9543864795229</v>
      </c>
      <c r="P12" s="1306">
        <v>204.07692307692309</v>
      </c>
      <c r="Q12" s="1306">
        <v>30</v>
      </c>
      <c r="R12" s="902">
        <f t="shared" si="0"/>
        <v>3648.7913044156721</v>
      </c>
      <c r="S12" s="902">
        <f t="shared" si="1"/>
        <v>304.06594203463936</v>
      </c>
      <c r="T12" s="902">
        <f t="shared" si="2"/>
        <v>11.694843924409206</v>
      </c>
      <c r="U12" s="904">
        <f>WH!W11</f>
        <v>0</v>
      </c>
      <c r="V12" s="929">
        <f t="shared" si="3"/>
        <v>0</v>
      </c>
      <c r="W12" s="502"/>
      <c r="X12" s="927"/>
      <c r="Y12" s="1695"/>
      <c r="Z12" s="904">
        <v>0</v>
      </c>
      <c r="AA12" s="1694">
        <v>3</v>
      </c>
      <c r="AB12" s="904">
        <v>1.5</v>
      </c>
      <c r="AC12" s="904">
        <v>1</v>
      </c>
      <c r="AD12" s="904">
        <v>1</v>
      </c>
      <c r="AE12" s="904">
        <v>2</v>
      </c>
      <c r="AF12" s="904">
        <v>5</v>
      </c>
      <c r="AG12" s="904">
        <v>1</v>
      </c>
      <c r="AH12" s="1694"/>
      <c r="AI12" s="1694"/>
      <c r="AJ12" s="1694"/>
      <c r="AK12" s="1704">
        <f t="shared" si="4"/>
        <v>14.5</v>
      </c>
    </row>
    <row r="13" spans="1:37" s="871" customFormat="1" ht="39.75" customHeight="1">
      <c r="A13" s="2142" t="s">
        <v>214</v>
      </c>
      <c r="B13" s="2142"/>
      <c r="C13" s="2142"/>
      <c r="D13" s="2142"/>
      <c r="E13" s="2142"/>
      <c r="F13" s="2142"/>
      <c r="G13" s="2142"/>
      <c r="H13" s="2142"/>
      <c r="I13" s="2142"/>
      <c r="J13" s="2142"/>
      <c r="K13" s="2142"/>
      <c r="L13" s="2142"/>
      <c r="M13" s="2142"/>
      <c r="N13" s="2142"/>
      <c r="O13" s="2142"/>
      <c r="P13" s="2142"/>
      <c r="Q13" s="2142"/>
      <c r="R13" s="2142"/>
      <c r="S13" s="868"/>
      <c r="T13" s="869"/>
      <c r="U13" s="869"/>
      <c r="V13" s="952">
        <f>SUM(V8:V12)</f>
        <v>18.343772789498608</v>
      </c>
      <c r="W13" s="504"/>
      <c r="X13" s="842"/>
    </row>
    <row r="14" spans="1:37" s="871" customFormat="1" ht="15.75">
      <c r="A14" s="842"/>
      <c r="B14" s="842"/>
      <c r="C14" s="842"/>
      <c r="D14" s="567"/>
      <c r="E14" s="842"/>
      <c r="F14" s="842"/>
      <c r="G14" s="842"/>
      <c r="H14" s="842"/>
      <c r="I14" s="842"/>
      <c r="J14" s="842"/>
      <c r="K14" s="842"/>
      <c r="L14" s="842"/>
      <c r="M14" s="842"/>
      <c r="N14" s="842"/>
      <c r="O14" s="842"/>
      <c r="P14" s="842"/>
      <c r="Q14" s="842"/>
      <c r="R14" s="870"/>
      <c r="S14" s="897"/>
      <c r="T14" s="870"/>
      <c r="U14" s="870"/>
      <c r="V14" s="896"/>
      <c r="W14" s="842"/>
      <c r="X14" s="842"/>
    </row>
    <row r="15" spans="1:37" s="871" customFormat="1" ht="27" customHeight="1">
      <c r="A15" s="2132" t="s">
        <v>1155</v>
      </c>
      <c r="B15" s="2132"/>
      <c r="C15" s="2132"/>
      <c r="D15" s="872"/>
      <c r="H15" s="2132" t="s">
        <v>1156</v>
      </c>
      <c r="I15" s="2132"/>
      <c r="J15" s="2132"/>
      <c r="K15" s="2132"/>
      <c r="R15" s="2133" t="s">
        <v>1157</v>
      </c>
      <c r="S15" s="2133"/>
      <c r="T15" s="2133"/>
      <c r="U15" s="873"/>
      <c r="V15" s="898"/>
      <c r="X15" s="843"/>
    </row>
    <row r="16" spans="1:37" s="871" customFormat="1" ht="15.75">
      <c r="A16" s="842"/>
      <c r="B16" s="842"/>
      <c r="C16" s="842"/>
      <c r="D16" s="567"/>
      <c r="E16" s="842"/>
      <c r="F16" s="842"/>
      <c r="G16" s="842"/>
      <c r="H16" s="842"/>
      <c r="I16" s="842"/>
      <c r="J16" s="842"/>
      <c r="K16" s="842"/>
      <c r="L16" s="842"/>
      <c r="M16" s="842"/>
      <c r="N16" s="842"/>
      <c r="O16" s="842"/>
      <c r="P16" s="842"/>
      <c r="Q16" s="842"/>
      <c r="R16" s="870"/>
      <c r="S16" s="897"/>
      <c r="T16" s="870"/>
      <c r="U16" s="870"/>
      <c r="V16" s="896"/>
      <c r="W16" s="842"/>
      <c r="X16" s="842"/>
    </row>
  </sheetData>
  <mergeCells count="11">
    <mergeCell ref="A1:T1"/>
    <mergeCell ref="A2:T2"/>
    <mergeCell ref="A3:T3"/>
    <mergeCell ref="A4:T4"/>
    <mergeCell ref="A5:C5"/>
    <mergeCell ref="L5:R5"/>
    <mergeCell ref="F6:Q6"/>
    <mergeCell ref="A13:R13"/>
    <mergeCell ref="A15:C15"/>
    <mergeCell ref="H15:K15"/>
    <mergeCell ref="R15:T15"/>
  </mergeCell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K18"/>
  <sheetViews>
    <sheetView view="pageBreakPreview" topLeftCell="A3" zoomScale="80" zoomScaleNormal="100" zoomScaleSheetLayoutView="80" workbookViewId="0">
      <pane xSplit="6" ySplit="4" topLeftCell="AI10" activePane="bottomRight" state="frozen"/>
      <selection activeCell="A3" sqref="A3"/>
      <selection pane="topRight" activeCell="G3" sqref="G3"/>
      <selection pane="bottomLeft" activeCell="A7" sqref="A7"/>
      <selection pane="bottomRight" activeCell="K11" sqref="K11"/>
    </sheetView>
  </sheetViews>
  <sheetFormatPr defaultRowHeight="15.75"/>
  <cols>
    <col min="1" max="1" width="5.5" style="544" customWidth="1"/>
    <col min="2" max="2" width="10.875" style="544" customWidth="1"/>
    <col min="3" max="3" width="11.625" style="555" customWidth="1"/>
    <col min="4" max="4" width="11.125" style="555" customWidth="1"/>
    <col min="5" max="5" width="6.75" style="544" customWidth="1"/>
    <col min="6" max="6" width="8.375" style="556" customWidth="1"/>
    <col min="7" max="7" width="6.25" style="544" customWidth="1"/>
    <col min="8" max="8" width="5.625" style="544" customWidth="1"/>
    <col min="9" max="9" width="9" style="544" customWidth="1"/>
    <col min="10" max="10" width="9.125" style="544" customWidth="1"/>
    <col min="11" max="11" width="5.125" style="544" customWidth="1"/>
    <col min="12" max="12" width="6.375" style="544" customWidth="1"/>
    <col min="13" max="13" width="7.875" style="544" customWidth="1"/>
    <col min="14" max="14" width="4.625" style="544" customWidth="1"/>
    <col min="15" max="15" width="6" style="544" customWidth="1"/>
    <col min="16" max="16" width="8.125" style="544" customWidth="1"/>
    <col min="17" max="17" width="5.5" style="544" customWidth="1"/>
    <col min="18" max="18" width="7" style="544" customWidth="1"/>
    <col min="19" max="19" width="9.125" style="544" customWidth="1"/>
    <col min="20" max="20" width="5.125" style="544" customWidth="1"/>
    <col min="21" max="21" width="5.75" style="544" customWidth="1"/>
    <col min="22" max="22" width="8.5" style="544" customWidth="1"/>
    <col min="23" max="23" width="5.25" style="544" customWidth="1"/>
    <col min="24" max="24" width="8.375" style="544" customWidth="1"/>
    <col min="25" max="25" width="5.375" style="544" customWidth="1"/>
    <col min="26" max="26" width="6.625" style="544" customWidth="1"/>
    <col min="27" max="27" width="8" style="544" customWidth="1"/>
    <col min="28" max="28" width="5" style="544" customWidth="1"/>
    <col min="29" max="29" width="6.125" style="544" customWidth="1"/>
    <col min="30" max="30" width="8.75" style="544" customWidth="1"/>
    <col min="31" max="31" width="7.375" style="544" customWidth="1"/>
    <col min="32" max="32" width="5.5" style="544" customWidth="1"/>
    <col min="33" max="34" width="7.625" style="544" customWidth="1"/>
    <col min="35" max="35" width="9.375" style="544" customWidth="1"/>
    <col min="36" max="36" width="8.875" style="544" customWidth="1"/>
    <col min="37" max="37" width="11.375" style="544" customWidth="1"/>
    <col min="38" max="38" width="6.625" style="544" customWidth="1"/>
    <col min="39" max="39" width="9.375" style="544" customWidth="1"/>
    <col min="40" max="40" width="6.125" style="544" customWidth="1"/>
    <col min="41" max="41" width="7.5" style="544" customWidth="1"/>
    <col min="42" max="42" width="12.5" style="544" customWidth="1"/>
    <col min="43" max="43" width="14.125" style="544" customWidth="1"/>
    <col min="44" max="44" width="10.125" style="544" customWidth="1"/>
    <col min="45" max="45" width="18" style="544" customWidth="1"/>
    <col min="46" max="46" width="15.25" style="544" customWidth="1"/>
    <col min="47" max="47" width="10.5" style="544" hidden="1" customWidth="1"/>
    <col min="48" max="49" width="9" style="544"/>
    <col min="50" max="52" width="8.875" style="544" customWidth="1"/>
    <col min="53" max="54" width="8.75" style="544" customWidth="1"/>
    <col min="55" max="56" width="9" style="544"/>
    <col min="57" max="57" width="10.75" style="544" customWidth="1"/>
    <col min="58" max="58" width="9" style="544"/>
    <col min="59" max="59" width="17.25" style="544" customWidth="1"/>
    <col min="60" max="60" width="9" style="544"/>
    <col min="61" max="63" width="13.375" style="544" customWidth="1"/>
    <col min="64" max="16384" width="9" style="544"/>
  </cols>
  <sheetData>
    <row r="1" spans="1:63" s="541" customFormat="1" ht="29.25" customHeight="1">
      <c r="A1" s="2110" t="s">
        <v>222</v>
      </c>
      <c r="B1" s="2110"/>
      <c r="C1" s="2110"/>
      <c r="D1" s="2110"/>
      <c r="E1" s="2110"/>
      <c r="F1" s="2110"/>
      <c r="G1" s="2110"/>
      <c r="H1" s="2110"/>
      <c r="I1" s="2110"/>
      <c r="J1" s="2110"/>
      <c r="K1" s="2110"/>
      <c r="L1" s="2110"/>
      <c r="M1" s="2110"/>
      <c r="N1" s="2110"/>
      <c r="O1" s="2110"/>
      <c r="P1" s="2110"/>
      <c r="Q1" s="2110"/>
      <c r="R1" s="2110"/>
      <c r="S1" s="2110"/>
      <c r="T1" s="2110"/>
      <c r="U1" s="2110"/>
      <c r="V1" s="2110"/>
      <c r="W1" s="2110"/>
      <c r="X1" s="2110"/>
      <c r="Y1" s="2110"/>
      <c r="Z1" s="2110"/>
      <c r="AA1" s="2110"/>
      <c r="AB1" s="2110"/>
      <c r="AC1" s="2110"/>
      <c r="AD1" s="2110"/>
      <c r="AE1" s="2110"/>
      <c r="AF1" s="2110"/>
      <c r="AG1" s="2110"/>
      <c r="AH1" s="2110"/>
      <c r="AI1" s="2110"/>
      <c r="AJ1" s="2110"/>
      <c r="AK1" s="2110"/>
      <c r="AL1" s="2110"/>
      <c r="AM1" s="2110"/>
      <c r="AN1" s="2110"/>
      <c r="AO1" s="2110"/>
      <c r="AP1" s="2110"/>
      <c r="AQ1" s="2110"/>
      <c r="AR1" s="2110"/>
      <c r="AS1" s="2110"/>
      <c r="AT1" s="751"/>
    </row>
    <row r="2" spans="1:63" s="541" customFormat="1" ht="20.25" customHeight="1">
      <c r="A2" s="2110" t="s">
        <v>221</v>
      </c>
      <c r="B2" s="2110"/>
      <c r="C2" s="2110"/>
      <c r="D2" s="2110"/>
      <c r="E2" s="2110"/>
      <c r="F2" s="2110"/>
      <c r="G2" s="2110"/>
      <c r="H2" s="2110"/>
      <c r="I2" s="2110"/>
      <c r="J2" s="2110"/>
      <c r="K2" s="2110"/>
      <c r="L2" s="2110"/>
      <c r="M2" s="2110"/>
      <c r="N2" s="2110"/>
      <c r="O2" s="2110"/>
      <c r="P2" s="2110"/>
      <c r="Q2" s="2110"/>
      <c r="R2" s="2110"/>
      <c r="S2" s="2110"/>
      <c r="T2" s="2110"/>
      <c r="U2" s="2110"/>
      <c r="V2" s="2110"/>
      <c r="W2" s="2110"/>
      <c r="X2" s="2110"/>
      <c r="Y2" s="2110"/>
      <c r="Z2" s="2110"/>
      <c r="AA2" s="2110"/>
      <c r="AB2" s="2110"/>
      <c r="AC2" s="2110"/>
      <c r="AD2" s="2110"/>
      <c r="AE2" s="2110"/>
      <c r="AF2" s="2110"/>
      <c r="AG2" s="2110"/>
      <c r="AH2" s="2110"/>
      <c r="AI2" s="2110"/>
      <c r="AJ2" s="2110"/>
      <c r="AK2" s="2110"/>
      <c r="AL2" s="2110"/>
      <c r="AM2" s="2110"/>
      <c r="AN2" s="2110"/>
      <c r="AO2" s="2110"/>
      <c r="AP2" s="2110"/>
      <c r="AQ2" s="2110"/>
      <c r="AR2" s="2110"/>
      <c r="AS2" s="2110"/>
      <c r="AT2" s="751"/>
    </row>
    <row r="3" spans="1:63" s="541" customFormat="1" ht="19.5" customHeight="1">
      <c r="A3" s="2111" t="s">
        <v>2342</v>
      </c>
      <c r="B3" s="2111"/>
      <c r="C3" s="2111"/>
      <c r="D3" s="2111"/>
      <c r="E3" s="2111"/>
      <c r="F3" s="2111"/>
      <c r="G3" s="2111"/>
      <c r="H3" s="2111"/>
      <c r="I3" s="2111"/>
      <c r="J3" s="2111"/>
      <c r="K3" s="2111"/>
      <c r="L3" s="2111"/>
      <c r="M3" s="2111"/>
      <c r="N3" s="2111"/>
      <c r="O3" s="2111"/>
      <c r="P3" s="2111"/>
      <c r="Q3" s="2111"/>
      <c r="R3" s="2111"/>
      <c r="S3" s="2111"/>
      <c r="T3" s="2111"/>
      <c r="U3" s="2111"/>
      <c r="V3" s="2111"/>
      <c r="W3" s="2111"/>
      <c r="X3" s="2111"/>
      <c r="Y3" s="2111"/>
      <c r="Z3" s="2111"/>
      <c r="AA3" s="2111"/>
      <c r="AB3" s="2111"/>
      <c r="AC3" s="2111"/>
      <c r="AD3" s="2111"/>
      <c r="AE3" s="2111"/>
      <c r="AF3" s="2111"/>
      <c r="AG3" s="2111"/>
      <c r="AH3" s="2111"/>
      <c r="AI3" s="2111"/>
      <c r="AJ3" s="2111"/>
      <c r="AK3" s="2111"/>
      <c r="AL3" s="2111"/>
      <c r="AM3" s="2111"/>
      <c r="AN3" s="2111"/>
      <c r="AO3" s="2111"/>
      <c r="AP3" s="2111"/>
      <c r="AQ3" s="2111"/>
      <c r="AR3" s="2111"/>
      <c r="AS3" s="2111"/>
      <c r="AT3" s="752"/>
    </row>
    <row r="4" spans="1:63" s="1040" customFormat="1" ht="20.25" customHeight="1">
      <c r="A4" s="1371" t="s">
        <v>341</v>
      </c>
      <c r="B4" s="1371"/>
      <c r="C4" s="2091" t="s">
        <v>2341</v>
      </c>
      <c r="D4" s="2092"/>
      <c r="E4" s="2092"/>
      <c r="F4" s="2092"/>
      <c r="G4" s="1371"/>
      <c r="H4" s="1371"/>
      <c r="I4" s="1371"/>
      <c r="J4" s="1371"/>
      <c r="K4" s="1371"/>
      <c r="L4" s="1371"/>
      <c r="M4" s="1371"/>
      <c r="N4" s="1371"/>
      <c r="O4" s="1371"/>
      <c r="P4" s="1371"/>
      <c r="Q4" s="1371"/>
      <c r="R4" s="1371"/>
      <c r="S4" s="1371"/>
      <c r="T4" s="1371"/>
      <c r="U4" s="1371"/>
      <c r="V4" s="1371"/>
      <c r="W4" s="1371"/>
      <c r="X4" s="1371"/>
      <c r="Y4" s="1371"/>
      <c r="Z4" s="1371"/>
      <c r="AA4" s="1371"/>
      <c r="AB4" s="1371"/>
      <c r="AC4" s="1371"/>
      <c r="AD4" s="1371"/>
      <c r="AE4" s="1371"/>
      <c r="AF4" s="1371"/>
      <c r="AG4" s="1371"/>
      <c r="AH4" s="1371"/>
      <c r="AI4" s="1371"/>
      <c r="AJ4" s="1371"/>
      <c r="AK4" s="1371"/>
      <c r="AL4" s="1371"/>
      <c r="AM4" s="1371"/>
      <c r="AN4" s="1371"/>
      <c r="AO4" s="1371"/>
      <c r="AP4" s="1371"/>
      <c r="AQ4" s="1371"/>
      <c r="AR4" s="1371"/>
      <c r="AS4" s="1371"/>
      <c r="AT4" s="1372"/>
      <c r="AV4" s="2075" t="s">
        <v>701</v>
      </c>
      <c r="AW4" s="2075"/>
      <c r="AX4" s="2075"/>
      <c r="AY4" s="2075"/>
      <c r="AZ4" s="2075"/>
      <c r="BA4" s="2075"/>
      <c r="BB4" s="2075"/>
      <c r="BC4" s="2075"/>
      <c r="BD4" s="2075"/>
      <c r="BE4" s="2075"/>
    </row>
    <row r="5" spans="1:63" ht="69.95" customHeight="1">
      <c r="A5" s="722" t="s">
        <v>252</v>
      </c>
      <c r="B5" s="722" t="s">
        <v>253</v>
      </c>
      <c r="C5" s="722" t="s">
        <v>911</v>
      </c>
      <c r="D5" s="1123" t="s">
        <v>254</v>
      </c>
      <c r="E5" s="723" t="s">
        <v>227</v>
      </c>
      <c r="F5" s="724" t="s">
        <v>255</v>
      </c>
      <c r="G5" s="643" t="s">
        <v>256</v>
      </c>
      <c r="H5" s="2120" t="s">
        <v>1748</v>
      </c>
      <c r="I5" s="2094"/>
      <c r="J5" s="2095"/>
      <c r="K5" s="2120" t="s">
        <v>1744</v>
      </c>
      <c r="L5" s="2094"/>
      <c r="M5" s="2095"/>
      <c r="N5" s="2120" t="s">
        <v>1749</v>
      </c>
      <c r="O5" s="2094"/>
      <c r="P5" s="2095"/>
      <c r="Q5" s="2120" t="s">
        <v>1750</v>
      </c>
      <c r="R5" s="2094"/>
      <c r="S5" s="2095"/>
      <c r="T5" s="2117" t="s">
        <v>1751</v>
      </c>
      <c r="U5" s="2118"/>
      <c r="V5" s="2119"/>
      <c r="W5" s="2102" t="s">
        <v>1674</v>
      </c>
      <c r="X5" s="2103"/>
      <c r="Y5" s="2093" t="s">
        <v>1675</v>
      </c>
      <c r="Z5" s="2094"/>
      <c r="AA5" s="2095"/>
      <c r="AB5" s="2096" t="s">
        <v>1664</v>
      </c>
      <c r="AC5" s="1126" t="s">
        <v>258</v>
      </c>
      <c r="AD5" s="2098" t="s">
        <v>220</v>
      </c>
      <c r="AE5" s="1117" t="s">
        <v>1835</v>
      </c>
      <c r="AF5" s="2100" t="s">
        <v>1840</v>
      </c>
      <c r="AG5" s="2080" t="s">
        <v>1666</v>
      </c>
      <c r="AH5" s="2080" t="s">
        <v>1665</v>
      </c>
      <c r="AI5" s="2076" t="s">
        <v>1653</v>
      </c>
      <c r="AJ5" s="2078" t="s">
        <v>1727</v>
      </c>
      <c r="AK5" s="2114" t="s">
        <v>1752</v>
      </c>
      <c r="AL5" s="2084" t="s">
        <v>1668</v>
      </c>
      <c r="AM5" s="2121" t="s">
        <v>1669</v>
      </c>
      <c r="AN5" s="2116" t="s">
        <v>1670</v>
      </c>
      <c r="AO5" s="2089" t="s">
        <v>1805</v>
      </c>
      <c r="AP5" s="2112" t="s">
        <v>1933</v>
      </c>
      <c r="AQ5" s="2112"/>
      <c r="AR5" s="2113"/>
      <c r="AS5" s="2153" t="s">
        <v>1672</v>
      </c>
      <c r="AT5" s="543"/>
      <c r="AU5" s="501"/>
      <c r="AV5" s="2081" t="s">
        <v>219</v>
      </c>
      <c r="AW5" s="2082"/>
      <c r="AX5" s="2083"/>
      <c r="AY5" s="750"/>
      <c r="AZ5" s="750"/>
      <c r="BA5" s="2086"/>
      <c r="BB5" s="2086"/>
      <c r="BC5" s="2086"/>
      <c r="BD5" s="2086"/>
      <c r="BE5" s="2087"/>
      <c r="BG5" s="1104" t="s">
        <v>789</v>
      </c>
      <c r="BH5" s="2156" t="s">
        <v>568</v>
      </c>
      <c r="BI5" s="2156" t="s">
        <v>569</v>
      </c>
      <c r="BJ5" s="2156" t="s">
        <v>570</v>
      </c>
      <c r="BK5" s="2158" t="s">
        <v>713</v>
      </c>
    </row>
    <row r="6" spans="1:63" ht="99.95" customHeight="1">
      <c r="A6" s="725" t="s">
        <v>111</v>
      </c>
      <c r="B6" s="725" t="s">
        <v>1732</v>
      </c>
      <c r="C6" s="1122" t="s">
        <v>1643</v>
      </c>
      <c r="D6" s="725" t="s">
        <v>1729</v>
      </c>
      <c r="E6" s="607" t="s">
        <v>1703</v>
      </c>
      <c r="F6" s="1124" t="s">
        <v>1641</v>
      </c>
      <c r="G6" s="607" t="s">
        <v>1656</v>
      </c>
      <c r="H6" s="545" t="s">
        <v>1657</v>
      </c>
      <c r="I6" s="546" t="s">
        <v>1658</v>
      </c>
      <c r="J6" s="546" t="s">
        <v>1644</v>
      </c>
      <c r="K6" s="547" t="s">
        <v>1645</v>
      </c>
      <c r="L6" s="546" t="s">
        <v>1659</v>
      </c>
      <c r="M6" s="546" t="s">
        <v>1662</v>
      </c>
      <c r="N6" s="1131" t="s">
        <v>1660</v>
      </c>
      <c r="O6" s="546" t="s">
        <v>1659</v>
      </c>
      <c r="P6" s="546" t="s">
        <v>1662</v>
      </c>
      <c r="Q6" s="1131" t="s">
        <v>1660</v>
      </c>
      <c r="R6" s="546" t="s">
        <v>1659</v>
      </c>
      <c r="S6" s="546" t="s">
        <v>1662</v>
      </c>
      <c r="T6" s="546" t="s">
        <v>1682</v>
      </c>
      <c r="U6" s="546" t="s">
        <v>1661</v>
      </c>
      <c r="V6" s="546" t="s">
        <v>1662</v>
      </c>
      <c r="W6" s="546" t="s">
        <v>1648</v>
      </c>
      <c r="X6" s="546" t="s">
        <v>1663</v>
      </c>
      <c r="Y6" s="546" t="s">
        <v>1649</v>
      </c>
      <c r="Z6" s="546" t="s">
        <v>1661</v>
      </c>
      <c r="AA6" s="546" t="s">
        <v>1650</v>
      </c>
      <c r="AB6" s="2097"/>
      <c r="AC6" s="1127" t="s">
        <v>1651</v>
      </c>
      <c r="AD6" s="2099"/>
      <c r="AE6" s="1118" t="s">
        <v>1678</v>
      </c>
      <c r="AF6" s="2101"/>
      <c r="AG6" s="2077"/>
      <c r="AH6" s="2077"/>
      <c r="AI6" s="2077"/>
      <c r="AJ6" s="2079"/>
      <c r="AK6" s="2115"/>
      <c r="AL6" s="2085"/>
      <c r="AM6" s="2122"/>
      <c r="AN6" s="2116"/>
      <c r="AO6" s="2090"/>
      <c r="AP6" s="1135" t="s">
        <v>1671</v>
      </c>
      <c r="AQ6" s="1134" t="s">
        <v>1707</v>
      </c>
      <c r="AR6" s="1136" t="s">
        <v>1702</v>
      </c>
      <c r="AS6" s="2153"/>
      <c r="AT6" s="543"/>
      <c r="AU6" s="501"/>
      <c r="AV6" s="539" t="s">
        <v>215</v>
      </c>
      <c r="AW6" s="539" t="s">
        <v>217</v>
      </c>
      <c r="AX6" s="573" t="s">
        <v>125</v>
      </c>
      <c r="AY6" s="502" t="s">
        <v>728</v>
      </c>
      <c r="AZ6" s="502" t="s">
        <v>729</v>
      </c>
      <c r="BA6" s="548" t="s">
        <v>723</v>
      </c>
      <c r="BB6" s="548" t="s">
        <v>730</v>
      </c>
      <c r="BC6" s="548" t="s">
        <v>731</v>
      </c>
      <c r="BD6" s="548" t="s">
        <v>215</v>
      </c>
      <c r="BE6" s="549" t="s">
        <v>125</v>
      </c>
      <c r="BG6" s="1105" t="s">
        <v>761</v>
      </c>
      <c r="BH6" s="2157"/>
      <c r="BI6" s="2157"/>
      <c r="BJ6" s="2157"/>
      <c r="BK6" s="2173"/>
    </row>
    <row r="7" spans="1:63" s="768" customFormat="1" ht="63" customHeight="1">
      <c r="A7" s="1389">
        <v>1</v>
      </c>
      <c r="B7" s="1595" t="s">
        <v>2304</v>
      </c>
      <c r="C7" s="1103" t="s">
        <v>516</v>
      </c>
      <c r="D7" s="1851">
        <v>41709</v>
      </c>
      <c r="E7" s="1587" t="s">
        <v>357</v>
      </c>
      <c r="F7" s="758">
        <f>210+12+8+2</f>
        <v>232</v>
      </c>
      <c r="G7" s="758">
        <f>10+2</f>
        <v>12</v>
      </c>
      <c r="H7" s="1388">
        <v>21.5</v>
      </c>
      <c r="I7" s="1409">
        <f t="shared" ref="I7:I11" si="0">F7/26*H7</f>
        <v>191.84615384615384</v>
      </c>
      <c r="J7" s="788">
        <f t="shared" ref="J7:J11" si="1">F7/26*H7</f>
        <v>191.84615384615384</v>
      </c>
      <c r="K7" s="1388">
        <v>60</v>
      </c>
      <c r="L7" s="761">
        <f t="shared" ref="L7:L11" si="2">F7/26/8*1.5</f>
        <v>1.6730769230769231</v>
      </c>
      <c r="M7" s="788">
        <f t="shared" ref="M7:M11" si="3">K7*L7</f>
        <v>100.38461538461539</v>
      </c>
      <c r="N7" s="1388">
        <v>0</v>
      </c>
      <c r="O7" s="761">
        <f>F7/26/8*2</f>
        <v>2.2307692307692308</v>
      </c>
      <c r="P7" s="760">
        <f t="shared" ref="P7:P11" si="4">N7*O7</f>
        <v>0</v>
      </c>
      <c r="Q7" s="1388">
        <v>20</v>
      </c>
      <c r="R7" s="761">
        <f>F7/26/8*2</f>
        <v>2.2307692307692308</v>
      </c>
      <c r="S7" s="788">
        <f t="shared" ref="S7:S11" si="5">R7*Q7</f>
        <v>44.615384615384613</v>
      </c>
      <c r="T7" s="1388">
        <v>5</v>
      </c>
      <c r="U7" s="761">
        <f>F7/26</f>
        <v>8.9230769230769234</v>
      </c>
      <c r="V7" s="788">
        <f t="shared" ref="V7:V11" si="6">U7*T7</f>
        <v>44.615384615384613</v>
      </c>
      <c r="W7" s="1388">
        <v>0.5</v>
      </c>
      <c r="X7" s="788">
        <f>'WH Salary'!T8*WH!W7</f>
        <v>6.6203532440145816</v>
      </c>
      <c r="Y7" s="1388">
        <v>0</v>
      </c>
      <c r="Z7" s="761">
        <f>F7/26/2</f>
        <v>4.4615384615384617</v>
      </c>
      <c r="AA7" s="788">
        <f t="shared" ref="AA7:AA11" si="7">Y7*Z7</f>
        <v>0</v>
      </c>
      <c r="AB7" s="1388">
        <v>0</v>
      </c>
      <c r="AC7" s="1469">
        <f>H7+T7+Y7+AB7+W7</f>
        <v>27</v>
      </c>
      <c r="AD7" s="1409">
        <v>0</v>
      </c>
      <c r="AE7" s="1121">
        <v>0</v>
      </c>
      <c r="AF7" s="762">
        <v>4</v>
      </c>
      <c r="AG7" s="788">
        <v>10</v>
      </c>
      <c r="AH7" s="1411">
        <v>11</v>
      </c>
      <c r="AI7" s="1411">
        <v>10</v>
      </c>
      <c r="AJ7" s="1411">
        <v>10</v>
      </c>
      <c r="AK7" s="1325">
        <f>G7+J7+M7+P7+S7+V7+AA7+AD7+AF7+AG7+AH7+AI7+AJ7+X7+AE7</f>
        <v>445.08189170555306</v>
      </c>
      <c r="AL7" s="1273">
        <v>0</v>
      </c>
      <c r="AM7" s="1721">
        <v>102</v>
      </c>
      <c r="AN7" s="1097">
        <f>'Tax Calulation             '!P7</f>
        <v>0</v>
      </c>
      <c r="AO7" s="1097">
        <f>'Tax Calulation             '!W7</f>
        <v>5.9084194977843429</v>
      </c>
      <c r="AP7" s="1687">
        <f>AK7-AN7-AM7-AO7-AL7</f>
        <v>337.17347220776873</v>
      </c>
      <c r="AQ7" s="1685">
        <f>ROUND((AP7-AR7)*4040,-2)</f>
        <v>150200</v>
      </c>
      <c r="AR7" s="1684">
        <f>CEILING(AP7,(100))-100</f>
        <v>300</v>
      </c>
      <c r="AS7" s="612"/>
      <c r="AT7" s="763"/>
      <c r="AU7" s="764">
        <f>(J7+M7+P7+S7+V7+AA7+AG7+AH7+AI7+AJ7)*4000</f>
        <v>1689846.1538461538</v>
      </c>
      <c r="AV7" s="612">
        <f>INT(AR7/100)</f>
        <v>3</v>
      </c>
      <c r="AW7" s="612">
        <f>INT((AR7-AV7*100)/50)</f>
        <v>0</v>
      </c>
      <c r="AX7" s="765">
        <f>AV7*100+AW7*50</f>
        <v>300</v>
      </c>
      <c r="AY7" s="765">
        <f>INT((AQ7/50000))</f>
        <v>3</v>
      </c>
      <c r="AZ7" s="766">
        <f>INT((AQ7-AY7*50000)/10000)</f>
        <v>0</v>
      </c>
      <c r="BA7" s="766">
        <f>INT((AQ7-AY7*50000-AZ7*10000)/5000)</f>
        <v>0</v>
      </c>
      <c r="BB7" s="766">
        <f>INT((AQ7-AY7*50000-AZ7*10000-BA7*5000)/1000)</f>
        <v>0</v>
      </c>
      <c r="BC7" s="766">
        <f>INT((AQ7-AY7*50000-AZ7*10000-BA7*5000-BB7*1000)/500)</f>
        <v>0</v>
      </c>
      <c r="BD7" s="766">
        <f>INT((AQ7-AY7*50000-AZ7*10000-BA7*5000-BB7*1000-BC7*500)/100)</f>
        <v>2</v>
      </c>
      <c r="BE7" s="767">
        <f>AY7*50000+AZ7*10000+BA7*5000+BB7*1000+BC7*500+BD7*100</f>
        <v>150200</v>
      </c>
      <c r="BG7" s="628" t="s">
        <v>892</v>
      </c>
      <c r="BH7" s="628" t="s">
        <v>571</v>
      </c>
      <c r="BI7" s="1816">
        <v>30228</v>
      </c>
      <c r="BJ7" s="628" t="s">
        <v>660</v>
      </c>
      <c r="BK7" s="787">
        <v>11159918</v>
      </c>
    </row>
    <row r="8" spans="1:63" s="755" customFormat="1" ht="63" customHeight="1">
      <c r="A8" s="1389">
        <v>2</v>
      </c>
      <c r="B8" s="1415" t="s">
        <v>715</v>
      </c>
      <c r="C8" s="1390" t="s">
        <v>1274</v>
      </c>
      <c r="D8" s="1841">
        <v>41311</v>
      </c>
      <c r="E8" s="590" t="s">
        <v>357</v>
      </c>
      <c r="F8" s="617">
        <f>196+8+2</f>
        <v>206</v>
      </c>
      <c r="G8" s="617">
        <f>2</f>
        <v>2</v>
      </c>
      <c r="H8" s="1388">
        <v>21</v>
      </c>
      <c r="I8" s="1408">
        <f t="shared" ref="I8" si="8">F8/26*H8</f>
        <v>166.38461538461539</v>
      </c>
      <c r="J8" s="788">
        <f t="shared" si="1"/>
        <v>166.38461538461539</v>
      </c>
      <c r="K8" s="1388">
        <v>30</v>
      </c>
      <c r="L8" s="510">
        <f t="shared" ref="L8" si="9">F8/26/8*1.5</f>
        <v>1.4855769230769231</v>
      </c>
      <c r="M8" s="788">
        <f t="shared" si="3"/>
        <v>44.567307692307693</v>
      </c>
      <c r="N8" s="1388">
        <v>0</v>
      </c>
      <c r="O8" s="510">
        <f>F8/26/8*2</f>
        <v>1.9807692307692308</v>
      </c>
      <c r="P8" s="503">
        <f t="shared" ref="P8" si="10">N8*O8</f>
        <v>0</v>
      </c>
      <c r="Q8" s="1388">
        <v>8</v>
      </c>
      <c r="R8" s="510">
        <f>F8/26/8*2</f>
        <v>1.9807692307692308</v>
      </c>
      <c r="S8" s="618">
        <f t="shared" ref="S8" si="11">R8*Q8</f>
        <v>15.846153846153847</v>
      </c>
      <c r="T8" s="1388">
        <v>6</v>
      </c>
      <c r="U8" s="510">
        <f>F8/26</f>
        <v>7.9230769230769234</v>
      </c>
      <c r="V8" s="788">
        <f t="shared" si="6"/>
        <v>47.53846153846154</v>
      </c>
      <c r="W8" s="1388">
        <v>0</v>
      </c>
      <c r="X8" s="788">
        <f>'WH Salary'!T9*WH!W8</f>
        <v>0</v>
      </c>
      <c r="Y8" s="1388">
        <v>0</v>
      </c>
      <c r="Z8" s="510">
        <f>F8/26/2</f>
        <v>3.9615384615384617</v>
      </c>
      <c r="AA8" s="618">
        <f t="shared" ref="AA8" si="12">Y8*Z8</f>
        <v>0</v>
      </c>
      <c r="AB8" s="1388">
        <v>0</v>
      </c>
      <c r="AC8" s="1416">
        <f>H8+T8+Y8+AB8+W8</f>
        <v>27</v>
      </c>
      <c r="AD8" s="1409">
        <v>0</v>
      </c>
      <c r="AE8" s="1121">
        <v>0</v>
      </c>
      <c r="AF8" s="511">
        <v>0</v>
      </c>
      <c r="AG8" s="788">
        <v>10</v>
      </c>
      <c r="AH8" s="1410">
        <v>11</v>
      </c>
      <c r="AI8" s="1411">
        <v>10</v>
      </c>
      <c r="AJ8" s="1411">
        <v>10</v>
      </c>
      <c r="AK8" s="1325">
        <f t="shared" ref="AK8:AK11" si="13">G8+J8+M8+P8+S8+V8+AA8+AD8+AF8+AG8+AH8+AI8+AJ8+X8+AE8</f>
        <v>317.33653846153845</v>
      </c>
      <c r="AL8" s="911">
        <v>0</v>
      </c>
      <c r="AM8" s="1721">
        <v>102</v>
      </c>
      <c r="AN8" s="1097">
        <f>'Tax Calulation             '!P8</f>
        <v>0</v>
      </c>
      <c r="AO8" s="1097">
        <f>'Tax Calulation             '!W8</f>
        <v>5.9084194977843429</v>
      </c>
      <c r="AP8" s="1687">
        <f t="shared" ref="AP8:AP11" si="14">AK8-AN8-AM8-AO8-AL8</f>
        <v>209.42811896375412</v>
      </c>
      <c r="AQ8" s="1685">
        <f t="shared" ref="AQ8:AQ11" si="15">ROUND((AP8-AR8)*4040,-2)</f>
        <v>38100</v>
      </c>
      <c r="AR8" s="1683">
        <f>CEILING(AP8,(100))-100</f>
        <v>200</v>
      </c>
      <c r="AS8" s="502"/>
      <c r="AT8" s="504"/>
      <c r="AU8" s="505">
        <f>(J8+M8+P8+S8+V8+AA8+AG8+AH8+AI8+AJ8)*4000</f>
        <v>1261346.1538461538</v>
      </c>
      <c r="AV8" s="502">
        <f>INT(AR8/100)</f>
        <v>2</v>
      </c>
      <c r="AW8" s="502">
        <f>INT((AR8-AV8*100)/50)</f>
        <v>0</v>
      </c>
      <c r="AX8" s="1113">
        <f>AV8*100+AW8*50</f>
        <v>200</v>
      </c>
      <c r="AY8" s="1113">
        <f>INT((AQ8/50000))</f>
        <v>0</v>
      </c>
      <c r="AZ8" s="548">
        <f>INT((AQ8-AY8*50000)/10000)</f>
        <v>3</v>
      </c>
      <c r="BA8" s="548">
        <f>INT((AQ8-AY8*50000-AZ8*10000)/5000)</f>
        <v>1</v>
      </c>
      <c r="BB8" s="548">
        <f>INT((AQ8-AY8*50000-AZ8*10000-BA8*5000)/1000)</f>
        <v>3</v>
      </c>
      <c r="BC8" s="548">
        <f>INT((AQ8-AY8*50000-AZ8*10000-BA8*5000-BB8*1000)/500)</f>
        <v>0</v>
      </c>
      <c r="BD8" s="548">
        <f>INT((AQ8-AY8*50000-AZ8*10000-BA8*5000-BB8*1000-BC8*500)/100)</f>
        <v>1</v>
      </c>
      <c r="BE8" s="549">
        <f>AY8*50000+AZ8*10000+BA8*5000+BB8*1000+BC8*500+BD8*100</f>
        <v>38100</v>
      </c>
      <c r="BG8" s="578" t="s">
        <v>859</v>
      </c>
      <c r="BH8" s="580" t="s">
        <v>717</v>
      </c>
      <c r="BI8" s="1164">
        <v>34094</v>
      </c>
      <c r="BJ8" s="512" t="s">
        <v>718</v>
      </c>
      <c r="BK8" s="531">
        <v>30516394</v>
      </c>
    </row>
    <row r="9" spans="1:63" s="755" customFormat="1" ht="63" customHeight="1">
      <c r="A9" s="1389">
        <v>3</v>
      </c>
      <c r="B9" s="1415" t="s">
        <v>459</v>
      </c>
      <c r="C9" s="1390" t="s">
        <v>517</v>
      </c>
      <c r="D9" s="1841">
        <v>43579</v>
      </c>
      <c r="E9" s="590" t="s">
        <v>357</v>
      </c>
      <c r="F9" s="617">
        <f>191+8+2+3</f>
        <v>204</v>
      </c>
      <c r="G9" s="617">
        <f>2</f>
        <v>2</v>
      </c>
      <c r="H9" s="1388">
        <v>21.5</v>
      </c>
      <c r="I9" s="1408">
        <f t="shared" si="0"/>
        <v>168.69230769230768</v>
      </c>
      <c r="J9" s="788">
        <f t="shared" si="1"/>
        <v>168.69230769230768</v>
      </c>
      <c r="K9" s="1388">
        <v>66</v>
      </c>
      <c r="L9" s="510">
        <f t="shared" si="2"/>
        <v>1.471153846153846</v>
      </c>
      <c r="M9" s="788">
        <f t="shared" si="3"/>
        <v>97.09615384615384</v>
      </c>
      <c r="N9" s="1388">
        <v>0</v>
      </c>
      <c r="O9" s="510">
        <f>F9/26/8*2</f>
        <v>1.9615384615384615</v>
      </c>
      <c r="P9" s="503">
        <f t="shared" si="4"/>
        <v>0</v>
      </c>
      <c r="Q9" s="1388">
        <v>24</v>
      </c>
      <c r="R9" s="510">
        <f>F9/26/8*2</f>
        <v>1.9615384615384615</v>
      </c>
      <c r="S9" s="618">
        <f t="shared" si="5"/>
        <v>47.076923076923073</v>
      </c>
      <c r="T9" s="1388">
        <v>5</v>
      </c>
      <c r="U9" s="510">
        <f t="shared" ref="U9:U11" si="16">F9/26</f>
        <v>7.8461538461538458</v>
      </c>
      <c r="V9" s="788">
        <f t="shared" si="6"/>
        <v>39.230769230769226</v>
      </c>
      <c r="W9" s="1388">
        <v>0.5</v>
      </c>
      <c r="X9" s="788">
        <f>'WH Salary'!T10*WH!W9</f>
        <v>5.8952569487133086</v>
      </c>
      <c r="Y9" s="1388">
        <v>0</v>
      </c>
      <c r="Z9" s="510">
        <f t="shared" ref="Z9:Z11" si="17">F9/26/2</f>
        <v>3.9230769230769229</v>
      </c>
      <c r="AA9" s="618">
        <f t="shared" si="7"/>
        <v>0</v>
      </c>
      <c r="AB9" s="1388">
        <v>0</v>
      </c>
      <c r="AC9" s="1416">
        <f t="shared" ref="AC9:AC11" si="18">H9+T9+Y9+AB9+W9</f>
        <v>27</v>
      </c>
      <c r="AD9" s="1409">
        <v>0</v>
      </c>
      <c r="AE9" s="1121">
        <v>0</v>
      </c>
      <c r="AF9" s="511">
        <v>0</v>
      </c>
      <c r="AG9" s="788">
        <v>10</v>
      </c>
      <c r="AH9" s="1410">
        <v>6</v>
      </c>
      <c r="AI9" s="1411">
        <v>10</v>
      </c>
      <c r="AJ9" s="1411">
        <v>10</v>
      </c>
      <c r="AK9" s="1325">
        <f t="shared" si="13"/>
        <v>395.99141079486719</v>
      </c>
      <c r="AL9" s="911">
        <v>0</v>
      </c>
      <c r="AM9" s="1721">
        <v>102</v>
      </c>
      <c r="AN9" s="1097">
        <f>'Tax Calulation             '!P9</f>
        <v>0</v>
      </c>
      <c r="AO9" s="1097">
        <f>'Tax Calulation             '!W9</f>
        <v>5.9084194977843429</v>
      </c>
      <c r="AP9" s="1687">
        <f t="shared" si="14"/>
        <v>288.08299129708286</v>
      </c>
      <c r="AQ9" s="1685">
        <f t="shared" si="15"/>
        <v>355900</v>
      </c>
      <c r="AR9" s="1683">
        <f t="shared" ref="AR9:AR11" si="19">CEILING(AP9,(100))-100</f>
        <v>200</v>
      </c>
      <c r="AS9" s="502"/>
      <c r="AT9" s="504"/>
      <c r="AU9" s="505">
        <f>(J9+M9+P9+S9+V9+AA9+AG9+AH9+AI9+AJ9)*4000</f>
        <v>1552384.6153846155</v>
      </c>
      <c r="AV9" s="502">
        <f>INT(AR9/100)</f>
        <v>2</v>
      </c>
      <c r="AW9" s="502">
        <f>INT((AR9-AV9*100)/50)</f>
        <v>0</v>
      </c>
      <c r="AX9" s="573">
        <f t="shared" ref="AX9:AX11" si="20">AV9*100+AW9*50</f>
        <v>200</v>
      </c>
      <c r="AY9" s="573">
        <f>INT((AQ9/50000))</f>
        <v>7</v>
      </c>
      <c r="AZ9" s="548">
        <f>INT((AQ9-AY9*50000)/10000)</f>
        <v>0</v>
      </c>
      <c r="BA9" s="548">
        <f>INT((AQ9-AY9*50000-AZ9*10000)/5000)</f>
        <v>1</v>
      </c>
      <c r="BB9" s="548">
        <f>INT((AQ9-AY9*50000-AZ9*10000-BA9*5000)/1000)</f>
        <v>0</v>
      </c>
      <c r="BC9" s="548">
        <f>INT((AQ9-AY9*50000-AZ9*10000-BA9*5000-BB9*1000)/500)</f>
        <v>1</v>
      </c>
      <c r="BD9" s="548">
        <f>INT((AQ9-AY9*50000-AZ9*10000-BA9*5000-BB9*1000-BC9*500)/100)</f>
        <v>4</v>
      </c>
      <c r="BE9" s="549">
        <f t="shared" ref="BE9:BE11" si="21">AY9*50000+AZ9*10000+BA9*5000+BB9*1000+BC9*500+BD9*100</f>
        <v>355900</v>
      </c>
      <c r="BG9" s="578" t="s">
        <v>860</v>
      </c>
      <c r="BH9" s="578" t="s">
        <v>571</v>
      </c>
      <c r="BI9" s="1154">
        <v>34737</v>
      </c>
      <c r="BJ9" s="578" t="s">
        <v>697</v>
      </c>
      <c r="BK9" s="531">
        <v>20971495</v>
      </c>
    </row>
    <row r="10" spans="1:63" s="768" customFormat="1" ht="63" customHeight="1">
      <c r="A10" s="1389">
        <v>4</v>
      </c>
      <c r="B10" s="1813" t="s">
        <v>1066</v>
      </c>
      <c r="C10" s="1860" t="s">
        <v>1067</v>
      </c>
      <c r="D10" s="1873">
        <v>44574</v>
      </c>
      <c r="E10" s="1587" t="s">
        <v>357</v>
      </c>
      <c r="F10" s="808">
        <f>201+3</f>
        <v>204</v>
      </c>
      <c r="G10" s="758">
        <v>2</v>
      </c>
      <c r="H10" s="1388">
        <v>21.5</v>
      </c>
      <c r="I10" s="1408">
        <f t="shared" si="0"/>
        <v>168.69230769230768</v>
      </c>
      <c r="J10" s="788">
        <f t="shared" si="1"/>
        <v>168.69230769230768</v>
      </c>
      <c r="K10" s="1388">
        <v>49</v>
      </c>
      <c r="L10" s="510">
        <f t="shared" si="2"/>
        <v>1.471153846153846</v>
      </c>
      <c r="M10" s="788">
        <f t="shared" si="3"/>
        <v>72.086538461538453</v>
      </c>
      <c r="N10" s="1388">
        <v>0</v>
      </c>
      <c r="O10" s="761">
        <f>F10/26/8*2</f>
        <v>1.9615384615384615</v>
      </c>
      <c r="P10" s="760">
        <f t="shared" si="4"/>
        <v>0</v>
      </c>
      <c r="Q10" s="1388">
        <v>24</v>
      </c>
      <c r="R10" s="761">
        <f>F10/26/8*2</f>
        <v>1.9615384615384615</v>
      </c>
      <c r="S10" s="618">
        <f t="shared" si="5"/>
        <v>47.076923076923073</v>
      </c>
      <c r="T10" s="1388">
        <v>5</v>
      </c>
      <c r="U10" s="761">
        <f t="shared" si="16"/>
        <v>7.8461538461538458</v>
      </c>
      <c r="V10" s="788">
        <f t="shared" si="6"/>
        <v>39.230769230769226</v>
      </c>
      <c r="W10" s="1388">
        <v>0.5</v>
      </c>
      <c r="X10" s="788">
        <f>'WH Salary'!T11*WH!W10</f>
        <v>5.828162596770718</v>
      </c>
      <c r="Y10" s="1388">
        <v>0</v>
      </c>
      <c r="Z10" s="510">
        <f t="shared" si="17"/>
        <v>3.9230769230769229</v>
      </c>
      <c r="AA10" s="788">
        <f t="shared" ref="AA10" si="22">Y10*Z10</f>
        <v>0</v>
      </c>
      <c r="AB10" s="1388">
        <v>0</v>
      </c>
      <c r="AC10" s="1416">
        <f t="shared" si="18"/>
        <v>27</v>
      </c>
      <c r="AD10" s="1409">
        <v>0</v>
      </c>
      <c r="AE10" s="1121">
        <v>0</v>
      </c>
      <c r="AF10" s="762">
        <v>0</v>
      </c>
      <c r="AG10" s="788">
        <v>10</v>
      </c>
      <c r="AH10" s="1411">
        <v>3</v>
      </c>
      <c r="AI10" s="1411">
        <v>10</v>
      </c>
      <c r="AJ10" s="1411">
        <v>10</v>
      </c>
      <c r="AK10" s="1325">
        <f t="shared" si="13"/>
        <v>367.91470105830916</v>
      </c>
      <c r="AL10" s="1274">
        <v>0.5</v>
      </c>
      <c r="AM10" s="1721">
        <v>102</v>
      </c>
      <c r="AN10" s="1097">
        <f>'Tax Calulation             '!P10</f>
        <v>0</v>
      </c>
      <c r="AO10" s="1097">
        <f>'Tax Calulation             '!W10</f>
        <v>5.9084194977843429</v>
      </c>
      <c r="AP10" s="1687">
        <f t="shared" si="14"/>
        <v>259.50628156052483</v>
      </c>
      <c r="AQ10" s="1685">
        <f t="shared" si="15"/>
        <v>240400</v>
      </c>
      <c r="AR10" s="1684">
        <f t="shared" ref="AR10" si="23">CEILING(AP10,(100))-100</f>
        <v>200</v>
      </c>
      <c r="AS10" s="612"/>
      <c r="AT10" s="763"/>
      <c r="AU10" s="764">
        <f>(J10+M10+P10+S10+V10+AA10+AG10+AH10+AI10+AJ10)*4000</f>
        <v>1440346.1538461538</v>
      </c>
      <c r="AV10" s="612">
        <f>INT(AR10/100)</f>
        <v>2</v>
      </c>
      <c r="AW10" s="612">
        <f>INT((AR10-AV10*100)/50)</f>
        <v>0</v>
      </c>
      <c r="AX10" s="765">
        <f t="shared" ref="AX10" si="24">AV10*100+AW10*50</f>
        <v>200</v>
      </c>
      <c r="AY10" s="765">
        <f>INT((AQ10/50000))</f>
        <v>4</v>
      </c>
      <c r="AZ10" s="766">
        <f>INT((AQ10-AY10*50000)/10000)</f>
        <v>4</v>
      </c>
      <c r="BA10" s="766">
        <f>INT((AQ10-AY10*50000-AZ10*10000)/5000)</f>
        <v>0</v>
      </c>
      <c r="BB10" s="766">
        <f>INT((AQ10-AY10*50000-AZ10*10000-BA10*5000)/1000)</f>
        <v>0</v>
      </c>
      <c r="BC10" s="766">
        <f>INT((AQ10-AY10*50000-AZ10*10000-BA10*5000-BB10*1000)/500)</f>
        <v>0</v>
      </c>
      <c r="BD10" s="766">
        <f>INT((AQ10-AY10*50000-AZ10*10000-BA10*5000-BB10*1000-BC10*500)/100)</f>
        <v>4</v>
      </c>
      <c r="BE10" s="767">
        <f t="shared" ref="BE10" si="25">AY10*50000+AZ10*10000+BA10*5000+BB10*1000+BC10*500+BD10*100</f>
        <v>240400</v>
      </c>
      <c r="BG10" s="628" t="s">
        <v>1068</v>
      </c>
      <c r="BH10" s="628" t="s">
        <v>943</v>
      </c>
      <c r="BI10" s="1155">
        <v>34768</v>
      </c>
      <c r="BJ10" s="628" t="s">
        <v>1069</v>
      </c>
      <c r="BK10" s="787">
        <v>20852509</v>
      </c>
    </row>
    <row r="11" spans="1:63" s="755" customFormat="1" ht="63" customHeight="1">
      <c r="A11" s="1389">
        <v>5</v>
      </c>
      <c r="B11" s="1419" t="s">
        <v>1594</v>
      </c>
      <c r="C11" s="1095" t="s">
        <v>1574</v>
      </c>
      <c r="D11" s="1851">
        <v>44725</v>
      </c>
      <c r="E11" s="590" t="s">
        <v>357</v>
      </c>
      <c r="F11" s="813">
        <f>201+3</f>
        <v>204</v>
      </c>
      <c r="G11" s="617">
        <v>2</v>
      </c>
      <c r="H11" s="1388">
        <v>21</v>
      </c>
      <c r="I11" s="1408">
        <f t="shared" si="0"/>
        <v>164.76923076923077</v>
      </c>
      <c r="J11" s="788">
        <f t="shared" si="1"/>
        <v>164.76923076923077</v>
      </c>
      <c r="K11" s="1388">
        <v>60</v>
      </c>
      <c r="L11" s="510">
        <f t="shared" si="2"/>
        <v>1.471153846153846</v>
      </c>
      <c r="M11" s="788">
        <f t="shared" si="3"/>
        <v>88.269230769230759</v>
      </c>
      <c r="N11" s="1388">
        <v>0</v>
      </c>
      <c r="O11" s="510">
        <f>F11/26/8*2</f>
        <v>1.9615384615384615</v>
      </c>
      <c r="P11" s="503">
        <f t="shared" si="4"/>
        <v>0</v>
      </c>
      <c r="Q11" s="1388">
        <v>24</v>
      </c>
      <c r="R11" s="510">
        <f>F11/26/8*2</f>
        <v>1.9615384615384615</v>
      </c>
      <c r="S11" s="618">
        <f t="shared" si="5"/>
        <v>47.076923076923073</v>
      </c>
      <c r="T11" s="1388">
        <v>6</v>
      </c>
      <c r="U11" s="510">
        <f t="shared" si="16"/>
        <v>7.8461538461538458</v>
      </c>
      <c r="V11" s="788">
        <f t="shared" si="6"/>
        <v>47.076923076923073</v>
      </c>
      <c r="W11" s="1388">
        <v>0</v>
      </c>
      <c r="X11" s="788">
        <f>'WH Salary'!T12*WH!W11</f>
        <v>0</v>
      </c>
      <c r="Y11" s="1388">
        <v>0</v>
      </c>
      <c r="Z11" s="510">
        <f t="shared" si="17"/>
        <v>3.9230769230769229</v>
      </c>
      <c r="AA11" s="618">
        <f t="shared" si="7"/>
        <v>0</v>
      </c>
      <c r="AB11" s="1388">
        <v>0</v>
      </c>
      <c r="AC11" s="1416">
        <f t="shared" si="18"/>
        <v>27</v>
      </c>
      <c r="AD11" s="1409">
        <v>0</v>
      </c>
      <c r="AE11" s="1121">
        <v>0</v>
      </c>
      <c r="AF11" s="511">
        <v>0</v>
      </c>
      <c r="AG11" s="788">
        <v>10</v>
      </c>
      <c r="AH11" s="1410">
        <v>3</v>
      </c>
      <c r="AI11" s="1411">
        <v>10</v>
      </c>
      <c r="AJ11" s="1411">
        <v>10</v>
      </c>
      <c r="AK11" s="1325">
        <f t="shared" si="13"/>
        <v>382.19230769230774</v>
      </c>
      <c r="AL11" s="1275">
        <v>0.5</v>
      </c>
      <c r="AM11" s="1721">
        <v>102</v>
      </c>
      <c r="AN11" s="1097">
        <f>'Tax Calulation             '!P11</f>
        <v>0</v>
      </c>
      <c r="AO11" s="1097">
        <f>'Tax Calulation             '!W11</f>
        <v>5.9084194977843429</v>
      </c>
      <c r="AP11" s="1687">
        <f t="shared" si="14"/>
        <v>273.7838881945234</v>
      </c>
      <c r="AQ11" s="1685">
        <f t="shared" si="15"/>
        <v>298100</v>
      </c>
      <c r="AR11" s="1683">
        <f t="shared" si="19"/>
        <v>200</v>
      </c>
      <c r="AS11" s="502"/>
      <c r="AT11" s="504"/>
      <c r="AU11" s="505">
        <f>(J11+M11+P11+S11+V11+AA11+AG11+AH11+AI11+AJ11)*4000</f>
        <v>1520769.230769231</v>
      </c>
      <c r="AV11" s="502">
        <f>INT(AR11/100)</f>
        <v>2</v>
      </c>
      <c r="AW11" s="502">
        <f>INT((AR11-AV11*100)/50)</f>
        <v>0</v>
      </c>
      <c r="AX11" s="573">
        <f t="shared" si="20"/>
        <v>200</v>
      </c>
      <c r="AY11" s="573">
        <f>INT((AQ11/50000))</f>
        <v>5</v>
      </c>
      <c r="AZ11" s="548">
        <f>INT((AQ11-AY11*50000)/10000)</f>
        <v>4</v>
      </c>
      <c r="BA11" s="548">
        <f>INT((AQ11-AY11*50000-AZ11*10000)/5000)</f>
        <v>1</v>
      </c>
      <c r="BB11" s="548">
        <f>INT((AQ11-AY11*50000-AZ11*10000-BA11*5000)/1000)</f>
        <v>3</v>
      </c>
      <c r="BC11" s="548">
        <f>INT((AQ11-AY11*50000-AZ11*10000-BA11*5000-BB11*1000)/500)</f>
        <v>0</v>
      </c>
      <c r="BD11" s="548">
        <f>INT((AQ11-AY11*50000-AZ11*10000-BA11*5000-BB11*1000-BC11*500)/100)</f>
        <v>1</v>
      </c>
      <c r="BE11" s="549">
        <f t="shared" si="21"/>
        <v>298100</v>
      </c>
      <c r="BG11" s="956" t="s">
        <v>1590</v>
      </c>
      <c r="BH11" s="1103" t="s">
        <v>943</v>
      </c>
      <c r="BI11" s="1165">
        <v>34296</v>
      </c>
      <c r="BJ11" s="956" t="s">
        <v>1589</v>
      </c>
      <c r="BK11" s="1099">
        <v>250039204</v>
      </c>
    </row>
    <row r="12" spans="1:63" ht="63" customHeight="1">
      <c r="A12" s="535" t="s">
        <v>214</v>
      </c>
      <c r="B12" s="536"/>
      <c r="C12" s="536"/>
      <c r="D12" s="536"/>
      <c r="E12" s="536"/>
      <c r="F12" s="536"/>
      <c r="G12" s="536"/>
      <c r="H12" s="536"/>
      <c r="I12" s="536"/>
      <c r="J12" s="536"/>
      <c r="K12" s="536"/>
      <c r="L12" s="536"/>
      <c r="M12" s="536"/>
      <c r="N12" s="536"/>
      <c r="O12" s="536"/>
      <c r="P12" s="536"/>
      <c r="Q12" s="536"/>
      <c r="R12" s="536"/>
      <c r="S12" s="536"/>
      <c r="T12" s="536"/>
      <c r="U12" s="536"/>
      <c r="V12" s="536"/>
      <c r="W12" s="536"/>
      <c r="X12" s="950">
        <f>SUM(X7:X11)</f>
        <v>18.343772789498608</v>
      </c>
      <c r="Y12" s="536"/>
      <c r="Z12" s="536"/>
      <c r="AA12" s="536"/>
      <c r="AB12" s="536"/>
      <c r="AC12" s="536"/>
      <c r="AD12" s="558">
        <f>SUM(AD7:AD11)</f>
        <v>0</v>
      </c>
      <c r="AE12" s="1114">
        <f>SUM(AE7:AE11)</f>
        <v>0</v>
      </c>
      <c r="AF12" s="536"/>
      <c r="AG12" s="536"/>
      <c r="AH12" s="536"/>
      <c r="AI12" s="558">
        <f>SUM(AI7:AI11)</f>
        <v>50</v>
      </c>
      <c r="AJ12" s="558">
        <f t="shared" ref="AJ12:AR12" si="26">SUM(AJ7:AJ11)</f>
        <v>50</v>
      </c>
      <c r="AK12" s="551">
        <f>SUM(AK7:AK11)</f>
        <v>1908.5168497125755</v>
      </c>
      <c r="AL12" s="1276">
        <f t="shared" si="26"/>
        <v>1</v>
      </c>
      <c r="AM12" s="1626">
        <f>SUM(AM7:AM11)</f>
        <v>510</v>
      </c>
      <c r="AN12" s="623">
        <f t="shared" si="26"/>
        <v>0</v>
      </c>
      <c r="AO12" s="623">
        <f t="shared" si="26"/>
        <v>29.542097488921716</v>
      </c>
      <c r="AP12" s="1620">
        <f t="shared" si="26"/>
        <v>1367.9747522236537</v>
      </c>
      <c r="AQ12" s="1612">
        <f>SUM(AQ7:AQ11)</f>
        <v>1082700</v>
      </c>
      <c r="AR12" s="736">
        <f t="shared" si="26"/>
        <v>1100</v>
      </c>
      <c r="AS12" s="635"/>
      <c r="AT12" s="501"/>
      <c r="AU12" s="552"/>
      <c r="AV12" s="573">
        <f t="shared" ref="AV12:BE12" si="27">SUM(AV7:AV11)</f>
        <v>11</v>
      </c>
      <c r="AW12" s="573">
        <f t="shared" si="27"/>
        <v>0</v>
      </c>
      <c r="AX12" s="507">
        <f t="shared" si="27"/>
        <v>1100</v>
      </c>
      <c r="AY12" s="573">
        <f t="shared" si="27"/>
        <v>19</v>
      </c>
      <c r="AZ12" s="573">
        <f t="shared" si="27"/>
        <v>11</v>
      </c>
      <c r="BA12" s="573">
        <f t="shared" si="27"/>
        <v>3</v>
      </c>
      <c r="BB12" s="573">
        <f t="shared" si="27"/>
        <v>6</v>
      </c>
      <c r="BC12" s="573">
        <f t="shared" si="27"/>
        <v>1</v>
      </c>
      <c r="BD12" s="573">
        <f t="shared" si="27"/>
        <v>12</v>
      </c>
      <c r="BE12" s="553">
        <f t="shared" si="27"/>
        <v>1082700</v>
      </c>
    </row>
    <row r="13" spans="1:63">
      <c r="A13" s="552"/>
      <c r="B13" s="552"/>
      <c r="C13" s="508"/>
      <c r="D13" s="508"/>
      <c r="E13" s="552"/>
      <c r="F13" s="554"/>
      <c r="G13" s="552"/>
      <c r="H13" s="552"/>
      <c r="I13" s="552"/>
      <c r="J13" s="552"/>
      <c r="K13" s="552"/>
      <c r="L13" s="552"/>
      <c r="M13" s="552"/>
      <c r="N13" s="552"/>
      <c r="O13" s="552"/>
      <c r="P13" s="552"/>
      <c r="Q13" s="552"/>
      <c r="R13" s="552"/>
      <c r="S13" s="552"/>
      <c r="T13" s="552"/>
      <c r="U13" s="552"/>
      <c r="V13" s="552"/>
      <c r="W13" s="552"/>
      <c r="X13" s="552"/>
      <c r="Y13" s="552"/>
      <c r="Z13" s="552"/>
      <c r="AA13" s="552"/>
      <c r="AB13" s="552"/>
      <c r="AC13" s="552"/>
      <c r="AD13" s="552"/>
      <c r="AE13" s="552"/>
      <c r="AF13" s="552"/>
      <c r="AG13" s="552"/>
      <c r="AH13" s="552"/>
      <c r="AI13" s="552"/>
      <c r="AJ13" s="552"/>
      <c r="AK13" s="552"/>
      <c r="AL13" s="552"/>
      <c r="AM13" s="552"/>
      <c r="AN13" s="552"/>
      <c r="AO13" s="552"/>
      <c r="AP13" s="552"/>
      <c r="AQ13" s="552"/>
      <c r="AR13" s="552"/>
      <c r="AS13" s="552"/>
      <c r="AT13" s="552"/>
      <c r="AU13" s="552"/>
      <c r="AV13" s="552"/>
      <c r="AW13" s="552"/>
      <c r="AX13" s="552"/>
      <c r="AY13" s="552"/>
      <c r="AZ13" s="552"/>
    </row>
    <row r="14" spans="1:63" s="1355" customFormat="1" ht="27" customHeight="1">
      <c r="A14" s="1355" t="s">
        <v>213</v>
      </c>
      <c r="F14" s="1359"/>
      <c r="L14" s="1355" t="s">
        <v>2168</v>
      </c>
      <c r="AF14" s="1357" t="s">
        <v>445</v>
      </c>
      <c r="AR14" s="1355" t="s">
        <v>212</v>
      </c>
    </row>
    <row r="15" spans="1:63">
      <c r="A15" s="552"/>
      <c r="B15" s="552"/>
      <c r="C15" s="508"/>
      <c r="D15" s="508"/>
      <c r="E15" s="552"/>
      <c r="F15" s="554"/>
      <c r="G15" s="552"/>
      <c r="H15" s="552"/>
      <c r="I15" s="552"/>
      <c r="J15" s="552"/>
      <c r="K15" s="552"/>
      <c r="L15" s="552"/>
      <c r="M15" s="552"/>
      <c r="N15" s="552"/>
      <c r="O15" s="552"/>
      <c r="P15" s="552"/>
      <c r="Q15" s="552"/>
      <c r="R15" s="552"/>
      <c r="S15" s="552"/>
      <c r="T15" s="552"/>
      <c r="U15" s="552"/>
      <c r="V15" s="552"/>
      <c r="W15" s="552"/>
      <c r="X15" s="552"/>
      <c r="Y15" s="552"/>
      <c r="Z15" s="552"/>
      <c r="AA15" s="552"/>
      <c r="AB15" s="552"/>
      <c r="AC15" s="552"/>
      <c r="AD15" s="552"/>
      <c r="AE15" s="552"/>
      <c r="AF15" s="552"/>
      <c r="AG15" s="552"/>
      <c r="AH15" s="552"/>
      <c r="AI15" s="552"/>
      <c r="AJ15" s="552"/>
      <c r="AK15" s="552"/>
      <c r="AL15" s="552"/>
      <c r="AM15" s="552"/>
      <c r="AN15" s="552"/>
      <c r="AO15" s="552"/>
      <c r="AP15" s="552"/>
      <c r="AQ15" s="552"/>
      <c r="AR15" s="552"/>
      <c r="AS15" s="552"/>
      <c r="AT15" s="552"/>
      <c r="AU15" s="552"/>
      <c r="AV15" s="552"/>
      <c r="AW15" s="552"/>
      <c r="AX15" s="552"/>
      <c r="AY15" s="552"/>
      <c r="AZ15" s="552"/>
    </row>
    <row r="16" spans="1:63" ht="25.5" customHeight="1">
      <c r="AH16" s="556"/>
      <c r="AL16" s="556"/>
    </row>
    <row r="17" spans="34:38" ht="25.5" customHeight="1">
      <c r="AH17" s="556"/>
      <c r="AL17" s="556"/>
    </row>
    <row r="18" spans="34:38" ht="25.5" customHeight="1">
      <c r="AH18" s="556"/>
      <c r="AL18" s="556"/>
    </row>
  </sheetData>
  <mergeCells count="32">
    <mergeCell ref="BH5:BH6"/>
    <mergeCell ref="BI5:BI6"/>
    <mergeCell ref="BJ5:BJ6"/>
    <mergeCell ref="BK5:BK6"/>
    <mergeCell ref="Y5:AA5"/>
    <mergeCell ref="AB5:AB6"/>
    <mergeCell ref="AD5:AD6"/>
    <mergeCell ref="AF5:AF6"/>
    <mergeCell ref="AH5:AH6"/>
    <mergeCell ref="AM5:AM6"/>
    <mergeCell ref="AO5:AO6"/>
    <mergeCell ref="H5:J5"/>
    <mergeCell ref="K5:M5"/>
    <mergeCell ref="N5:P5"/>
    <mergeCell ref="Q5:S5"/>
    <mergeCell ref="T5:V5"/>
    <mergeCell ref="W5:X5"/>
    <mergeCell ref="A1:AS1"/>
    <mergeCell ref="A2:AS2"/>
    <mergeCell ref="A3:AS3"/>
    <mergeCell ref="AV4:BE4"/>
    <mergeCell ref="C4:F4"/>
    <mergeCell ref="AG5:AG6"/>
    <mergeCell ref="AS5:AS6"/>
    <mergeCell ref="AV5:AX5"/>
    <mergeCell ref="BA5:BE5"/>
    <mergeCell ref="AI5:AI6"/>
    <mergeCell ref="AJ5:AJ6"/>
    <mergeCell ref="AK5:AK6"/>
    <mergeCell ref="AL5:AL6"/>
    <mergeCell ref="AN5:AN6"/>
    <mergeCell ref="AP5:AR5"/>
  </mergeCells>
  <phoneticPr fontId="171" type="noConversion"/>
  <pageMargins left="0" right="0" top="0" bottom="0" header="0" footer="0"/>
  <pageSetup paperSize="9" scale="37" orientation="landscape" horizontalDpi="4294967293" r:id="rId1"/>
  <colBreaks count="1" manualBreakCount="1">
    <brk id="45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13"/>
  <sheetViews>
    <sheetView workbookViewId="0">
      <pane xSplit="4" ySplit="6" topLeftCell="P7" activePane="bottomRight" state="frozen"/>
      <selection pane="topRight" activeCell="E1" sqref="E1"/>
      <selection pane="bottomLeft" activeCell="A7" sqref="A7"/>
      <selection pane="bottomRight" activeCell="T11" sqref="T11"/>
    </sheetView>
  </sheetViews>
  <sheetFormatPr defaultRowHeight="15.75"/>
  <cols>
    <col min="1" max="1" width="3.875" style="474" customWidth="1"/>
    <col min="2" max="2" width="8.625" style="474" customWidth="1"/>
    <col min="3" max="3" width="11.625" style="476" customWidth="1"/>
    <col min="4" max="4" width="10.75" style="475" customWidth="1"/>
    <col min="5" max="5" width="6.375" style="500" customWidth="1"/>
    <col min="6" max="6" width="11.625" style="474" customWidth="1"/>
    <col min="7" max="7" width="9.125" style="474" bestFit="1" customWidth="1"/>
    <col min="8" max="8" width="13.75" style="474" bestFit="1" customWidth="1"/>
    <col min="9" max="10" width="7.375" style="474" customWidth="1"/>
    <col min="11" max="11" width="9" style="474"/>
    <col min="12" max="12" width="10.875" style="474" customWidth="1"/>
    <col min="13" max="13" width="9" style="474"/>
    <col min="14" max="14" width="11.875" style="474" customWidth="1"/>
    <col min="15" max="15" width="12.125" style="474" customWidth="1"/>
    <col min="16" max="16" width="15.125" style="474" customWidth="1"/>
    <col min="17" max="17" width="9" style="474"/>
    <col min="18" max="18" width="14" style="474" customWidth="1"/>
    <col min="19" max="19" width="14.125" style="474" customWidth="1"/>
    <col min="20" max="20" width="12.25" style="474" customWidth="1"/>
    <col min="21" max="21" width="12.75" style="474" customWidth="1"/>
    <col min="22" max="23" width="14.625" style="474" customWidth="1"/>
    <col min="24" max="16384" width="9" style="474"/>
  </cols>
  <sheetData>
    <row r="1" spans="1:39" s="479" customFormat="1" ht="29.25" customHeight="1">
      <c r="A1" s="2127" t="s">
        <v>222</v>
      </c>
      <c r="B1" s="2127"/>
      <c r="C1" s="2127"/>
      <c r="D1" s="2127"/>
      <c r="E1" s="2127"/>
      <c r="F1" s="2127"/>
      <c r="G1" s="2127"/>
      <c r="H1" s="2127"/>
      <c r="I1" s="2127"/>
      <c r="J1" s="2127"/>
      <c r="K1" s="2127"/>
      <c r="L1" s="2127"/>
      <c r="M1" s="2127"/>
      <c r="N1" s="2127"/>
      <c r="O1" s="2127"/>
      <c r="P1" s="2127"/>
      <c r="R1" s="2169" t="s">
        <v>222</v>
      </c>
      <c r="S1" s="2169"/>
      <c r="T1" s="2169"/>
      <c r="U1" s="2169"/>
      <c r="V1" s="2169"/>
      <c r="W1" s="2169"/>
    </row>
    <row r="2" spans="1:39" s="479" customFormat="1" ht="20.25" customHeight="1">
      <c r="A2" s="2127" t="s">
        <v>221</v>
      </c>
      <c r="B2" s="2127"/>
      <c r="C2" s="2127"/>
      <c r="D2" s="2127"/>
      <c r="E2" s="2127"/>
      <c r="F2" s="2127"/>
      <c r="G2" s="2127"/>
      <c r="H2" s="2127"/>
      <c r="I2" s="2127"/>
      <c r="J2" s="2127"/>
      <c r="K2" s="2127"/>
      <c r="L2" s="2127"/>
      <c r="M2" s="2127"/>
      <c r="N2" s="2127"/>
      <c r="O2" s="2127"/>
      <c r="P2" s="2127"/>
      <c r="R2" s="2126" t="s">
        <v>1807</v>
      </c>
      <c r="S2" s="2126"/>
      <c r="T2" s="2126"/>
      <c r="U2" s="2126"/>
      <c r="V2" s="2126"/>
      <c r="W2" s="2126"/>
    </row>
    <row r="3" spans="1:39" s="479" customFormat="1" ht="19.5" customHeight="1">
      <c r="A3" s="2126" t="s">
        <v>2354</v>
      </c>
      <c r="B3" s="2126"/>
      <c r="C3" s="2126"/>
      <c r="D3" s="2126"/>
      <c r="E3" s="2126"/>
      <c r="F3" s="2126"/>
      <c r="G3" s="2126"/>
      <c r="H3" s="2126"/>
      <c r="I3" s="2126"/>
      <c r="J3" s="2126"/>
      <c r="K3" s="2126"/>
      <c r="L3" s="2126"/>
      <c r="M3" s="2126"/>
      <c r="N3" s="2126"/>
      <c r="O3" s="2126"/>
      <c r="P3" s="2126"/>
      <c r="R3" s="2126" t="s">
        <v>2353</v>
      </c>
      <c r="S3" s="2126"/>
      <c r="T3" s="2126"/>
      <c r="U3" s="2126"/>
      <c r="V3" s="2126"/>
      <c r="W3" s="2126"/>
    </row>
    <row r="4" spans="1:39" s="479" customFormat="1" ht="20.25" customHeight="1" thickBot="1">
      <c r="A4" s="2128" t="s">
        <v>341</v>
      </c>
      <c r="B4" s="2128"/>
      <c r="C4" s="2128"/>
      <c r="D4" s="2128"/>
      <c r="E4" s="2128"/>
    </row>
    <row r="5" spans="1:39" s="473" customFormat="1" ht="63" customHeight="1" thickTop="1">
      <c r="A5" s="482" t="s">
        <v>223</v>
      </c>
      <c r="B5" s="482" t="s">
        <v>224</v>
      </c>
      <c r="C5" s="482" t="s">
        <v>225</v>
      </c>
      <c r="D5" s="482" t="s">
        <v>226</v>
      </c>
      <c r="E5" s="498" t="s">
        <v>227</v>
      </c>
      <c r="F5" s="482" t="s">
        <v>228</v>
      </c>
      <c r="G5" s="482" t="s">
        <v>229</v>
      </c>
      <c r="H5" s="482" t="s">
        <v>230</v>
      </c>
      <c r="I5" s="482" t="s">
        <v>231</v>
      </c>
      <c r="J5" s="482" t="s">
        <v>232</v>
      </c>
      <c r="K5" s="482" t="s">
        <v>233</v>
      </c>
      <c r="L5" s="482" t="s">
        <v>234</v>
      </c>
      <c r="M5" s="482" t="s">
        <v>235</v>
      </c>
      <c r="N5" s="482" t="s">
        <v>236</v>
      </c>
      <c r="O5" s="482" t="s">
        <v>237</v>
      </c>
      <c r="P5" s="482" t="s">
        <v>238</v>
      </c>
      <c r="Q5" s="483"/>
      <c r="R5" s="1203" t="s">
        <v>1810</v>
      </c>
      <c r="S5" s="1203" t="s">
        <v>1811</v>
      </c>
      <c r="T5" s="498" t="s">
        <v>1812</v>
      </c>
      <c r="U5" s="498" t="s">
        <v>1809</v>
      </c>
      <c r="V5" s="498" t="s">
        <v>1813</v>
      </c>
      <c r="W5" s="498" t="s">
        <v>1814</v>
      </c>
      <c r="X5" s="483"/>
      <c r="Y5" s="483"/>
      <c r="Z5" s="483"/>
      <c r="AA5" s="484"/>
      <c r="AB5" s="484"/>
      <c r="AC5" s="484"/>
      <c r="AD5" s="484"/>
      <c r="AE5" s="484"/>
      <c r="AF5" s="484"/>
      <c r="AG5" s="484"/>
      <c r="AH5" s="484"/>
      <c r="AI5" s="484"/>
      <c r="AJ5" s="484"/>
      <c r="AK5" s="484"/>
      <c r="AL5" s="484"/>
      <c r="AM5" s="484"/>
    </row>
    <row r="6" spans="1:39" s="473" customFormat="1" ht="33" customHeight="1">
      <c r="A6" s="485" t="s">
        <v>111</v>
      </c>
      <c r="B6" s="485" t="s">
        <v>239</v>
      </c>
      <c r="C6" s="485" t="s">
        <v>87</v>
      </c>
      <c r="D6" s="486" t="s">
        <v>240</v>
      </c>
      <c r="E6" s="499" t="s">
        <v>218</v>
      </c>
      <c r="F6" s="492" t="s">
        <v>241</v>
      </c>
      <c r="G6" s="492" t="s">
        <v>242</v>
      </c>
      <c r="H6" s="492" t="s">
        <v>243</v>
      </c>
      <c r="I6" s="492" t="s">
        <v>244</v>
      </c>
      <c r="J6" s="493" t="s">
        <v>245</v>
      </c>
      <c r="K6" s="492" t="s">
        <v>246</v>
      </c>
      <c r="L6" s="493" t="s">
        <v>247</v>
      </c>
      <c r="M6" s="492" t="s">
        <v>248</v>
      </c>
      <c r="N6" s="492"/>
      <c r="O6" s="492" t="s">
        <v>249</v>
      </c>
      <c r="P6" s="492" t="s">
        <v>250</v>
      </c>
      <c r="Q6" s="487"/>
      <c r="R6" s="1154"/>
      <c r="S6" s="1169"/>
      <c r="T6" s="1169"/>
      <c r="U6" s="488">
        <v>4062</v>
      </c>
      <c r="V6" s="1183">
        <v>0.02</v>
      </c>
      <c r="W6" s="488">
        <v>4062</v>
      </c>
      <c r="X6" s="487"/>
      <c r="Y6" s="487"/>
      <c r="Z6" s="487"/>
      <c r="AA6" s="481"/>
      <c r="AB6" s="481"/>
      <c r="AC6" s="481"/>
      <c r="AD6" s="481"/>
      <c r="AE6" s="481"/>
      <c r="AF6" s="481"/>
      <c r="AG6" s="484"/>
      <c r="AH6" s="484"/>
      <c r="AI6" s="484"/>
      <c r="AJ6" s="484"/>
      <c r="AK6" s="484"/>
      <c r="AL6" s="484"/>
      <c r="AM6" s="484"/>
    </row>
    <row r="7" spans="1:39" s="477" customFormat="1" ht="31.5" customHeight="1">
      <c r="A7" s="502">
        <v>1</v>
      </c>
      <c r="B7" s="515" t="s">
        <v>2304</v>
      </c>
      <c r="C7" s="578" t="s">
        <v>516</v>
      </c>
      <c r="D7" s="1474">
        <v>41709</v>
      </c>
      <c r="E7" s="590" t="s">
        <v>357</v>
      </c>
      <c r="F7" s="494">
        <f>WH!AK7-WH!AD7-WH!AI7-WH!AJ7-WH!AE7-W7</f>
        <v>419.17347220776873</v>
      </c>
      <c r="G7" s="495">
        <v>4062</v>
      </c>
      <c r="H7" s="488">
        <f>F7*G7</f>
        <v>1702682.6441079567</v>
      </c>
      <c r="I7" s="480">
        <v>1</v>
      </c>
      <c r="J7" s="525">
        <v>3</v>
      </c>
      <c r="K7" s="488">
        <f t="shared" ref="K7:K11" si="0">150000*(J7+I7)</f>
        <v>600000</v>
      </c>
      <c r="L7" s="488">
        <f t="shared" ref="L7:L11" si="1">H7-K7</f>
        <v>1102682.6441079567</v>
      </c>
      <c r="M7" s="489">
        <f>IF(L7&gt;=12500000,20%,IF(L7&gt;=8500001,15%,IF(L7&gt;=2000001,10%,IF(L7&gt;=1500001,5%,0%))))</f>
        <v>0</v>
      </c>
      <c r="N7" s="488">
        <f>IF(M7=5%,75000,IF(M7=10%,175000,0))</f>
        <v>0</v>
      </c>
      <c r="O7" s="490">
        <f t="shared" ref="O7:O11" si="2">L7*M7-N7</f>
        <v>0</v>
      </c>
      <c r="P7" s="491">
        <f>O7/4062</f>
        <v>0</v>
      </c>
      <c r="R7" s="1171">
        <v>30228</v>
      </c>
      <c r="S7" s="1170">
        <v>44835</v>
      </c>
      <c r="T7" s="1174">
        <f>WH!AK7-WH!AE7</f>
        <v>445.08189170555306</v>
      </c>
      <c r="U7" s="1176">
        <f>T7*4062</f>
        <v>1807922.6441079564</v>
      </c>
      <c r="V7" s="1206">
        <f>IF(YEARFRAC(R7,S7)&gt;=60,"0",IF(U7&lt;400000,400000*2%,IF(U7&gt;1200000,1200000*2%,U7*2%)))</f>
        <v>24000</v>
      </c>
      <c r="W7" s="1194">
        <f>V7/4062</f>
        <v>5.9084194977843429</v>
      </c>
    </row>
    <row r="8" spans="1:39" s="477" customFormat="1" ht="31.5" customHeight="1">
      <c r="A8" s="502">
        <v>2</v>
      </c>
      <c r="B8" s="572" t="s">
        <v>1273</v>
      </c>
      <c r="C8" s="578" t="s">
        <v>716</v>
      </c>
      <c r="D8" s="1474">
        <v>41311</v>
      </c>
      <c r="E8" s="640" t="s">
        <v>357</v>
      </c>
      <c r="F8" s="494">
        <f>WH!AK8-WH!AD8-WH!AI8-WH!AJ8-WH!AE8-W8</f>
        <v>291.42811896375412</v>
      </c>
      <c r="G8" s="495">
        <v>4062</v>
      </c>
      <c r="H8" s="488">
        <f t="shared" ref="H8:H11" si="3">F8*G8</f>
        <v>1183781.0192307692</v>
      </c>
      <c r="I8" s="480">
        <v>1</v>
      </c>
      <c r="J8" s="525">
        <v>2</v>
      </c>
      <c r="K8" s="488">
        <f t="shared" ref="K8" si="4">150000*(J8+I8)</f>
        <v>450000</v>
      </c>
      <c r="L8" s="488">
        <f t="shared" ref="L8" si="5">H8-K8</f>
        <v>733781.01923076925</v>
      </c>
      <c r="M8" s="489">
        <f>IF(L8&gt;=12500000,20%,IF(L8&gt;=8500001,15%,IF(L8&gt;=2000001,10%,IF(L8&gt;=1500001,5%,0%))))</f>
        <v>0</v>
      </c>
      <c r="N8" s="488">
        <f>IF(M8=5%,75000,IF(M8=10%,175000,0))</f>
        <v>0</v>
      </c>
      <c r="O8" s="490">
        <f t="shared" ref="O8" si="6">L8*M8-N8</f>
        <v>0</v>
      </c>
      <c r="P8" s="491">
        <f t="shared" ref="P8:P11" si="7">O8/4062</f>
        <v>0</v>
      </c>
      <c r="R8" s="1559">
        <v>34094</v>
      </c>
      <c r="S8" s="1170">
        <v>44835</v>
      </c>
      <c r="T8" s="1174">
        <f>WH!AK8-WH!AE8</f>
        <v>317.33653846153845</v>
      </c>
      <c r="U8" s="1176">
        <f t="shared" ref="U8:U11" si="8">T8*4062</f>
        <v>1289021.0192307692</v>
      </c>
      <c r="V8" s="1206">
        <f>IF(YEARFRAC(R8,S8)&gt;=60,"0",IF(U8&lt;400000,400000*2%,IF(U8&gt;1200000,1200000*2%,U8*2%)))</f>
        <v>24000</v>
      </c>
      <c r="W8" s="1194">
        <f t="shared" ref="W8:W11" si="9">V8/4062</f>
        <v>5.9084194977843429</v>
      </c>
    </row>
    <row r="9" spans="1:39" s="477" customFormat="1" ht="31.5" customHeight="1">
      <c r="A9" s="502">
        <v>3</v>
      </c>
      <c r="B9" s="572" t="s">
        <v>459</v>
      </c>
      <c r="C9" s="578" t="s">
        <v>460</v>
      </c>
      <c r="D9" s="1474">
        <v>43579</v>
      </c>
      <c r="E9" s="640" t="s">
        <v>357</v>
      </c>
      <c r="F9" s="494">
        <f>WH!AK9-WH!AD9-WH!AI9-WH!AJ9-WH!AE9-W9</f>
        <v>370.08299129708286</v>
      </c>
      <c r="G9" s="495">
        <v>4062</v>
      </c>
      <c r="H9" s="488">
        <f t="shared" si="3"/>
        <v>1503277.1106487506</v>
      </c>
      <c r="I9" s="480">
        <v>1</v>
      </c>
      <c r="J9" s="524">
        <v>2</v>
      </c>
      <c r="K9" s="488">
        <f t="shared" si="0"/>
        <v>450000</v>
      </c>
      <c r="L9" s="488">
        <f t="shared" si="1"/>
        <v>1053277.1106487506</v>
      </c>
      <c r="M9" s="489">
        <f t="shared" ref="M9:M11" si="10">IF(L9&gt;=12500000,20%,IF(L9&gt;=8500001,15%,IF(L9&gt;=2000001,10%,IF(L9&gt;=1500001,5%,0%))))</f>
        <v>0</v>
      </c>
      <c r="N9" s="488">
        <f t="shared" ref="N9:N11" si="11">IF(M9=5%,75000,IF(M9=10%,175000,0))</f>
        <v>0</v>
      </c>
      <c r="O9" s="490">
        <f t="shared" si="2"/>
        <v>0</v>
      </c>
      <c r="P9" s="491">
        <f t="shared" si="7"/>
        <v>0</v>
      </c>
      <c r="R9" s="1186">
        <v>34737</v>
      </c>
      <c r="S9" s="1170">
        <v>44835</v>
      </c>
      <c r="T9" s="1174">
        <f>WH!AK9-WH!AE9</f>
        <v>395.99141079486719</v>
      </c>
      <c r="U9" s="1176">
        <f t="shared" si="8"/>
        <v>1608517.1106487506</v>
      </c>
      <c r="V9" s="1206">
        <f t="shared" ref="V9:V11" si="12">IF(YEARFRAC(R9,S9)&gt;=60,"0",IF(U9&lt;400000,400000*2%,IF(U9&gt;1200000,1200000*2%,U9*2%)))</f>
        <v>24000</v>
      </c>
      <c r="W9" s="1194">
        <f t="shared" si="9"/>
        <v>5.9084194977843429</v>
      </c>
    </row>
    <row r="10" spans="1:39" s="477" customFormat="1" ht="31.5" customHeight="1">
      <c r="A10" s="502">
        <v>4</v>
      </c>
      <c r="B10" s="591" t="s">
        <v>1066</v>
      </c>
      <c r="C10" s="584" t="s">
        <v>1067</v>
      </c>
      <c r="D10" s="1563">
        <v>44574</v>
      </c>
      <c r="E10" s="590" t="s">
        <v>357</v>
      </c>
      <c r="F10" s="494">
        <f>WH!AK10-WH!AD10-WH!AI10-WH!AJ10-WH!AE10-W10</f>
        <v>342.00628156052483</v>
      </c>
      <c r="G10" s="495">
        <v>4062</v>
      </c>
      <c r="H10" s="488">
        <f t="shared" si="3"/>
        <v>1389229.5156988518</v>
      </c>
      <c r="I10" s="480">
        <v>1</v>
      </c>
      <c r="J10" s="524">
        <v>1</v>
      </c>
      <c r="K10" s="488">
        <f t="shared" ref="K10" si="13">150000*(J10+I10)</f>
        <v>300000</v>
      </c>
      <c r="L10" s="488">
        <f t="shared" ref="L10" si="14">H10-K10</f>
        <v>1089229.5156988518</v>
      </c>
      <c r="M10" s="489">
        <f t="shared" si="10"/>
        <v>0</v>
      </c>
      <c r="N10" s="488">
        <f t="shared" si="11"/>
        <v>0</v>
      </c>
      <c r="O10" s="490">
        <f t="shared" ref="O10" si="15">L10*M10-N10</f>
        <v>0</v>
      </c>
      <c r="P10" s="491">
        <f t="shared" si="7"/>
        <v>0</v>
      </c>
      <c r="R10" s="1186">
        <v>34768</v>
      </c>
      <c r="S10" s="1170">
        <v>44835</v>
      </c>
      <c r="T10" s="1174">
        <f>WH!AK10-WH!AE10</f>
        <v>367.91470105830916</v>
      </c>
      <c r="U10" s="1176">
        <f t="shared" si="8"/>
        <v>1494469.5156988518</v>
      </c>
      <c r="V10" s="1206">
        <f t="shared" si="12"/>
        <v>24000</v>
      </c>
      <c r="W10" s="1194">
        <f t="shared" si="9"/>
        <v>5.9084194977843429</v>
      </c>
    </row>
    <row r="11" spans="1:39" s="477" customFormat="1" ht="31.5" customHeight="1">
      <c r="A11" s="502">
        <v>5</v>
      </c>
      <c r="B11" s="785" t="s">
        <v>1594</v>
      </c>
      <c r="C11" s="966" t="s">
        <v>1574</v>
      </c>
      <c r="D11" s="1473">
        <v>44725</v>
      </c>
      <c r="E11" s="590" t="s">
        <v>357</v>
      </c>
      <c r="F11" s="494">
        <f>WH!AK11-WH!AD11-WH!AI11-WH!AJ11-WH!AE11-W11</f>
        <v>356.2838881945234</v>
      </c>
      <c r="G11" s="495">
        <v>4062</v>
      </c>
      <c r="H11" s="488">
        <f t="shared" si="3"/>
        <v>1447225.153846154</v>
      </c>
      <c r="I11" s="480">
        <v>1</v>
      </c>
      <c r="J11" s="524">
        <v>1</v>
      </c>
      <c r="K11" s="488">
        <f t="shared" si="0"/>
        <v>300000</v>
      </c>
      <c r="L11" s="488">
        <f t="shared" si="1"/>
        <v>1147225.153846154</v>
      </c>
      <c r="M11" s="489">
        <f t="shared" si="10"/>
        <v>0</v>
      </c>
      <c r="N11" s="488">
        <f t="shared" si="11"/>
        <v>0</v>
      </c>
      <c r="O11" s="490">
        <f t="shared" si="2"/>
        <v>0</v>
      </c>
      <c r="P11" s="491">
        <f t="shared" si="7"/>
        <v>0</v>
      </c>
      <c r="R11" s="1213">
        <v>34296</v>
      </c>
      <c r="S11" s="1170">
        <v>44835</v>
      </c>
      <c r="T11" s="1174">
        <f>WH!AK11-WH!AE11</f>
        <v>382.19230769230774</v>
      </c>
      <c r="U11" s="1176">
        <f t="shared" si="8"/>
        <v>1552465.153846154</v>
      </c>
      <c r="V11" s="1206">
        <f t="shared" si="12"/>
        <v>24000</v>
      </c>
      <c r="W11" s="1194">
        <f t="shared" si="9"/>
        <v>5.9084194977843429</v>
      </c>
    </row>
    <row r="12" spans="1:39" ht="38.25" customHeight="1">
      <c r="A12" s="1338"/>
      <c r="B12" s="1339"/>
      <c r="C12" s="1339"/>
      <c r="D12" s="1339"/>
      <c r="E12" s="1339"/>
      <c r="F12" s="1340">
        <f>SUM(F7:F11)</f>
        <v>1778.9747522236537</v>
      </c>
      <c r="G12" s="1339"/>
      <c r="H12" s="1339"/>
      <c r="I12" s="1339"/>
      <c r="J12" s="1339"/>
      <c r="K12" s="1339"/>
      <c r="L12" s="2129" t="s">
        <v>251</v>
      </c>
      <c r="M12" s="2130"/>
      <c r="N12" s="2131"/>
      <c r="O12" s="496">
        <f>SUM(O7:O11)</f>
        <v>0</v>
      </c>
      <c r="P12" s="491">
        <f>SUM(P7:P11)</f>
        <v>0</v>
      </c>
      <c r="R12" s="1178"/>
      <c r="S12" s="2187" t="s">
        <v>251</v>
      </c>
      <c r="T12" s="2188"/>
      <c r="U12" s="2189"/>
      <c r="V12" s="1210">
        <f>SUM(V7:V11)</f>
        <v>120000</v>
      </c>
      <c r="W12" s="1214">
        <f>SUM(W7:W11)</f>
        <v>29.542097488921716</v>
      </c>
    </row>
    <row r="13" spans="1:39">
      <c r="P13" s="636"/>
    </row>
  </sheetData>
  <mergeCells count="9">
    <mergeCell ref="S12:U12"/>
    <mergeCell ref="R1:W1"/>
    <mergeCell ref="R2:W2"/>
    <mergeCell ref="R3:W3"/>
    <mergeCell ref="A1:P1"/>
    <mergeCell ref="A2:P2"/>
    <mergeCell ref="A3:P3"/>
    <mergeCell ref="A4:E4"/>
    <mergeCell ref="L12:N12"/>
  </mergeCells>
  <phoneticPr fontId="171" type="noConversion"/>
  <conditionalFormatting sqref="M7 M9:M11">
    <cfRule type="cellIs" dxfId="36" priority="9" stopIfTrue="1" operator="equal">
      <formula>0</formula>
    </cfRule>
  </conditionalFormatting>
  <conditionalFormatting sqref="M8">
    <cfRule type="cellIs" dxfId="35" priority="1" stopIfTrue="1" operator="equal">
      <formula>0</formula>
    </cfRule>
  </conditionalFormatting>
  <printOptions horizontalCentered="1"/>
  <pageMargins left="0.2" right="0.19" top="0.2" bottom="0.2" header="0.3" footer="0.31"/>
  <pageSetup paperSize="9" scale="7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56"/>
  <sheetViews>
    <sheetView topLeftCell="A5" workbookViewId="0">
      <pane xSplit="4" ySplit="3" topLeftCell="R49" activePane="bottomRight" state="frozen"/>
      <selection activeCell="A5" sqref="A5"/>
      <selection pane="topRight" activeCell="E5" sqref="E5"/>
      <selection pane="bottomLeft" activeCell="A8" sqref="A8"/>
      <selection pane="bottomRight" activeCell="U54" sqref="U54"/>
    </sheetView>
  </sheetViews>
  <sheetFormatPr defaultRowHeight="14.25"/>
  <cols>
    <col min="1" max="1" width="5.5" customWidth="1"/>
    <col min="3" max="3" width="12.5" customWidth="1"/>
    <col min="4" max="4" width="9.375" bestFit="1" customWidth="1"/>
  </cols>
  <sheetData>
    <row r="1" spans="1:37" s="839" customFormat="1" ht="42" hidden="1" customHeight="1">
      <c r="A1" s="2134" t="s">
        <v>222</v>
      </c>
      <c r="B1" s="2134"/>
      <c r="C1" s="2134"/>
      <c r="D1" s="2134"/>
      <c r="E1" s="2134"/>
      <c r="F1" s="2134"/>
      <c r="G1" s="2134"/>
      <c r="H1" s="2134"/>
      <c r="I1" s="2134"/>
      <c r="J1" s="2134"/>
      <c r="K1" s="2134"/>
      <c r="L1" s="2134"/>
      <c r="M1" s="2134"/>
      <c r="N1" s="2134"/>
      <c r="O1" s="2134"/>
      <c r="P1" s="2134"/>
      <c r="Q1" s="2134"/>
      <c r="R1" s="2134"/>
      <c r="S1" s="2134"/>
      <c r="T1" s="2134"/>
      <c r="U1" s="844"/>
      <c r="V1" s="844"/>
      <c r="W1" s="844"/>
    </row>
    <row r="2" spans="1:37" s="871" customFormat="1" ht="42.75" hidden="1" customHeight="1">
      <c r="A2" s="2134" t="s">
        <v>221</v>
      </c>
      <c r="B2" s="2134"/>
      <c r="C2" s="2134"/>
      <c r="D2" s="2134"/>
      <c r="E2" s="2134"/>
      <c r="F2" s="2134"/>
      <c r="G2" s="2134"/>
      <c r="H2" s="2134"/>
      <c r="I2" s="2134"/>
      <c r="J2" s="2134"/>
      <c r="K2" s="2134"/>
      <c r="L2" s="2134"/>
      <c r="M2" s="2134"/>
      <c r="N2" s="2134"/>
      <c r="O2" s="2134"/>
      <c r="P2" s="2134"/>
      <c r="Q2" s="2134"/>
      <c r="R2" s="2134"/>
      <c r="S2" s="2134"/>
      <c r="T2" s="2134"/>
      <c r="U2" s="844"/>
      <c r="V2" s="844"/>
      <c r="W2" s="844"/>
    </row>
    <row r="3" spans="1:37" s="871" customFormat="1" ht="42.75" hidden="1" customHeight="1">
      <c r="A3" s="2135" t="s">
        <v>1070</v>
      </c>
      <c r="B3" s="2135"/>
      <c r="C3" s="2135"/>
      <c r="D3" s="2135"/>
      <c r="E3" s="2135"/>
      <c r="F3" s="2135"/>
      <c r="G3" s="2135"/>
      <c r="H3" s="2135"/>
      <c r="I3" s="2135"/>
      <c r="J3" s="2135"/>
      <c r="K3" s="2135"/>
      <c r="L3" s="2135"/>
      <c r="M3" s="2135"/>
      <c r="N3" s="2135"/>
      <c r="O3" s="2135"/>
      <c r="P3" s="2135"/>
      <c r="Q3" s="2135"/>
      <c r="R3" s="2135"/>
      <c r="S3" s="2135"/>
      <c r="T3" s="2135"/>
      <c r="U3" s="845"/>
      <c r="V3" s="845"/>
      <c r="W3" s="845"/>
    </row>
    <row r="4" spans="1:37" s="871" customFormat="1" ht="42.75" hidden="1" customHeight="1">
      <c r="A4" s="2135" t="s">
        <v>1071</v>
      </c>
      <c r="B4" s="2135"/>
      <c r="C4" s="2135"/>
      <c r="D4" s="2135"/>
      <c r="E4" s="2135"/>
      <c r="F4" s="2135"/>
      <c r="G4" s="2135"/>
      <c r="H4" s="2135"/>
      <c r="I4" s="2135"/>
      <c r="J4" s="2135"/>
      <c r="K4" s="2135"/>
      <c r="L4" s="2135"/>
      <c r="M4" s="2135"/>
      <c r="N4" s="2135"/>
      <c r="O4" s="2135"/>
      <c r="P4" s="2135"/>
      <c r="Q4" s="2135"/>
      <c r="R4" s="2135"/>
      <c r="S4" s="2135"/>
      <c r="T4" s="2135"/>
      <c r="U4" s="845"/>
      <c r="V4" s="845"/>
      <c r="W4" s="845"/>
    </row>
    <row r="5" spans="1:37" s="856" customFormat="1" ht="20.25" customHeight="1">
      <c r="A5" s="2136" t="s">
        <v>342</v>
      </c>
      <c r="B5" s="2136"/>
      <c r="C5" s="2136"/>
      <c r="D5" s="817"/>
      <c r="E5" s="817"/>
      <c r="F5" s="817"/>
      <c r="G5" s="817"/>
      <c r="H5" s="817"/>
      <c r="I5" s="817"/>
      <c r="J5" s="817"/>
      <c r="K5" s="817"/>
      <c r="L5" s="2136" t="s">
        <v>2347</v>
      </c>
      <c r="M5" s="2136"/>
      <c r="N5" s="2136"/>
      <c r="O5" s="2136"/>
      <c r="P5" s="2136"/>
      <c r="Q5" s="2136"/>
      <c r="R5" s="2136"/>
      <c r="S5" s="817"/>
      <c r="T5" s="817"/>
      <c r="U5" s="817"/>
      <c r="V5" s="817"/>
      <c r="W5" s="855"/>
    </row>
    <row r="6" spans="1:37" ht="38.25" customHeight="1">
      <c r="A6" s="820" t="s">
        <v>252</v>
      </c>
      <c r="B6" s="820" t="s">
        <v>1072</v>
      </c>
      <c r="C6" s="820" t="s">
        <v>1073</v>
      </c>
      <c r="D6" s="820" t="s">
        <v>254</v>
      </c>
      <c r="E6" s="821" t="s">
        <v>227</v>
      </c>
      <c r="F6" s="2178" t="s">
        <v>1074</v>
      </c>
      <c r="G6" s="2179"/>
      <c r="H6" s="2179"/>
      <c r="I6" s="2179"/>
      <c r="J6" s="2179"/>
      <c r="K6" s="2179"/>
      <c r="L6" s="2179"/>
      <c r="M6" s="2179"/>
      <c r="N6" s="2179"/>
      <c r="O6" s="2179"/>
      <c r="P6" s="2179"/>
      <c r="Q6" s="2180"/>
      <c r="R6" s="822" t="s">
        <v>1075</v>
      </c>
      <c r="S6" s="822" t="s">
        <v>1076</v>
      </c>
      <c r="T6" s="822" t="s">
        <v>1077</v>
      </c>
      <c r="U6" s="822" t="s">
        <v>1126</v>
      </c>
      <c r="V6" s="850" t="s">
        <v>1128</v>
      </c>
      <c r="W6" s="823" t="s">
        <v>1078</v>
      </c>
    </row>
    <row r="7" spans="1:37" s="839" customFormat="1" ht="30.75" customHeight="1">
      <c r="A7" s="858" t="s">
        <v>41</v>
      </c>
      <c r="B7" s="858" t="s">
        <v>42</v>
      </c>
      <c r="C7" s="858" t="s">
        <v>1079</v>
      </c>
      <c r="D7" s="858" t="s">
        <v>1080</v>
      </c>
      <c r="E7" s="859" t="s">
        <v>1081</v>
      </c>
      <c r="F7" s="930" t="s">
        <v>1082</v>
      </c>
      <c r="G7" s="930" t="s">
        <v>1083</v>
      </c>
      <c r="H7" s="930" t="s">
        <v>1084</v>
      </c>
      <c r="I7" s="930" t="s">
        <v>1085</v>
      </c>
      <c r="J7" s="930" t="s">
        <v>1086</v>
      </c>
      <c r="K7" s="930" t="s">
        <v>1087</v>
      </c>
      <c r="L7" s="930" t="s">
        <v>1088</v>
      </c>
      <c r="M7" s="930" t="s">
        <v>1089</v>
      </c>
      <c r="N7" s="930" t="s">
        <v>1090</v>
      </c>
      <c r="O7" s="930" t="s">
        <v>1091</v>
      </c>
      <c r="P7" s="930" t="s">
        <v>1092</v>
      </c>
      <c r="Q7" s="930" t="s">
        <v>1093</v>
      </c>
      <c r="R7" s="860" t="s">
        <v>1094</v>
      </c>
      <c r="S7" s="848" t="s">
        <v>1095</v>
      </c>
      <c r="T7" s="848" t="s">
        <v>1096</v>
      </c>
      <c r="U7" s="852" t="s">
        <v>1125</v>
      </c>
      <c r="V7" s="908" t="s">
        <v>1127</v>
      </c>
      <c r="W7" s="861" t="s">
        <v>1097</v>
      </c>
      <c r="X7" s="837"/>
      <c r="Y7" s="1701">
        <v>1</v>
      </c>
      <c r="Z7" s="1701">
        <v>2</v>
      </c>
      <c r="AA7" s="1701">
        <v>3</v>
      </c>
      <c r="AB7" s="1701">
        <v>4</v>
      </c>
      <c r="AC7" s="1701">
        <v>5</v>
      </c>
      <c r="AD7" s="1701">
        <v>6</v>
      </c>
      <c r="AE7" s="1701">
        <v>7</v>
      </c>
      <c r="AF7" s="1701">
        <v>8</v>
      </c>
      <c r="AG7" s="1701">
        <v>9</v>
      </c>
      <c r="AH7" s="1701">
        <v>10</v>
      </c>
      <c r="AI7" s="1701">
        <v>11</v>
      </c>
      <c r="AJ7" s="1701">
        <v>12</v>
      </c>
      <c r="AK7" s="1701" t="s">
        <v>74</v>
      </c>
    </row>
    <row r="8" spans="1:37" s="871" customFormat="1" ht="42" customHeight="1">
      <c r="A8" s="931">
        <v>1</v>
      </c>
      <c r="B8" s="1514" t="s">
        <v>343</v>
      </c>
      <c r="C8" s="1511" t="s">
        <v>512</v>
      </c>
      <c r="D8" s="1496">
        <v>41346</v>
      </c>
      <c r="E8" s="830" t="s">
        <v>1113</v>
      </c>
      <c r="F8" s="1718">
        <v>374.15384615384619</v>
      </c>
      <c r="G8" s="1718">
        <v>435.72274199880735</v>
      </c>
      <c r="H8" s="1719">
        <v>446.6208914341085</v>
      </c>
      <c r="I8" s="1718">
        <v>509.74609096126829</v>
      </c>
      <c r="J8" s="1718">
        <v>658.4239337395278</v>
      </c>
      <c r="K8" s="1718">
        <v>765.80945354150811</v>
      </c>
      <c r="L8" s="1718">
        <v>815.76527073358</v>
      </c>
      <c r="M8" s="1718">
        <v>520.92138147172295</v>
      </c>
      <c r="N8" s="1718">
        <v>475.36241161575379</v>
      </c>
      <c r="O8" s="1306">
        <v>501.12328098990065</v>
      </c>
      <c r="P8" s="1306">
        <v>431.71407815157812</v>
      </c>
      <c r="Q8" s="1306">
        <v>30</v>
      </c>
      <c r="R8" s="863">
        <f t="shared" ref="R8:R53" si="0">SUM(F8:Q8)</f>
        <v>5965.3633807916021</v>
      </c>
      <c r="S8" s="863">
        <f t="shared" ref="S8:S25" si="1">R8/12</f>
        <v>497.11361506596683</v>
      </c>
      <c r="T8" s="863">
        <f t="shared" ref="T8:T53" si="2">S8/26</f>
        <v>19.119754425614108</v>
      </c>
      <c r="U8" s="914">
        <f>P!X7</f>
        <v>0</v>
      </c>
      <c r="V8" s="863">
        <f t="shared" ref="V8:V53" si="3">T8*U8</f>
        <v>0</v>
      </c>
      <c r="W8" s="914"/>
      <c r="X8" s="504"/>
      <c r="Y8" s="1692">
        <v>0</v>
      </c>
      <c r="Z8" s="914">
        <v>3</v>
      </c>
      <c r="AA8" s="1694">
        <v>2</v>
      </c>
      <c r="AB8" s="914">
        <v>1.5</v>
      </c>
      <c r="AC8" s="1694"/>
      <c r="AD8" s="914">
        <v>0</v>
      </c>
      <c r="AE8" s="914">
        <v>2</v>
      </c>
      <c r="AF8" s="914">
        <v>1</v>
      </c>
      <c r="AG8" s="914">
        <v>1</v>
      </c>
      <c r="AH8" s="1694"/>
      <c r="AI8" s="1694"/>
      <c r="AJ8" s="1694"/>
      <c r="AK8" s="1699">
        <f>SUM(Y8:AJ8)</f>
        <v>10.5</v>
      </c>
    </row>
    <row r="9" spans="1:37" s="871" customFormat="1" ht="42" customHeight="1">
      <c r="A9" s="931">
        <v>2</v>
      </c>
      <c r="B9" s="1514" t="s">
        <v>416</v>
      </c>
      <c r="C9" s="1511" t="s">
        <v>1278</v>
      </c>
      <c r="D9" s="1496">
        <v>41747</v>
      </c>
      <c r="E9" s="830" t="s">
        <v>476</v>
      </c>
      <c r="F9" s="1718">
        <v>215.73456790123456</v>
      </c>
      <c r="G9" s="1718">
        <v>313.97630588433816</v>
      </c>
      <c r="H9" s="1719">
        <v>258.4207888030648</v>
      </c>
      <c r="I9" s="1718">
        <v>281.39583268121697</v>
      </c>
      <c r="J9" s="1718">
        <v>386.78544690726318</v>
      </c>
      <c r="K9" s="1718">
        <v>435.09244097486669</v>
      </c>
      <c r="L9" s="1718">
        <v>466.70121258052291</v>
      </c>
      <c r="M9" s="1718">
        <v>280.1483244478294</v>
      </c>
      <c r="N9" s="1718">
        <v>278.39099541206082</v>
      </c>
      <c r="O9" s="1306">
        <v>298.59217619800592</v>
      </c>
      <c r="P9" s="1306">
        <v>250.80498117799576</v>
      </c>
      <c r="Q9" s="1306">
        <v>30</v>
      </c>
      <c r="R9" s="863">
        <f t="shared" si="0"/>
        <v>3496.043072968399</v>
      </c>
      <c r="S9" s="863">
        <f t="shared" si="1"/>
        <v>291.3369227473666</v>
      </c>
      <c r="T9" s="863">
        <f t="shared" si="2"/>
        <v>11.205266259514101</v>
      </c>
      <c r="U9" s="914">
        <f>P!X8</f>
        <v>0</v>
      </c>
      <c r="V9" s="863">
        <f t="shared" si="3"/>
        <v>0</v>
      </c>
      <c r="W9" s="914"/>
      <c r="X9" s="504"/>
      <c r="Y9" s="1692">
        <v>0</v>
      </c>
      <c r="Z9" s="914">
        <v>3</v>
      </c>
      <c r="AA9" s="1694">
        <v>2</v>
      </c>
      <c r="AB9" s="914">
        <v>3.5</v>
      </c>
      <c r="AC9" s="914">
        <v>4</v>
      </c>
      <c r="AD9" s="914">
        <v>0</v>
      </c>
      <c r="AE9" s="914">
        <v>0</v>
      </c>
      <c r="AF9" s="914">
        <v>0</v>
      </c>
      <c r="AG9" s="914">
        <v>1</v>
      </c>
      <c r="AH9" s="1694"/>
      <c r="AI9" s="1694"/>
      <c r="AJ9" s="1694"/>
      <c r="AK9" s="1699">
        <f t="shared" ref="AK9:AK53" si="4">SUM(Y9:AJ9)</f>
        <v>13.5</v>
      </c>
    </row>
    <row r="10" spans="1:37" s="871" customFormat="1" ht="42" customHeight="1">
      <c r="A10" s="931">
        <v>3</v>
      </c>
      <c r="B10" s="1514" t="s">
        <v>344</v>
      </c>
      <c r="C10" s="1511" t="s">
        <v>1279</v>
      </c>
      <c r="D10" s="1496">
        <v>41821</v>
      </c>
      <c r="E10" s="830" t="s">
        <v>476</v>
      </c>
      <c r="F10" s="1718">
        <v>240.98646723646721</v>
      </c>
      <c r="G10" s="1718">
        <v>245.42816229392005</v>
      </c>
      <c r="H10" s="1719">
        <v>243.86977891977233</v>
      </c>
      <c r="I10" s="1718">
        <v>310.20715196360442</v>
      </c>
      <c r="J10" s="1718">
        <v>403.94506854531602</v>
      </c>
      <c r="K10" s="1718">
        <v>470.24200304645848</v>
      </c>
      <c r="L10" s="1718">
        <v>474.92273765977563</v>
      </c>
      <c r="M10" s="1718">
        <v>325.82257426550888</v>
      </c>
      <c r="N10" s="1718">
        <v>275.00101458197378</v>
      </c>
      <c r="O10" s="1306">
        <v>319.40375730435767</v>
      </c>
      <c r="P10" s="1306">
        <v>234.16402115072333</v>
      </c>
      <c r="Q10" s="1306">
        <v>30</v>
      </c>
      <c r="R10" s="863">
        <f t="shared" si="0"/>
        <v>3573.9927369678776</v>
      </c>
      <c r="S10" s="863">
        <f t="shared" si="1"/>
        <v>297.83272808065647</v>
      </c>
      <c r="T10" s="863">
        <f t="shared" si="2"/>
        <v>11.455104926179095</v>
      </c>
      <c r="U10" s="914">
        <f>P!X9</f>
        <v>0</v>
      </c>
      <c r="V10" s="863">
        <f t="shared" si="3"/>
        <v>0</v>
      </c>
      <c r="W10" s="914"/>
      <c r="X10" s="504"/>
      <c r="Y10" s="1692">
        <v>0</v>
      </c>
      <c r="Z10" s="914">
        <v>2</v>
      </c>
      <c r="AA10" s="1694">
        <v>2</v>
      </c>
      <c r="AB10" s="914">
        <v>1.5</v>
      </c>
      <c r="AC10" s="1694"/>
      <c r="AD10" s="914">
        <v>0</v>
      </c>
      <c r="AE10" s="914">
        <v>2</v>
      </c>
      <c r="AF10" s="914">
        <v>4</v>
      </c>
      <c r="AG10" s="914">
        <v>1</v>
      </c>
      <c r="AH10" s="1694"/>
      <c r="AI10" s="1694"/>
      <c r="AJ10" s="1694"/>
      <c r="AK10" s="1699">
        <f t="shared" si="4"/>
        <v>12.5</v>
      </c>
    </row>
    <row r="11" spans="1:37" s="871" customFormat="1" ht="42" customHeight="1">
      <c r="A11" s="931">
        <v>4</v>
      </c>
      <c r="B11" s="1515" t="s">
        <v>554</v>
      </c>
      <c r="C11" s="1511" t="s">
        <v>1280</v>
      </c>
      <c r="D11" s="1496">
        <v>41822</v>
      </c>
      <c r="E11" s="830" t="s">
        <v>476</v>
      </c>
      <c r="F11" s="1718">
        <v>237.42687559354223</v>
      </c>
      <c r="G11" s="1718">
        <v>288.00623515705564</v>
      </c>
      <c r="H11" s="1719">
        <v>253.73887497954473</v>
      </c>
      <c r="I11" s="1718">
        <v>310.53164005930017</v>
      </c>
      <c r="J11" s="1718">
        <v>385.30198019801981</v>
      </c>
      <c r="K11" s="1718">
        <v>423.27460015232288</v>
      </c>
      <c r="L11" s="1718">
        <v>465.1386575555652</v>
      </c>
      <c r="M11" s="1718">
        <v>298.28711765129094</v>
      </c>
      <c r="N11" s="1718">
        <v>275.41646719164822</v>
      </c>
      <c r="O11" s="1306">
        <v>294.19312459061325</v>
      </c>
      <c r="P11" s="1306">
        <v>220.81276942418626</v>
      </c>
      <c r="Q11" s="1306">
        <v>30</v>
      </c>
      <c r="R11" s="863">
        <f t="shared" si="0"/>
        <v>3482.1283425530887</v>
      </c>
      <c r="S11" s="863">
        <f t="shared" si="1"/>
        <v>290.17736187942404</v>
      </c>
      <c r="T11" s="863">
        <f t="shared" si="2"/>
        <v>11.160667764593232</v>
      </c>
      <c r="U11" s="914">
        <f>P!X10</f>
        <v>0.5</v>
      </c>
      <c r="V11" s="863">
        <f t="shared" si="3"/>
        <v>5.5803338822966158</v>
      </c>
      <c r="W11" s="914"/>
      <c r="X11" s="504"/>
      <c r="Y11" s="1692">
        <v>0</v>
      </c>
      <c r="Z11" s="914">
        <v>3</v>
      </c>
      <c r="AA11" s="1694">
        <v>2</v>
      </c>
      <c r="AB11" s="914">
        <v>1.5</v>
      </c>
      <c r="AC11" s="1694"/>
      <c r="AD11" s="914">
        <v>0</v>
      </c>
      <c r="AE11" s="914">
        <v>2.5</v>
      </c>
      <c r="AF11" s="914">
        <v>2</v>
      </c>
      <c r="AG11" s="914">
        <v>1</v>
      </c>
      <c r="AH11" s="1694"/>
      <c r="AI11" s="1694"/>
      <c r="AJ11" s="1694"/>
      <c r="AK11" s="1699">
        <f t="shared" si="4"/>
        <v>12</v>
      </c>
    </row>
    <row r="12" spans="1:37" s="871" customFormat="1" ht="42" customHeight="1">
      <c r="A12" s="931">
        <v>5</v>
      </c>
      <c r="B12" s="1514" t="s">
        <v>346</v>
      </c>
      <c r="C12" s="1511" t="s">
        <v>1281</v>
      </c>
      <c r="D12" s="1496">
        <v>41866</v>
      </c>
      <c r="E12" s="830" t="s">
        <v>476</v>
      </c>
      <c r="F12" s="1718">
        <v>230.30769230769229</v>
      </c>
      <c r="G12" s="1718">
        <v>290.18026060242119</v>
      </c>
      <c r="H12" s="1719">
        <v>257.86924043944464</v>
      </c>
      <c r="I12" s="1718">
        <v>321.595432684483</v>
      </c>
      <c r="J12" s="1718">
        <v>393.42421934501141</v>
      </c>
      <c r="K12" s="1718">
        <v>454.96468012185829</v>
      </c>
      <c r="L12" s="1718">
        <v>481.48702246369379</v>
      </c>
      <c r="M12" s="1718">
        <v>307.84993094064328</v>
      </c>
      <c r="N12" s="1718">
        <v>277.18337103067739</v>
      </c>
      <c r="O12" s="1306">
        <v>305.36906506154685</v>
      </c>
      <c r="P12" s="1306">
        <v>234.32425332662288</v>
      </c>
      <c r="Q12" s="1306">
        <v>30</v>
      </c>
      <c r="R12" s="863">
        <f t="shared" si="0"/>
        <v>3584.5551683240947</v>
      </c>
      <c r="S12" s="863">
        <f t="shared" si="1"/>
        <v>298.71293069367454</v>
      </c>
      <c r="T12" s="863">
        <f t="shared" si="2"/>
        <v>11.488958872833637</v>
      </c>
      <c r="U12" s="914">
        <f>P!X11</f>
        <v>0</v>
      </c>
      <c r="V12" s="863">
        <f t="shared" si="3"/>
        <v>0</v>
      </c>
      <c r="W12" s="914"/>
      <c r="X12" s="504"/>
      <c r="Y12" s="1692">
        <v>0</v>
      </c>
      <c r="Z12" s="914">
        <v>3</v>
      </c>
      <c r="AA12" s="1694">
        <v>2</v>
      </c>
      <c r="AB12" s="914">
        <v>1.5</v>
      </c>
      <c r="AC12" s="1694"/>
      <c r="AD12" s="914">
        <v>0</v>
      </c>
      <c r="AE12" s="914">
        <v>2</v>
      </c>
      <c r="AF12" s="914">
        <v>1</v>
      </c>
      <c r="AG12" s="914">
        <v>1.5</v>
      </c>
      <c r="AH12" s="1694"/>
      <c r="AI12" s="1694"/>
      <c r="AJ12" s="1694"/>
      <c r="AK12" s="1699">
        <f t="shared" si="4"/>
        <v>11</v>
      </c>
    </row>
    <row r="13" spans="1:37" s="871" customFormat="1" ht="42" customHeight="1">
      <c r="A13" s="931">
        <v>6</v>
      </c>
      <c r="B13" s="1514" t="s">
        <v>348</v>
      </c>
      <c r="C13" s="1511" t="s">
        <v>1282</v>
      </c>
      <c r="D13" s="1496">
        <v>41883</v>
      </c>
      <c r="E13" s="830" t="s">
        <v>476</v>
      </c>
      <c r="F13" s="1718">
        <v>230.30769230769229</v>
      </c>
      <c r="G13" s="1718">
        <v>248.06968871452136</v>
      </c>
      <c r="H13" s="1719">
        <v>254.8724113366091</v>
      </c>
      <c r="I13" s="1718">
        <v>292.55230135279356</v>
      </c>
      <c r="J13" s="1718">
        <v>385.30198019801975</v>
      </c>
      <c r="K13" s="1718">
        <v>455.26468012185831</v>
      </c>
      <c r="L13" s="1718">
        <v>461.72599204581508</v>
      </c>
      <c r="M13" s="1718">
        <v>289.40068905996304</v>
      </c>
      <c r="N13" s="1718">
        <v>275.25048955323223</v>
      </c>
      <c r="O13" s="1306">
        <v>286.12684364173202</v>
      </c>
      <c r="P13" s="1306">
        <v>221.94697971565461</v>
      </c>
      <c r="Q13" s="1306">
        <v>30</v>
      </c>
      <c r="R13" s="863">
        <f t="shared" si="0"/>
        <v>3430.8197480478912</v>
      </c>
      <c r="S13" s="863">
        <f t="shared" si="1"/>
        <v>285.90164567065762</v>
      </c>
      <c r="T13" s="863">
        <f t="shared" si="2"/>
        <v>10.996217141179139</v>
      </c>
      <c r="U13" s="914">
        <f>P!X12</f>
        <v>0</v>
      </c>
      <c r="V13" s="863">
        <f t="shared" si="3"/>
        <v>0</v>
      </c>
      <c r="W13" s="914"/>
      <c r="X13" s="504"/>
      <c r="Y13" s="1692">
        <v>0</v>
      </c>
      <c r="Z13" s="914">
        <v>3</v>
      </c>
      <c r="AA13" s="1694">
        <v>4</v>
      </c>
      <c r="AB13" s="914">
        <v>1.5</v>
      </c>
      <c r="AC13" s="1694"/>
      <c r="AD13" s="914">
        <v>0</v>
      </c>
      <c r="AE13" s="914">
        <v>2</v>
      </c>
      <c r="AF13" s="914">
        <v>1</v>
      </c>
      <c r="AG13" s="914">
        <v>1</v>
      </c>
      <c r="AH13" s="1694"/>
      <c r="AI13" s="1694"/>
      <c r="AJ13" s="1694"/>
      <c r="AK13" s="1699">
        <f t="shared" si="4"/>
        <v>12.5</v>
      </c>
    </row>
    <row r="14" spans="1:37" s="871" customFormat="1" ht="42" customHeight="1">
      <c r="A14" s="931">
        <v>7</v>
      </c>
      <c r="B14" s="1514" t="s">
        <v>401</v>
      </c>
      <c r="C14" s="1511" t="s">
        <v>1283</v>
      </c>
      <c r="D14" s="1496">
        <v>41883</v>
      </c>
      <c r="E14" s="830" t="s">
        <v>476</v>
      </c>
      <c r="F14" s="1718">
        <v>226.5807217473884</v>
      </c>
      <c r="G14" s="1718">
        <v>261.33447315356415</v>
      </c>
      <c r="H14" s="1719">
        <v>256.51455375867829</v>
      </c>
      <c r="I14" s="1718">
        <v>333.22182107509155</v>
      </c>
      <c r="J14" s="1718">
        <v>390.92421934501141</v>
      </c>
      <c r="K14" s="1718">
        <v>452.96468012185829</v>
      </c>
      <c r="L14" s="1718">
        <v>495.71819510301663</v>
      </c>
      <c r="M14" s="1718">
        <v>305.52892524058353</v>
      </c>
      <c r="N14" s="1718">
        <v>275.61419249932476</v>
      </c>
      <c r="O14" s="1306">
        <v>291.818716511932</v>
      </c>
      <c r="P14" s="1306">
        <v>222.8429801304386</v>
      </c>
      <c r="Q14" s="1306">
        <v>30</v>
      </c>
      <c r="R14" s="863">
        <f t="shared" si="0"/>
        <v>3543.0634786868882</v>
      </c>
      <c r="S14" s="863">
        <f t="shared" si="1"/>
        <v>295.25528989057403</v>
      </c>
      <c r="T14" s="863">
        <f t="shared" si="2"/>
        <v>11.355972688099001</v>
      </c>
      <c r="U14" s="914">
        <f>P!X13</f>
        <v>0.5</v>
      </c>
      <c r="V14" s="863">
        <f t="shared" si="3"/>
        <v>5.6779863440495006</v>
      </c>
      <c r="W14" s="914"/>
      <c r="X14" s="504"/>
      <c r="Y14" s="1692">
        <v>0</v>
      </c>
      <c r="Z14" s="914">
        <v>2</v>
      </c>
      <c r="AA14" s="1694">
        <v>3</v>
      </c>
      <c r="AB14" s="914">
        <v>1.5</v>
      </c>
      <c r="AC14" s="1694"/>
      <c r="AD14" s="914">
        <v>0</v>
      </c>
      <c r="AE14" s="914">
        <v>2</v>
      </c>
      <c r="AF14" s="914">
        <v>1</v>
      </c>
      <c r="AG14" s="914">
        <v>1</v>
      </c>
      <c r="AH14" s="1694"/>
      <c r="AI14" s="1694"/>
      <c r="AJ14" s="1694"/>
      <c r="AK14" s="1699">
        <f t="shared" si="4"/>
        <v>10.5</v>
      </c>
    </row>
    <row r="15" spans="1:37" s="871" customFormat="1" ht="42" customHeight="1">
      <c r="A15" s="931">
        <v>8</v>
      </c>
      <c r="B15" s="1514" t="s">
        <v>350</v>
      </c>
      <c r="C15" s="1511" t="s">
        <v>351</v>
      </c>
      <c r="D15" s="1496">
        <v>42125</v>
      </c>
      <c r="E15" s="830" t="s">
        <v>476</v>
      </c>
      <c r="F15" s="1718">
        <v>218.46153846153845</v>
      </c>
      <c r="G15" s="1718">
        <v>248.09121401100685</v>
      </c>
      <c r="H15" s="1719">
        <v>252.63542017999225</v>
      </c>
      <c r="I15" s="1718">
        <v>286.76977664759846</v>
      </c>
      <c r="J15" s="1718">
        <v>389.06309977151557</v>
      </c>
      <c r="K15" s="1718">
        <v>436.65356054836246</v>
      </c>
      <c r="L15" s="1718">
        <v>459.19397953354064</v>
      </c>
      <c r="M15" s="1718">
        <v>301.99480292123735</v>
      </c>
      <c r="N15" s="1718">
        <v>270.36474166767744</v>
      </c>
      <c r="O15" s="1306">
        <v>275.58574037962086</v>
      </c>
      <c r="P15" s="1306">
        <v>218.25136838656854</v>
      </c>
      <c r="Q15" s="1306">
        <v>30</v>
      </c>
      <c r="R15" s="863">
        <f t="shared" si="0"/>
        <v>3387.0652425086596</v>
      </c>
      <c r="S15" s="863">
        <f t="shared" si="1"/>
        <v>282.25543687572161</v>
      </c>
      <c r="T15" s="863">
        <f t="shared" si="2"/>
        <v>10.855978341373909</v>
      </c>
      <c r="U15" s="914">
        <f>P!X14</f>
        <v>0</v>
      </c>
      <c r="V15" s="863">
        <f t="shared" si="3"/>
        <v>0</v>
      </c>
      <c r="W15" s="914"/>
      <c r="X15" s="504"/>
      <c r="Y15" s="1692">
        <v>0</v>
      </c>
      <c r="Z15" s="914">
        <v>3</v>
      </c>
      <c r="AA15" s="1694">
        <v>2</v>
      </c>
      <c r="AB15" s="914">
        <v>1.5</v>
      </c>
      <c r="AC15" s="1694"/>
      <c r="AD15" s="914">
        <v>0</v>
      </c>
      <c r="AE15" s="914">
        <v>2.5</v>
      </c>
      <c r="AF15" s="914">
        <v>1</v>
      </c>
      <c r="AG15" s="914">
        <v>1</v>
      </c>
      <c r="AH15" s="1694"/>
      <c r="AI15" s="1694"/>
      <c r="AJ15" s="1694"/>
      <c r="AK15" s="1699">
        <f t="shared" si="4"/>
        <v>11</v>
      </c>
    </row>
    <row r="16" spans="1:37" s="871" customFormat="1" ht="42" customHeight="1">
      <c r="A16" s="931">
        <v>9</v>
      </c>
      <c r="B16" s="1514" t="s">
        <v>352</v>
      </c>
      <c r="C16" s="1511" t="s">
        <v>353</v>
      </c>
      <c r="D16" s="1496">
        <v>42128</v>
      </c>
      <c r="E16" s="830" t="s">
        <v>476</v>
      </c>
      <c r="F16" s="1718">
        <v>239.98646723646723</v>
      </c>
      <c r="G16" s="1718">
        <v>247.00719273267566</v>
      </c>
      <c r="H16" s="1719">
        <v>257.11080055006863</v>
      </c>
      <c r="I16" s="1718">
        <v>279.38987022461458</v>
      </c>
      <c r="J16" s="1718">
        <v>407.66869763899467</v>
      </c>
      <c r="K16" s="1718">
        <v>438.65356054836246</v>
      </c>
      <c r="L16" s="1718">
        <v>495.33571364020048</v>
      </c>
      <c r="M16" s="1718">
        <v>301.58471327977276</v>
      </c>
      <c r="N16" s="1718">
        <v>273.9310821570806</v>
      </c>
      <c r="O16" s="1306">
        <v>315.38344032428557</v>
      </c>
      <c r="P16" s="1306">
        <v>233.80498355354257</v>
      </c>
      <c r="Q16" s="1306">
        <v>30</v>
      </c>
      <c r="R16" s="863">
        <f t="shared" si="0"/>
        <v>3519.8565218860649</v>
      </c>
      <c r="S16" s="863">
        <f t="shared" si="1"/>
        <v>293.32137682383876</v>
      </c>
      <c r="T16" s="863">
        <f t="shared" si="2"/>
        <v>11.281591416301492</v>
      </c>
      <c r="U16" s="914">
        <f>P!X15</f>
        <v>0</v>
      </c>
      <c r="V16" s="863">
        <f t="shared" si="3"/>
        <v>0</v>
      </c>
      <c r="W16" s="914"/>
      <c r="X16" s="504"/>
      <c r="Y16" s="1692">
        <v>0</v>
      </c>
      <c r="Z16" s="914">
        <v>2</v>
      </c>
      <c r="AA16" s="1694">
        <v>2</v>
      </c>
      <c r="AB16" s="914">
        <v>1.5</v>
      </c>
      <c r="AC16" s="1694"/>
      <c r="AD16" s="914">
        <v>0</v>
      </c>
      <c r="AE16" s="914">
        <v>2</v>
      </c>
      <c r="AF16" s="914">
        <v>2</v>
      </c>
      <c r="AG16" s="914">
        <v>1</v>
      </c>
      <c r="AH16" s="1694"/>
      <c r="AI16" s="1694"/>
      <c r="AJ16" s="1694"/>
      <c r="AK16" s="1699">
        <f t="shared" si="4"/>
        <v>10.5</v>
      </c>
    </row>
    <row r="17" spans="1:37" s="871" customFormat="1" ht="42" customHeight="1">
      <c r="A17" s="931">
        <v>10</v>
      </c>
      <c r="B17" s="1514" t="s">
        <v>461</v>
      </c>
      <c r="C17" s="1511" t="s">
        <v>462</v>
      </c>
      <c r="D17" s="1496">
        <v>42248</v>
      </c>
      <c r="E17" s="830" t="s">
        <v>476</v>
      </c>
      <c r="F17" s="1718">
        <v>236.42687559354223</v>
      </c>
      <c r="G17" s="1718">
        <v>316.38644239028486</v>
      </c>
      <c r="H17" s="1719">
        <v>257.41179887672484</v>
      </c>
      <c r="I17" s="1718">
        <v>310.55902175526791</v>
      </c>
      <c r="J17" s="1718">
        <v>405.66869763899467</v>
      </c>
      <c r="K17" s="1718">
        <v>451.498476770754</v>
      </c>
      <c r="L17" s="1718">
        <v>489.96115607176932</v>
      </c>
      <c r="M17" s="1718">
        <v>305.75028534362195</v>
      </c>
      <c r="N17" s="1718">
        <v>274.83798154325507</v>
      </c>
      <c r="O17" s="1306">
        <v>319.3706701735515</v>
      </c>
      <c r="P17" s="1306">
        <v>218.53225985209971</v>
      </c>
      <c r="Q17" s="1306">
        <v>30</v>
      </c>
      <c r="R17" s="863">
        <f t="shared" si="0"/>
        <v>3616.4036660098654</v>
      </c>
      <c r="S17" s="863">
        <f t="shared" si="1"/>
        <v>301.36697216748877</v>
      </c>
      <c r="T17" s="863">
        <f t="shared" si="2"/>
        <v>11.591037391057259</v>
      </c>
      <c r="U17" s="914">
        <f>P!X16</f>
        <v>0</v>
      </c>
      <c r="V17" s="863">
        <f t="shared" si="3"/>
        <v>0</v>
      </c>
      <c r="W17" s="914"/>
      <c r="X17" s="504"/>
      <c r="Y17" s="1692">
        <v>0</v>
      </c>
      <c r="Z17" s="914">
        <v>3</v>
      </c>
      <c r="AA17" s="1694">
        <v>2</v>
      </c>
      <c r="AB17" s="914">
        <v>1.5</v>
      </c>
      <c r="AC17" s="1694"/>
      <c r="AD17" s="914">
        <v>0</v>
      </c>
      <c r="AE17" s="914">
        <v>2</v>
      </c>
      <c r="AF17" s="914">
        <v>1</v>
      </c>
      <c r="AG17" s="914">
        <v>1</v>
      </c>
      <c r="AH17" s="1694"/>
      <c r="AI17" s="1694"/>
      <c r="AJ17" s="1694"/>
      <c r="AK17" s="1699">
        <f t="shared" si="4"/>
        <v>10.5</v>
      </c>
    </row>
    <row r="18" spans="1:37" s="1799" customFormat="1" ht="42" customHeight="1">
      <c r="A18" s="931">
        <v>11</v>
      </c>
      <c r="B18" s="1333" t="s">
        <v>2307</v>
      </c>
      <c r="C18" s="581" t="s">
        <v>719</v>
      </c>
      <c r="D18" s="1474">
        <v>42695</v>
      </c>
      <c r="E18" s="1637" t="s">
        <v>1122</v>
      </c>
      <c r="F18" s="1719">
        <v>281.38069800569804</v>
      </c>
      <c r="G18" s="1719">
        <v>358.75248816802957</v>
      </c>
      <c r="H18" s="1719">
        <v>297.81019038582195</v>
      </c>
      <c r="I18" s="1719">
        <v>357.87925899386022</v>
      </c>
      <c r="J18" s="1719">
        <v>454.72638994668699</v>
      </c>
      <c r="K18" s="1719">
        <v>510.6137185833968</v>
      </c>
      <c r="L18" s="1719">
        <v>541.18199421251131</v>
      </c>
      <c r="M18" s="1718">
        <v>364.82675032181271</v>
      </c>
      <c r="N18" s="1718">
        <v>323.1962566104603</v>
      </c>
      <c r="O18" s="1306">
        <v>372.44132376733364</v>
      </c>
      <c r="P18" s="1306">
        <v>278.52681856682193</v>
      </c>
      <c r="Q18" s="1306">
        <v>30</v>
      </c>
      <c r="R18" s="863">
        <f t="shared" si="0"/>
        <v>4171.3358875624335</v>
      </c>
      <c r="S18" s="863">
        <f t="shared" ref="S18" si="5">R18/12</f>
        <v>347.61132396353611</v>
      </c>
      <c r="T18" s="863">
        <f t="shared" si="2"/>
        <v>13.369666306289851</v>
      </c>
      <c r="U18" s="914">
        <f>P!X17</f>
        <v>0</v>
      </c>
      <c r="V18" s="863">
        <f t="shared" si="3"/>
        <v>0</v>
      </c>
      <c r="W18" s="914"/>
      <c r="X18" s="504"/>
      <c r="Y18" s="924">
        <v>0</v>
      </c>
      <c r="Z18" s="924">
        <v>3</v>
      </c>
      <c r="AA18" s="1693">
        <v>2</v>
      </c>
      <c r="AB18" s="924">
        <v>1.5</v>
      </c>
      <c r="AC18" s="1693"/>
      <c r="AD18" s="924">
        <v>0</v>
      </c>
      <c r="AE18" s="924">
        <v>2</v>
      </c>
      <c r="AF18" s="914">
        <v>2</v>
      </c>
      <c r="AG18" s="914">
        <v>1</v>
      </c>
      <c r="AH18" s="1694"/>
      <c r="AI18" s="1694"/>
      <c r="AJ18" s="1694"/>
      <c r="AK18" s="1699">
        <f t="shared" si="4"/>
        <v>11.5</v>
      </c>
    </row>
    <row r="19" spans="1:37" s="871" customFormat="1" ht="42" customHeight="1">
      <c r="A19" s="931">
        <v>12</v>
      </c>
      <c r="B19" s="1516" t="s">
        <v>431</v>
      </c>
      <c r="C19" s="1512" t="s">
        <v>1285</v>
      </c>
      <c r="D19" s="1491">
        <v>43210</v>
      </c>
      <c r="E19" s="830" t="s">
        <v>476</v>
      </c>
      <c r="F19" s="1718">
        <v>236.98646723646721</v>
      </c>
      <c r="G19" s="1718">
        <v>230.1601959254323</v>
      </c>
      <c r="H19" s="1719">
        <v>249.76336003109787</v>
      </c>
      <c r="I19" s="1718">
        <v>335.05989501846244</v>
      </c>
      <c r="J19" s="1718">
        <v>391.48533891850718</v>
      </c>
      <c r="K19" s="1718">
        <v>449.96468012185829</v>
      </c>
      <c r="L19" s="1718">
        <v>496.50862010018017</v>
      </c>
      <c r="M19" s="1718">
        <v>302.45592675031071</v>
      </c>
      <c r="N19" s="1718">
        <v>269.53762033613071</v>
      </c>
      <c r="O19" s="1306">
        <v>296.63255211535466</v>
      </c>
      <c r="P19" s="1306">
        <v>230.32246987911913</v>
      </c>
      <c r="Q19" s="1306">
        <v>30</v>
      </c>
      <c r="R19" s="863">
        <f t="shared" si="0"/>
        <v>3518.8771264329198</v>
      </c>
      <c r="S19" s="863">
        <f t="shared" si="1"/>
        <v>293.23976053607663</v>
      </c>
      <c r="T19" s="863">
        <f t="shared" si="2"/>
        <v>11.278452328310639</v>
      </c>
      <c r="U19" s="914">
        <f>P!X18</f>
        <v>0</v>
      </c>
      <c r="V19" s="863">
        <f t="shared" si="3"/>
        <v>0</v>
      </c>
      <c r="W19" s="914"/>
      <c r="X19" s="504"/>
      <c r="Y19" s="1692">
        <v>0</v>
      </c>
      <c r="Z19" s="914">
        <v>2</v>
      </c>
      <c r="AA19" s="1694">
        <v>2</v>
      </c>
      <c r="AB19" s="914">
        <v>1.5</v>
      </c>
      <c r="AC19" s="1694"/>
      <c r="AD19" s="914">
        <v>0</v>
      </c>
      <c r="AE19" s="914">
        <v>2</v>
      </c>
      <c r="AF19" s="914">
        <v>1</v>
      </c>
      <c r="AG19" s="914">
        <v>3</v>
      </c>
      <c r="AH19" s="1694"/>
      <c r="AI19" s="1694"/>
      <c r="AJ19" s="1694"/>
      <c r="AK19" s="1699">
        <f t="shared" si="4"/>
        <v>11.5</v>
      </c>
    </row>
    <row r="20" spans="1:37" s="871" customFormat="1" ht="42" customHeight="1">
      <c r="A20" s="931">
        <v>13</v>
      </c>
      <c r="B20" s="1516" t="s">
        <v>432</v>
      </c>
      <c r="C20" s="1512" t="s">
        <v>1286</v>
      </c>
      <c r="D20" s="1491">
        <v>43211</v>
      </c>
      <c r="E20" s="830" t="s">
        <v>476</v>
      </c>
      <c r="F20" s="1718">
        <v>208.17497625830958</v>
      </c>
      <c r="G20" s="1718">
        <v>251.71064916660254</v>
      </c>
      <c r="H20" s="1719">
        <v>249.60678346282842</v>
      </c>
      <c r="I20" s="1718">
        <v>259.51173476134375</v>
      </c>
      <c r="J20" s="1718">
        <v>402.66869763899467</v>
      </c>
      <c r="K20" s="1718">
        <v>427.33132140137087</v>
      </c>
      <c r="L20" s="1718">
        <v>471.52932419585414</v>
      </c>
      <c r="M20" s="1718">
        <v>304.28826372847612</v>
      </c>
      <c r="N20" s="1718">
        <v>271.20756535249973</v>
      </c>
      <c r="O20" s="1306">
        <v>314.96308282434057</v>
      </c>
      <c r="P20" s="1306">
        <v>233.48799666088092</v>
      </c>
      <c r="Q20" s="1306">
        <v>30</v>
      </c>
      <c r="R20" s="863">
        <f t="shared" si="0"/>
        <v>3424.4803954515014</v>
      </c>
      <c r="S20" s="863">
        <f t="shared" si="1"/>
        <v>285.37336628762512</v>
      </c>
      <c r="T20" s="863">
        <f t="shared" si="2"/>
        <v>10.975898703370197</v>
      </c>
      <c r="U20" s="914">
        <f>P!X19</f>
        <v>0</v>
      </c>
      <c r="V20" s="863">
        <f t="shared" si="3"/>
        <v>0</v>
      </c>
      <c r="W20" s="914"/>
      <c r="X20" s="504"/>
      <c r="Y20" s="1692">
        <v>0</v>
      </c>
      <c r="Z20" s="914">
        <v>2</v>
      </c>
      <c r="AA20" s="1694">
        <v>2</v>
      </c>
      <c r="AB20" s="914">
        <v>1.5</v>
      </c>
      <c r="AC20" s="1694"/>
      <c r="AD20" s="914">
        <v>0</v>
      </c>
      <c r="AE20" s="914">
        <v>2</v>
      </c>
      <c r="AF20" s="914">
        <v>2</v>
      </c>
      <c r="AG20" s="914">
        <v>1</v>
      </c>
      <c r="AH20" s="1694"/>
      <c r="AI20" s="1694"/>
      <c r="AJ20" s="1694"/>
      <c r="AK20" s="1699">
        <f t="shared" si="4"/>
        <v>10.5</v>
      </c>
    </row>
    <row r="21" spans="1:37" s="1910" customFormat="1" ht="42" customHeight="1">
      <c r="A21" s="931">
        <v>14</v>
      </c>
      <c r="B21" s="1334" t="s">
        <v>2387</v>
      </c>
      <c r="C21" s="1390" t="s">
        <v>2388</v>
      </c>
      <c r="D21" s="1476">
        <v>43210</v>
      </c>
      <c r="E21" s="731" t="s">
        <v>476</v>
      </c>
      <c r="F21" s="1718">
        <v>233.42687559354223</v>
      </c>
      <c r="G21" s="1718">
        <v>313.21195765164958</v>
      </c>
      <c r="H21" s="1719">
        <v>254.22557024347182</v>
      </c>
      <c r="I21" s="1718">
        <v>300.92013420827817</v>
      </c>
      <c r="J21" s="1718">
        <v>396.246458492003</v>
      </c>
      <c r="K21" s="1718">
        <v>455.96468012185829</v>
      </c>
      <c r="L21" s="1718">
        <v>331.15615384615387</v>
      </c>
      <c r="M21" s="1097" t="s">
        <v>1918</v>
      </c>
      <c r="N21" s="1097" t="s">
        <v>1918</v>
      </c>
      <c r="O21" s="1306">
        <v>316.04009400860821</v>
      </c>
      <c r="P21" s="1306">
        <v>215.44712388929213</v>
      </c>
      <c r="Q21" s="1306">
        <v>30</v>
      </c>
      <c r="R21" s="863">
        <f t="shared" ref="R21" si="6">SUM(F21:Q21)</f>
        <v>2846.6390480548571</v>
      </c>
      <c r="S21" s="863">
        <f>R21/10</f>
        <v>284.66390480548569</v>
      </c>
      <c r="T21" s="863">
        <f t="shared" si="2"/>
        <v>10.948611723287911</v>
      </c>
      <c r="U21" s="914">
        <f>P!X20</f>
        <v>0</v>
      </c>
      <c r="V21" s="863">
        <f t="shared" si="3"/>
        <v>0</v>
      </c>
      <c r="W21" s="914"/>
      <c r="X21" s="504"/>
      <c r="Y21" s="1692">
        <v>0</v>
      </c>
      <c r="Z21" s="914">
        <v>3</v>
      </c>
      <c r="AA21" s="1694">
        <v>2</v>
      </c>
      <c r="AB21" s="914">
        <v>1.5</v>
      </c>
      <c r="AC21" s="1694"/>
      <c r="AD21" s="914"/>
      <c r="AE21" s="914"/>
      <c r="AF21" s="914"/>
      <c r="AG21" s="914"/>
      <c r="AH21" s="1694"/>
      <c r="AI21" s="1694"/>
      <c r="AJ21" s="1694"/>
      <c r="AK21" s="1699"/>
    </row>
    <row r="22" spans="1:37" s="871" customFormat="1" ht="42" customHeight="1">
      <c r="A22" s="931">
        <v>15</v>
      </c>
      <c r="B22" s="1516" t="s">
        <v>1287</v>
      </c>
      <c r="C22" s="1512" t="s">
        <v>1288</v>
      </c>
      <c r="D22" s="1491">
        <v>43224</v>
      </c>
      <c r="E22" s="830" t="s">
        <v>476</v>
      </c>
      <c r="F22" s="1718">
        <v>226.30769230769229</v>
      </c>
      <c r="G22" s="1718">
        <v>250.01280228585327</v>
      </c>
      <c r="H22" s="1719">
        <v>253.62736723950829</v>
      </c>
      <c r="I22" s="1718">
        <v>300.9329289954062</v>
      </c>
      <c r="J22" s="1718">
        <v>389.92421934501141</v>
      </c>
      <c r="K22" s="1718">
        <v>452.26468012185831</v>
      </c>
      <c r="L22" s="1718">
        <v>476.00227677753082</v>
      </c>
      <c r="M22" s="1718">
        <v>286.46079185785527</v>
      </c>
      <c r="N22" s="1718">
        <v>275.68864132012112</v>
      </c>
      <c r="O22" s="1306">
        <v>294.54603810504369</v>
      </c>
      <c r="P22" s="1306">
        <v>218.84995499780041</v>
      </c>
      <c r="Q22" s="1306">
        <v>30</v>
      </c>
      <c r="R22" s="863">
        <f t="shared" si="0"/>
        <v>3454.6173933536811</v>
      </c>
      <c r="S22" s="863">
        <f>R22/12</f>
        <v>287.88478277947343</v>
      </c>
      <c r="T22" s="863">
        <f t="shared" si="2"/>
        <v>11.072491645364362</v>
      </c>
      <c r="U22" s="914">
        <f>P!X21</f>
        <v>0</v>
      </c>
      <c r="V22" s="863">
        <f t="shared" si="3"/>
        <v>0</v>
      </c>
      <c r="W22" s="914"/>
      <c r="X22" s="504"/>
      <c r="Y22" s="1692">
        <v>0</v>
      </c>
      <c r="Z22" s="914">
        <v>2</v>
      </c>
      <c r="AA22" s="1694">
        <v>2</v>
      </c>
      <c r="AB22" s="914">
        <v>1.5</v>
      </c>
      <c r="AC22" s="1694"/>
      <c r="AD22" s="914">
        <v>0</v>
      </c>
      <c r="AE22" s="914">
        <v>2</v>
      </c>
      <c r="AF22" s="914">
        <v>1</v>
      </c>
      <c r="AG22" s="914">
        <v>2.5</v>
      </c>
      <c r="AH22" s="1694"/>
      <c r="AI22" s="1694"/>
      <c r="AJ22" s="1694"/>
      <c r="AK22" s="1699">
        <f t="shared" si="4"/>
        <v>11</v>
      </c>
    </row>
    <row r="23" spans="1:37" s="871" customFormat="1" ht="42" customHeight="1">
      <c r="A23" s="931">
        <v>16</v>
      </c>
      <c r="B23" s="1516" t="s">
        <v>446</v>
      </c>
      <c r="C23" s="1512" t="s">
        <v>1289</v>
      </c>
      <c r="D23" s="1491">
        <v>43397</v>
      </c>
      <c r="E23" s="830" t="s">
        <v>476</v>
      </c>
      <c r="F23" s="1718">
        <v>226.30769230769229</v>
      </c>
      <c r="G23" s="1718">
        <v>248.86758855048444</v>
      </c>
      <c r="H23" s="1719">
        <v>241.74231732141766</v>
      </c>
      <c r="I23" s="1718">
        <v>268.17676616176055</v>
      </c>
      <c r="J23" s="1718">
        <v>381.30198019801975</v>
      </c>
      <c r="K23" s="1718">
        <v>420.81292840822539</v>
      </c>
      <c r="L23" s="1718">
        <v>479.50292785434499</v>
      </c>
      <c r="M23" s="1718">
        <v>302.00348608473348</v>
      </c>
      <c r="N23" s="1718">
        <v>270.09712081485725</v>
      </c>
      <c r="O23" s="1306">
        <v>289.28724744568115</v>
      </c>
      <c r="P23" s="1306">
        <v>229.18907226614306</v>
      </c>
      <c r="Q23" s="1306">
        <v>30</v>
      </c>
      <c r="R23" s="863">
        <f t="shared" si="0"/>
        <v>3387.2891274133599</v>
      </c>
      <c r="S23" s="863">
        <f t="shared" si="1"/>
        <v>282.27409395111334</v>
      </c>
      <c r="T23" s="863">
        <f t="shared" si="2"/>
        <v>10.856695921196668</v>
      </c>
      <c r="U23" s="914">
        <f>P!X22</f>
        <v>0</v>
      </c>
      <c r="V23" s="863">
        <f t="shared" si="3"/>
        <v>0</v>
      </c>
      <c r="W23" s="914"/>
      <c r="X23" s="504"/>
      <c r="Y23" s="1692">
        <v>0</v>
      </c>
      <c r="Z23" s="914">
        <v>2</v>
      </c>
      <c r="AA23" s="1694">
        <v>2</v>
      </c>
      <c r="AB23" s="914">
        <v>1.5</v>
      </c>
      <c r="AC23" s="1694"/>
      <c r="AD23" s="914">
        <v>0</v>
      </c>
      <c r="AE23" s="914">
        <v>2</v>
      </c>
      <c r="AF23" s="914">
        <v>1</v>
      </c>
      <c r="AG23" s="914">
        <v>1</v>
      </c>
      <c r="AH23" s="1694"/>
      <c r="AI23" s="1694"/>
      <c r="AJ23" s="1694"/>
      <c r="AK23" s="1699">
        <f t="shared" si="4"/>
        <v>9.5</v>
      </c>
    </row>
    <row r="24" spans="1:37" s="1403" customFormat="1" ht="42" customHeight="1">
      <c r="A24" s="931">
        <v>17</v>
      </c>
      <c r="B24" s="1334" t="s">
        <v>1927</v>
      </c>
      <c r="C24" s="578" t="s">
        <v>1928</v>
      </c>
      <c r="D24" s="1446">
        <v>43417</v>
      </c>
      <c r="E24" s="632" t="s">
        <v>476</v>
      </c>
      <c r="F24" s="1718">
        <v>226.14031339031337</v>
      </c>
      <c r="G24" s="1718">
        <v>290.18767193894928</v>
      </c>
      <c r="H24" s="1731">
        <v>253.49686908978177</v>
      </c>
      <c r="I24" s="1718">
        <v>305.11625908644322</v>
      </c>
      <c r="J24" s="1718">
        <v>396.04645849200301</v>
      </c>
      <c r="K24" s="1718">
        <v>436.52020182787504</v>
      </c>
      <c r="L24" s="1718">
        <v>479.67643522963454</v>
      </c>
      <c r="M24" s="1718">
        <v>303.36731262954635</v>
      </c>
      <c r="N24" s="1718">
        <v>276.09953599889207</v>
      </c>
      <c r="O24" s="1306">
        <v>304.49036857520724</v>
      </c>
      <c r="P24" s="1306">
        <v>230.40327175559179</v>
      </c>
      <c r="Q24" s="1306">
        <v>30</v>
      </c>
      <c r="R24" s="863">
        <f t="shared" si="0"/>
        <v>3531.5446980142378</v>
      </c>
      <c r="S24" s="863">
        <f>R24/12</f>
        <v>294.29539150118649</v>
      </c>
      <c r="T24" s="863">
        <f t="shared" si="2"/>
        <v>11.319053519276403</v>
      </c>
      <c r="U24" s="914">
        <f>P!X23</f>
        <v>0</v>
      </c>
      <c r="V24" s="863">
        <f t="shared" si="3"/>
        <v>0</v>
      </c>
      <c r="W24" s="914"/>
      <c r="X24" s="504"/>
      <c r="Y24" s="1692">
        <v>0</v>
      </c>
      <c r="Z24" s="914">
        <v>3</v>
      </c>
      <c r="AA24" s="1694">
        <v>2</v>
      </c>
      <c r="AB24" s="914">
        <v>1.5</v>
      </c>
      <c r="AC24" s="1694"/>
      <c r="AD24" s="914">
        <v>0</v>
      </c>
      <c r="AE24" s="914">
        <v>3</v>
      </c>
      <c r="AF24" s="914">
        <v>1</v>
      </c>
      <c r="AG24" s="914">
        <v>1.5</v>
      </c>
      <c r="AH24" s="1694"/>
      <c r="AI24" s="1694"/>
      <c r="AJ24" s="1694"/>
      <c r="AK24" s="1699">
        <f t="shared" si="4"/>
        <v>12</v>
      </c>
    </row>
    <row r="25" spans="1:37" s="871" customFormat="1" ht="42" customHeight="1">
      <c r="A25" s="931">
        <v>18</v>
      </c>
      <c r="B25" s="1516" t="s">
        <v>518</v>
      </c>
      <c r="C25" s="1513" t="s">
        <v>519</v>
      </c>
      <c r="D25" s="1491">
        <v>43687</v>
      </c>
      <c r="E25" s="830" t="s">
        <v>476</v>
      </c>
      <c r="F25" s="1718">
        <v>225.30769230769229</v>
      </c>
      <c r="G25" s="1718">
        <v>253.92211648619295</v>
      </c>
      <c r="H25" s="1719">
        <v>226.69347154829865</v>
      </c>
      <c r="I25" s="1718">
        <v>297.5365586029348</v>
      </c>
      <c r="J25" s="1718">
        <v>354.91051028179737</v>
      </c>
      <c r="K25" s="1718">
        <v>449.54969535415074</v>
      </c>
      <c r="L25" s="1718">
        <v>392.262904979854</v>
      </c>
      <c r="M25" s="1718">
        <v>281.52353946632536</v>
      </c>
      <c r="N25" s="1718">
        <v>234.75980472582961</v>
      </c>
      <c r="O25" s="1306">
        <v>238.49266187048789</v>
      </c>
      <c r="P25" s="1306">
        <v>219.32209199728044</v>
      </c>
      <c r="Q25" s="1306">
        <v>30</v>
      </c>
      <c r="R25" s="863">
        <f t="shared" si="0"/>
        <v>3204.2810476208447</v>
      </c>
      <c r="S25" s="863">
        <f t="shared" si="1"/>
        <v>267.02342063507041</v>
      </c>
      <c r="T25" s="863">
        <f t="shared" si="2"/>
        <v>10.270131562887324</v>
      </c>
      <c r="U25" s="914">
        <f>P!X24</f>
        <v>0</v>
      </c>
      <c r="V25" s="863">
        <f t="shared" si="3"/>
        <v>0</v>
      </c>
      <c r="W25" s="914"/>
      <c r="X25" s="504"/>
      <c r="Y25" s="1692">
        <v>0</v>
      </c>
      <c r="Z25" s="914">
        <v>3</v>
      </c>
      <c r="AA25" s="1694">
        <v>2</v>
      </c>
      <c r="AB25" s="914">
        <v>1.5</v>
      </c>
      <c r="AC25" s="1694"/>
      <c r="AD25" s="914">
        <v>0</v>
      </c>
      <c r="AE25" s="914">
        <v>1</v>
      </c>
      <c r="AF25" s="914">
        <v>4</v>
      </c>
      <c r="AG25" s="914">
        <v>1</v>
      </c>
      <c r="AH25" s="1694"/>
      <c r="AI25" s="1694"/>
      <c r="AJ25" s="1694"/>
      <c r="AK25" s="1699">
        <f t="shared" si="4"/>
        <v>12.5</v>
      </c>
    </row>
    <row r="26" spans="1:37" s="871" customFormat="1" ht="42" customHeight="1">
      <c r="A26" s="931">
        <v>19</v>
      </c>
      <c r="B26" s="1516" t="s">
        <v>1020</v>
      </c>
      <c r="C26" s="1513" t="s">
        <v>1022</v>
      </c>
      <c r="D26" s="1491">
        <v>44531</v>
      </c>
      <c r="E26" s="830" t="s">
        <v>476</v>
      </c>
      <c r="F26" s="1718">
        <v>186.25407638248484</v>
      </c>
      <c r="G26" s="1718">
        <v>262.95347689411915</v>
      </c>
      <c r="H26" s="1719">
        <v>239.52218355247692</v>
      </c>
      <c r="I26" s="1718">
        <v>292.23877127133954</v>
      </c>
      <c r="J26" s="1718">
        <v>396.10757806549879</v>
      </c>
      <c r="K26" s="1718">
        <v>447.56468012185832</v>
      </c>
      <c r="L26" s="1718">
        <v>475.06201826345267</v>
      </c>
      <c r="M26" s="1718">
        <v>302.51998934863184</v>
      </c>
      <c r="N26" s="1718">
        <v>266.87940785651205</v>
      </c>
      <c r="O26" s="1306">
        <v>284.70281357377405</v>
      </c>
      <c r="P26" s="1306">
        <v>218.00678621835635</v>
      </c>
      <c r="Q26" s="1306">
        <v>30</v>
      </c>
      <c r="R26" s="863">
        <f t="shared" si="0"/>
        <v>3401.8117815485048</v>
      </c>
      <c r="S26" s="863">
        <f t="shared" ref="S26:S28" si="7">R26/12</f>
        <v>283.48431512904205</v>
      </c>
      <c r="T26" s="863">
        <f t="shared" si="2"/>
        <v>10.903242889578539</v>
      </c>
      <c r="U26" s="914">
        <f>P!X25</f>
        <v>0</v>
      </c>
      <c r="V26" s="863">
        <f t="shared" si="3"/>
        <v>0</v>
      </c>
      <c r="W26" s="914"/>
      <c r="X26" s="504"/>
      <c r="Y26" s="1692">
        <v>2</v>
      </c>
      <c r="Z26" s="914">
        <v>3</v>
      </c>
      <c r="AA26" s="1694">
        <v>2</v>
      </c>
      <c r="AB26" s="914">
        <v>1.5</v>
      </c>
      <c r="AC26" s="1694"/>
      <c r="AD26" s="914">
        <v>0</v>
      </c>
      <c r="AE26" s="914">
        <v>2</v>
      </c>
      <c r="AF26" s="914">
        <v>1</v>
      </c>
      <c r="AG26" s="914">
        <v>1</v>
      </c>
      <c r="AH26" s="1694"/>
      <c r="AI26" s="1694"/>
      <c r="AJ26" s="1694"/>
      <c r="AK26" s="1699">
        <f t="shared" si="4"/>
        <v>12.5</v>
      </c>
    </row>
    <row r="27" spans="1:37" s="1732" customFormat="1" ht="42" customHeight="1">
      <c r="A27" s="931">
        <v>20</v>
      </c>
      <c r="B27" s="1419" t="s">
        <v>2191</v>
      </c>
      <c r="C27" s="1103" t="s">
        <v>2192</v>
      </c>
      <c r="D27" s="1477">
        <v>44531</v>
      </c>
      <c r="E27" s="1669" t="s">
        <v>476</v>
      </c>
      <c r="F27" s="1097" t="s">
        <v>1918</v>
      </c>
      <c r="G27" s="1097" t="s">
        <v>1918</v>
      </c>
      <c r="H27" s="1325" t="s">
        <v>1918</v>
      </c>
      <c r="I27" s="1718">
        <v>285.12369753895013</v>
      </c>
      <c r="J27" s="1718">
        <v>383.92421934501141</v>
      </c>
      <c r="K27" s="1718">
        <v>433.98132140137079</v>
      </c>
      <c r="L27" s="1718">
        <v>451.74377405512251</v>
      </c>
      <c r="M27" s="1718">
        <v>293.99257066233179</v>
      </c>
      <c r="N27" s="1718">
        <v>265.56983825498168</v>
      </c>
      <c r="O27" s="1380">
        <v>256.04542370062393</v>
      </c>
      <c r="P27" s="1380">
        <v>225.57985865451269</v>
      </c>
      <c r="Q27" s="1306">
        <v>30</v>
      </c>
      <c r="R27" s="863">
        <f t="shared" si="0"/>
        <v>2625.9607036129046</v>
      </c>
      <c r="S27" s="863">
        <f>R27/10</f>
        <v>262.59607036129046</v>
      </c>
      <c r="T27" s="863">
        <f t="shared" si="2"/>
        <v>10.099848860049633</v>
      </c>
      <c r="U27" s="914">
        <f>P!X26</f>
        <v>0</v>
      </c>
      <c r="V27" s="863">
        <f t="shared" si="3"/>
        <v>0</v>
      </c>
      <c r="W27" s="914"/>
      <c r="X27" s="504"/>
      <c r="Y27" s="1692"/>
      <c r="Z27" s="914"/>
      <c r="AA27" s="1694"/>
      <c r="AB27" s="914">
        <v>1.5</v>
      </c>
      <c r="AC27" s="1694"/>
      <c r="AD27" s="914">
        <v>0</v>
      </c>
      <c r="AE27" s="914">
        <v>2</v>
      </c>
      <c r="AF27" s="914">
        <v>1</v>
      </c>
      <c r="AG27" s="914">
        <v>2</v>
      </c>
      <c r="AH27" s="1694"/>
      <c r="AI27" s="1694"/>
      <c r="AJ27" s="1694"/>
      <c r="AK27" s="1699">
        <f t="shared" si="4"/>
        <v>6.5</v>
      </c>
    </row>
    <row r="28" spans="1:37" s="871" customFormat="1" ht="42" customHeight="1">
      <c r="A28" s="931">
        <v>21</v>
      </c>
      <c r="B28" s="1516" t="s">
        <v>1021</v>
      </c>
      <c r="C28" s="1513" t="s">
        <v>1023</v>
      </c>
      <c r="D28" s="1491">
        <v>44531</v>
      </c>
      <c r="E28" s="830" t="s">
        <v>476</v>
      </c>
      <c r="F28" s="1718">
        <v>216.02113010446342</v>
      </c>
      <c r="G28" s="1718">
        <v>250.14921977489041</v>
      </c>
      <c r="H28" s="1719">
        <v>248.18497387875993</v>
      </c>
      <c r="I28" s="1718">
        <v>259.9612298564312</v>
      </c>
      <c r="J28" s="1718">
        <v>386.42421934501141</v>
      </c>
      <c r="K28" s="1718">
        <v>407.16252856054831</v>
      </c>
      <c r="L28" s="1718">
        <v>357.07535998484269</v>
      </c>
      <c r="M28" s="1718">
        <v>277.50860624523995</v>
      </c>
      <c r="N28" s="1718">
        <v>266.46628385080601</v>
      </c>
      <c r="O28" s="1306">
        <v>272.78322022157192</v>
      </c>
      <c r="P28" s="1306">
        <v>214.17820970082985</v>
      </c>
      <c r="Q28" s="1306">
        <v>30</v>
      </c>
      <c r="R28" s="863">
        <f t="shared" si="0"/>
        <v>3185.9149815233955</v>
      </c>
      <c r="S28" s="863">
        <f t="shared" si="7"/>
        <v>265.49291512694964</v>
      </c>
      <c r="T28" s="863">
        <f t="shared" si="2"/>
        <v>10.21126596642114</v>
      </c>
      <c r="U28" s="914">
        <f>P!X27</f>
        <v>0</v>
      </c>
      <c r="V28" s="863">
        <f t="shared" si="3"/>
        <v>0</v>
      </c>
      <c r="W28" s="914"/>
      <c r="X28" s="504"/>
      <c r="Y28" s="1692">
        <v>0</v>
      </c>
      <c r="Z28" s="914">
        <v>3</v>
      </c>
      <c r="AA28" s="1694">
        <v>3</v>
      </c>
      <c r="AB28" s="914">
        <v>7.5</v>
      </c>
      <c r="AC28" s="1694"/>
      <c r="AD28" s="914">
        <v>0</v>
      </c>
      <c r="AE28" s="914">
        <v>0</v>
      </c>
      <c r="AF28" s="914">
        <v>0</v>
      </c>
      <c r="AG28" s="914">
        <v>1</v>
      </c>
      <c r="AH28" s="1694"/>
      <c r="AI28" s="1694"/>
      <c r="AJ28" s="1694"/>
      <c r="AK28" s="1699">
        <f t="shared" si="4"/>
        <v>14.5</v>
      </c>
    </row>
    <row r="29" spans="1:37" s="1667" customFormat="1" ht="42" customHeight="1">
      <c r="A29" s="931">
        <v>22</v>
      </c>
      <c r="B29" s="1360" t="s">
        <v>2128</v>
      </c>
      <c r="C29" s="1103" t="s">
        <v>2129</v>
      </c>
      <c r="D29" s="688">
        <v>44533</v>
      </c>
      <c r="E29" s="1669" t="s">
        <v>476</v>
      </c>
      <c r="F29" s="1718">
        <v>218.96343779677113</v>
      </c>
      <c r="G29" s="1718">
        <v>245.49541169587749</v>
      </c>
      <c r="H29" s="1719">
        <v>250.5596651682485</v>
      </c>
      <c r="I29" s="1718">
        <v>315.12187844614704</v>
      </c>
      <c r="J29" s="1718">
        <v>400.46869763899468</v>
      </c>
      <c r="K29" s="1718">
        <v>448.46468012185829</v>
      </c>
      <c r="L29" s="1718">
        <v>489.74850390071282</v>
      </c>
      <c r="M29" s="1718">
        <v>285.42744892245548</v>
      </c>
      <c r="N29" s="1718">
        <v>267.53016535006839</v>
      </c>
      <c r="O29" s="1097" t="s">
        <v>1102</v>
      </c>
      <c r="P29" s="1097" t="s">
        <v>1102</v>
      </c>
      <c r="Q29" s="1306">
        <v>30</v>
      </c>
      <c r="R29" s="863">
        <f t="shared" si="0"/>
        <v>2951.7798890411336</v>
      </c>
      <c r="S29" s="863">
        <f>R29/10</f>
        <v>295.17798890411336</v>
      </c>
      <c r="T29" s="863">
        <f t="shared" si="2"/>
        <v>11.352999573235129</v>
      </c>
      <c r="U29" s="914">
        <f>P!X28</f>
        <v>0</v>
      </c>
      <c r="V29" s="863">
        <f t="shared" si="3"/>
        <v>0</v>
      </c>
      <c r="W29" s="914"/>
      <c r="X29" s="504"/>
      <c r="Y29" s="1692">
        <v>0</v>
      </c>
      <c r="Z29" s="914">
        <v>3</v>
      </c>
      <c r="AA29" s="1694">
        <v>2</v>
      </c>
      <c r="AB29" s="914">
        <v>1.5</v>
      </c>
      <c r="AC29" s="1694"/>
      <c r="AD29" s="914">
        <v>0</v>
      </c>
      <c r="AE29" s="914">
        <v>3</v>
      </c>
      <c r="AF29" s="914">
        <v>2</v>
      </c>
      <c r="AG29" s="914">
        <v>1</v>
      </c>
      <c r="AH29" s="1694"/>
      <c r="AI29" s="1694"/>
      <c r="AJ29" s="1694"/>
      <c r="AK29" s="1699">
        <f t="shared" si="4"/>
        <v>12.5</v>
      </c>
    </row>
    <row r="30" spans="1:37" s="963" customFormat="1" ht="42" customHeight="1">
      <c r="A30" s="931">
        <v>23</v>
      </c>
      <c r="B30" s="1334" t="s">
        <v>1357</v>
      </c>
      <c r="C30" s="956" t="s">
        <v>1360</v>
      </c>
      <c r="D30" s="1446">
        <v>44593</v>
      </c>
      <c r="E30" s="830" t="s">
        <v>476</v>
      </c>
      <c r="F30" s="1718">
        <v>234.42687559354223</v>
      </c>
      <c r="G30" s="1718">
        <v>298.54307582760725</v>
      </c>
      <c r="H30" s="1719">
        <v>251.46713026200717</v>
      </c>
      <c r="I30" s="1718">
        <v>252.36390133320637</v>
      </c>
      <c r="J30" s="1718">
        <v>370.01694592536171</v>
      </c>
      <c r="K30" s="1718">
        <v>452.92964584920026</v>
      </c>
      <c r="L30" s="1718">
        <v>487.7506896723541</v>
      </c>
      <c r="M30" s="1718">
        <v>298.68050354126103</v>
      </c>
      <c r="N30" s="1718">
        <v>267.18948539852431</v>
      </c>
      <c r="O30" s="1306">
        <v>269.12216503323833</v>
      </c>
      <c r="P30" s="1306">
        <v>222.16824986273073</v>
      </c>
      <c r="Q30" s="1306">
        <v>30</v>
      </c>
      <c r="R30" s="863">
        <f t="shared" si="0"/>
        <v>3434.6586682990328</v>
      </c>
      <c r="S30" s="863">
        <f t="shared" ref="S30:S32" si="8">R30/12</f>
        <v>286.22155569158605</v>
      </c>
      <c r="T30" s="863">
        <f t="shared" si="2"/>
        <v>11.008521372753309</v>
      </c>
      <c r="U30" s="914">
        <f>P!X29</f>
        <v>0</v>
      </c>
      <c r="V30" s="863">
        <f t="shared" si="3"/>
        <v>0</v>
      </c>
      <c r="W30" s="914"/>
      <c r="X30" s="504"/>
      <c r="Y30" s="1692">
        <v>0</v>
      </c>
      <c r="Z30" s="914">
        <v>3</v>
      </c>
      <c r="AA30" s="1694">
        <v>2</v>
      </c>
      <c r="AB30" s="914">
        <v>1.5</v>
      </c>
      <c r="AC30" s="1694"/>
      <c r="AD30" s="914">
        <v>0</v>
      </c>
      <c r="AE30" s="914">
        <v>2</v>
      </c>
      <c r="AF30" s="914">
        <v>1</v>
      </c>
      <c r="AG30" s="914">
        <v>1</v>
      </c>
      <c r="AH30" s="1694"/>
      <c r="AI30" s="1694"/>
      <c r="AJ30" s="1694"/>
      <c r="AK30" s="1699">
        <f t="shared" si="4"/>
        <v>10.5</v>
      </c>
    </row>
    <row r="31" spans="1:37" s="1046" customFormat="1" ht="42" customHeight="1">
      <c r="A31" s="931">
        <v>24</v>
      </c>
      <c r="B31" s="1334" t="s">
        <v>1358</v>
      </c>
      <c r="C31" s="956" t="s">
        <v>1362</v>
      </c>
      <c r="D31" s="1446">
        <v>44595</v>
      </c>
      <c r="E31" s="830" t="s">
        <v>476</v>
      </c>
      <c r="F31" s="1718">
        <v>211.46153846153845</v>
      </c>
      <c r="G31" s="1718">
        <v>250.80864151514288</v>
      </c>
      <c r="H31" s="1719">
        <v>242.6275405077177</v>
      </c>
      <c r="I31" s="1718">
        <v>297.37574964907094</v>
      </c>
      <c r="J31" s="1718">
        <v>380.86309977151558</v>
      </c>
      <c r="K31" s="1718">
        <v>444.96468012185829</v>
      </c>
      <c r="L31" s="1718">
        <v>412.08582862058438</v>
      </c>
      <c r="M31" s="1718">
        <v>298.20223889153533</v>
      </c>
      <c r="N31" s="1718">
        <v>270.63119538344114</v>
      </c>
      <c r="O31" s="1306">
        <v>268.12578451128428</v>
      </c>
      <c r="P31" s="1306">
        <v>211.80769230769232</v>
      </c>
      <c r="Q31" s="1306">
        <v>30</v>
      </c>
      <c r="R31" s="863">
        <f t="shared" si="0"/>
        <v>3318.9539897413811</v>
      </c>
      <c r="S31" s="863">
        <f t="shared" si="8"/>
        <v>276.57949914511511</v>
      </c>
      <c r="T31" s="863">
        <f t="shared" si="2"/>
        <v>10.637673044042888</v>
      </c>
      <c r="U31" s="914">
        <f>P!X30</f>
        <v>0</v>
      </c>
      <c r="V31" s="863">
        <f t="shared" si="3"/>
        <v>0</v>
      </c>
      <c r="W31" s="914"/>
      <c r="X31" s="504"/>
      <c r="Y31" s="1692">
        <v>0</v>
      </c>
      <c r="Z31" s="914">
        <v>3</v>
      </c>
      <c r="AA31" s="1694">
        <v>2</v>
      </c>
      <c r="AB31" s="914">
        <v>1.5</v>
      </c>
      <c r="AC31" s="1694"/>
      <c r="AD31" s="914">
        <v>0</v>
      </c>
      <c r="AE31" s="914">
        <v>2</v>
      </c>
      <c r="AF31" s="914">
        <v>1</v>
      </c>
      <c r="AG31" s="914">
        <v>3</v>
      </c>
      <c r="AH31" s="1694"/>
      <c r="AI31" s="1694"/>
      <c r="AJ31" s="1694"/>
      <c r="AK31" s="1699">
        <f t="shared" si="4"/>
        <v>12.5</v>
      </c>
    </row>
    <row r="32" spans="1:37" s="1046" customFormat="1" ht="42" customHeight="1">
      <c r="A32" s="931">
        <v>25</v>
      </c>
      <c r="B32" s="1334" t="s">
        <v>1359</v>
      </c>
      <c r="C32" s="956" t="s">
        <v>1363</v>
      </c>
      <c r="D32" s="1446">
        <v>44600</v>
      </c>
      <c r="E32" s="830" t="s">
        <v>476</v>
      </c>
      <c r="F32" s="1718">
        <v>196.61538461538461</v>
      </c>
      <c r="G32" s="1718">
        <v>229.21166105510366</v>
      </c>
      <c r="H32" s="1719">
        <v>239.70539563127042</v>
      </c>
      <c r="I32" s="1718">
        <v>258.61384439703653</v>
      </c>
      <c r="J32" s="1718">
        <v>328.51904036557499</v>
      </c>
      <c r="K32" s="1718">
        <v>437.08132140137081</v>
      </c>
      <c r="L32" s="1718">
        <v>453.61061008743354</v>
      </c>
      <c r="M32" s="1718">
        <v>179.20487181447405</v>
      </c>
      <c r="N32" s="1718">
        <v>265.56894879761035</v>
      </c>
      <c r="O32" s="1306">
        <v>274.83999461134079</v>
      </c>
      <c r="P32" s="1306">
        <v>211.80769230769232</v>
      </c>
      <c r="Q32" s="1306">
        <v>30</v>
      </c>
      <c r="R32" s="863">
        <f t="shared" si="0"/>
        <v>3104.7787650842924</v>
      </c>
      <c r="S32" s="863">
        <f t="shared" si="8"/>
        <v>258.73156375702439</v>
      </c>
      <c r="T32" s="863">
        <f t="shared" si="2"/>
        <v>9.9512139906547841</v>
      </c>
      <c r="U32" s="914">
        <f>P!X31</f>
        <v>0</v>
      </c>
      <c r="V32" s="863">
        <f t="shared" si="3"/>
        <v>0</v>
      </c>
      <c r="W32" s="914"/>
      <c r="X32" s="504"/>
      <c r="Y32" s="1692">
        <v>0</v>
      </c>
      <c r="Z32" s="914">
        <v>3</v>
      </c>
      <c r="AA32" s="1694">
        <v>2</v>
      </c>
      <c r="AB32" s="914">
        <v>1.5</v>
      </c>
      <c r="AC32" s="1694"/>
      <c r="AD32" s="914">
        <v>0</v>
      </c>
      <c r="AE32" s="914">
        <v>2</v>
      </c>
      <c r="AF32" s="914">
        <v>1</v>
      </c>
      <c r="AG32" s="914">
        <v>1</v>
      </c>
      <c r="AH32" s="1694"/>
      <c r="AI32" s="1694"/>
      <c r="AJ32" s="1694"/>
      <c r="AK32" s="1699">
        <f t="shared" si="4"/>
        <v>10.5</v>
      </c>
    </row>
    <row r="33" spans="1:37" s="1071" customFormat="1" ht="42" customHeight="1">
      <c r="A33" s="931">
        <v>26</v>
      </c>
      <c r="B33" s="1334" t="s">
        <v>1494</v>
      </c>
      <c r="C33" s="956" t="s">
        <v>1495</v>
      </c>
      <c r="D33" s="1446">
        <v>44623</v>
      </c>
      <c r="E33" s="830" t="s">
        <v>476</v>
      </c>
      <c r="F33" s="1718">
        <v>218.5807217473884</v>
      </c>
      <c r="G33" s="1718">
        <v>229.91279368978445</v>
      </c>
      <c r="H33" s="1719">
        <v>243.0596709907652</v>
      </c>
      <c r="I33" s="1718">
        <v>285.54746505263427</v>
      </c>
      <c r="J33" s="1718">
        <v>379.20582635186588</v>
      </c>
      <c r="K33" s="1718">
        <v>386.4894516374714</v>
      </c>
      <c r="L33" s="1718">
        <v>450.43300742150387</v>
      </c>
      <c r="M33" s="1718">
        <v>276.13157895506708</v>
      </c>
      <c r="N33" s="1718">
        <v>262.90743431585122</v>
      </c>
      <c r="O33" s="1306">
        <v>289.74358980542684</v>
      </c>
      <c r="P33" s="1306">
        <v>200.21153846153845</v>
      </c>
      <c r="Q33" s="1306">
        <v>30</v>
      </c>
      <c r="R33" s="863">
        <f t="shared" si="0"/>
        <v>3252.2230784292974</v>
      </c>
      <c r="S33" s="863">
        <f t="shared" ref="S33:S38" si="9">R33/12</f>
        <v>271.0185898691081</v>
      </c>
      <c r="T33" s="863">
        <f t="shared" si="2"/>
        <v>10.423791918042619</v>
      </c>
      <c r="U33" s="914">
        <f>P!X32</f>
        <v>1</v>
      </c>
      <c r="V33" s="863">
        <f t="shared" si="3"/>
        <v>10.423791918042619</v>
      </c>
      <c r="W33" s="914"/>
      <c r="X33" s="504"/>
      <c r="Y33" s="1692">
        <v>0</v>
      </c>
      <c r="Z33" s="914">
        <v>3</v>
      </c>
      <c r="AA33" s="1694">
        <v>2</v>
      </c>
      <c r="AB33" s="914">
        <v>1.5</v>
      </c>
      <c r="AC33" s="1694"/>
      <c r="AD33" s="914">
        <v>0</v>
      </c>
      <c r="AE33" s="914">
        <v>1</v>
      </c>
      <c r="AF33" s="914">
        <v>2</v>
      </c>
      <c r="AG33" s="914">
        <v>1</v>
      </c>
      <c r="AH33" s="1694"/>
      <c r="AI33" s="1694"/>
      <c r="AJ33" s="1694"/>
      <c r="AK33" s="1699">
        <f t="shared" si="4"/>
        <v>10.5</v>
      </c>
    </row>
    <row r="34" spans="1:37" s="1078" customFormat="1" ht="42" customHeight="1">
      <c r="A34" s="931">
        <v>27</v>
      </c>
      <c r="B34" s="1334" t="s">
        <v>1519</v>
      </c>
      <c r="C34" s="956" t="s">
        <v>1520</v>
      </c>
      <c r="D34" s="1446">
        <v>44677</v>
      </c>
      <c r="E34" s="830" t="s">
        <v>476</v>
      </c>
      <c r="F34" s="1718">
        <v>222.30769230769232</v>
      </c>
      <c r="G34" s="1718">
        <v>250.31378121317641</v>
      </c>
      <c r="H34" s="1719">
        <v>249.06474386268081</v>
      </c>
      <c r="I34" s="1718">
        <v>297.51306423501234</v>
      </c>
      <c r="J34" s="1718">
        <v>385.92421934501141</v>
      </c>
      <c r="K34" s="1718">
        <v>444.70356054836247</v>
      </c>
      <c r="L34" s="1718">
        <v>467.84479082648465</v>
      </c>
      <c r="M34" s="1718">
        <v>299.48546358741714</v>
      </c>
      <c r="N34" s="1718">
        <v>267.21966283636431</v>
      </c>
      <c r="O34" s="1306">
        <v>285.74202941229441</v>
      </c>
      <c r="P34" s="1306">
        <v>225.30903599473541</v>
      </c>
      <c r="Q34" s="1306">
        <v>30</v>
      </c>
      <c r="R34" s="863">
        <f t="shared" si="0"/>
        <v>3425.4280441692317</v>
      </c>
      <c r="S34" s="863">
        <f t="shared" si="9"/>
        <v>285.45233701410262</v>
      </c>
      <c r="T34" s="863">
        <f t="shared" si="2"/>
        <v>10.978936039003948</v>
      </c>
      <c r="U34" s="914">
        <f>P!X33</f>
        <v>0</v>
      </c>
      <c r="V34" s="863">
        <f t="shared" si="3"/>
        <v>0</v>
      </c>
      <c r="W34" s="914"/>
      <c r="X34" s="504"/>
      <c r="Y34" s="1692">
        <v>0</v>
      </c>
      <c r="Z34" s="914">
        <v>3</v>
      </c>
      <c r="AA34" s="1694">
        <v>2</v>
      </c>
      <c r="AB34" s="914">
        <v>1.5</v>
      </c>
      <c r="AC34" s="1694"/>
      <c r="AD34" s="914">
        <v>0</v>
      </c>
      <c r="AE34" s="914">
        <v>2</v>
      </c>
      <c r="AF34" s="914">
        <v>1</v>
      </c>
      <c r="AG34" s="914">
        <v>1</v>
      </c>
      <c r="AH34" s="1694"/>
      <c r="AI34" s="1694"/>
      <c r="AJ34" s="1694"/>
      <c r="AK34" s="1699">
        <f t="shared" si="4"/>
        <v>10.5</v>
      </c>
    </row>
    <row r="35" spans="1:37" s="1078" customFormat="1" ht="42" customHeight="1">
      <c r="A35" s="931">
        <v>28</v>
      </c>
      <c r="B35" s="1334" t="s">
        <v>1527</v>
      </c>
      <c r="C35" s="956" t="s">
        <v>1531</v>
      </c>
      <c r="D35" s="1446">
        <v>44699</v>
      </c>
      <c r="E35" s="830" t="s">
        <v>476</v>
      </c>
      <c r="F35" s="1718">
        <v>229.42687559354223</v>
      </c>
      <c r="G35" s="1718">
        <v>251.5403461369381</v>
      </c>
      <c r="H35" s="1719">
        <v>245.46045027412862</v>
      </c>
      <c r="I35" s="1718">
        <v>295.3348234013456</v>
      </c>
      <c r="J35" s="1718">
        <v>330.70658796648894</v>
      </c>
      <c r="K35" s="1718">
        <v>381.68307311500376</v>
      </c>
      <c r="L35" s="1718">
        <v>419.80208617497777</v>
      </c>
      <c r="M35" s="1718">
        <v>293.71725585331973</v>
      </c>
      <c r="N35" s="1718">
        <v>266.65185449163351</v>
      </c>
      <c r="O35" s="1306">
        <v>284.58494235155922</v>
      </c>
      <c r="P35" s="1306">
        <v>214.23758496980966</v>
      </c>
      <c r="Q35" s="1306">
        <v>30</v>
      </c>
      <c r="R35" s="863">
        <f t="shared" si="0"/>
        <v>3243.1458803287469</v>
      </c>
      <c r="S35" s="863">
        <f t="shared" si="9"/>
        <v>270.26215669406224</v>
      </c>
      <c r="T35" s="863">
        <f t="shared" si="2"/>
        <v>10.394698334387009</v>
      </c>
      <c r="U35" s="914">
        <f>P!X34</f>
        <v>0.5</v>
      </c>
      <c r="V35" s="863">
        <f t="shared" si="3"/>
        <v>5.1973491671935044</v>
      </c>
      <c r="W35" s="914"/>
      <c r="X35" s="504"/>
      <c r="Y35" s="1692">
        <v>0</v>
      </c>
      <c r="Z35" s="914">
        <v>3</v>
      </c>
      <c r="AA35" s="1694">
        <v>2</v>
      </c>
      <c r="AB35" s="914">
        <v>1.5</v>
      </c>
      <c r="AC35" s="1694"/>
      <c r="AD35" s="914">
        <v>0</v>
      </c>
      <c r="AE35" s="914">
        <v>3</v>
      </c>
      <c r="AF35" s="914">
        <v>1</v>
      </c>
      <c r="AG35" s="914">
        <v>1</v>
      </c>
      <c r="AH35" s="1694"/>
      <c r="AI35" s="1694"/>
      <c r="AJ35" s="1694"/>
      <c r="AK35" s="1699">
        <f t="shared" si="4"/>
        <v>11.5</v>
      </c>
    </row>
    <row r="36" spans="1:37" s="1078" customFormat="1" ht="42" customHeight="1">
      <c r="A36" s="931">
        <v>29</v>
      </c>
      <c r="B36" s="1334" t="s">
        <v>1528</v>
      </c>
      <c r="C36" s="956" t="s">
        <v>1532</v>
      </c>
      <c r="D36" s="1446">
        <v>44699</v>
      </c>
      <c r="E36" s="830" t="s">
        <v>476</v>
      </c>
      <c r="F36" s="1718">
        <v>195.19230769230768</v>
      </c>
      <c r="G36" s="1718">
        <v>252.0008603989574</v>
      </c>
      <c r="H36" s="1719">
        <v>244.32406801696447</v>
      </c>
      <c r="I36" s="1718">
        <v>295.45153248503084</v>
      </c>
      <c r="J36" s="1718">
        <v>303.20449352627566</v>
      </c>
      <c r="K36" s="1718">
        <v>445.96468012185829</v>
      </c>
      <c r="L36" s="1718">
        <v>462.70403556649501</v>
      </c>
      <c r="M36" s="1718">
        <v>297.58446052696718</v>
      </c>
      <c r="N36" s="1718">
        <v>262.99118532658827</v>
      </c>
      <c r="O36" s="1306">
        <v>246.82860045360044</v>
      </c>
      <c r="P36" s="1306">
        <v>211.80769230769232</v>
      </c>
      <c r="Q36" s="1306">
        <v>30</v>
      </c>
      <c r="R36" s="863">
        <f t="shared" si="0"/>
        <v>3248.0539164227375</v>
      </c>
      <c r="S36" s="863">
        <f t="shared" si="9"/>
        <v>270.67115970189479</v>
      </c>
      <c r="T36" s="863">
        <f t="shared" si="2"/>
        <v>10.410429219303646</v>
      </c>
      <c r="U36" s="914">
        <f>P!X35</f>
        <v>0</v>
      </c>
      <c r="V36" s="863">
        <f t="shared" si="3"/>
        <v>0</v>
      </c>
      <c r="W36" s="914"/>
      <c r="X36" s="504"/>
      <c r="Y36" s="1692">
        <v>0</v>
      </c>
      <c r="Z36" s="914">
        <v>3</v>
      </c>
      <c r="AA36" s="1694">
        <v>2</v>
      </c>
      <c r="AB36" s="914">
        <v>1.5</v>
      </c>
      <c r="AC36" s="1694"/>
      <c r="AD36" s="914">
        <v>0</v>
      </c>
      <c r="AE36" s="914">
        <v>2</v>
      </c>
      <c r="AF36" s="914">
        <v>1</v>
      </c>
      <c r="AG36" s="914">
        <v>1</v>
      </c>
      <c r="AH36" s="1694"/>
      <c r="AI36" s="1694"/>
      <c r="AJ36" s="1694"/>
      <c r="AK36" s="1699">
        <f t="shared" si="4"/>
        <v>10.5</v>
      </c>
    </row>
    <row r="37" spans="1:37" s="1078" customFormat="1" ht="42" customHeight="1">
      <c r="A37" s="931">
        <v>30</v>
      </c>
      <c r="B37" s="1334" t="s">
        <v>1529</v>
      </c>
      <c r="C37" s="956" t="s">
        <v>1533</v>
      </c>
      <c r="D37" s="1446">
        <v>44699</v>
      </c>
      <c r="E37" s="830" t="s">
        <v>476</v>
      </c>
      <c r="F37" s="1718">
        <v>222.30769230769229</v>
      </c>
      <c r="G37" s="1718">
        <v>259.67248109834111</v>
      </c>
      <c r="H37" s="1719">
        <v>249.31439171133806</v>
      </c>
      <c r="I37" s="1718">
        <v>291.0855349990938</v>
      </c>
      <c r="J37" s="1718">
        <v>380.81007235338916</v>
      </c>
      <c r="K37" s="1718">
        <v>398.09798172124903</v>
      </c>
      <c r="L37" s="1718">
        <v>459.32216658448363</v>
      </c>
      <c r="M37" s="1718">
        <v>296.60892735792771</v>
      </c>
      <c r="N37" s="1718">
        <v>263.17693555087499</v>
      </c>
      <c r="O37" s="1306">
        <v>267.71068195464318</v>
      </c>
      <c r="P37" s="1306">
        <v>225.53986020553918</v>
      </c>
      <c r="Q37" s="1306">
        <v>30</v>
      </c>
      <c r="R37" s="863">
        <f t="shared" si="0"/>
        <v>3343.6467258445718</v>
      </c>
      <c r="S37" s="863">
        <f t="shared" si="9"/>
        <v>278.63722715371432</v>
      </c>
      <c r="T37" s="863">
        <f t="shared" si="2"/>
        <v>10.716816428989013</v>
      </c>
      <c r="U37" s="914">
        <f>P!X36</f>
        <v>0.5</v>
      </c>
      <c r="V37" s="863">
        <f t="shared" si="3"/>
        <v>5.3584082144945064</v>
      </c>
      <c r="W37" s="914"/>
      <c r="X37" s="504"/>
      <c r="Y37" s="1692">
        <v>0</v>
      </c>
      <c r="Z37" s="914">
        <v>3</v>
      </c>
      <c r="AA37" s="1694">
        <v>2</v>
      </c>
      <c r="AB37" s="914">
        <v>1.5</v>
      </c>
      <c r="AC37" s="1694"/>
      <c r="AD37" s="914">
        <v>0</v>
      </c>
      <c r="AE37" s="914">
        <v>2</v>
      </c>
      <c r="AF37" s="914">
        <v>1.5</v>
      </c>
      <c r="AG37" s="914">
        <v>1</v>
      </c>
      <c r="AH37" s="1694"/>
      <c r="AI37" s="1694"/>
      <c r="AJ37" s="1694"/>
      <c r="AK37" s="1699">
        <f t="shared" si="4"/>
        <v>11</v>
      </c>
    </row>
    <row r="38" spans="1:37" s="1078" customFormat="1" ht="42" customHeight="1">
      <c r="A38" s="931">
        <v>31</v>
      </c>
      <c r="B38" s="1334" t="s">
        <v>1530</v>
      </c>
      <c r="C38" s="956" t="s">
        <v>1534</v>
      </c>
      <c r="D38" s="1446">
        <v>44701</v>
      </c>
      <c r="E38" s="830" t="s">
        <v>476</v>
      </c>
      <c r="F38" s="1718">
        <v>229.42687559354223</v>
      </c>
      <c r="G38" s="1718">
        <v>299.83700979166366</v>
      </c>
      <c r="H38" s="1719">
        <v>163.75988738712132</v>
      </c>
      <c r="I38" s="1718">
        <v>296.4386598181415</v>
      </c>
      <c r="J38" s="1718">
        <v>384.42421934501141</v>
      </c>
      <c r="K38" s="1718">
        <v>461.27579969535412</v>
      </c>
      <c r="L38" s="1718">
        <v>481.74984077708132</v>
      </c>
      <c r="M38" s="1718">
        <v>298.1264978800628</v>
      </c>
      <c r="N38" s="1718">
        <v>262.74983947986311</v>
      </c>
      <c r="O38" s="1306">
        <v>278.82131619034351</v>
      </c>
      <c r="P38" s="1306">
        <v>225.97780710072246</v>
      </c>
      <c r="Q38" s="1306">
        <v>30</v>
      </c>
      <c r="R38" s="863">
        <f t="shared" si="0"/>
        <v>3412.5877530589078</v>
      </c>
      <c r="S38" s="863">
        <f t="shared" si="9"/>
        <v>284.38231275490898</v>
      </c>
      <c r="T38" s="863">
        <f t="shared" si="2"/>
        <v>10.937781259804192</v>
      </c>
      <c r="U38" s="914">
        <f>P!X37</f>
        <v>0</v>
      </c>
      <c r="V38" s="863">
        <f t="shared" si="3"/>
        <v>0</v>
      </c>
      <c r="W38" s="914"/>
      <c r="X38" s="504"/>
      <c r="Y38" s="1692">
        <v>0</v>
      </c>
      <c r="Z38" s="914">
        <v>3</v>
      </c>
      <c r="AA38" s="1694">
        <v>1</v>
      </c>
      <c r="AB38" s="914">
        <v>1.5</v>
      </c>
      <c r="AC38" s="1694"/>
      <c r="AD38" s="914">
        <v>0</v>
      </c>
      <c r="AE38" s="914">
        <v>2</v>
      </c>
      <c r="AF38" s="914">
        <v>1</v>
      </c>
      <c r="AG38" s="914">
        <v>1</v>
      </c>
      <c r="AH38" s="1694"/>
      <c r="AI38" s="1694"/>
      <c r="AJ38" s="1694"/>
      <c r="AK38" s="1699">
        <f t="shared" si="4"/>
        <v>9.5</v>
      </c>
    </row>
    <row r="39" spans="1:37" s="1107" customFormat="1" ht="42" customHeight="1">
      <c r="A39" s="931">
        <v>32</v>
      </c>
      <c r="B39" s="1360" t="s">
        <v>1575</v>
      </c>
      <c r="C39" s="966" t="s">
        <v>1576</v>
      </c>
      <c r="D39" s="1472">
        <v>44725</v>
      </c>
      <c r="E39" s="830" t="s">
        <v>476</v>
      </c>
      <c r="F39" s="1718">
        <v>229.42687559354223</v>
      </c>
      <c r="G39" s="1718">
        <v>288.57969962080506</v>
      </c>
      <c r="H39" s="1719">
        <v>244.70574070162363</v>
      </c>
      <c r="I39" s="1718">
        <v>266.64596235405747</v>
      </c>
      <c r="J39" s="1718">
        <v>388.98533891850718</v>
      </c>
      <c r="K39" s="1718">
        <v>411.84796268088343</v>
      </c>
      <c r="L39" s="1718">
        <v>466.27173695051636</v>
      </c>
      <c r="M39" s="1718">
        <v>300.35047713777527</v>
      </c>
      <c r="N39" s="1718">
        <v>268.11232822350519</v>
      </c>
      <c r="O39" s="1306">
        <v>255.82756118733261</v>
      </c>
      <c r="P39" s="1306">
        <v>201.39927169860084</v>
      </c>
      <c r="Q39" s="1306">
        <v>30</v>
      </c>
      <c r="R39" s="863">
        <f t="shared" si="0"/>
        <v>3352.1529550671494</v>
      </c>
      <c r="S39" s="863">
        <f>R39/12</f>
        <v>279.34607958892911</v>
      </c>
      <c r="T39" s="863">
        <f t="shared" si="2"/>
        <v>10.744079984189581</v>
      </c>
      <c r="U39" s="914">
        <f>P!X38</f>
        <v>0</v>
      </c>
      <c r="V39" s="863">
        <f t="shared" si="3"/>
        <v>0</v>
      </c>
      <c r="W39" s="914"/>
      <c r="X39" s="504"/>
      <c r="Y39" s="1692">
        <v>0</v>
      </c>
      <c r="Z39" s="914">
        <v>3</v>
      </c>
      <c r="AA39" s="1694">
        <v>2</v>
      </c>
      <c r="AB39" s="914">
        <v>1.5</v>
      </c>
      <c r="AC39" s="1694"/>
      <c r="AD39" s="914">
        <v>0</v>
      </c>
      <c r="AE39" s="914">
        <v>2</v>
      </c>
      <c r="AF39" s="914">
        <v>1.5</v>
      </c>
      <c r="AG39" s="914">
        <v>1.5</v>
      </c>
      <c r="AH39" s="1694"/>
      <c r="AI39" s="1694"/>
      <c r="AJ39" s="1694"/>
      <c r="AK39" s="1699">
        <f t="shared" si="4"/>
        <v>11.5</v>
      </c>
    </row>
    <row r="40" spans="1:37" s="1254" customFormat="1" ht="42" customHeight="1">
      <c r="A40" s="931">
        <v>33</v>
      </c>
      <c r="B40" s="1334" t="s">
        <v>1634</v>
      </c>
      <c r="C40" s="956" t="s">
        <v>1635</v>
      </c>
      <c r="D40" s="1446">
        <v>44774</v>
      </c>
      <c r="E40" s="830" t="s">
        <v>476</v>
      </c>
      <c r="F40" s="1718">
        <v>225.86728395061726</v>
      </c>
      <c r="G40" s="1718">
        <v>260.37964488714812</v>
      </c>
      <c r="H40" s="1719">
        <v>225.49271807015077</v>
      </c>
      <c r="I40" s="1718">
        <v>285.17119861276615</v>
      </c>
      <c r="J40" s="1718">
        <v>385.42421934501141</v>
      </c>
      <c r="K40" s="1718">
        <v>447.46468012185829</v>
      </c>
      <c r="L40" s="1718">
        <v>469.18812640841344</v>
      </c>
      <c r="M40" s="1718">
        <v>299.11314131799321</v>
      </c>
      <c r="N40" s="1718">
        <v>267.86499430289797</v>
      </c>
      <c r="O40" s="1306">
        <v>275.22427777858098</v>
      </c>
      <c r="P40" s="1306">
        <v>214.27328626656728</v>
      </c>
      <c r="Q40" s="1306">
        <v>30</v>
      </c>
      <c r="R40" s="863">
        <f t="shared" si="0"/>
        <v>3385.463571062005</v>
      </c>
      <c r="S40" s="863">
        <f>R40/12</f>
        <v>282.12196425516709</v>
      </c>
      <c r="T40" s="863">
        <f t="shared" si="2"/>
        <v>10.850844779044888</v>
      </c>
      <c r="U40" s="914">
        <f>P!X39</f>
        <v>1</v>
      </c>
      <c r="V40" s="863">
        <f t="shared" si="3"/>
        <v>10.850844779044888</v>
      </c>
      <c r="W40" s="914"/>
      <c r="X40" s="504"/>
      <c r="Y40" s="1692">
        <v>0</v>
      </c>
      <c r="Z40" s="914">
        <v>3</v>
      </c>
      <c r="AA40" s="1694">
        <v>2</v>
      </c>
      <c r="AB40" s="914">
        <v>1.5</v>
      </c>
      <c r="AC40" s="1694"/>
      <c r="AD40" s="914">
        <v>0</v>
      </c>
      <c r="AE40" s="914">
        <v>2</v>
      </c>
      <c r="AF40" s="914">
        <v>1</v>
      </c>
      <c r="AG40" s="914">
        <v>1.5</v>
      </c>
      <c r="AH40" s="1694"/>
      <c r="AI40" s="1694"/>
      <c r="AJ40" s="1694"/>
      <c r="AK40" s="1699">
        <f t="shared" si="4"/>
        <v>11</v>
      </c>
    </row>
    <row r="41" spans="1:37" s="1379" customFormat="1" ht="42" customHeight="1">
      <c r="A41" s="931">
        <v>34</v>
      </c>
      <c r="B41" s="1445" t="s">
        <v>1855</v>
      </c>
      <c r="C41" s="1401" t="s">
        <v>1863</v>
      </c>
      <c r="D41" s="1479">
        <v>45036</v>
      </c>
      <c r="E41" s="830" t="s">
        <v>476</v>
      </c>
      <c r="F41" s="1718">
        <v>218.30769230769229</v>
      </c>
      <c r="G41" s="1718">
        <v>278.15695546272121</v>
      </c>
      <c r="H41" s="1719">
        <v>238.68732463182624</v>
      </c>
      <c r="I41" s="1718">
        <v>292.70313153791443</v>
      </c>
      <c r="J41" s="1718">
        <v>401.66774562071589</v>
      </c>
      <c r="K41" s="1718">
        <v>441.96468012185829</v>
      </c>
      <c r="L41" s="1718">
        <v>497.85508024308854</v>
      </c>
      <c r="M41" s="1718">
        <v>312.04375122204999</v>
      </c>
      <c r="N41" s="1718">
        <v>264.79714777362574</v>
      </c>
      <c r="O41" s="1306">
        <v>273.28131773056094</v>
      </c>
      <c r="P41" s="1306">
        <v>234.33915298190263</v>
      </c>
      <c r="Q41" s="1306">
        <v>30</v>
      </c>
      <c r="R41" s="863">
        <f t="shared" si="0"/>
        <v>3483.8039796339567</v>
      </c>
      <c r="S41" s="863">
        <f>R41/12</f>
        <v>290.31699830282975</v>
      </c>
      <c r="T41" s="863">
        <f t="shared" si="2"/>
        <v>11.166038396262682</v>
      </c>
      <c r="U41" s="914">
        <f>P!X40</f>
        <v>0</v>
      </c>
      <c r="V41" s="863">
        <f t="shared" si="3"/>
        <v>0</v>
      </c>
      <c r="W41" s="914"/>
      <c r="X41" s="504"/>
      <c r="Y41" s="1692">
        <v>0</v>
      </c>
      <c r="Z41" s="914">
        <v>2.5</v>
      </c>
      <c r="AA41" s="1694">
        <v>2</v>
      </c>
      <c r="AB41" s="914">
        <v>1.5</v>
      </c>
      <c r="AC41" s="1694"/>
      <c r="AD41" s="914">
        <v>0</v>
      </c>
      <c r="AE41" s="914">
        <v>2</v>
      </c>
      <c r="AF41" s="914">
        <v>1</v>
      </c>
      <c r="AG41" s="914">
        <v>1</v>
      </c>
      <c r="AH41" s="1694"/>
      <c r="AI41" s="1694"/>
      <c r="AJ41" s="1694"/>
      <c r="AK41" s="1699">
        <f t="shared" si="4"/>
        <v>10</v>
      </c>
    </row>
    <row r="42" spans="1:37" s="1379" customFormat="1" ht="42" customHeight="1">
      <c r="A42" s="931">
        <v>35</v>
      </c>
      <c r="B42" s="1445" t="s">
        <v>1856</v>
      </c>
      <c r="C42" s="1401" t="s">
        <v>1864</v>
      </c>
      <c r="D42" s="1479">
        <v>45036</v>
      </c>
      <c r="E42" s="830" t="s">
        <v>476</v>
      </c>
      <c r="F42" s="1718">
        <v>218.30769230769229</v>
      </c>
      <c r="G42" s="1718">
        <v>247.75311128954854</v>
      </c>
      <c r="H42" s="1719">
        <v>243.38691521137869</v>
      </c>
      <c r="I42" s="1718">
        <v>293.35957886221996</v>
      </c>
      <c r="J42" s="1718">
        <v>379.36309977151558</v>
      </c>
      <c r="K42" s="1718">
        <v>445.26468012185831</v>
      </c>
      <c r="L42" s="1718">
        <v>483.73589877604741</v>
      </c>
      <c r="M42" s="1718">
        <v>295.44022778134195</v>
      </c>
      <c r="N42" s="1718">
        <v>264.0797723381217</v>
      </c>
      <c r="O42" s="1306">
        <v>271.71087227346243</v>
      </c>
      <c r="P42" s="1306">
        <v>211.68612860569166</v>
      </c>
      <c r="Q42" s="1306">
        <v>30</v>
      </c>
      <c r="R42" s="863">
        <f t="shared" si="0"/>
        <v>3384.0879773388779</v>
      </c>
      <c r="S42" s="863">
        <f t="shared" ref="S42:S47" si="10">R42/12</f>
        <v>282.00733144490647</v>
      </c>
      <c r="T42" s="863">
        <f t="shared" si="2"/>
        <v>10.846435824804095</v>
      </c>
      <c r="U42" s="914">
        <f>P!X41</f>
        <v>0</v>
      </c>
      <c r="V42" s="863">
        <f t="shared" si="3"/>
        <v>0</v>
      </c>
      <c r="W42" s="914"/>
      <c r="X42" s="504"/>
      <c r="Y42" s="1692">
        <v>0</v>
      </c>
      <c r="Z42" s="914">
        <v>2</v>
      </c>
      <c r="AA42" s="1694">
        <v>2</v>
      </c>
      <c r="AB42" s="914">
        <v>1.5</v>
      </c>
      <c r="AC42" s="1694"/>
      <c r="AD42" s="914">
        <v>0</v>
      </c>
      <c r="AE42" s="914">
        <v>2</v>
      </c>
      <c r="AF42" s="914">
        <v>1</v>
      </c>
      <c r="AG42" s="914">
        <v>1</v>
      </c>
      <c r="AH42" s="1694"/>
      <c r="AI42" s="1694"/>
      <c r="AJ42" s="1694"/>
      <c r="AK42" s="1699">
        <f t="shared" si="4"/>
        <v>9.5</v>
      </c>
    </row>
    <row r="43" spans="1:37" s="1379" customFormat="1" ht="42" customHeight="1">
      <c r="A43" s="931">
        <v>36</v>
      </c>
      <c r="B43" s="1445" t="s">
        <v>1857</v>
      </c>
      <c r="C43" s="1401" t="s">
        <v>1865</v>
      </c>
      <c r="D43" s="1479">
        <v>45036</v>
      </c>
      <c r="E43" s="830" t="s">
        <v>476</v>
      </c>
      <c r="F43" s="1718">
        <v>221.86728395061726</v>
      </c>
      <c r="G43" s="1718">
        <v>269.61241918668196</v>
      </c>
      <c r="H43" s="1719">
        <v>243.96311447724096</v>
      </c>
      <c r="I43" s="1718">
        <v>275.90575651774247</v>
      </c>
      <c r="J43" s="1718">
        <v>382.98533891850718</v>
      </c>
      <c r="K43" s="1718">
        <v>437.84244097486669</v>
      </c>
      <c r="L43" s="1718">
        <v>468.80547156257512</v>
      </c>
      <c r="M43" s="1718">
        <v>279.26610272989768</v>
      </c>
      <c r="N43" s="1718">
        <v>263.72017392788496</v>
      </c>
      <c r="O43" s="1306">
        <v>299.66892743361404</v>
      </c>
      <c r="P43" s="1306">
        <v>220.65092836003154</v>
      </c>
      <c r="Q43" s="1306">
        <v>30</v>
      </c>
      <c r="R43" s="863">
        <f t="shared" si="0"/>
        <v>3394.2879580396602</v>
      </c>
      <c r="S43" s="863">
        <f t="shared" si="10"/>
        <v>282.85732983663837</v>
      </c>
      <c r="T43" s="863">
        <f t="shared" si="2"/>
        <v>10.879128070639938</v>
      </c>
      <c r="U43" s="914">
        <f>P!X42</f>
        <v>0</v>
      </c>
      <c r="V43" s="863">
        <f t="shared" si="3"/>
        <v>0</v>
      </c>
      <c r="W43" s="914"/>
      <c r="X43" s="504"/>
      <c r="Y43" s="1692">
        <v>0</v>
      </c>
      <c r="Z43" s="914">
        <v>2</v>
      </c>
      <c r="AA43" s="1694">
        <v>2</v>
      </c>
      <c r="AB43" s="914">
        <v>1.5</v>
      </c>
      <c r="AC43" s="1694"/>
      <c r="AD43" s="914">
        <v>0</v>
      </c>
      <c r="AE43" s="914">
        <v>2</v>
      </c>
      <c r="AF43" s="914">
        <v>1</v>
      </c>
      <c r="AG43" s="914">
        <v>1</v>
      </c>
      <c r="AH43" s="1694"/>
      <c r="AI43" s="1694"/>
      <c r="AJ43" s="1694"/>
      <c r="AK43" s="1699">
        <f t="shared" si="4"/>
        <v>9.5</v>
      </c>
    </row>
    <row r="44" spans="1:37" s="1379" customFormat="1" ht="42" customHeight="1">
      <c r="A44" s="931">
        <v>37</v>
      </c>
      <c r="B44" s="1445" t="s">
        <v>1858</v>
      </c>
      <c r="C44" s="1401" t="s">
        <v>1866</v>
      </c>
      <c r="D44" s="1479">
        <v>45036</v>
      </c>
      <c r="E44" s="830" t="s">
        <v>476</v>
      </c>
      <c r="F44" s="1718">
        <v>221.86728395061726</v>
      </c>
      <c r="G44" s="1718">
        <v>231.96527581139321</v>
      </c>
      <c r="H44" s="1719">
        <v>243.16522477222679</v>
      </c>
      <c r="I44" s="1718">
        <v>281.83687009665329</v>
      </c>
      <c r="J44" s="1718">
        <v>398.51170982482859</v>
      </c>
      <c r="K44" s="1718">
        <v>440.90356054836246</v>
      </c>
      <c r="L44" s="1718">
        <v>419.1042484450287</v>
      </c>
      <c r="M44" s="1718">
        <v>300.60444156495862</v>
      </c>
      <c r="N44" s="1718">
        <v>265.39089126299046</v>
      </c>
      <c r="O44" s="1306">
        <v>253.65849408486045</v>
      </c>
      <c r="P44" s="1306">
        <v>203.16558781501001</v>
      </c>
      <c r="Q44" s="1306">
        <v>30</v>
      </c>
      <c r="R44" s="863">
        <f t="shared" si="0"/>
        <v>3290.17358817693</v>
      </c>
      <c r="S44" s="863">
        <f t="shared" si="10"/>
        <v>274.18113234807748</v>
      </c>
      <c r="T44" s="863">
        <f t="shared" si="2"/>
        <v>10.54542816723375</v>
      </c>
      <c r="U44" s="914">
        <f>P!X43</f>
        <v>0</v>
      </c>
      <c r="V44" s="863">
        <f t="shared" si="3"/>
        <v>0</v>
      </c>
      <c r="W44" s="914"/>
      <c r="X44" s="504"/>
      <c r="Y44" s="1692">
        <v>0</v>
      </c>
      <c r="Z44" s="914">
        <v>3</v>
      </c>
      <c r="AA44" s="1694">
        <v>2</v>
      </c>
      <c r="AB44" s="914">
        <v>1.5</v>
      </c>
      <c r="AC44" s="1694"/>
      <c r="AD44" s="914">
        <v>0</v>
      </c>
      <c r="AE44" s="914">
        <v>2</v>
      </c>
      <c r="AF44" s="914">
        <v>2</v>
      </c>
      <c r="AG44" s="914">
        <v>2</v>
      </c>
      <c r="AH44" s="1694"/>
      <c r="AI44" s="1694"/>
      <c r="AJ44" s="1694"/>
      <c r="AK44" s="1699">
        <f t="shared" si="4"/>
        <v>12.5</v>
      </c>
    </row>
    <row r="45" spans="1:37" s="1379" customFormat="1" ht="42" customHeight="1">
      <c r="A45" s="931">
        <v>38</v>
      </c>
      <c r="B45" s="1445" t="s">
        <v>1859</v>
      </c>
      <c r="C45" s="1401" t="s">
        <v>1867</v>
      </c>
      <c r="D45" s="1479">
        <v>45036</v>
      </c>
      <c r="E45" s="830" t="s">
        <v>476</v>
      </c>
      <c r="F45" s="1718">
        <v>225.42687559354223</v>
      </c>
      <c r="G45" s="1718">
        <v>252.00999772085171</v>
      </c>
      <c r="H45" s="1719">
        <v>243.71668555778018</v>
      </c>
      <c r="I45" s="1718">
        <v>299.63192607474116</v>
      </c>
      <c r="J45" s="1718">
        <v>396.66869763899467</v>
      </c>
      <c r="K45" s="1718">
        <v>444.56468012185832</v>
      </c>
      <c r="L45" s="1718">
        <v>481.09770596317213</v>
      </c>
      <c r="M45" s="1718">
        <v>298.53893797952497</v>
      </c>
      <c r="N45" s="1718">
        <v>264.24351548661804</v>
      </c>
      <c r="O45" s="1306">
        <v>289.65648218631725</v>
      </c>
      <c r="P45" s="1306">
        <v>206.05505274780691</v>
      </c>
      <c r="Q45" s="1306">
        <v>30</v>
      </c>
      <c r="R45" s="863">
        <f t="shared" si="0"/>
        <v>3431.6105570712075</v>
      </c>
      <c r="S45" s="863">
        <f t="shared" si="10"/>
        <v>285.96754642260061</v>
      </c>
      <c r="T45" s="863">
        <f t="shared" si="2"/>
        <v>10.998751785484639</v>
      </c>
      <c r="U45" s="914">
        <f>P!X44</f>
        <v>0</v>
      </c>
      <c r="V45" s="863">
        <f t="shared" si="3"/>
        <v>0</v>
      </c>
      <c r="W45" s="914"/>
      <c r="X45" s="504"/>
      <c r="Y45" s="1692">
        <v>0</v>
      </c>
      <c r="Z45" s="914">
        <v>3</v>
      </c>
      <c r="AA45" s="1694">
        <v>2</v>
      </c>
      <c r="AB45" s="914">
        <v>1.5</v>
      </c>
      <c r="AC45" s="1694"/>
      <c r="AD45" s="914">
        <v>0</v>
      </c>
      <c r="AE45" s="914">
        <v>2</v>
      </c>
      <c r="AF45" s="914">
        <v>2</v>
      </c>
      <c r="AG45" s="914">
        <v>1</v>
      </c>
      <c r="AH45" s="1694"/>
      <c r="AI45" s="1694"/>
      <c r="AJ45" s="1694"/>
      <c r="AK45" s="1699">
        <f t="shared" si="4"/>
        <v>11.5</v>
      </c>
    </row>
    <row r="46" spans="1:37" s="1379" customFormat="1" ht="42" customHeight="1">
      <c r="A46" s="931">
        <v>39</v>
      </c>
      <c r="B46" s="1445" t="s">
        <v>1860</v>
      </c>
      <c r="C46" s="1401" t="s">
        <v>1868</v>
      </c>
      <c r="D46" s="1479">
        <v>45036</v>
      </c>
      <c r="E46" s="830" t="s">
        <v>476</v>
      </c>
      <c r="F46" s="1718">
        <v>203.73456790123456</v>
      </c>
      <c r="G46" s="1718">
        <v>220.94784379982949</v>
      </c>
      <c r="H46" s="1719">
        <v>239.42138382306737</v>
      </c>
      <c r="I46" s="1718">
        <v>297.32939010331467</v>
      </c>
      <c r="J46" s="1718">
        <v>326.01904036557499</v>
      </c>
      <c r="K46" s="1718">
        <v>419.37404798172122</v>
      </c>
      <c r="L46" s="1718">
        <v>439.11122707543001</v>
      </c>
      <c r="M46" s="1718">
        <v>296.16083062542543</v>
      </c>
      <c r="N46" s="1718">
        <v>270.20373104913051</v>
      </c>
      <c r="O46" s="1306">
        <v>253.8846885672572</v>
      </c>
      <c r="P46" s="1306">
        <v>205.26007675603392</v>
      </c>
      <c r="Q46" s="1306">
        <v>30</v>
      </c>
      <c r="R46" s="863">
        <f t="shared" si="0"/>
        <v>3201.4468280480201</v>
      </c>
      <c r="S46" s="863">
        <f t="shared" si="10"/>
        <v>266.78723567066834</v>
      </c>
      <c r="T46" s="863">
        <f t="shared" si="2"/>
        <v>10.261047525794936</v>
      </c>
      <c r="U46" s="914">
        <f>P!X45</f>
        <v>0</v>
      </c>
      <c r="V46" s="863">
        <f t="shared" si="3"/>
        <v>0</v>
      </c>
      <c r="W46" s="914"/>
      <c r="X46" s="504"/>
      <c r="Y46" s="1692">
        <v>0</v>
      </c>
      <c r="Z46" s="914">
        <v>3</v>
      </c>
      <c r="AA46" s="1694">
        <v>2</v>
      </c>
      <c r="AB46" s="914">
        <v>1.5</v>
      </c>
      <c r="AC46" s="1694"/>
      <c r="AD46" s="914">
        <v>0</v>
      </c>
      <c r="AE46" s="914">
        <v>2</v>
      </c>
      <c r="AF46" s="914">
        <v>2</v>
      </c>
      <c r="AG46" s="914">
        <v>5</v>
      </c>
      <c r="AH46" s="1694"/>
      <c r="AI46" s="1694"/>
      <c r="AJ46" s="1694"/>
      <c r="AK46" s="1699">
        <f t="shared" si="4"/>
        <v>15.5</v>
      </c>
    </row>
    <row r="47" spans="1:37" s="1379" customFormat="1" ht="42" customHeight="1">
      <c r="A47" s="931">
        <v>40</v>
      </c>
      <c r="B47" s="1445" t="s">
        <v>1861</v>
      </c>
      <c r="C47" s="1401" t="s">
        <v>1869</v>
      </c>
      <c r="D47" s="1479">
        <v>45036</v>
      </c>
      <c r="E47" s="830" t="s">
        <v>476</v>
      </c>
      <c r="F47" s="1718">
        <v>218.30769230769229</v>
      </c>
      <c r="G47" s="1718">
        <v>217.10445601340069</v>
      </c>
      <c r="H47" s="1719">
        <v>233.52237046975378</v>
      </c>
      <c r="I47" s="1718">
        <v>277.52387356963106</v>
      </c>
      <c r="J47" s="1718">
        <v>374.80198019801975</v>
      </c>
      <c r="K47" s="1718">
        <v>442.35576923076917</v>
      </c>
      <c r="L47" s="1718">
        <v>410.51363568908948</v>
      </c>
      <c r="M47" s="1718">
        <v>259.12124585588242</v>
      </c>
      <c r="N47" s="1718">
        <v>251.63698743349261</v>
      </c>
      <c r="O47" s="1306">
        <v>221.62160730918978</v>
      </c>
      <c r="P47" s="1306">
        <v>199.23076923076923</v>
      </c>
      <c r="Q47" s="1306">
        <v>30</v>
      </c>
      <c r="R47" s="863">
        <f t="shared" si="0"/>
        <v>3135.7403873076901</v>
      </c>
      <c r="S47" s="863">
        <f t="shared" si="10"/>
        <v>261.31169894230749</v>
      </c>
      <c r="T47" s="863">
        <f t="shared" si="2"/>
        <v>10.050449959319518</v>
      </c>
      <c r="U47" s="914">
        <f>P!X46</f>
        <v>0.5</v>
      </c>
      <c r="V47" s="863">
        <f t="shared" si="3"/>
        <v>5.0252249796597592</v>
      </c>
      <c r="W47" s="914"/>
      <c r="X47" s="504"/>
      <c r="Y47" s="1692">
        <v>0</v>
      </c>
      <c r="Z47" s="914">
        <v>3</v>
      </c>
      <c r="AA47" s="1694">
        <v>2</v>
      </c>
      <c r="AB47" s="914">
        <v>1.5</v>
      </c>
      <c r="AC47" s="1694"/>
      <c r="AD47" s="914">
        <v>0</v>
      </c>
      <c r="AE47" s="914">
        <v>2.5</v>
      </c>
      <c r="AF47" s="914">
        <v>1</v>
      </c>
      <c r="AG47" s="914">
        <v>1</v>
      </c>
      <c r="AH47" s="1694"/>
      <c r="AI47" s="1694"/>
      <c r="AJ47" s="1694"/>
      <c r="AK47" s="1699">
        <f t="shared" si="4"/>
        <v>11</v>
      </c>
    </row>
    <row r="48" spans="1:37" s="1760" customFormat="1" ht="42" customHeight="1">
      <c r="A48" s="931">
        <v>41</v>
      </c>
      <c r="B48" s="1445" t="s">
        <v>1862</v>
      </c>
      <c r="C48" s="1401" t="s">
        <v>1870</v>
      </c>
      <c r="D48" s="1479">
        <v>45036</v>
      </c>
      <c r="E48" s="830" t="s">
        <v>476</v>
      </c>
      <c r="F48" s="1718">
        <v>230.42687559354223</v>
      </c>
      <c r="G48" s="1718">
        <v>238.3442358923333</v>
      </c>
      <c r="H48" s="1719">
        <v>246.8933423582603</v>
      </c>
      <c r="I48" s="1718">
        <v>303.95986615406986</v>
      </c>
      <c r="J48" s="1718">
        <v>386.42421934501141</v>
      </c>
      <c r="K48" s="1718">
        <v>442.09986671744093</v>
      </c>
      <c r="L48" s="1718">
        <v>441.2135229682093</v>
      </c>
      <c r="M48" s="1718">
        <v>300.23931060028065</v>
      </c>
      <c r="N48" s="1718">
        <v>269.04226906114553</v>
      </c>
      <c r="O48" s="1306">
        <v>270.68228921370059</v>
      </c>
      <c r="P48" s="1306">
        <v>219.45966629664213</v>
      </c>
      <c r="Q48" s="1306">
        <v>30</v>
      </c>
      <c r="R48" s="863">
        <f t="shared" si="0"/>
        <v>3378.7854642006359</v>
      </c>
      <c r="S48" s="863">
        <f t="shared" ref="S48" si="11">R48/12</f>
        <v>281.56545535005301</v>
      </c>
      <c r="T48" s="863">
        <f t="shared" si="2"/>
        <v>10.829440590386655</v>
      </c>
      <c r="U48" s="914">
        <f>P!X47</f>
        <v>0</v>
      </c>
      <c r="V48" s="863">
        <f t="shared" si="3"/>
        <v>0</v>
      </c>
      <c r="W48" s="914"/>
      <c r="X48" s="504"/>
      <c r="Y48" s="1692">
        <v>0</v>
      </c>
      <c r="Z48" s="914">
        <v>3</v>
      </c>
      <c r="AA48" s="1694">
        <v>1</v>
      </c>
      <c r="AB48" s="914">
        <v>1.5</v>
      </c>
      <c r="AC48" s="1694"/>
      <c r="AD48" s="914">
        <v>0</v>
      </c>
      <c r="AE48" s="914">
        <v>2</v>
      </c>
      <c r="AF48" s="914">
        <v>1</v>
      </c>
      <c r="AG48" s="914">
        <v>1</v>
      </c>
      <c r="AH48" s="1694"/>
      <c r="AI48" s="1694"/>
      <c r="AJ48" s="1694"/>
      <c r="AK48" s="1699">
        <f t="shared" si="4"/>
        <v>9.5</v>
      </c>
    </row>
    <row r="49" spans="1:37" s="1760" customFormat="1" ht="42" customHeight="1">
      <c r="A49" s="931">
        <v>42</v>
      </c>
      <c r="B49" s="1445" t="s">
        <v>2201</v>
      </c>
      <c r="C49" s="1079" t="s">
        <v>2202</v>
      </c>
      <c r="D49" s="1382">
        <v>45419</v>
      </c>
      <c r="E49" s="627" t="s">
        <v>476</v>
      </c>
      <c r="F49" s="1325">
        <v>0</v>
      </c>
      <c r="G49" s="1325">
        <v>0</v>
      </c>
      <c r="H49" s="1325">
        <v>0</v>
      </c>
      <c r="I49" s="1325">
        <v>0</v>
      </c>
      <c r="J49" s="1718">
        <v>297.98369002284841</v>
      </c>
      <c r="K49" s="1718">
        <v>446.31906892612335</v>
      </c>
      <c r="L49" s="1718">
        <v>464.93463433118603</v>
      </c>
      <c r="M49" s="1718">
        <v>352.71991326749117</v>
      </c>
      <c r="N49" s="1718">
        <v>276.17826427659099</v>
      </c>
      <c r="O49" s="1325">
        <v>0</v>
      </c>
      <c r="P49" s="1325">
        <v>0</v>
      </c>
      <c r="Q49" s="1325">
        <v>0</v>
      </c>
      <c r="R49" s="863">
        <f t="shared" si="0"/>
        <v>1838.1355708242399</v>
      </c>
      <c r="S49" s="863">
        <f>R49/5</f>
        <v>367.62711416484797</v>
      </c>
      <c r="T49" s="863">
        <f t="shared" si="2"/>
        <v>14.139504390955691</v>
      </c>
      <c r="U49" s="914">
        <f>P!X48</f>
        <v>0</v>
      </c>
      <c r="V49" s="863">
        <f t="shared" si="3"/>
        <v>0</v>
      </c>
      <c r="W49" s="914"/>
      <c r="X49" s="504"/>
      <c r="Y49" s="1692"/>
      <c r="Z49" s="914"/>
      <c r="AA49" s="1694">
        <v>0</v>
      </c>
      <c r="AB49" s="914">
        <v>1.5</v>
      </c>
      <c r="AC49" s="1694"/>
      <c r="AD49" s="914">
        <v>0</v>
      </c>
      <c r="AE49" s="914">
        <v>0</v>
      </c>
      <c r="AF49" s="914">
        <v>1</v>
      </c>
      <c r="AG49" s="914">
        <v>1</v>
      </c>
      <c r="AH49" s="1694"/>
      <c r="AI49" s="1694"/>
      <c r="AJ49" s="1694"/>
      <c r="AK49" s="1699">
        <f t="shared" si="4"/>
        <v>3.5</v>
      </c>
    </row>
    <row r="50" spans="1:37" s="1712" customFormat="1" ht="42" customHeight="1">
      <c r="A50" s="931">
        <v>43</v>
      </c>
      <c r="B50" s="1360" t="s">
        <v>2217</v>
      </c>
      <c r="C50" s="1095" t="s">
        <v>2221</v>
      </c>
      <c r="D50" s="1328">
        <v>45475</v>
      </c>
      <c r="E50" s="830" t="s">
        <v>476</v>
      </c>
      <c r="F50" s="1325">
        <v>0</v>
      </c>
      <c r="G50" s="1325">
        <v>0</v>
      </c>
      <c r="H50" s="1325">
        <v>0</v>
      </c>
      <c r="I50" s="1325">
        <v>0</v>
      </c>
      <c r="J50" s="1325">
        <v>0</v>
      </c>
      <c r="K50" s="1325">
        <v>0</v>
      </c>
      <c r="L50" s="1718">
        <v>414.69481811292161</v>
      </c>
      <c r="M50" s="1718">
        <v>307.50133282559028</v>
      </c>
      <c r="N50" s="1718">
        <v>236.19607982574061</v>
      </c>
      <c r="O50" s="1325">
        <v>0</v>
      </c>
      <c r="P50" s="1325">
        <v>0</v>
      </c>
      <c r="Q50" s="1325">
        <v>0</v>
      </c>
      <c r="R50" s="863">
        <f t="shared" si="0"/>
        <v>958.39223076425253</v>
      </c>
      <c r="S50" s="863">
        <f>R50/3</f>
        <v>319.46407692141753</v>
      </c>
      <c r="T50" s="863">
        <f t="shared" si="2"/>
        <v>12.287079881592982</v>
      </c>
      <c r="U50" s="914">
        <f>P!X49</f>
        <v>0</v>
      </c>
      <c r="V50" s="863">
        <f t="shared" si="3"/>
        <v>0</v>
      </c>
      <c r="W50" s="914"/>
      <c r="X50" s="504"/>
      <c r="Y50" s="1692">
        <v>0</v>
      </c>
      <c r="Z50" s="914"/>
      <c r="AA50" s="1694"/>
      <c r="AB50" s="914"/>
      <c r="AC50" s="1694"/>
      <c r="AD50" s="914"/>
      <c r="AE50" s="914">
        <v>0</v>
      </c>
      <c r="AF50" s="1694"/>
      <c r="AG50" s="914">
        <v>1</v>
      </c>
      <c r="AH50" s="1694"/>
      <c r="AI50" s="1694"/>
      <c r="AJ50" s="1694"/>
      <c r="AK50" s="1699">
        <f t="shared" si="4"/>
        <v>1</v>
      </c>
    </row>
    <row r="51" spans="1:37" s="1742" customFormat="1" ht="42" customHeight="1">
      <c r="A51" s="931">
        <v>44</v>
      </c>
      <c r="B51" s="1360" t="s">
        <v>2218</v>
      </c>
      <c r="C51" s="1095" t="s">
        <v>2222</v>
      </c>
      <c r="D51" s="1328">
        <v>45496</v>
      </c>
      <c r="E51" s="830" t="s">
        <v>476</v>
      </c>
      <c r="F51" s="1325">
        <v>0</v>
      </c>
      <c r="G51" s="1325">
        <v>0</v>
      </c>
      <c r="H51" s="1325">
        <v>0</v>
      </c>
      <c r="I51" s="1325">
        <v>0</v>
      </c>
      <c r="J51" s="1325">
        <v>0</v>
      </c>
      <c r="K51" s="1325">
        <v>0</v>
      </c>
      <c r="L51" s="1718">
        <v>80.257279272451669</v>
      </c>
      <c r="M51" s="1718">
        <v>315.63728103579587</v>
      </c>
      <c r="N51" s="1718">
        <v>255.18944222984254</v>
      </c>
      <c r="O51" s="1325">
        <v>0</v>
      </c>
      <c r="P51" s="1325">
        <v>0</v>
      </c>
      <c r="Q51" s="1325">
        <v>0</v>
      </c>
      <c r="R51" s="863">
        <f t="shared" si="0"/>
        <v>651.08400253809009</v>
      </c>
      <c r="S51" s="863">
        <f>R51/3</f>
        <v>217.02800084603004</v>
      </c>
      <c r="T51" s="863">
        <f t="shared" si="2"/>
        <v>8.3472308017703867</v>
      </c>
      <c r="U51" s="914">
        <f>P!X50</f>
        <v>0</v>
      </c>
      <c r="V51" s="863">
        <f t="shared" si="3"/>
        <v>0</v>
      </c>
      <c r="W51" s="914"/>
      <c r="X51" s="504"/>
      <c r="Y51" s="1692"/>
      <c r="Z51" s="914"/>
      <c r="AA51" s="1694"/>
      <c r="AB51" s="914"/>
      <c r="AC51" s="1694"/>
      <c r="AD51" s="914"/>
      <c r="AE51" s="914">
        <v>0</v>
      </c>
      <c r="AF51" s="1694"/>
      <c r="AG51" s="914">
        <v>1</v>
      </c>
      <c r="AH51" s="1694"/>
      <c r="AI51" s="1694"/>
      <c r="AJ51" s="1694"/>
      <c r="AK51" s="1699">
        <f t="shared" si="4"/>
        <v>1</v>
      </c>
    </row>
    <row r="52" spans="1:37" s="1728" customFormat="1" ht="42" customHeight="1">
      <c r="A52" s="931">
        <v>45</v>
      </c>
      <c r="B52" s="1360" t="s">
        <v>2219</v>
      </c>
      <c r="C52" s="1095" t="s">
        <v>2223</v>
      </c>
      <c r="D52" s="1328">
        <v>45498</v>
      </c>
      <c r="E52" s="627" t="s">
        <v>476</v>
      </c>
      <c r="F52" s="1325">
        <v>0</v>
      </c>
      <c r="G52" s="1325">
        <v>0</v>
      </c>
      <c r="H52" s="1325">
        <v>0</v>
      </c>
      <c r="I52" s="1325">
        <v>0</v>
      </c>
      <c r="J52" s="1325">
        <v>0</v>
      </c>
      <c r="K52" s="1325">
        <v>0</v>
      </c>
      <c r="L52" s="1718">
        <v>59.03382910193254</v>
      </c>
      <c r="M52" s="1718">
        <v>279.17381949733436</v>
      </c>
      <c r="N52" s="1718">
        <v>257.44119811662716</v>
      </c>
      <c r="O52" s="1325">
        <v>0</v>
      </c>
      <c r="P52" s="1325">
        <v>0</v>
      </c>
      <c r="Q52" s="1325">
        <v>0</v>
      </c>
      <c r="R52" s="863">
        <f t="shared" si="0"/>
        <v>595.64884671589402</v>
      </c>
      <c r="S52" s="863">
        <f>R52/3</f>
        <v>198.54961557196467</v>
      </c>
      <c r="T52" s="863">
        <f t="shared" si="2"/>
        <v>7.6365236758447947</v>
      </c>
      <c r="U52" s="914">
        <f>P!X51</f>
        <v>0</v>
      </c>
      <c r="V52" s="863">
        <f t="shared" si="3"/>
        <v>0</v>
      </c>
      <c r="W52" s="914"/>
      <c r="X52" s="504"/>
      <c r="Y52" s="1692"/>
      <c r="Z52" s="914"/>
      <c r="AA52" s="1694"/>
      <c r="AB52" s="914"/>
      <c r="AC52" s="1694"/>
      <c r="AD52" s="914"/>
      <c r="AE52" s="914">
        <v>0</v>
      </c>
      <c r="AF52" s="1694"/>
      <c r="AG52" s="914">
        <v>1</v>
      </c>
      <c r="AH52" s="1694"/>
      <c r="AI52" s="1694"/>
      <c r="AJ52" s="1694"/>
      <c r="AK52" s="1699">
        <f t="shared" si="4"/>
        <v>1</v>
      </c>
    </row>
    <row r="53" spans="1:37" s="1728" customFormat="1" ht="42" customHeight="1">
      <c r="A53" s="931">
        <v>46</v>
      </c>
      <c r="B53" s="1360" t="s">
        <v>2220</v>
      </c>
      <c r="C53" s="1095" t="s">
        <v>2224</v>
      </c>
      <c r="D53" s="1328">
        <v>45498</v>
      </c>
      <c r="E53" s="627" t="s">
        <v>476</v>
      </c>
      <c r="F53" s="1325">
        <v>0</v>
      </c>
      <c r="G53" s="1325">
        <v>0</v>
      </c>
      <c r="H53" s="1325">
        <v>0</v>
      </c>
      <c r="I53" s="1325">
        <v>0</v>
      </c>
      <c r="J53" s="1325">
        <v>0</v>
      </c>
      <c r="K53" s="1325">
        <v>0</v>
      </c>
      <c r="L53" s="1718">
        <v>59.03382910193254</v>
      </c>
      <c r="M53" s="1718">
        <v>279.61395658796647</v>
      </c>
      <c r="N53" s="1718">
        <v>257.64966229144699</v>
      </c>
      <c r="O53" s="1325">
        <v>0</v>
      </c>
      <c r="P53" s="1325">
        <v>0</v>
      </c>
      <c r="Q53" s="1325">
        <v>0</v>
      </c>
      <c r="R53" s="863">
        <f t="shared" si="0"/>
        <v>596.29744798134607</v>
      </c>
      <c r="S53" s="863">
        <f>R53/3</f>
        <v>198.76581599378201</v>
      </c>
      <c r="T53" s="863">
        <f t="shared" si="2"/>
        <v>7.6448390766839234</v>
      </c>
      <c r="U53" s="914">
        <f>P!X52</f>
        <v>0</v>
      </c>
      <c r="V53" s="863">
        <f t="shared" si="3"/>
        <v>0</v>
      </c>
      <c r="W53" s="914"/>
      <c r="X53" s="504"/>
      <c r="Y53" s="1692"/>
      <c r="Z53" s="914"/>
      <c r="AA53" s="1694"/>
      <c r="AB53" s="914"/>
      <c r="AC53" s="1694"/>
      <c r="AD53" s="1759"/>
      <c r="AE53" s="914">
        <v>0</v>
      </c>
      <c r="AF53" s="1694"/>
      <c r="AG53" s="914">
        <v>1</v>
      </c>
      <c r="AH53" s="1694"/>
      <c r="AI53" s="1694"/>
      <c r="AJ53" s="1694"/>
      <c r="AK53" s="1699">
        <f t="shared" si="4"/>
        <v>1</v>
      </c>
    </row>
    <row r="54" spans="1:37" s="871" customFormat="1" ht="38.25" customHeight="1">
      <c r="A54" s="2191" t="s">
        <v>214</v>
      </c>
      <c r="B54" s="2191"/>
      <c r="C54" s="2191"/>
      <c r="D54" s="2191"/>
      <c r="E54" s="2191"/>
      <c r="F54" s="2192"/>
      <c r="G54" s="2192"/>
      <c r="H54" s="2192"/>
      <c r="I54" s="2192"/>
      <c r="J54" s="2192"/>
      <c r="K54" s="2191"/>
      <c r="L54" s="2191"/>
      <c r="M54" s="2191"/>
      <c r="N54" s="2191"/>
      <c r="O54" s="2191"/>
      <c r="P54" s="2191"/>
      <c r="Q54" s="2191"/>
      <c r="R54" s="2191"/>
      <c r="S54" s="932"/>
      <c r="T54" s="932"/>
      <c r="U54" s="933"/>
      <c r="V54" s="953">
        <f>SUM(V8:V53)</f>
        <v>48.113939284781402</v>
      </c>
      <c r="W54" s="933"/>
      <c r="X54" s="504"/>
    </row>
    <row r="55" spans="1:37" s="871" customFormat="1" ht="15.75">
      <c r="A55" s="842"/>
      <c r="B55" s="842"/>
      <c r="C55" s="842"/>
      <c r="D55" s="567"/>
      <c r="E55" s="842"/>
      <c r="F55" s="934"/>
      <c r="G55" s="934"/>
      <c r="H55" s="934"/>
      <c r="I55" s="934"/>
      <c r="J55" s="934"/>
      <c r="K55" s="934"/>
      <c r="L55" s="934"/>
      <c r="M55" s="934"/>
      <c r="N55" s="934"/>
      <c r="O55" s="934"/>
      <c r="P55" s="934"/>
      <c r="Q55" s="934"/>
      <c r="R55" s="870"/>
      <c r="S55" s="870"/>
      <c r="T55" s="870"/>
      <c r="U55" s="896"/>
      <c r="V55" s="870"/>
      <c r="W55" s="896"/>
      <c r="X55" s="842"/>
    </row>
    <row r="56" spans="1:37" s="871" customFormat="1" ht="27" customHeight="1">
      <c r="A56" s="2132" t="s">
        <v>1155</v>
      </c>
      <c r="B56" s="2132"/>
      <c r="C56" s="2132"/>
      <c r="D56" s="872"/>
      <c r="F56" s="921"/>
      <c r="G56" s="921"/>
      <c r="H56" s="2186" t="s">
        <v>1156</v>
      </c>
      <c r="I56" s="2186"/>
      <c r="J56" s="2186"/>
      <c r="K56" s="2186"/>
      <c r="L56" s="921"/>
      <c r="M56" s="921"/>
      <c r="N56" s="921"/>
      <c r="O56" s="921"/>
      <c r="P56" s="921"/>
      <c r="Q56" s="921"/>
      <c r="R56" s="2133" t="s">
        <v>1157</v>
      </c>
      <c r="S56" s="2133"/>
      <c r="T56" s="2133"/>
      <c r="U56" s="898"/>
      <c r="V56" s="873"/>
      <c r="W56" s="898"/>
      <c r="X56" s="843"/>
    </row>
  </sheetData>
  <mergeCells count="11">
    <mergeCell ref="A54:R54"/>
    <mergeCell ref="A56:C56"/>
    <mergeCell ref="H56:K56"/>
    <mergeCell ref="R56:T56"/>
    <mergeCell ref="F6:Q6"/>
    <mergeCell ref="A5:C5"/>
    <mergeCell ref="L5:R5"/>
    <mergeCell ref="A1:T1"/>
    <mergeCell ref="A2:T2"/>
    <mergeCell ref="A3:T3"/>
    <mergeCell ref="A4:T4"/>
  </mergeCell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M61"/>
  <sheetViews>
    <sheetView view="pageBreakPreview" zoomScale="80" zoomScaleNormal="100" zoomScaleSheetLayoutView="80" workbookViewId="0">
      <pane xSplit="5" ySplit="5" topLeftCell="F51" activePane="bottomRight" state="frozen"/>
      <selection pane="topRight" activeCell="K1" sqref="K1"/>
      <selection pane="bottomLeft" activeCell="A6" sqref="A6"/>
      <selection pane="bottomRight" activeCell="L49" sqref="L49"/>
    </sheetView>
  </sheetViews>
  <sheetFormatPr defaultRowHeight="15.75"/>
  <cols>
    <col min="1" max="1" width="5.625" style="544" customWidth="1"/>
    <col min="2" max="2" width="11" style="755" customWidth="1"/>
    <col min="3" max="3" width="12" style="755" customWidth="1"/>
    <col min="4" max="4" width="11.375" style="555" customWidth="1"/>
    <col min="5" max="5" width="8.75" style="610" customWidth="1"/>
    <col min="6" max="6" width="8.625" style="556" customWidth="1"/>
    <col min="7" max="7" width="5.75" style="544" customWidth="1"/>
    <col min="8" max="8" width="5.625" style="544" customWidth="1"/>
    <col min="9" max="9" width="8.25" style="544" customWidth="1"/>
    <col min="10" max="10" width="9.375" style="780" customWidth="1"/>
    <col min="11" max="11" width="8.875" style="544" customWidth="1"/>
    <col min="12" max="13" width="5.375" style="544" customWidth="1"/>
    <col min="14" max="14" width="8.25" style="544" customWidth="1"/>
    <col min="15" max="15" width="5.125" style="544" customWidth="1"/>
    <col min="16" max="16" width="6.375" style="544" customWidth="1"/>
    <col min="17" max="17" width="8.125" style="544" customWidth="1"/>
    <col min="18" max="18" width="5.125" style="544" customWidth="1"/>
    <col min="19" max="19" width="5.5" style="544" customWidth="1"/>
    <col min="20" max="20" width="8.25" style="544" customWidth="1"/>
    <col min="21" max="21" width="5.125" style="544" customWidth="1"/>
    <col min="22" max="22" width="5.75" style="544" customWidth="1"/>
    <col min="23" max="23" width="8.375" style="544" customWidth="1"/>
    <col min="24" max="24" width="5.5" style="544" customWidth="1"/>
    <col min="25" max="25" width="8.5" style="544" customWidth="1"/>
    <col min="26" max="26" width="5" style="544" customWidth="1"/>
    <col min="27" max="27" width="6.25" style="544" customWidth="1"/>
    <col min="28" max="28" width="9.125" style="544" customWidth="1"/>
    <col min="29" max="29" width="5.25" style="544" customWidth="1"/>
    <col min="30" max="30" width="6.125" style="544" customWidth="1"/>
    <col min="31" max="31" width="9" style="544" customWidth="1"/>
    <col min="32" max="32" width="7.375" style="780" customWidth="1"/>
    <col min="33" max="34" width="5.5" style="544" customWidth="1"/>
    <col min="35" max="35" width="8" style="544" customWidth="1"/>
    <col min="36" max="36" width="7.75" style="544" customWidth="1"/>
    <col min="37" max="38" width="8.625" style="544" customWidth="1"/>
    <col min="39" max="39" width="12.875" style="544" customWidth="1"/>
    <col min="40" max="40" width="8.625" style="544" customWidth="1"/>
    <col min="41" max="41" width="11" style="544" customWidth="1"/>
    <col min="42" max="42" width="8.125" style="544" customWidth="1"/>
    <col min="43" max="43" width="8.75" style="544" customWidth="1"/>
    <col min="44" max="44" width="11.25" style="544" customWidth="1"/>
    <col min="45" max="45" width="14.25" style="544" customWidth="1"/>
    <col min="46" max="46" width="10.75" style="544" customWidth="1"/>
    <col min="47" max="47" width="19.25" style="544" customWidth="1"/>
    <col min="48" max="48" width="8.5" style="544" customWidth="1"/>
    <col min="49" max="49" width="10.5" style="544" hidden="1" customWidth="1"/>
    <col min="50" max="51" width="9" style="544"/>
    <col min="52" max="54" width="11.375" style="544" customWidth="1"/>
    <col min="55" max="55" width="8.75" style="544" customWidth="1"/>
    <col min="56" max="58" width="9" style="544"/>
    <col min="59" max="59" width="11.125" style="544" customWidth="1"/>
    <col min="60" max="60" width="9" style="544"/>
    <col min="61" max="61" width="17.875" style="544" customWidth="1"/>
    <col min="62" max="62" width="9" style="544"/>
    <col min="63" max="65" width="15.125" style="544" customWidth="1"/>
    <col min="66" max="16384" width="9" style="544"/>
  </cols>
  <sheetData>
    <row r="1" spans="1:65" s="541" customFormat="1" ht="29.25" customHeight="1">
      <c r="A1" s="2110" t="s">
        <v>222</v>
      </c>
      <c r="B1" s="2110"/>
      <c r="C1" s="2110"/>
      <c r="D1" s="2110"/>
      <c r="E1" s="2110"/>
      <c r="F1" s="2110"/>
      <c r="G1" s="2110"/>
      <c r="H1" s="2110"/>
      <c r="I1" s="2110"/>
      <c r="J1" s="2110"/>
      <c r="K1" s="2110"/>
      <c r="L1" s="2110"/>
      <c r="M1" s="2110"/>
      <c r="N1" s="2110"/>
      <c r="O1" s="2110"/>
      <c r="P1" s="2110"/>
      <c r="Q1" s="2110"/>
      <c r="R1" s="2110"/>
      <c r="S1" s="2110"/>
      <c r="T1" s="2110"/>
      <c r="U1" s="2110"/>
      <c r="V1" s="2110"/>
      <c r="W1" s="2110"/>
      <c r="X1" s="2110"/>
      <c r="Y1" s="2110"/>
      <c r="Z1" s="2110"/>
      <c r="AA1" s="2110"/>
      <c r="AB1" s="2110"/>
      <c r="AC1" s="2110"/>
      <c r="AD1" s="2110"/>
      <c r="AE1" s="2110"/>
      <c r="AF1" s="2110"/>
      <c r="AG1" s="2110"/>
      <c r="AH1" s="2110"/>
      <c r="AI1" s="2110"/>
      <c r="AJ1" s="2110"/>
      <c r="AK1" s="2110"/>
      <c r="AL1" s="2110"/>
      <c r="AM1" s="2110"/>
      <c r="AN1" s="2110"/>
      <c r="AO1" s="2110"/>
      <c r="AP1" s="2110"/>
      <c r="AQ1" s="2110"/>
      <c r="AR1" s="2110"/>
      <c r="AS1" s="2110"/>
      <c r="AT1" s="2110"/>
      <c r="AU1" s="2110"/>
      <c r="AV1" s="751"/>
    </row>
    <row r="2" spans="1:65" s="541" customFormat="1" ht="20.25" customHeight="1">
      <c r="A2" s="2110" t="s">
        <v>221</v>
      </c>
      <c r="B2" s="2110"/>
      <c r="C2" s="2110"/>
      <c r="D2" s="2110"/>
      <c r="E2" s="2110"/>
      <c r="F2" s="2110"/>
      <c r="G2" s="2110"/>
      <c r="H2" s="2110"/>
      <c r="I2" s="2110"/>
      <c r="J2" s="2110"/>
      <c r="K2" s="2110"/>
      <c r="L2" s="2110"/>
      <c r="M2" s="2110"/>
      <c r="N2" s="2110"/>
      <c r="O2" s="2110"/>
      <c r="P2" s="2110"/>
      <c r="Q2" s="2110"/>
      <c r="R2" s="2110"/>
      <c r="S2" s="2110"/>
      <c r="T2" s="2110"/>
      <c r="U2" s="2110"/>
      <c r="V2" s="2110"/>
      <c r="W2" s="2110"/>
      <c r="X2" s="2110"/>
      <c r="Y2" s="2110"/>
      <c r="Z2" s="2110"/>
      <c r="AA2" s="2110"/>
      <c r="AB2" s="2110"/>
      <c r="AC2" s="2110"/>
      <c r="AD2" s="2110"/>
      <c r="AE2" s="2110"/>
      <c r="AF2" s="2110"/>
      <c r="AG2" s="2110"/>
      <c r="AH2" s="2110"/>
      <c r="AI2" s="2110"/>
      <c r="AJ2" s="2110"/>
      <c r="AK2" s="2110"/>
      <c r="AL2" s="2110"/>
      <c r="AM2" s="2110"/>
      <c r="AN2" s="2110"/>
      <c r="AO2" s="2110"/>
      <c r="AP2" s="2110"/>
      <c r="AQ2" s="2110"/>
      <c r="AR2" s="2110"/>
      <c r="AS2" s="2110"/>
      <c r="AT2" s="2110"/>
      <c r="AU2" s="2110"/>
      <c r="AV2" s="751"/>
    </row>
    <row r="3" spans="1:65" s="541" customFormat="1" ht="19.5" customHeight="1">
      <c r="A3" s="2111" t="s">
        <v>2344</v>
      </c>
      <c r="B3" s="2111"/>
      <c r="C3" s="2111"/>
      <c r="D3" s="2111"/>
      <c r="E3" s="2111"/>
      <c r="F3" s="2111"/>
      <c r="G3" s="2111"/>
      <c r="H3" s="2111"/>
      <c r="I3" s="2111"/>
      <c r="J3" s="2111"/>
      <c r="K3" s="2111"/>
      <c r="L3" s="2111"/>
      <c r="M3" s="2111"/>
      <c r="N3" s="2111"/>
      <c r="O3" s="2111"/>
      <c r="P3" s="2111"/>
      <c r="Q3" s="2111"/>
      <c r="R3" s="2111"/>
      <c r="S3" s="2111"/>
      <c r="T3" s="2111"/>
      <c r="U3" s="2111"/>
      <c r="V3" s="2111"/>
      <c r="W3" s="2111"/>
      <c r="X3" s="2111"/>
      <c r="Y3" s="2111"/>
      <c r="Z3" s="2111"/>
      <c r="AA3" s="2111"/>
      <c r="AB3" s="2111"/>
      <c r="AC3" s="2111"/>
      <c r="AD3" s="2111"/>
      <c r="AE3" s="2111"/>
      <c r="AF3" s="2111"/>
      <c r="AG3" s="2111"/>
      <c r="AH3" s="2111"/>
      <c r="AI3" s="2111"/>
      <c r="AJ3" s="2111"/>
      <c r="AK3" s="2111"/>
      <c r="AL3" s="2111"/>
      <c r="AM3" s="2111"/>
      <c r="AN3" s="2111"/>
      <c r="AO3" s="2111"/>
      <c r="AP3" s="2111"/>
      <c r="AQ3" s="2111"/>
      <c r="AR3" s="2111"/>
      <c r="AS3" s="2111"/>
      <c r="AT3" s="2111"/>
      <c r="AU3" s="752"/>
    </row>
    <row r="4" spans="1:65" s="1040" customFormat="1" ht="20.25" customHeight="1">
      <c r="A4" s="1373" t="s">
        <v>342</v>
      </c>
      <c r="B4" s="1373"/>
      <c r="C4" s="2091" t="s">
        <v>2341</v>
      </c>
      <c r="D4" s="2092"/>
      <c r="E4" s="2092"/>
      <c r="F4" s="2092"/>
      <c r="G4" s="1373"/>
      <c r="H4" s="1373"/>
      <c r="I4" s="1373"/>
      <c r="J4" s="1377"/>
      <c r="K4" s="1373"/>
      <c r="L4" s="1373"/>
      <c r="M4" s="1373"/>
      <c r="N4" s="1373"/>
      <c r="O4" s="1373"/>
      <c r="P4" s="1373"/>
      <c r="Q4" s="1373"/>
      <c r="R4" s="1373"/>
      <c r="S4" s="1373"/>
      <c r="T4" s="1373"/>
      <c r="U4" s="1373"/>
      <c r="V4" s="1373"/>
      <c r="W4" s="1373"/>
      <c r="X4" s="1373"/>
      <c r="Y4" s="1373"/>
      <c r="Z4" s="1373"/>
      <c r="AA4" s="1373"/>
      <c r="AB4" s="1373"/>
      <c r="AC4" s="1373"/>
      <c r="AD4" s="1373"/>
      <c r="AE4" s="1373"/>
      <c r="AF4" s="1377"/>
      <c r="AG4" s="1373"/>
      <c r="AH4" s="1373"/>
      <c r="AI4" s="1373"/>
      <c r="AJ4" s="1373"/>
      <c r="AK4" s="1373"/>
      <c r="AL4" s="1373"/>
      <c r="AM4" s="1373"/>
      <c r="AN4" s="1373"/>
      <c r="AO4" s="1373"/>
      <c r="AP4" s="1373"/>
      <c r="AQ4" s="1373"/>
      <c r="AR4" s="1373"/>
      <c r="AS4" s="1373"/>
      <c r="AT4" s="1373"/>
      <c r="AU4" s="1373"/>
      <c r="AV4" s="1372"/>
      <c r="AX4" s="2075" t="s">
        <v>472</v>
      </c>
      <c r="AY4" s="2075"/>
      <c r="AZ4" s="2075"/>
      <c r="BA4" s="2075"/>
      <c r="BB4" s="2075"/>
      <c r="BC4" s="2075"/>
      <c r="BD4" s="2075"/>
      <c r="BE4" s="2075"/>
      <c r="BF4" s="2075"/>
      <c r="BG4" s="2075"/>
    </row>
    <row r="5" spans="1:65" ht="69.95" customHeight="1">
      <c r="A5" s="722" t="s">
        <v>252</v>
      </c>
      <c r="B5" s="722" t="s">
        <v>253</v>
      </c>
      <c r="C5" s="722" t="s">
        <v>911</v>
      </c>
      <c r="D5" s="722" t="s">
        <v>254</v>
      </c>
      <c r="E5" s="1138" t="s">
        <v>227</v>
      </c>
      <c r="F5" s="724" t="s">
        <v>255</v>
      </c>
      <c r="G5" s="643" t="s">
        <v>256</v>
      </c>
      <c r="H5" s="2193" t="s">
        <v>1757</v>
      </c>
      <c r="I5" s="2193"/>
      <c r="J5" s="2193"/>
      <c r="K5" s="2193"/>
      <c r="L5" s="2120" t="s">
        <v>1744</v>
      </c>
      <c r="M5" s="2094"/>
      <c r="N5" s="2095"/>
      <c r="O5" s="2120" t="s">
        <v>1749</v>
      </c>
      <c r="P5" s="2094"/>
      <c r="Q5" s="2095"/>
      <c r="R5" s="2120" t="s">
        <v>1758</v>
      </c>
      <c r="S5" s="2094"/>
      <c r="T5" s="2095"/>
      <c r="U5" s="2117" t="s">
        <v>1759</v>
      </c>
      <c r="V5" s="2118"/>
      <c r="W5" s="2119"/>
      <c r="X5" s="2102" t="s">
        <v>1674</v>
      </c>
      <c r="Y5" s="2103"/>
      <c r="Z5" s="2093" t="s">
        <v>1675</v>
      </c>
      <c r="AA5" s="2094"/>
      <c r="AB5" s="2095"/>
      <c r="AC5" s="2096" t="s">
        <v>1664</v>
      </c>
      <c r="AD5" s="1126" t="s">
        <v>258</v>
      </c>
      <c r="AE5" s="2098" t="s">
        <v>220</v>
      </c>
      <c r="AF5" s="1288" t="s">
        <v>1835</v>
      </c>
      <c r="AG5" s="2100" t="s">
        <v>1840</v>
      </c>
      <c r="AH5" s="1268" t="s">
        <v>1832</v>
      </c>
      <c r="AI5" s="2080" t="s">
        <v>1666</v>
      </c>
      <c r="AJ5" s="2080" t="s">
        <v>1665</v>
      </c>
      <c r="AK5" s="2076" t="s">
        <v>1755</v>
      </c>
      <c r="AL5" s="2078" t="s">
        <v>1727</v>
      </c>
      <c r="AM5" s="2114" t="s">
        <v>1752</v>
      </c>
      <c r="AN5" s="2084" t="s">
        <v>1668</v>
      </c>
      <c r="AO5" s="2143" t="s">
        <v>1669</v>
      </c>
      <c r="AP5" s="2116" t="s">
        <v>1670</v>
      </c>
      <c r="AQ5" s="2089" t="s">
        <v>1805</v>
      </c>
      <c r="AR5" s="2112" t="s">
        <v>1933</v>
      </c>
      <c r="AS5" s="2112"/>
      <c r="AT5" s="2113"/>
      <c r="AU5" s="2153" t="s">
        <v>1672</v>
      </c>
      <c r="AV5" s="543"/>
      <c r="AW5" s="501"/>
      <c r="AX5" s="2081" t="s">
        <v>219</v>
      </c>
      <c r="AY5" s="2082"/>
      <c r="AZ5" s="2083"/>
      <c r="BA5" s="750"/>
      <c r="BB5" s="750"/>
      <c r="BC5" s="2086"/>
      <c r="BD5" s="2086"/>
      <c r="BE5" s="2086"/>
      <c r="BF5" s="2086"/>
      <c r="BG5" s="2087"/>
      <c r="BI5" s="1104" t="s">
        <v>789</v>
      </c>
      <c r="BJ5" s="2156" t="s">
        <v>568</v>
      </c>
      <c r="BK5" s="2156" t="s">
        <v>569</v>
      </c>
      <c r="BL5" s="2156" t="s">
        <v>570</v>
      </c>
      <c r="BM5" s="2158" t="s">
        <v>713</v>
      </c>
    </row>
    <row r="6" spans="1:65" ht="99.95" customHeight="1">
      <c r="A6" s="725" t="s">
        <v>111</v>
      </c>
      <c r="B6" s="725" t="s">
        <v>1732</v>
      </c>
      <c r="C6" s="725" t="s">
        <v>1753</v>
      </c>
      <c r="D6" s="725" t="s">
        <v>1729</v>
      </c>
      <c r="E6" s="607" t="s">
        <v>1703</v>
      </c>
      <c r="F6" s="1124" t="s">
        <v>1641</v>
      </c>
      <c r="G6" s="607" t="s">
        <v>1656</v>
      </c>
      <c r="H6" s="545" t="s">
        <v>1657</v>
      </c>
      <c r="I6" s="546" t="s">
        <v>1658</v>
      </c>
      <c r="J6" s="967" t="s">
        <v>1676</v>
      </c>
      <c r="K6" s="546" t="s">
        <v>1644</v>
      </c>
      <c r="L6" s="1131" t="s">
        <v>1679</v>
      </c>
      <c r="M6" s="546" t="s">
        <v>1681</v>
      </c>
      <c r="N6" s="546" t="s">
        <v>1662</v>
      </c>
      <c r="O6" s="547" t="s">
        <v>1660</v>
      </c>
      <c r="P6" s="546" t="s">
        <v>1659</v>
      </c>
      <c r="Q6" s="546" t="s">
        <v>1662</v>
      </c>
      <c r="R6" s="1131" t="s">
        <v>1660</v>
      </c>
      <c r="S6" s="546" t="s">
        <v>1659</v>
      </c>
      <c r="T6" s="546" t="s">
        <v>1662</v>
      </c>
      <c r="U6" s="1132" t="s">
        <v>1682</v>
      </c>
      <c r="V6" s="546" t="s">
        <v>1661</v>
      </c>
      <c r="W6" s="546" t="s">
        <v>1662</v>
      </c>
      <c r="X6" s="546" t="s">
        <v>1683</v>
      </c>
      <c r="Y6" s="546" t="s">
        <v>1663</v>
      </c>
      <c r="Z6" s="546" t="s">
        <v>1649</v>
      </c>
      <c r="AA6" s="546" t="s">
        <v>1661</v>
      </c>
      <c r="AB6" s="546" t="s">
        <v>1754</v>
      </c>
      <c r="AC6" s="2097"/>
      <c r="AD6" s="1127" t="s">
        <v>1651</v>
      </c>
      <c r="AE6" s="2099"/>
      <c r="AF6" s="1289" t="s">
        <v>1678</v>
      </c>
      <c r="AG6" s="2101"/>
      <c r="AH6" s="1269" t="s">
        <v>1833</v>
      </c>
      <c r="AI6" s="2077"/>
      <c r="AJ6" s="2077"/>
      <c r="AK6" s="2077"/>
      <c r="AL6" s="2079"/>
      <c r="AM6" s="2115"/>
      <c r="AN6" s="2085"/>
      <c r="AO6" s="2144"/>
      <c r="AP6" s="2116"/>
      <c r="AQ6" s="2090"/>
      <c r="AR6" s="1135" t="s">
        <v>1671</v>
      </c>
      <c r="AS6" s="1134" t="s">
        <v>1707</v>
      </c>
      <c r="AT6" s="1136" t="s">
        <v>1702</v>
      </c>
      <c r="AU6" s="2153"/>
      <c r="AV6" s="543"/>
      <c r="AW6" s="501"/>
      <c r="AX6" s="539" t="s">
        <v>215</v>
      </c>
      <c r="AY6" s="539" t="s">
        <v>217</v>
      </c>
      <c r="AZ6" s="573" t="s">
        <v>125</v>
      </c>
      <c r="BA6" s="502" t="s">
        <v>728</v>
      </c>
      <c r="BB6" s="502" t="s">
        <v>729</v>
      </c>
      <c r="BC6" s="548" t="s">
        <v>723</v>
      </c>
      <c r="BD6" s="548" t="s">
        <v>216</v>
      </c>
      <c r="BE6" s="548" t="s">
        <v>731</v>
      </c>
      <c r="BF6" s="548" t="s">
        <v>215</v>
      </c>
      <c r="BG6" s="549" t="s">
        <v>125</v>
      </c>
      <c r="BI6" s="730" t="s">
        <v>761</v>
      </c>
      <c r="BJ6" s="2157"/>
      <c r="BK6" s="2157"/>
      <c r="BL6" s="2157"/>
      <c r="BM6" s="2173"/>
    </row>
    <row r="7" spans="1:65" s="768" customFormat="1" ht="60" customHeight="1">
      <c r="A7" s="1389">
        <v>1</v>
      </c>
      <c r="B7" s="1605" t="s">
        <v>343</v>
      </c>
      <c r="C7" s="1330" t="s">
        <v>512</v>
      </c>
      <c r="D7" s="1851">
        <v>41346</v>
      </c>
      <c r="E7" s="628" t="s">
        <v>1113</v>
      </c>
      <c r="F7" s="758">
        <f>13+259+17+12+8+2</f>
        <v>311</v>
      </c>
      <c r="G7" s="758">
        <f>70+2</f>
        <v>72</v>
      </c>
      <c r="H7" s="1388">
        <v>21.5</v>
      </c>
      <c r="I7" s="1409">
        <f t="shared" ref="I7:I51" si="0">F7/26*H7</f>
        <v>257.17307692307691</v>
      </c>
      <c r="J7" s="1827">
        <v>30</v>
      </c>
      <c r="K7" s="1097">
        <f t="shared" ref="K7:K52" si="1">I7</f>
        <v>257.17307692307691</v>
      </c>
      <c r="L7" s="1388">
        <v>63</v>
      </c>
      <c r="M7" s="761">
        <f t="shared" ref="M7:M52" si="2">F7/26/8*1.5</f>
        <v>2.2427884615384617</v>
      </c>
      <c r="N7" s="788">
        <f t="shared" ref="N7:N52" si="3">L7*M7</f>
        <v>141.29567307692309</v>
      </c>
      <c r="O7" s="1388">
        <v>0</v>
      </c>
      <c r="P7" s="761">
        <f t="shared" ref="P7:P52" si="4">F7/26/8*2</f>
        <v>2.9903846153846154</v>
      </c>
      <c r="Q7" s="788">
        <f t="shared" ref="Q7:Q38" si="5">O7*P7</f>
        <v>0</v>
      </c>
      <c r="R7" s="1388">
        <v>12</v>
      </c>
      <c r="S7" s="761">
        <f t="shared" ref="S7:S52" si="6">F7/26/8*2</f>
        <v>2.9903846153846154</v>
      </c>
      <c r="T7" s="1097">
        <f t="shared" ref="T7:T38" si="7">S7*R7</f>
        <v>35.884615384615387</v>
      </c>
      <c r="U7" s="1388">
        <v>5.5</v>
      </c>
      <c r="V7" s="761">
        <f t="shared" ref="V7:V52" si="8">F7/26</f>
        <v>11.961538461538462</v>
      </c>
      <c r="W7" s="788">
        <f t="shared" ref="W7:W52" si="9">V7*U7</f>
        <v>65.788461538461533</v>
      </c>
      <c r="X7" s="1388">
        <v>0</v>
      </c>
      <c r="Y7" s="788">
        <f>'P Salary'!T8*P!X7</f>
        <v>0</v>
      </c>
      <c r="Z7" s="1388">
        <v>0</v>
      </c>
      <c r="AA7" s="761">
        <f t="shared" ref="AA7:AA52" si="10">F7/26/2</f>
        <v>5.9807692307692308</v>
      </c>
      <c r="AB7" s="788">
        <f t="shared" ref="AB7:AB50" si="11">Z7*AA7</f>
        <v>0</v>
      </c>
      <c r="AC7" s="1388">
        <v>0</v>
      </c>
      <c r="AD7" s="1468">
        <f t="shared" ref="AD7:AD39" si="12">H7+U7+Z7+AC7+X7</f>
        <v>27</v>
      </c>
      <c r="AE7" s="1727">
        <v>0</v>
      </c>
      <c r="AF7" s="1121">
        <v>0</v>
      </c>
      <c r="AG7" s="1413">
        <v>4</v>
      </c>
      <c r="AH7" s="762">
        <v>0</v>
      </c>
      <c r="AI7" s="788">
        <v>10</v>
      </c>
      <c r="AJ7" s="788">
        <v>11</v>
      </c>
      <c r="AK7" s="788">
        <v>10</v>
      </c>
      <c r="AL7" s="788">
        <v>10</v>
      </c>
      <c r="AM7" s="1325">
        <f t="shared" ref="AM7:AM52" si="13">G7+K7+N7+Q7+T7+W7+AB7+AE7+AG7+AI7+AJ7+AK7+AL7+J7+Y7+AF7+AH7</f>
        <v>647.14182692307691</v>
      </c>
      <c r="AN7" s="1280">
        <v>0</v>
      </c>
      <c r="AO7" s="1721">
        <v>102</v>
      </c>
      <c r="AP7" s="1097">
        <f>'Tax Calulation            '!P7</f>
        <v>5.2123350684581276</v>
      </c>
      <c r="AQ7" s="1097">
        <f>'Tax Calulation            '!W7</f>
        <v>5.9084194977843429</v>
      </c>
      <c r="AR7" s="1687">
        <f>AM7-AP7-AO7-AQ7-AN7</f>
        <v>534.02107235683434</v>
      </c>
      <c r="AS7" s="1685">
        <f>ROUND((AR7-AT7)*4040,-2)</f>
        <v>137400</v>
      </c>
      <c r="AT7" s="1684">
        <f t="shared" ref="AT7:AT22" si="14">CEILING(AR7,(100))-100</f>
        <v>500</v>
      </c>
      <c r="AU7" s="759"/>
      <c r="AV7" s="763"/>
      <c r="AW7" s="764">
        <f>(K7+N7+Q7+T7+W7+AB7+AI7+AJ7+AK7+AL7)*4000</f>
        <v>2164567.3076923075</v>
      </c>
      <c r="AX7" s="612">
        <f t="shared" ref="AX7:AX25" si="15">INT(AT7/100)</f>
        <v>5</v>
      </c>
      <c r="AY7" s="612">
        <f t="shared" ref="AY7:AY25" si="16">INT((AT7-AX7*100)/50)</f>
        <v>0</v>
      </c>
      <c r="AZ7" s="765">
        <f t="shared" ref="AZ7:AZ22" si="17">AX7*100+AY7*50</f>
        <v>500</v>
      </c>
      <c r="BA7" s="765">
        <f t="shared" ref="BA7:BA25" si="18">INT((AS7/50000))</f>
        <v>2</v>
      </c>
      <c r="BB7" s="766">
        <f t="shared" ref="BB7:BB25" si="19">INT((AS7-BA7*50000)/10000)</f>
        <v>3</v>
      </c>
      <c r="BC7" s="766">
        <f t="shared" ref="BC7:BC25" si="20">INT((AS7-BA7*50000-BB7*10000)/5000)</f>
        <v>1</v>
      </c>
      <c r="BD7" s="766">
        <f t="shared" ref="BD7:BD25" si="21">INT((AS7-BA7*50000-BB7*10000-BC7*5000)/1000)</f>
        <v>2</v>
      </c>
      <c r="BE7" s="766">
        <f t="shared" ref="BE7:BE25" si="22">INT((AS7-BA7*50000-BB7*10000-BC7*5000-BD7*1000)/500)</f>
        <v>0</v>
      </c>
      <c r="BF7" s="766">
        <f t="shared" ref="BF7:BF25" si="23">INT((AS7-BA7*50000-BB7*10000-BC7*5000-BD7*1000-BE7*500)/100)</f>
        <v>4</v>
      </c>
      <c r="BG7" s="767">
        <f t="shared" ref="BG7:BG22" si="24">BA7*50000+BB7*10000+BC7*5000+BD7*1000+BE7*500+BF7*100</f>
        <v>137400</v>
      </c>
      <c r="BI7" s="628" t="s">
        <v>861</v>
      </c>
      <c r="BJ7" s="628" t="s">
        <v>571</v>
      </c>
      <c r="BK7" s="1165">
        <v>29799</v>
      </c>
      <c r="BL7" s="628" t="s">
        <v>675</v>
      </c>
      <c r="BM7" s="787">
        <v>160377842</v>
      </c>
    </row>
    <row r="8" spans="1:65" s="755" customFormat="1" ht="60" customHeight="1">
      <c r="A8" s="1389">
        <v>2</v>
      </c>
      <c r="B8" s="1604" t="s">
        <v>416</v>
      </c>
      <c r="C8" s="1329" t="s">
        <v>1608</v>
      </c>
      <c r="D8" s="1841">
        <v>41747</v>
      </c>
      <c r="E8" s="578" t="s">
        <v>476</v>
      </c>
      <c r="F8" s="617">
        <f>162+17+12+8+2+3</f>
        <v>204</v>
      </c>
      <c r="G8" s="617">
        <f>2</f>
        <v>2</v>
      </c>
      <c r="H8" s="1388">
        <v>22</v>
      </c>
      <c r="I8" s="1409">
        <f t="shared" si="0"/>
        <v>172.61538461538461</v>
      </c>
      <c r="J8" s="1827">
        <v>17</v>
      </c>
      <c r="K8" s="1097">
        <f t="shared" si="1"/>
        <v>172.61538461538461</v>
      </c>
      <c r="L8" s="1388">
        <v>52</v>
      </c>
      <c r="M8" s="761">
        <f t="shared" si="2"/>
        <v>1.471153846153846</v>
      </c>
      <c r="N8" s="788">
        <f t="shared" si="3"/>
        <v>76.5</v>
      </c>
      <c r="O8" s="1388">
        <v>0</v>
      </c>
      <c r="P8" s="761">
        <f t="shared" si="4"/>
        <v>1.9615384615384615</v>
      </c>
      <c r="Q8" s="618">
        <f t="shared" si="5"/>
        <v>0</v>
      </c>
      <c r="R8" s="1388">
        <v>16</v>
      </c>
      <c r="S8" s="761">
        <f t="shared" si="6"/>
        <v>1.9615384615384615</v>
      </c>
      <c r="T8" s="1096">
        <f t="shared" si="7"/>
        <v>31.384615384615383</v>
      </c>
      <c r="U8" s="1388">
        <v>5</v>
      </c>
      <c r="V8" s="761">
        <f t="shared" si="8"/>
        <v>7.8461538461538458</v>
      </c>
      <c r="W8" s="788">
        <f t="shared" si="9"/>
        <v>39.230769230769226</v>
      </c>
      <c r="X8" s="1388">
        <v>0</v>
      </c>
      <c r="Y8" s="788">
        <f>'P Salary'!T9*P!X8</f>
        <v>0</v>
      </c>
      <c r="Z8" s="1388">
        <v>0</v>
      </c>
      <c r="AA8" s="761">
        <f t="shared" si="10"/>
        <v>3.9230769230769229</v>
      </c>
      <c r="AB8" s="788">
        <f t="shared" si="11"/>
        <v>0</v>
      </c>
      <c r="AC8" s="1388">
        <v>0</v>
      </c>
      <c r="AD8" s="1467">
        <f t="shared" si="12"/>
        <v>27</v>
      </c>
      <c r="AE8" s="1727">
        <v>0</v>
      </c>
      <c r="AF8" s="1121">
        <v>0</v>
      </c>
      <c r="AG8" s="511">
        <v>0</v>
      </c>
      <c r="AH8" s="511">
        <v>0</v>
      </c>
      <c r="AI8" s="788">
        <v>10</v>
      </c>
      <c r="AJ8" s="618">
        <v>11</v>
      </c>
      <c r="AK8" s="788">
        <v>10</v>
      </c>
      <c r="AL8" s="788">
        <v>10</v>
      </c>
      <c r="AM8" s="1325">
        <f t="shared" si="13"/>
        <v>379.73076923076923</v>
      </c>
      <c r="AN8" s="1278">
        <v>0.5</v>
      </c>
      <c r="AO8" s="1721">
        <v>102</v>
      </c>
      <c r="AP8" s="1097">
        <f>'Tax Calulation            '!P8</f>
        <v>0</v>
      </c>
      <c r="AQ8" s="1097">
        <f>'Tax Calulation            '!W8</f>
        <v>5.9084194977843429</v>
      </c>
      <c r="AR8" s="1687">
        <f t="shared" ref="AR8:AR52" si="25">AM8-AP8-AO8-AQ8-AN8</f>
        <v>271.32234973298489</v>
      </c>
      <c r="AS8" s="1685">
        <f t="shared" ref="AS8:AS52" si="26">ROUND((AR8-AT8)*4040,-2)</f>
        <v>288100</v>
      </c>
      <c r="AT8" s="1683">
        <f t="shared" si="14"/>
        <v>200</v>
      </c>
      <c r="AU8" s="509"/>
      <c r="AV8" s="504"/>
      <c r="AW8" s="505">
        <f>(K8+N8+Q8+T8+W8+AB8+AI8+AJ8+AK8+AL8)*4000</f>
        <v>1442923.076923077</v>
      </c>
      <c r="AX8" s="502">
        <f t="shared" si="15"/>
        <v>2</v>
      </c>
      <c r="AY8" s="502">
        <f t="shared" si="16"/>
        <v>0</v>
      </c>
      <c r="AZ8" s="573">
        <f t="shared" si="17"/>
        <v>200</v>
      </c>
      <c r="BA8" s="573">
        <f t="shared" si="18"/>
        <v>5</v>
      </c>
      <c r="BB8" s="548">
        <f t="shared" si="19"/>
        <v>3</v>
      </c>
      <c r="BC8" s="548">
        <f t="shared" si="20"/>
        <v>1</v>
      </c>
      <c r="BD8" s="548">
        <f t="shared" si="21"/>
        <v>3</v>
      </c>
      <c r="BE8" s="548">
        <f t="shared" si="22"/>
        <v>0</v>
      </c>
      <c r="BF8" s="548">
        <f t="shared" si="23"/>
        <v>1</v>
      </c>
      <c r="BG8" s="549">
        <f t="shared" si="24"/>
        <v>288100</v>
      </c>
      <c r="BI8" s="578" t="s">
        <v>862</v>
      </c>
      <c r="BJ8" s="578" t="s">
        <v>571</v>
      </c>
      <c r="BK8" s="1163">
        <v>28708</v>
      </c>
      <c r="BL8" s="578" t="s">
        <v>676</v>
      </c>
      <c r="BM8" s="531">
        <v>110546763</v>
      </c>
    </row>
    <row r="9" spans="1:65" s="755" customFormat="1" ht="60" customHeight="1">
      <c r="A9" s="1389">
        <v>3</v>
      </c>
      <c r="B9" s="1604" t="s">
        <v>344</v>
      </c>
      <c r="C9" s="1329" t="s">
        <v>345</v>
      </c>
      <c r="D9" s="1841">
        <v>41821</v>
      </c>
      <c r="E9" s="578" t="s">
        <v>476</v>
      </c>
      <c r="F9" s="617">
        <f>13+149+17+12+8+2+3</f>
        <v>204</v>
      </c>
      <c r="G9" s="617">
        <f>2</f>
        <v>2</v>
      </c>
      <c r="H9" s="1388">
        <v>22</v>
      </c>
      <c r="I9" s="1409">
        <f t="shared" si="0"/>
        <v>172.61538461538461</v>
      </c>
      <c r="J9" s="1827">
        <v>17</v>
      </c>
      <c r="K9" s="1097">
        <f t="shared" si="1"/>
        <v>172.61538461538461</v>
      </c>
      <c r="L9" s="1388">
        <v>62</v>
      </c>
      <c r="M9" s="761">
        <f t="shared" si="2"/>
        <v>1.471153846153846</v>
      </c>
      <c r="N9" s="788">
        <f t="shared" si="3"/>
        <v>91.211538461538453</v>
      </c>
      <c r="O9" s="1388">
        <v>0</v>
      </c>
      <c r="P9" s="761">
        <f t="shared" si="4"/>
        <v>1.9615384615384615</v>
      </c>
      <c r="Q9" s="618">
        <f t="shared" si="5"/>
        <v>0</v>
      </c>
      <c r="R9" s="1388">
        <v>24</v>
      </c>
      <c r="S9" s="761">
        <f t="shared" si="6"/>
        <v>1.9615384615384615</v>
      </c>
      <c r="T9" s="1096">
        <f t="shared" si="7"/>
        <v>47.076923076923073</v>
      </c>
      <c r="U9" s="1388">
        <v>5</v>
      </c>
      <c r="V9" s="761">
        <f t="shared" si="8"/>
        <v>7.8461538461538458</v>
      </c>
      <c r="W9" s="788">
        <f t="shared" si="9"/>
        <v>39.230769230769226</v>
      </c>
      <c r="X9" s="1388">
        <v>0</v>
      </c>
      <c r="Y9" s="788">
        <f>'P Salary'!T10*P!X9</f>
        <v>0</v>
      </c>
      <c r="Z9" s="1388">
        <v>0</v>
      </c>
      <c r="AA9" s="761">
        <f t="shared" si="10"/>
        <v>3.9230769230769229</v>
      </c>
      <c r="AB9" s="788">
        <f t="shared" si="11"/>
        <v>0</v>
      </c>
      <c r="AC9" s="1388">
        <v>0</v>
      </c>
      <c r="AD9" s="1467">
        <f t="shared" si="12"/>
        <v>27</v>
      </c>
      <c r="AE9" s="1727">
        <v>0</v>
      </c>
      <c r="AF9" s="1121">
        <v>0</v>
      </c>
      <c r="AG9" s="511">
        <v>0</v>
      </c>
      <c r="AH9" s="511">
        <v>0</v>
      </c>
      <c r="AI9" s="788">
        <v>10</v>
      </c>
      <c r="AJ9" s="618">
        <v>11</v>
      </c>
      <c r="AK9" s="788">
        <v>10</v>
      </c>
      <c r="AL9" s="788">
        <v>10</v>
      </c>
      <c r="AM9" s="1325">
        <f t="shared" si="13"/>
        <v>410.13461538461542</v>
      </c>
      <c r="AN9" s="1278">
        <v>0.5</v>
      </c>
      <c r="AO9" s="1721">
        <v>102</v>
      </c>
      <c r="AP9" s="1097">
        <f>'Tax Calulation            '!P9</f>
        <v>0</v>
      </c>
      <c r="AQ9" s="1097">
        <f>'Tax Calulation            '!W9</f>
        <v>5.9084194977843429</v>
      </c>
      <c r="AR9" s="1687">
        <f t="shared" si="25"/>
        <v>301.72619588683108</v>
      </c>
      <c r="AS9" s="1685">
        <f t="shared" si="26"/>
        <v>7000</v>
      </c>
      <c r="AT9" s="1683">
        <f t="shared" si="14"/>
        <v>300</v>
      </c>
      <c r="AU9" s="509"/>
      <c r="AV9" s="504"/>
      <c r="AW9" s="505">
        <f>(K9+N9+Q9+T9+W9+AB9+AI9+AJ9+AK9+AL9)*4000</f>
        <v>1564538.4615384617</v>
      </c>
      <c r="AX9" s="502">
        <f t="shared" si="15"/>
        <v>3</v>
      </c>
      <c r="AY9" s="502">
        <f t="shared" si="16"/>
        <v>0</v>
      </c>
      <c r="AZ9" s="573">
        <f t="shared" si="17"/>
        <v>300</v>
      </c>
      <c r="BA9" s="573">
        <f t="shared" si="18"/>
        <v>0</v>
      </c>
      <c r="BB9" s="548">
        <f t="shared" si="19"/>
        <v>0</v>
      </c>
      <c r="BC9" s="548">
        <f t="shared" si="20"/>
        <v>1</v>
      </c>
      <c r="BD9" s="548">
        <f t="shared" si="21"/>
        <v>2</v>
      </c>
      <c r="BE9" s="548">
        <f t="shared" si="22"/>
        <v>0</v>
      </c>
      <c r="BF9" s="548">
        <f t="shared" si="23"/>
        <v>0</v>
      </c>
      <c r="BG9" s="549">
        <f t="shared" si="24"/>
        <v>7000</v>
      </c>
      <c r="BI9" s="578" t="s">
        <v>863</v>
      </c>
      <c r="BJ9" s="578" t="s">
        <v>571</v>
      </c>
      <c r="BK9" s="1163">
        <v>29678</v>
      </c>
      <c r="BL9" s="578" t="s">
        <v>677</v>
      </c>
      <c r="BM9" s="531">
        <v>30813296</v>
      </c>
    </row>
    <row r="10" spans="1:65" s="755" customFormat="1" ht="60" customHeight="1">
      <c r="A10" s="1389">
        <v>4</v>
      </c>
      <c r="B10" s="1604" t="s">
        <v>554</v>
      </c>
      <c r="C10" s="1329" t="s">
        <v>903</v>
      </c>
      <c r="D10" s="1841">
        <v>41822</v>
      </c>
      <c r="E10" s="578" t="s">
        <v>476</v>
      </c>
      <c r="F10" s="617">
        <f>199+2+3</f>
        <v>204</v>
      </c>
      <c r="G10" s="617">
        <f>2</f>
        <v>2</v>
      </c>
      <c r="H10" s="1388">
        <v>21.5</v>
      </c>
      <c r="I10" s="1409">
        <f t="shared" si="0"/>
        <v>168.69230769230768</v>
      </c>
      <c r="J10" s="1827">
        <v>17.8</v>
      </c>
      <c r="K10" s="1097">
        <f t="shared" si="1"/>
        <v>168.69230769230768</v>
      </c>
      <c r="L10" s="1388">
        <v>60</v>
      </c>
      <c r="M10" s="761">
        <f t="shared" si="2"/>
        <v>1.471153846153846</v>
      </c>
      <c r="N10" s="788">
        <f t="shared" si="3"/>
        <v>88.269230769230759</v>
      </c>
      <c r="O10" s="1388">
        <v>0</v>
      </c>
      <c r="P10" s="761">
        <f t="shared" si="4"/>
        <v>1.9615384615384615</v>
      </c>
      <c r="Q10" s="618">
        <f t="shared" si="5"/>
        <v>0</v>
      </c>
      <c r="R10" s="1388">
        <v>16</v>
      </c>
      <c r="S10" s="761">
        <f t="shared" si="6"/>
        <v>1.9615384615384615</v>
      </c>
      <c r="T10" s="1096">
        <f t="shared" si="7"/>
        <v>31.384615384615383</v>
      </c>
      <c r="U10" s="1388">
        <v>5</v>
      </c>
      <c r="V10" s="761">
        <f t="shared" si="8"/>
        <v>7.8461538461538458</v>
      </c>
      <c r="W10" s="788">
        <f t="shared" si="9"/>
        <v>39.230769230769226</v>
      </c>
      <c r="X10" s="1388">
        <v>0.5</v>
      </c>
      <c r="Y10" s="788">
        <f>'P Salary'!T11*P!X10</f>
        <v>5.5803338822966158</v>
      </c>
      <c r="Z10" s="1388">
        <v>0</v>
      </c>
      <c r="AA10" s="761">
        <f t="shared" si="10"/>
        <v>3.9230769230769229</v>
      </c>
      <c r="AB10" s="788">
        <f t="shared" si="11"/>
        <v>0</v>
      </c>
      <c r="AC10" s="1388">
        <v>0</v>
      </c>
      <c r="AD10" s="1467">
        <f t="shared" si="12"/>
        <v>27</v>
      </c>
      <c r="AE10" s="1727">
        <v>0</v>
      </c>
      <c r="AF10" s="1121">
        <v>0</v>
      </c>
      <c r="AG10" s="511">
        <v>0</v>
      </c>
      <c r="AH10" s="511">
        <v>0</v>
      </c>
      <c r="AI10" s="788">
        <v>10</v>
      </c>
      <c r="AJ10" s="618">
        <v>11</v>
      </c>
      <c r="AK10" s="788">
        <v>10</v>
      </c>
      <c r="AL10" s="788">
        <v>10</v>
      </c>
      <c r="AM10" s="1325">
        <f t="shared" si="13"/>
        <v>393.95725695921965</v>
      </c>
      <c r="AN10" s="1278">
        <v>0.5</v>
      </c>
      <c r="AO10" s="1721">
        <v>102</v>
      </c>
      <c r="AP10" s="1097">
        <f>'Tax Calulation            '!P10</f>
        <v>0</v>
      </c>
      <c r="AQ10" s="1097">
        <f>'Tax Calulation            '!W10</f>
        <v>5.9084194977843429</v>
      </c>
      <c r="AR10" s="1687">
        <f t="shared" si="25"/>
        <v>285.54883746143531</v>
      </c>
      <c r="AS10" s="1685">
        <f t="shared" si="26"/>
        <v>345600</v>
      </c>
      <c r="AT10" s="1683">
        <f t="shared" si="14"/>
        <v>200</v>
      </c>
      <c r="AU10" s="509"/>
      <c r="AV10" s="504"/>
      <c r="AW10" s="505"/>
      <c r="AX10" s="502">
        <f t="shared" si="15"/>
        <v>2</v>
      </c>
      <c r="AY10" s="502">
        <f t="shared" si="16"/>
        <v>0</v>
      </c>
      <c r="AZ10" s="573">
        <f t="shared" si="17"/>
        <v>200</v>
      </c>
      <c r="BA10" s="573">
        <f t="shared" si="18"/>
        <v>6</v>
      </c>
      <c r="BB10" s="548">
        <f t="shared" si="19"/>
        <v>4</v>
      </c>
      <c r="BC10" s="548">
        <f t="shared" si="20"/>
        <v>1</v>
      </c>
      <c r="BD10" s="548">
        <f t="shared" si="21"/>
        <v>0</v>
      </c>
      <c r="BE10" s="548">
        <f t="shared" si="22"/>
        <v>1</v>
      </c>
      <c r="BF10" s="548">
        <f t="shared" si="23"/>
        <v>1</v>
      </c>
      <c r="BG10" s="549">
        <f t="shared" si="24"/>
        <v>345600</v>
      </c>
      <c r="BI10" s="578" t="s">
        <v>864</v>
      </c>
      <c r="BJ10" s="578" t="s">
        <v>574</v>
      </c>
      <c r="BK10" s="1163">
        <v>31423</v>
      </c>
      <c r="BL10" s="578" t="s">
        <v>678</v>
      </c>
      <c r="BM10" s="531">
        <v>101390097</v>
      </c>
    </row>
    <row r="11" spans="1:65" s="755" customFormat="1" ht="60" customHeight="1">
      <c r="A11" s="1389">
        <v>5</v>
      </c>
      <c r="B11" s="1604" t="s">
        <v>346</v>
      </c>
      <c r="C11" s="1329" t="s">
        <v>347</v>
      </c>
      <c r="D11" s="1841">
        <v>41866</v>
      </c>
      <c r="E11" s="578" t="s">
        <v>476</v>
      </c>
      <c r="F11" s="617">
        <f t="shared" ref="F11:F16" si="27">13+149+17+12+8+2+3</f>
        <v>204</v>
      </c>
      <c r="G11" s="617">
        <f>2</f>
        <v>2</v>
      </c>
      <c r="H11" s="1388">
        <v>22</v>
      </c>
      <c r="I11" s="1409">
        <f t="shared" si="0"/>
        <v>172.61538461538461</v>
      </c>
      <c r="J11" s="1827">
        <v>18.5</v>
      </c>
      <c r="K11" s="1097">
        <f t="shared" si="1"/>
        <v>172.61538461538461</v>
      </c>
      <c r="L11" s="1388">
        <v>62</v>
      </c>
      <c r="M11" s="761">
        <f t="shared" si="2"/>
        <v>1.471153846153846</v>
      </c>
      <c r="N11" s="788">
        <f t="shared" si="3"/>
        <v>91.211538461538453</v>
      </c>
      <c r="O11" s="1388">
        <v>0</v>
      </c>
      <c r="P11" s="761">
        <f t="shared" si="4"/>
        <v>1.9615384615384615</v>
      </c>
      <c r="Q11" s="618">
        <f t="shared" si="5"/>
        <v>0</v>
      </c>
      <c r="R11" s="1388">
        <v>24</v>
      </c>
      <c r="S11" s="761">
        <f t="shared" si="6"/>
        <v>1.9615384615384615</v>
      </c>
      <c r="T11" s="1096">
        <f t="shared" si="7"/>
        <v>47.076923076923073</v>
      </c>
      <c r="U11" s="1388">
        <v>5</v>
      </c>
      <c r="V11" s="761">
        <f t="shared" si="8"/>
        <v>7.8461538461538458</v>
      </c>
      <c r="W11" s="788">
        <f t="shared" si="9"/>
        <v>39.230769230769226</v>
      </c>
      <c r="X11" s="1388">
        <v>0</v>
      </c>
      <c r="Y11" s="788">
        <f>'P Salary'!T12*P!X11</f>
        <v>0</v>
      </c>
      <c r="Z11" s="1388">
        <v>0</v>
      </c>
      <c r="AA11" s="761">
        <f t="shared" si="10"/>
        <v>3.9230769230769229</v>
      </c>
      <c r="AB11" s="788">
        <f t="shared" si="11"/>
        <v>0</v>
      </c>
      <c r="AC11" s="1388">
        <v>0</v>
      </c>
      <c r="AD11" s="1467">
        <f t="shared" si="12"/>
        <v>27</v>
      </c>
      <c r="AE11" s="1727">
        <v>0</v>
      </c>
      <c r="AF11" s="1121">
        <v>0</v>
      </c>
      <c r="AG11" s="511">
        <v>0</v>
      </c>
      <c r="AH11" s="511">
        <v>0</v>
      </c>
      <c r="AI11" s="788">
        <v>10</v>
      </c>
      <c r="AJ11" s="618">
        <v>11</v>
      </c>
      <c r="AK11" s="788">
        <v>10</v>
      </c>
      <c r="AL11" s="788">
        <v>10</v>
      </c>
      <c r="AM11" s="1325">
        <f t="shared" si="13"/>
        <v>411.63461538461542</v>
      </c>
      <c r="AN11" s="1278">
        <v>0.5</v>
      </c>
      <c r="AO11" s="1721">
        <v>102</v>
      </c>
      <c r="AP11" s="1097">
        <f>'Tax Calulation            '!P11</f>
        <v>0</v>
      </c>
      <c r="AQ11" s="1097">
        <f>'Tax Calulation            '!W11</f>
        <v>5.9084194977843429</v>
      </c>
      <c r="AR11" s="1687">
        <f t="shared" si="25"/>
        <v>303.22619588683108</v>
      </c>
      <c r="AS11" s="1685">
        <f t="shared" si="26"/>
        <v>13000</v>
      </c>
      <c r="AT11" s="1683">
        <f t="shared" si="14"/>
        <v>300</v>
      </c>
      <c r="AU11" s="509"/>
      <c r="AV11" s="504"/>
      <c r="AW11" s="505">
        <f t="shared" ref="AW11:AW22" si="28">(K11+N11+Q11+T11+W11+AB11+AI11+AJ11+AK11+AL11)*4000</f>
        <v>1564538.4615384617</v>
      </c>
      <c r="AX11" s="502">
        <f t="shared" si="15"/>
        <v>3</v>
      </c>
      <c r="AY11" s="502">
        <f t="shared" si="16"/>
        <v>0</v>
      </c>
      <c r="AZ11" s="573">
        <f t="shared" si="17"/>
        <v>300</v>
      </c>
      <c r="BA11" s="573">
        <f t="shared" si="18"/>
        <v>0</v>
      </c>
      <c r="BB11" s="548">
        <f t="shared" si="19"/>
        <v>1</v>
      </c>
      <c r="BC11" s="548">
        <f t="shared" si="20"/>
        <v>0</v>
      </c>
      <c r="BD11" s="548">
        <f t="shared" si="21"/>
        <v>3</v>
      </c>
      <c r="BE11" s="548">
        <f t="shared" si="22"/>
        <v>0</v>
      </c>
      <c r="BF11" s="548">
        <f t="shared" si="23"/>
        <v>0</v>
      </c>
      <c r="BG11" s="549">
        <f t="shared" si="24"/>
        <v>13000</v>
      </c>
      <c r="BI11" s="578" t="s">
        <v>865</v>
      </c>
      <c r="BJ11" s="578" t="s">
        <v>574</v>
      </c>
      <c r="BK11" s="1163">
        <v>26983</v>
      </c>
      <c r="BL11" s="578" t="s">
        <v>679</v>
      </c>
      <c r="BM11" s="531">
        <v>250375724</v>
      </c>
    </row>
    <row r="12" spans="1:65" s="755" customFormat="1" ht="60" customHeight="1">
      <c r="A12" s="1389">
        <v>6</v>
      </c>
      <c r="B12" s="1604" t="s">
        <v>348</v>
      </c>
      <c r="C12" s="1329" t="s">
        <v>349</v>
      </c>
      <c r="D12" s="1841">
        <v>41883</v>
      </c>
      <c r="E12" s="578" t="s">
        <v>476</v>
      </c>
      <c r="F12" s="617">
        <f t="shared" si="27"/>
        <v>204</v>
      </c>
      <c r="G12" s="617">
        <f>2</f>
        <v>2</v>
      </c>
      <c r="H12" s="1388">
        <v>22</v>
      </c>
      <c r="I12" s="1409">
        <f t="shared" si="0"/>
        <v>172.61538461538461</v>
      </c>
      <c r="J12" s="1827">
        <v>18.3</v>
      </c>
      <c r="K12" s="1097">
        <f t="shared" si="1"/>
        <v>172.61538461538461</v>
      </c>
      <c r="L12" s="1388">
        <v>62</v>
      </c>
      <c r="M12" s="761">
        <f t="shared" si="2"/>
        <v>1.471153846153846</v>
      </c>
      <c r="N12" s="788">
        <f t="shared" si="3"/>
        <v>91.211538461538453</v>
      </c>
      <c r="O12" s="1388">
        <v>0</v>
      </c>
      <c r="P12" s="761">
        <f t="shared" si="4"/>
        <v>1.9615384615384615</v>
      </c>
      <c r="Q12" s="618">
        <f t="shared" si="5"/>
        <v>0</v>
      </c>
      <c r="R12" s="1388">
        <v>16</v>
      </c>
      <c r="S12" s="761">
        <f t="shared" si="6"/>
        <v>1.9615384615384615</v>
      </c>
      <c r="T12" s="1096">
        <f t="shared" si="7"/>
        <v>31.384615384615383</v>
      </c>
      <c r="U12" s="1388">
        <v>5</v>
      </c>
      <c r="V12" s="761">
        <f t="shared" si="8"/>
        <v>7.8461538461538458</v>
      </c>
      <c r="W12" s="788">
        <f t="shared" si="9"/>
        <v>39.230769230769226</v>
      </c>
      <c r="X12" s="1388">
        <v>0</v>
      </c>
      <c r="Y12" s="788">
        <f>'P Salary'!T13*P!X12</f>
        <v>0</v>
      </c>
      <c r="Z12" s="1388">
        <v>0</v>
      </c>
      <c r="AA12" s="761">
        <f t="shared" si="10"/>
        <v>3.9230769230769229</v>
      </c>
      <c r="AB12" s="788">
        <f t="shared" si="11"/>
        <v>0</v>
      </c>
      <c r="AC12" s="1388">
        <v>0</v>
      </c>
      <c r="AD12" s="1467">
        <f t="shared" si="12"/>
        <v>27</v>
      </c>
      <c r="AE12" s="1727">
        <v>0</v>
      </c>
      <c r="AF12" s="1121">
        <v>0</v>
      </c>
      <c r="AG12" s="511">
        <v>0</v>
      </c>
      <c r="AH12" s="511">
        <v>0</v>
      </c>
      <c r="AI12" s="788">
        <v>10</v>
      </c>
      <c r="AJ12" s="618">
        <v>11</v>
      </c>
      <c r="AK12" s="788">
        <v>10</v>
      </c>
      <c r="AL12" s="788">
        <v>10</v>
      </c>
      <c r="AM12" s="1325">
        <f t="shared" si="13"/>
        <v>395.74230769230769</v>
      </c>
      <c r="AN12" s="1278">
        <v>0.5</v>
      </c>
      <c r="AO12" s="1721">
        <v>102</v>
      </c>
      <c r="AP12" s="1097">
        <f>'Tax Calulation            '!P12</f>
        <v>0</v>
      </c>
      <c r="AQ12" s="1097">
        <f>'Tax Calulation            '!W12</f>
        <v>5.9084194977843429</v>
      </c>
      <c r="AR12" s="1687">
        <f t="shared" si="25"/>
        <v>287.33388819452335</v>
      </c>
      <c r="AS12" s="1685">
        <f t="shared" si="26"/>
        <v>352800</v>
      </c>
      <c r="AT12" s="1683">
        <f t="shared" si="14"/>
        <v>200</v>
      </c>
      <c r="AU12" s="509"/>
      <c r="AV12" s="504"/>
      <c r="AW12" s="505">
        <f t="shared" si="28"/>
        <v>1501769.2307692308</v>
      </c>
      <c r="AX12" s="502">
        <f t="shared" si="15"/>
        <v>2</v>
      </c>
      <c r="AY12" s="502">
        <f t="shared" si="16"/>
        <v>0</v>
      </c>
      <c r="AZ12" s="573">
        <f t="shared" si="17"/>
        <v>200</v>
      </c>
      <c r="BA12" s="573">
        <f t="shared" si="18"/>
        <v>7</v>
      </c>
      <c r="BB12" s="548">
        <f t="shared" si="19"/>
        <v>0</v>
      </c>
      <c r="BC12" s="548">
        <f t="shared" si="20"/>
        <v>0</v>
      </c>
      <c r="BD12" s="548">
        <f t="shared" si="21"/>
        <v>2</v>
      </c>
      <c r="BE12" s="548">
        <f t="shared" si="22"/>
        <v>1</v>
      </c>
      <c r="BF12" s="548">
        <f t="shared" si="23"/>
        <v>3</v>
      </c>
      <c r="BG12" s="549">
        <f t="shared" si="24"/>
        <v>352800</v>
      </c>
      <c r="BI12" s="578" t="s">
        <v>866</v>
      </c>
      <c r="BJ12" s="578" t="s">
        <v>574</v>
      </c>
      <c r="BK12" s="1163">
        <v>23411</v>
      </c>
      <c r="BL12" s="578" t="s">
        <v>680</v>
      </c>
      <c r="BM12" s="531">
        <v>110542246</v>
      </c>
    </row>
    <row r="13" spans="1:65" s="755" customFormat="1" ht="60" customHeight="1">
      <c r="A13" s="1389">
        <v>7</v>
      </c>
      <c r="B13" s="1604" t="s">
        <v>401</v>
      </c>
      <c r="C13" s="1854" t="s">
        <v>1332</v>
      </c>
      <c r="D13" s="1841">
        <v>41883</v>
      </c>
      <c r="E13" s="578" t="s">
        <v>476</v>
      </c>
      <c r="F13" s="617">
        <f t="shared" si="27"/>
        <v>204</v>
      </c>
      <c r="G13" s="1874">
        <f>2</f>
        <v>2</v>
      </c>
      <c r="H13" s="1388">
        <v>21.5</v>
      </c>
      <c r="I13" s="1409">
        <f t="shared" si="0"/>
        <v>168.69230769230768</v>
      </c>
      <c r="J13" s="1827">
        <v>18</v>
      </c>
      <c r="K13" s="1097">
        <f t="shared" si="1"/>
        <v>168.69230769230768</v>
      </c>
      <c r="L13" s="1388">
        <v>63</v>
      </c>
      <c r="M13" s="761">
        <f t="shared" si="2"/>
        <v>1.471153846153846</v>
      </c>
      <c r="N13" s="788">
        <f t="shared" si="3"/>
        <v>92.682692307692307</v>
      </c>
      <c r="O13" s="1388">
        <v>0</v>
      </c>
      <c r="P13" s="761">
        <f t="shared" si="4"/>
        <v>1.9615384615384615</v>
      </c>
      <c r="Q13" s="618">
        <f t="shared" si="5"/>
        <v>0</v>
      </c>
      <c r="R13" s="1388">
        <v>24</v>
      </c>
      <c r="S13" s="761">
        <f t="shared" si="6"/>
        <v>1.9615384615384615</v>
      </c>
      <c r="T13" s="1096">
        <f t="shared" si="7"/>
        <v>47.076923076923073</v>
      </c>
      <c r="U13" s="1388">
        <v>5</v>
      </c>
      <c r="V13" s="761">
        <f t="shared" si="8"/>
        <v>7.8461538461538458</v>
      </c>
      <c r="W13" s="788">
        <f t="shared" si="9"/>
        <v>39.230769230769226</v>
      </c>
      <c r="X13" s="1388">
        <v>0.5</v>
      </c>
      <c r="Y13" s="788">
        <f>'P Salary'!T14*P!X13</f>
        <v>5.6779863440495006</v>
      </c>
      <c r="Z13" s="1388">
        <v>0</v>
      </c>
      <c r="AA13" s="761">
        <f>F13/26/2</f>
        <v>3.9230769230769229</v>
      </c>
      <c r="AB13" s="788">
        <f t="shared" si="11"/>
        <v>0</v>
      </c>
      <c r="AC13" s="1388">
        <v>0</v>
      </c>
      <c r="AD13" s="1467">
        <f t="shared" si="12"/>
        <v>27</v>
      </c>
      <c r="AE13" s="1727">
        <v>0</v>
      </c>
      <c r="AF13" s="1121">
        <v>0</v>
      </c>
      <c r="AG13" s="511">
        <v>0</v>
      </c>
      <c r="AH13" s="511">
        <v>0</v>
      </c>
      <c r="AI13" s="788">
        <v>10</v>
      </c>
      <c r="AJ13" s="618">
        <v>11</v>
      </c>
      <c r="AK13" s="788">
        <v>10</v>
      </c>
      <c r="AL13" s="788">
        <v>10</v>
      </c>
      <c r="AM13" s="1325">
        <f t="shared" si="13"/>
        <v>414.36067865174181</v>
      </c>
      <c r="AN13" s="1278">
        <v>0.5</v>
      </c>
      <c r="AO13" s="1721">
        <v>102</v>
      </c>
      <c r="AP13" s="1097">
        <f>'Tax Calulation            '!P13</f>
        <v>0</v>
      </c>
      <c r="AQ13" s="1097">
        <f>'Tax Calulation            '!W13</f>
        <v>5.9084194977843429</v>
      </c>
      <c r="AR13" s="1687">
        <f t="shared" si="25"/>
        <v>305.95225915395747</v>
      </c>
      <c r="AS13" s="1685">
        <f t="shared" si="26"/>
        <v>24000</v>
      </c>
      <c r="AT13" s="1683">
        <f t="shared" si="14"/>
        <v>300</v>
      </c>
      <c r="AU13" s="509"/>
      <c r="AV13" s="504"/>
      <c r="AW13" s="505">
        <f t="shared" si="28"/>
        <v>1554730.7692307692</v>
      </c>
      <c r="AX13" s="502">
        <f t="shared" si="15"/>
        <v>3</v>
      </c>
      <c r="AY13" s="502">
        <f t="shared" si="16"/>
        <v>0</v>
      </c>
      <c r="AZ13" s="573">
        <f t="shared" si="17"/>
        <v>300</v>
      </c>
      <c r="BA13" s="573">
        <f t="shared" si="18"/>
        <v>0</v>
      </c>
      <c r="BB13" s="548">
        <f t="shared" si="19"/>
        <v>2</v>
      </c>
      <c r="BC13" s="548">
        <f t="shared" si="20"/>
        <v>0</v>
      </c>
      <c r="BD13" s="548">
        <f t="shared" si="21"/>
        <v>4</v>
      </c>
      <c r="BE13" s="548">
        <f t="shared" si="22"/>
        <v>0</v>
      </c>
      <c r="BF13" s="548">
        <f t="shared" si="23"/>
        <v>0</v>
      </c>
      <c r="BG13" s="549">
        <f t="shared" si="24"/>
        <v>24000</v>
      </c>
      <c r="BI13" s="581" t="s">
        <v>867</v>
      </c>
      <c r="BJ13" s="581" t="s">
        <v>574</v>
      </c>
      <c r="BK13" s="1163">
        <v>32606</v>
      </c>
      <c r="BL13" s="581" t="s">
        <v>681</v>
      </c>
      <c r="BM13" s="531">
        <v>40430554</v>
      </c>
    </row>
    <row r="14" spans="1:65" s="755" customFormat="1" ht="60" customHeight="1">
      <c r="A14" s="1389">
        <v>8</v>
      </c>
      <c r="B14" s="1604" t="s">
        <v>350</v>
      </c>
      <c r="C14" s="1854" t="s">
        <v>351</v>
      </c>
      <c r="D14" s="1841">
        <v>42125</v>
      </c>
      <c r="E14" s="578" t="s">
        <v>476</v>
      </c>
      <c r="F14" s="617">
        <f t="shared" si="27"/>
        <v>204</v>
      </c>
      <c r="G14" s="1874">
        <f>2</f>
        <v>2</v>
      </c>
      <c r="H14" s="1388">
        <v>22</v>
      </c>
      <c r="I14" s="1409">
        <f t="shared" si="0"/>
        <v>172.61538461538461</v>
      </c>
      <c r="J14" s="1827">
        <v>17.600000000000001</v>
      </c>
      <c r="K14" s="1097">
        <f t="shared" si="1"/>
        <v>172.61538461538461</v>
      </c>
      <c r="L14" s="1388">
        <v>56</v>
      </c>
      <c r="M14" s="761">
        <f t="shared" si="2"/>
        <v>1.471153846153846</v>
      </c>
      <c r="N14" s="788">
        <f t="shared" si="3"/>
        <v>82.384615384615373</v>
      </c>
      <c r="O14" s="1388">
        <v>0</v>
      </c>
      <c r="P14" s="761">
        <f t="shared" si="4"/>
        <v>1.9615384615384615</v>
      </c>
      <c r="Q14" s="788">
        <f t="shared" si="5"/>
        <v>0</v>
      </c>
      <c r="R14" s="1388">
        <v>16</v>
      </c>
      <c r="S14" s="761">
        <f t="shared" si="6"/>
        <v>1.9615384615384615</v>
      </c>
      <c r="T14" s="1096">
        <f t="shared" si="7"/>
        <v>31.384615384615383</v>
      </c>
      <c r="U14" s="1388">
        <v>5</v>
      </c>
      <c r="V14" s="761">
        <f t="shared" si="8"/>
        <v>7.8461538461538458</v>
      </c>
      <c r="W14" s="788">
        <f t="shared" si="9"/>
        <v>39.230769230769226</v>
      </c>
      <c r="X14" s="1388">
        <v>0</v>
      </c>
      <c r="Y14" s="788">
        <f>'P Salary'!T15*P!X14</f>
        <v>0</v>
      </c>
      <c r="Z14" s="1388">
        <v>0</v>
      </c>
      <c r="AA14" s="761">
        <f t="shared" si="10"/>
        <v>3.9230769230769229</v>
      </c>
      <c r="AB14" s="788">
        <f t="shared" si="11"/>
        <v>0</v>
      </c>
      <c r="AC14" s="1388">
        <v>0</v>
      </c>
      <c r="AD14" s="1467">
        <f t="shared" si="12"/>
        <v>27</v>
      </c>
      <c r="AE14" s="1727">
        <v>0</v>
      </c>
      <c r="AF14" s="1121">
        <v>0</v>
      </c>
      <c r="AG14" s="511">
        <v>0</v>
      </c>
      <c r="AH14" s="511">
        <v>0</v>
      </c>
      <c r="AI14" s="788">
        <v>10</v>
      </c>
      <c r="AJ14" s="618">
        <v>10</v>
      </c>
      <c r="AK14" s="788">
        <v>10</v>
      </c>
      <c r="AL14" s="788">
        <v>10</v>
      </c>
      <c r="AM14" s="1325">
        <f t="shared" si="13"/>
        <v>385.21538461538461</v>
      </c>
      <c r="AN14" s="1278">
        <v>0.5</v>
      </c>
      <c r="AO14" s="1721">
        <v>102</v>
      </c>
      <c r="AP14" s="1097">
        <f>'Tax Calulation            '!P14</f>
        <v>0</v>
      </c>
      <c r="AQ14" s="1097">
        <f>'Tax Calulation            '!W14</f>
        <v>5.9084194977843429</v>
      </c>
      <c r="AR14" s="1687">
        <f t="shared" si="25"/>
        <v>276.80696511760027</v>
      </c>
      <c r="AS14" s="1685">
        <f t="shared" si="26"/>
        <v>310300</v>
      </c>
      <c r="AT14" s="1683">
        <f t="shared" si="14"/>
        <v>200</v>
      </c>
      <c r="AU14" s="509"/>
      <c r="AV14" s="504"/>
      <c r="AW14" s="505">
        <f t="shared" si="28"/>
        <v>1462461.5384615383</v>
      </c>
      <c r="AX14" s="502">
        <f t="shared" si="15"/>
        <v>2</v>
      </c>
      <c r="AY14" s="502">
        <f t="shared" si="16"/>
        <v>0</v>
      </c>
      <c r="AZ14" s="573">
        <f t="shared" si="17"/>
        <v>200</v>
      </c>
      <c r="BA14" s="573">
        <f t="shared" si="18"/>
        <v>6</v>
      </c>
      <c r="BB14" s="548">
        <f t="shared" si="19"/>
        <v>1</v>
      </c>
      <c r="BC14" s="548">
        <f t="shared" si="20"/>
        <v>0</v>
      </c>
      <c r="BD14" s="548">
        <f t="shared" si="21"/>
        <v>0</v>
      </c>
      <c r="BE14" s="548">
        <f t="shared" si="22"/>
        <v>0</v>
      </c>
      <c r="BF14" s="548">
        <f t="shared" si="23"/>
        <v>3</v>
      </c>
      <c r="BG14" s="549">
        <f t="shared" si="24"/>
        <v>310300</v>
      </c>
      <c r="BI14" s="581" t="s">
        <v>868</v>
      </c>
      <c r="BJ14" s="581" t="s">
        <v>574</v>
      </c>
      <c r="BK14" s="1163">
        <v>31788</v>
      </c>
      <c r="BL14" s="581" t="s">
        <v>682</v>
      </c>
      <c r="BM14" s="531">
        <v>40243320</v>
      </c>
    </row>
    <row r="15" spans="1:65" s="768" customFormat="1" ht="60" customHeight="1">
      <c r="A15" s="1389">
        <v>9</v>
      </c>
      <c r="B15" s="1605" t="s">
        <v>352</v>
      </c>
      <c r="C15" s="1855" t="s">
        <v>353</v>
      </c>
      <c r="D15" s="1851">
        <v>42128</v>
      </c>
      <c r="E15" s="628" t="s">
        <v>476</v>
      </c>
      <c r="F15" s="758">
        <f t="shared" si="27"/>
        <v>204</v>
      </c>
      <c r="G15" s="1875">
        <f>2</f>
        <v>2</v>
      </c>
      <c r="H15" s="1388">
        <v>22</v>
      </c>
      <c r="I15" s="1409">
        <f t="shared" si="0"/>
        <v>172.61538461538461</v>
      </c>
      <c r="J15" s="1827">
        <v>18.3</v>
      </c>
      <c r="K15" s="1097">
        <f t="shared" si="1"/>
        <v>172.61538461538461</v>
      </c>
      <c r="L15" s="1388">
        <v>63</v>
      </c>
      <c r="M15" s="761">
        <f t="shared" si="2"/>
        <v>1.471153846153846</v>
      </c>
      <c r="N15" s="788">
        <f t="shared" si="3"/>
        <v>92.682692307692307</v>
      </c>
      <c r="O15" s="1388">
        <v>0</v>
      </c>
      <c r="P15" s="761">
        <f t="shared" si="4"/>
        <v>1.9615384615384615</v>
      </c>
      <c r="Q15" s="618">
        <f t="shared" si="5"/>
        <v>0</v>
      </c>
      <c r="R15" s="1388">
        <v>24</v>
      </c>
      <c r="S15" s="761">
        <f t="shared" si="6"/>
        <v>1.9615384615384615</v>
      </c>
      <c r="T15" s="1096">
        <f t="shared" si="7"/>
        <v>47.076923076923073</v>
      </c>
      <c r="U15" s="1388">
        <v>5</v>
      </c>
      <c r="V15" s="761">
        <f t="shared" si="8"/>
        <v>7.8461538461538458</v>
      </c>
      <c r="W15" s="788">
        <f t="shared" si="9"/>
        <v>39.230769230769226</v>
      </c>
      <c r="X15" s="1388">
        <v>0</v>
      </c>
      <c r="Y15" s="788">
        <f>'P Salary'!T16*P!X15</f>
        <v>0</v>
      </c>
      <c r="Z15" s="1388">
        <v>0</v>
      </c>
      <c r="AA15" s="761">
        <f t="shared" si="10"/>
        <v>3.9230769230769229</v>
      </c>
      <c r="AB15" s="788">
        <f t="shared" si="11"/>
        <v>0</v>
      </c>
      <c r="AC15" s="1388">
        <v>0</v>
      </c>
      <c r="AD15" s="1467">
        <f t="shared" si="12"/>
        <v>27</v>
      </c>
      <c r="AE15" s="1727">
        <v>0</v>
      </c>
      <c r="AF15" s="1121">
        <v>0</v>
      </c>
      <c r="AG15" s="511">
        <v>0</v>
      </c>
      <c r="AH15" s="762">
        <v>0</v>
      </c>
      <c r="AI15" s="788">
        <v>10</v>
      </c>
      <c r="AJ15" s="788">
        <v>10</v>
      </c>
      <c r="AK15" s="788">
        <v>10</v>
      </c>
      <c r="AL15" s="788">
        <v>10</v>
      </c>
      <c r="AM15" s="1325">
        <f t="shared" si="13"/>
        <v>411.90576923076924</v>
      </c>
      <c r="AN15" s="1278">
        <v>0.5</v>
      </c>
      <c r="AO15" s="1721">
        <v>102</v>
      </c>
      <c r="AP15" s="1097">
        <f>'Tax Calulation            '!P15</f>
        <v>0</v>
      </c>
      <c r="AQ15" s="1097">
        <f>'Tax Calulation            '!W15</f>
        <v>5.9084194977843429</v>
      </c>
      <c r="AR15" s="1687">
        <f t="shared" si="25"/>
        <v>303.4973497329849</v>
      </c>
      <c r="AS15" s="1685">
        <f t="shared" si="26"/>
        <v>14100</v>
      </c>
      <c r="AT15" s="1684">
        <f t="shared" si="14"/>
        <v>300</v>
      </c>
      <c r="AU15" s="759"/>
      <c r="AV15" s="763"/>
      <c r="AW15" s="764">
        <f t="shared" si="28"/>
        <v>1566423.076923077</v>
      </c>
      <c r="AX15" s="612">
        <f t="shared" si="15"/>
        <v>3</v>
      </c>
      <c r="AY15" s="612">
        <f t="shared" si="16"/>
        <v>0</v>
      </c>
      <c r="AZ15" s="765">
        <f t="shared" si="17"/>
        <v>300</v>
      </c>
      <c r="BA15" s="765">
        <f t="shared" si="18"/>
        <v>0</v>
      </c>
      <c r="BB15" s="766">
        <f t="shared" si="19"/>
        <v>1</v>
      </c>
      <c r="BC15" s="766">
        <f t="shared" si="20"/>
        <v>0</v>
      </c>
      <c r="BD15" s="766">
        <f t="shared" si="21"/>
        <v>4</v>
      </c>
      <c r="BE15" s="766">
        <f t="shared" si="22"/>
        <v>0</v>
      </c>
      <c r="BF15" s="766">
        <f t="shared" si="23"/>
        <v>1</v>
      </c>
      <c r="BG15" s="767">
        <f t="shared" si="24"/>
        <v>14100</v>
      </c>
      <c r="BI15" s="625" t="s">
        <v>869</v>
      </c>
      <c r="BJ15" s="625" t="s">
        <v>574</v>
      </c>
      <c r="BK15" s="1165">
        <v>28772</v>
      </c>
      <c r="BL15" s="625" t="s">
        <v>683</v>
      </c>
      <c r="BM15" s="787">
        <v>30652556</v>
      </c>
    </row>
    <row r="16" spans="1:65" s="755" customFormat="1" ht="60" customHeight="1">
      <c r="A16" s="1389">
        <v>10</v>
      </c>
      <c r="B16" s="1604" t="s">
        <v>461</v>
      </c>
      <c r="C16" s="1854" t="s">
        <v>462</v>
      </c>
      <c r="D16" s="1841">
        <v>42248</v>
      </c>
      <c r="E16" s="578" t="s">
        <v>476</v>
      </c>
      <c r="F16" s="617">
        <f t="shared" si="27"/>
        <v>204</v>
      </c>
      <c r="G16" s="1874">
        <f>2</f>
        <v>2</v>
      </c>
      <c r="H16" s="1388">
        <v>22</v>
      </c>
      <c r="I16" s="1409">
        <f t="shared" si="0"/>
        <v>172.61538461538461</v>
      </c>
      <c r="J16" s="1827">
        <v>18.5</v>
      </c>
      <c r="K16" s="1097">
        <f t="shared" si="1"/>
        <v>172.61538461538461</v>
      </c>
      <c r="L16" s="1388">
        <v>62</v>
      </c>
      <c r="M16" s="761">
        <f t="shared" si="2"/>
        <v>1.471153846153846</v>
      </c>
      <c r="N16" s="788">
        <f t="shared" si="3"/>
        <v>91.211538461538453</v>
      </c>
      <c r="O16" s="1388">
        <v>0</v>
      </c>
      <c r="P16" s="761">
        <f t="shared" si="4"/>
        <v>1.9615384615384615</v>
      </c>
      <c r="Q16" s="618">
        <f t="shared" si="5"/>
        <v>0</v>
      </c>
      <c r="R16" s="1388">
        <v>24</v>
      </c>
      <c r="S16" s="761">
        <f t="shared" si="6"/>
        <v>1.9615384615384615</v>
      </c>
      <c r="T16" s="1096">
        <f t="shared" si="7"/>
        <v>47.076923076923073</v>
      </c>
      <c r="U16" s="1388">
        <v>5</v>
      </c>
      <c r="V16" s="761">
        <f t="shared" si="8"/>
        <v>7.8461538461538458</v>
      </c>
      <c r="W16" s="788">
        <f t="shared" si="9"/>
        <v>39.230769230769226</v>
      </c>
      <c r="X16" s="1388">
        <v>0</v>
      </c>
      <c r="Y16" s="788">
        <f>'P Salary'!T17*P!X16</f>
        <v>0</v>
      </c>
      <c r="Z16" s="1388">
        <v>0</v>
      </c>
      <c r="AA16" s="761">
        <f t="shared" si="10"/>
        <v>3.9230769230769229</v>
      </c>
      <c r="AB16" s="788">
        <f t="shared" si="11"/>
        <v>0</v>
      </c>
      <c r="AC16" s="1388">
        <v>0</v>
      </c>
      <c r="AD16" s="1467">
        <f t="shared" si="12"/>
        <v>27</v>
      </c>
      <c r="AE16" s="1727">
        <v>0</v>
      </c>
      <c r="AF16" s="1121">
        <v>0</v>
      </c>
      <c r="AG16" s="511">
        <v>0</v>
      </c>
      <c r="AH16" s="511">
        <v>0</v>
      </c>
      <c r="AI16" s="788">
        <v>10</v>
      </c>
      <c r="AJ16" s="618">
        <v>10</v>
      </c>
      <c r="AK16" s="788">
        <v>10</v>
      </c>
      <c r="AL16" s="788">
        <v>10</v>
      </c>
      <c r="AM16" s="1325">
        <f t="shared" si="13"/>
        <v>410.63461538461542</v>
      </c>
      <c r="AN16" s="1278">
        <v>0.5</v>
      </c>
      <c r="AO16" s="1721">
        <v>102</v>
      </c>
      <c r="AP16" s="1097">
        <f>'Tax Calulation            '!P16</f>
        <v>0</v>
      </c>
      <c r="AQ16" s="1097">
        <f>'Tax Calulation            '!W16</f>
        <v>5.9084194977843429</v>
      </c>
      <c r="AR16" s="1687">
        <f t="shared" si="25"/>
        <v>302.22619588683108</v>
      </c>
      <c r="AS16" s="1685">
        <f t="shared" si="26"/>
        <v>9000</v>
      </c>
      <c r="AT16" s="1683">
        <f t="shared" si="14"/>
        <v>300</v>
      </c>
      <c r="AU16" s="509"/>
      <c r="AV16" s="504"/>
      <c r="AW16" s="505">
        <f t="shared" si="28"/>
        <v>1560538.4615384617</v>
      </c>
      <c r="AX16" s="502">
        <f t="shared" si="15"/>
        <v>3</v>
      </c>
      <c r="AY16" s="502">
        <f t="shared" si="16"/>
        <v>0</v>
      </c>
      <c r="AZ16" s="573">
        <f t="shared" si="17"/>
        <v>300</v>
      </c>
      <c r="BA16" s="573">
        <f t="shared" si="18"/>
        <v>0</v>
      </c>
      <c r="BB16" s="548">
        <f t="shared" si="19"/>
        <v>0</v>
      </c>
      <c r="BC16" s="548">
        <f t="shared" si="20"/>
        <v>1</v>
      </c>
      <c r="BD16" s="548">
        <f t="shared" si="21"/>
        <v>4</v>
      </c>
      <c r="BE16" s="548">
        <f t="shared" si="22"/>
        <v>0</v>
      </c>
      <c r="BF16" s="548">
        <f t="shared" si="23"/>
        <v>0</v>
      </c>
      <c r="BG16" s="549">
        <f t="shared" si="24"/>
        <v>9000</v>
      </c>
      <c r="BI16" s="581" t="s">
        <v>871</v>
      </c>
      <c r="BJ16" s="581" t="s">
        <v>574</v>
      </c>
      <c r="BK16" s="1163">
        <v>30355</v>
      </c>
      <c r="BL16" s="581" t="s">
        <v>685</v>
      </c>
      <c r="BM16" s="531">
        <v>51633058</v>
      </c>
    </row>
    <row r="17" spans="1:65" s="755" customFormat="1" ht="60" customHeight="1">
      <c r="A17" s="1389">
        <v>11</v>
      </c>
      <c r="B17" s="1604" t="s">
        <v>2307</v>
      </c>
      <c r="C17" s="1854" t="s">
        <v>719</v>
      </c>
      <c r="D17" s="1841">
        <v>42695</v>
      </c>
      <c r="E17" s="1820" t="s">
        <v>1122</v>
      </c>
      <c r="F17" s="617">
        <f>13+170+17+12+8+2</f>
        <v>222</v>
      </c>
      <c r="G17" s="617">
        <f t="shared" ref="G17" si="29">25+2</f>
        <v>27</v>
      </c>
      <c r="H17" s="1388">
        <v>22</v>
      </c>
      <c r="I17" s="1409">
        <f t="shared" ref="I17" si="30">F17/26*H17</f>
        <v>187.84615384615384</v>
      </c>
      <c r="J17" s="1827">
        <v>20</v>
      </c>
      <c r="K17" s="1097">
        <f t="shared" si="1"/>
        <v>187.84615384615384</v>
      </c>
      <c r="L17" s="1388">
        <v>62</v>
      </c>
      <c r="M17" s="761">
        <f t="shared" ref="M17" si="31">F17/26/8*1.5</f>
        <v>1.6009615384615383</v>
      </c>
      <c r="N17" s="788">
        <f t="shared" si="3"/>
        <v>99.259615384615373</v>
      </c>
      <c r="O17" s="1388">
        <v>0</v>
      </c>
      <c r="P17" s="761">
        <f t="shared" ref="P17" si="32">F17/26/8*2</f>
        <v>2.1346153846153846</v>
      </c>
      <c r="Q17" s="618">
        <f t="shared" ref="Q17" si="33">O17*P17</f>
        <v>0</v>
      </c>
      <c r="R17" s="1388">
        <v>24</v>
      </c>
      <c r="S17" s="761">
        <f t="shared" ref="S17" si="34">F17/26/8*2</f>
        <v>2.1346153846153846</v>
      </c>
      <c r="T17" s="1096">
        <f t="shared" ref="T17" si="35">S17*R17</f>
        <v>51.230769230769226</v>
      </c>
      <c r="U17" s="1388">
        <v>5</v>
      </c>
      <c r="V17" s="761">
        <f t="shared" ref="V17" si="36">F17/26</f>
        <v>8.5384615384615383</v>
      </c>
      <c r="W17" s="788">
        <f t="shared" si="9"/>
        <v>42.692307692307693</v>
      </c>
      <c r="X17" s="1388">
        <v>0</v>
      </c>
      <c r="Y17" s="788">
        <f>'P Salary'!T18*P!X17</f>
        <v>0</v>
      </c>
      <c r="Z17" s="1388">
        <v>0</v>
      </c>
      <c r="AA17" s="761">
        <f t="shared" ref="AA17" si="37">F17/26/2</f>
        <v>4.2692307692307692</v>
      </c>
      <c r="AB17" s="788">
        <f t="shared" ref="AB17" si="38">Z17*AA17</f>
        <v>0</v>
      </c>
      <c r="AC17" s="1388">
        <v>0</v>
      </c>
      <c r="AD17" s="1467">
        <f t="shared" ref="AD17" si="39">H17+U17+Z17+AC17+X17</f>
        <v>27</v>
      </c>
      <c r="AE17" s="1727">
        <v>0</v>
      </c>
      <c r="AF17" s="1121">
        <v>0</v>
      </c>
      <c r="AG17" s="511">
        <v>0</v>
      </c>
      <c r="AH17" s="511">
        <v>0</v>
      </c>
      <c r="AI17" s="788">
        <v>10</v>
      </c>
      <c r="AJ17" s="618">
        <v>8</v>
      </c>
      <c r="AK17" s="788">
        <v>10</v>
      </c>
      <c r="AL17" s="788">
        <v>10</v>
      </c>
      <c r="AM17" s="1325">
        <f t="shared" si="13"/>
        <v>466.02884615384613</v>
      </c>
      <c r="AN17" s="1278">
        <v>0.5</v>
      </c>
      <c r="AO17" s="1721">
        <v>102</v>
      </c>
      <c r="AP17" s="1097">
        <f>'Tax Calulation            '!P17</f>
        <v>0</v>
      </c>
      <c r="AQ17" s="1097">
        <f>'Tax Calulation            '!W17</f>
        <v>5.9084194977843429</v>
      </c>
      <c r="AR17" s="1687">
        <f t="shared" si="25"/>
        <v>357.6204266560618</v>
      </c>
      <c r="AS17" s="1685">
        <f t="shared" si="26"/>
        <v>232800</v>
      </c>
      <c r="AT17" s="1683">
        <f t="shared" ref="AT17" si="40">CEILING(AR17,(100))-100</f>
        <v>300</v>
      </c>
      <c r="AU17" s="509"/>
      <c r="AV17" s="504"/>
      <c r="AW17" s="505"/>
      <c r="AX17" s="502">
        <f t="shared" ref="AX17" si="41">INT(AT17/100)</f>
        <v>3</v>
      </c>
      <c r="AY17" s="502">
        <f t="shared" ref="AY17" si="42">INT((AT17-AX17*100)/50)</f>
        <v>0</v>
      </c>
      <c r="AZ17" s="1113">
        <f t="shared" ref="AZ17" si="43">AX17*100+AY17*50</f>
        <v>300</v>
      </c>
      <c r="BA17" s="1113">
        <f t="shared" ref="BA17" si="44">INT((AS17/50000))</f>
        <v>4</v>
      </c>
      <c r="BB17" s="548">
        <f t="shared" ref="BB17" si="45">INT((AS17-BA17*50000)/10000)</f>
        <v>3</v>
      </c>
      <c r="BC17" s="548">
        <f t="shared" ref="BC17" si="46">INT((AS17-BA17*50000-BB17*10000)/5000)</f>
        <v>0</v>
      </c>
      <c r="BD17" s="548">
        <f t="shared" ref="BD17" si="47">INT((AS17-BA17*50000-BB17*10000-BC17*5000)/1000)</f>
        <v>2</v>
      </c>
      <c r="BE17" s="548">
        <f t="shared" ref="BE17" si="48">INT((AS17-BA17*50000-BB17*10000-BC17*5000-BD17*1000)/500)</f>
        <v>1</v>
      </c>
      <c r="BF17" s="548">
        <f t="shared" ref="BF17" si="49">INT((AS17-BA17*50000-BB17*10000-BC17*5000-BD17*1000-BE17*500)/100)</f>
        <v>3</v>
      </c>
      <c r="BG17" s="549">
        <f t="shared" ref="BG17" si="50">BA17*50000+BB17*10000+BC17*5000+BD17*1000+BE17*500+BF17*100</f>
        <v>232800</v>
      </c>
      <c r="BI17" s="581" t="s">
        <v>880</v>
      </c>
      <c r="BJ17" s="581" t="s">
        <v>573</v>
      </c>
      <c r="BK17" s="1163">
        <v>36484</v>
      </c>
      <c r="BL17" s="581" t="s">
        <v>720</v>
      </c>
      <c r="BM17" s="531">
        <v>101067818</v>
      </c>
    </row>
    <row r="18" spans="1:65" s="755" customFormat="1" ht="60" customHeight="1">
      <c r="A18" s="1389">
        <v>12</v>
      </c>
      <c r="B18" s="1607" t="s">
        <v>431</v>
      </c>
      <c r="C18" s="1329" t="s">
        <v>1333</v>
      </c>
      <c r="D18" s="1841">
        <v>43210</v>
      </c>
      <c r="E18" s="578" t="s">
        <v>476</v>
      </c>
      <c r="F18" s="617">
        <f t="shared" ref="F18:F21" si="51">179+12+8+2+3</f>
        <v>204</v>
      </c>
      <c r="G18" s="1874">
        <f>2</f>
        <v>2</v>
      </c>
      <c r="H18" s="1388">
        <v>22</v>
      </c>
      <c r="I18" s="1409">
        <f t="shared" si="0"/>
        <v>172.61538461538461</v>
      </c>
      <c r="J18" s="1827">
        <v>18</v>
      </c>
      <c r="K18" s="1097">
        <f t="shared" si="1"/>
        <v>172.61538461538461</v>
      </c>
      <c r="L18" s="1388">
        <v>63</v>
      </c>
      <c r="M18" s="761">
        <f t="shared" si="2"/>
        <v>1.471153846153846</v>
      </c>
      <c r="N18" s="788">
        <f t="shared" si="3"/>
        <v>92.682692307692307</v>
      </c>
      <c r="O18" s="1388">
        <v>0</v>
      </c>
      <c r="P18" s="761">
        <f t="shared" si="4"/>
        <v>1.9615384615384615</v>
      </c>
      <c r="Q18" s="618">
        <f t="shared" si="5"/>
        <v>0</v>
      </c>
      <c r="R18" s="1388">
        <v>24</v>
      </c>
      <c r="S18" s="761">
        <f t="shared" si="6"/>
        <v>1.9615384615384615</v>
      </c>
      <c r="T18" s="1096">
        <f t="shared" si="7"/>
        <v>47.076923076923073</v>
      </c>
      <c r="U18" s="1388">
        <v>5</v>
      </c>
      <c r="V18" s="761">
        <f t="shared" si="8"/>
        <v>7.8461538461538458</v>
      </c>
      <c r="W18" s="788">
        <f t="shared" si="9"/>
        <v>39.230769230769226</v>
      </c>
      <c r="X18" s="1388">
        <v>0</v>
      </c>
      <c r="Y18" s="788">
        <f>'P Salary'!T19*P!X18</f>
        <v>0</v>
      </c>
      <c r="Z18" s="1388">
        <v>0</v>
      </c>
      <c r="AA18" s="761">
        <f t="shared" si="10"/>
        <v>3.9230769230769229</v>
      </c>
      <c r="AB18" s="788">
        <f t="shared" si="11"/>
        <v>0</v>
      </c>
      <c r="AC18" s="1388">
        <v>0</v>
      </c>
      <c r="AD18" s="1467">
        <f t="shared" si="12"/>
        <v>27</v>
      </c>
      <c r="AE18" s="1727">
        <v>0</v>
      </c>
      <c r="AF18" s="1121">
        <v>0</v>
      </c>
      <c r="AG18" s="511">
        <v>0</v>
      </c>
      <c r="AH18" s="511">
        <v>0</v>
      </c>
      <c r="AI18" s="788">
        <v>10</v>
      </c>
      <c r="AJ18" s="618">
        <v>7</v>
      </c>
      <c r="AK18" s="788">
        <v>10</v>
      </c>
      <c r="AL18" s="788">
        <v>10</v>
      </c>
      <c r="AM18" s="1325">
        <f t="shared" si="13"/>
        <v>408.60576923076923</v>
      </c>
      <c r="AN18" s="1278">
        <v>0</v>
      </c>
      <c r="AO18" s="1721">
        <v>102</v>
      </c>
      <c r="AP18" s="1097">
        <f>'Tax Calulation            '!P18</f>
        <v>0</v>
      </c>
      <c r="AQ18" s="1097">
        <f>'Tax Calulation            '!W18</f>
        <v>5.9084194977843429</v>
      </c>
      <c r="AR18" s="1687">
        <f t="shared" si="25"/>
        <v>300.69734973298489</v>
      </c>
      <c r="AS18" s="1685">
        <f t="shared" si="26"/>
        <v>2800</v>
      </c>
      <c r="AT18" s="1683">
        <f t="shared" si="14"/>
        <v>300</v>
      </c>
      <c r="AU18" s="509"/>
      <c r="AV18" s="504"/>
      <c r="AW18" s="505">
        <f t="shared" si="28"/>
        <v>1554423.076923077</v>
      </c>
      <c r="AX18" s="502">
        <f t="shared" si="15"/>
        <v>3</v>
      </c>
      <c r="AY18" s="502">
        <f t="shared" si="16"/>
        <v>0</v>
      </c>
      <c r="AZ18" s="573">
        <f t="shared" si="17"/>
        <v>300</v>
      </c>
      <c r="BA18" s="573">
        <f t="shared" si="18"/>
        <v>0</v>
      </c>
      <c r="BB18" s="548">
        <f t="shared" si="19"/>
        <v>0</v>
      </c>
      <c r="BC18" s="548">
        <f t="shared" si="20"/>
        <v>0</v>
      </c>
      <c r="BD18" s="548">
        <f t="shared" si="21"/>
        <v>2</v>
      </c>
      <c r="BE18" s="548">
        <f t="shared" si="22"/>
        <v>1</v>
      </c>
      <c r="BF18" s="548">
        <f t="shared" si="23"/>
        <v>3</v>
      </c>
      <c r="BG18" s="549">
        <f t="shared" si="24"/>
        <v>2800</v>
      </c>
      <c r="BI18" s="578" t="s">
        <v>872</v>
      </c>
      <c r="BJ18" s="578" t="s">
        <v>574</v>
      </c>
      <c r="BK18" s="1163">
        <v>30015</v>
      </c>
      <c r="BL18" s="578" t="s">
        <v>686</v>
      </c>
      <c r="BM18" s="531">
        <v>21056188</v>
      </c>
    </row>
    <row r="19" spans="1:65" s="755" customFormat="1" ht="60" customHeight="1">
      <c r="A19" s="1389">
        <v>13</v>
      </c>
      <c r="B19" s="1607" t="s">
        <v>432</v>
      </c>
      <c r="C19" s="1329" t="s">
        <v>1334</v>
      </c>
      <c r="D19" s="1841">
        <v>43211</v>
      </c>
      <c r="E19" s="578" t="s">
        <v>476</v>
      </c>
      <c r="F19" s="617">
        <f t="shared" si="51"/>
        <v>204</v>
      </c>
      <c r="G19" s="1874">
        <f>2</f>
        <v>2</v>
      </c>
      <c r="H19" s="1388">
        <v>21.5</v>
      </c>
      <c r="I19" s="1409">
        <f t="shared" si="0"/>
        <v>168.69230769230768</v>
      </c>
      <c r="J19" s="1827">
        <v>17.7</v>
      </c>
      <c r="K19" s="1097">
        <f t="shared" si="1"/>
        <v>168.69230769230768</v>
      </c>
      <c r="L19" s="1388">
        <v>61</v>
      </c>
      <c r="M19" s="761">
        <f t="shared" si="2"/>
        <v>1.471153846153846</v>
      </c>
      <c r="N19" s="788">
        <f t="shared" si="3"/>
        <v>89.740384615384613</v>
      </c>
      <c r="O19" s="1388">
        <v>0</v>
      </c>
      <c r="P19" s="761">
        <f t="shared" si="4"/>
        <v>1.9615384615384615</v>
      </c>
      <c r="Q19" s="618">
        <f t="shared" si="5"/>
        <v>0</v>
      </c>
      <c r="R19" s="1388">
        <v>24</v>
      </c>
      <c r="S19" s="761">
        <f t="shared" si="6"/>
        <v>1.9615384615384615</v>
      </c>
      <c r="T19" s="1096">
        <f t="shared" si="7"/>
        <v>47.076923076923073</v>
      </c>
      <c r="U19" s="1388">
        <v>5.5</v>
      </c>
      <c r="V19" s="761">
        <f t="shared" si="8"/>
        <v>7.8461538461538458</v>
      </c>
      <c r="W19" s="788">
        <f t="shared" si="9"/>
        <v>43.153846153846153</v>
      </c>
      <c r="X19" s="1388">
        <v>0</v>
      </c>
      <c r="Y19" s="788">
        <f>'P Salary'!T20*P!X19</f>
        <v>0</v>
      </c>
      <c r="Z19" s="1388">
        <v>0</v>
      </c>
      <c r="AA19" s="761">
        <f t="shared" si="10"/>
        <v>3.9230769230769229</v>
      </c>
      <c r="AB19" s="788">
        <f t="shared" si="11"/>
        <v>0</v>
      </c>
      <c r="AC19" s="1388">
        <v>0</v>
      </c>
      <c r="AD19" s="1467">
        <f t="shared" si="12"/>
        <v>27</v>
      </c>
      <c r="AE19" s="1727">
        <v>0</v>
      </c>
      <c r="AF19" s="1121">
        <v>0</v>
      </c>
      <c r="AG19" s="511">
        <v>0</v>
      </c>
      <c r="AH19" s="511">
        <v>0</v>
      </c>
      <c r="AI19" s="788">
        <v>10</v>
      </c>
      <c r="AJ19" s="618">
        <v>7</v>
      </c>
      <c r="AK19" s="788">
        <v>10</v>
      </c>
      <c r="AL19" s="788">
        <v>10</v>
      </c>
      <c r="AM19" s="1325">
        <f t="shared" si="13"/>
        <v>405.36346153846148</v>
      </c>
      <c r="AN19" s="1278">
        <v>0.5</v>
      </c>
      <c r="AO19" s="1721">
        <v>102</v>
      </c>
      <c r="AP19" s="1097">
        <f>'Tax Calulation            '!P19</f>
        <v>0</v>
      </c>
      <c r="AQ19" s="1097">
        <f>'Tax Calulation            '!W19</f>
        <v>5.9084194977843429</v>
      </c>
      <c r="AR19" s="1687">
        <f t="shared" si="25"/>
        <v>296.95504204067714</v>
      </c>
      <c r="AS19" s="1685">
        <f t="shared" si="26"/>
        <v>391700</v>
      </c>
      <c r="AT19" s="1683">
        <f t="shared" si="14"/>
        <v>200</v>
      </c>
      <c r="AU19" s="509"/>
      <c r="AV19" s="504"/>
      <c r="AW19" s="505">
        <f t="shared" si="28"/>
        <v>1542653.846153846</v>
      </c>
      <c r="AX19" s="502">
        <f t="shared" si="15"/>
        <v>2</v>
      </c>
      <c r="AY19" s="502">
        <f t="shared" si="16"/>
        <v>0</v>
      </c>
      <c r="AZ19" s="573">
        <f t="shared" si="17"/>
        <v>200</v>
      </c>
      <c r="BA19" s="573">
        <f t="shared" si="18"/>
        <v>7</v>
      </c>
      <c r="BB19" s="548">
        <f t="shared" si="19"/>
        <v>4</v>
      </c>
      <c r="BC19" s="548">
        <f t="shared" si="20"/>
        <v>0</v>
      </c>
      <c r="BD19" s="548">
        <f t="shared" si="21"/>
        <v>1</v>
      </c>
      <c r="BE19" s="548">
        <f t="shared" si="22"/>
        <v>1</v>
      </c>
      <c r="BF19" s="548">
        <f t="shared" si="23"/>
        <v>2</v>
      </c>
      <c r="BG19" s="549">
        <f t="shared" si="24"/>
        <v>391700</v>
      </c>
      <c r="BI19" s="578" t="s">
        <v>873</v>
      </c>
      <c r="BJ19" s="578" t="s">
        <v>574</v>
      </c>
      <c r="BK19" s="1163">
        <v>29741</v>
      </c>
      <c r="BL19" s="578" t="s">
        <v>658</v>
      </c>
      <c r="BM19" s="531">
        <v>30937531</v>
      </c>
    </row>
    <row r="20" spans="1:65" s="755" customFormat="1" ht="60" customHeight="1">
      <c r="A20" s="1389">
        <v>14</v>
      </c>
      <c r="B20" s="1608" t="s">
        <v>2387</v>
      </c>
      <c r="C20" s="1103" t="s">
        <v>2388</v>
      </c>
      <c r="D20" s="1477">
        <v>43210</v>
      </c>
      <c r="E20" s="627" t="s">
        <v>476</v>
      </c>
      <c r="F20" s="617">
        <f t="shared" si="51"/>
        <v>204</v>
      </c>
      <c r="G20" s="959">
        <f>2</f>
        <v>2</v>
      </c>
      <c r="H20" s="1388">
        <v>6</v>
      </c>
      <c r="I20" s="1409">
        <f t="shared" ref="I20" si="52">F20/26*H20</f>
        <v>47.076923076923073</v>
      </c>
      <c r="J20" s="1827">
        <v>7</v>
      </c>
      <c r="K20" s="1097">
        <f t="shared" ref="K20" si="53">I20</f>
        <v>47.076923076923073</v>
      </c>
      <c r="L20" s="1388">
        <v>20</v>
      </c>
      <c r="M20" s="761">
        <f t="shared" ref="M20" si="54">F20/26/8*1.5</f>
        <v>1.471153846153846</v>
      </c>
      <c r="N20" s="788">
        <f t="shared" ref="N20" si="55">L20*M20</f>
        <v>29.42307692307692</v>
      </c>
      <c r="O20" s="1388">
        <v>1</v>
      </c>
      <c r="P20" s="761">
        <f t="shared" ref="P20" si="56">F20/26/8*2</f>
        <v>1.9615384615384615</v>
      </c>
      <c r="Q20" s="618">
        <f t="shared" ref="Q20" si="57">O20*P20</f>
        <v>1.9615384615384615</v>
      </c>
      <c r="R20" s="1388">
        <v>8</v>
      </c>
      <c r="S20" s="761">
        <f t="shared" ref="S20" si="58">F20/26/8*2</f>
        <v>1.9615384615384615</v>
      </c>
      <c r="T20" s="1096">
        <f t="shared" ref="T20" si="59">S20*R20</f>
        <v>15.692307692307692</v>
      </c>
      <c r="U20" s="1388">
        <v>0</v>
      </c>
      <c r="V20" s="761">
        <f t="shared" ref="V20" si="60">F20/26</f>
        <v>7.8461538461538458</v>
      </c>
      <c r="W20" s="788">
        <f t="shared" ref="W20" si="61">V20*U20</f>
        <v>0</v>
      </c>
      <c r="X20" s="1388">
        <v>0</v>
      </c>
      <c r="Y20" s="788">
        <f>'P Salary'!T21*P!X20</f>
        <v>0</v>
      </c>
      <c r="Z20" s="1388">
        <v>0</v>
      </c>
      <c r="AA20" s="761">
        <f t="shared" ref="AA20" si="62">F20/26/2</f>
        <v>3.9230769230769229</v>
      </c>
      <c r="AB20" s="788">
        <f t="shared" ref="AB20" si="63">Z20*AA20</f>
        <v>0</v>
      </c>
      <c r="AC20" s="1388">
        <v>0</v>
      </c>
      <c r="AD20" s="1915">
        <f t="shared" ref="AD20" si="64">H20+U20+Z20+AC20+X20</f>
        <v>6</v>
      </c>
      <c r="AE20" s="1727">
        <v>0</v>
      </c>
      <c r="AF20" s="1121">
        <v>0</v>
      </c>
      <c r="AG20" s="511">
        <v>0</v>
      </c>
      <c r="AH20" s="511">
        <v>0</v>
      </c>
      <c r="AI20" s="788">
        <v>2.2999999999999998</v>
      </c>
      <c r="AJ20" s="618">
        <v>7</v>
      </c>
      <c r="AK20" s="788">
        <v>2.2999999999999998</v>
      </c>
      <c r="AL20" s="788">
        <v>5</v>
      </c>
      <c r="AM20" s="1325">
        <f t="shared" ref="AM20" si="65">G20+K20+N20+Q20+T20+W20+AB20+AE20+AG20+AI20+AJ20+AK20+AL20+J20+Y20+AF20+AH20</f>
        <v>119.75384615384615</v>
      </c>
      <c r="AN20" s="1278">
        <v>0.5</v>
      </c>
      <c r="AO20" s="1721">
        <v>0</v>
      </c>
      <c r="AP20" s="1097">
        <f>'Tax Calulation            '!P20</f>
        <v>0</v>
      </c>
      <c r="AQ20" s="1097">
        <f>'Tax Calulation            '!W20</f>
        <v>2.3950769230769233</v>
      </c>
      <c r="AR20" s="1687">
        <f t="shared" ref="AR20" si="66">AM20-AP20-AO20-AQ20-AN20</f>
        <v>116.85876923076923</v>
      </c>
      <c r="AS20" s="1685">
        <f t="shared" ref="AS20" si="67">ROUND((AR20-AT20)*4040,-2)</f>
        <v>68100</v>
      </c>
      <c r="AT20" s="1683">
        <f t="shared" ref="AT20" si="68">CEILING(AR20,(100))-100</f>
        <v>100</v>
      </c>
      <c r="AU20" s="509"/>
      <c r="AV20" s="504"/>
      <c r="AW20" s="505"/>
      <c r="AX20" s="502">
        <f t="shared" ref="AX20" si="69">INT(AT20/100)</f>
        <v>1</v>
      </c>
      <c r="AY20" s="502">
        <f t="shared" ref="AY20" si="70">INT((AT20-AX20*100)/50)</f>
        <v>0</v>
      </c>
      <c r="AZ20" s="1113">
        <f t="shared" ref="AZ20" si="71">AX20*100+AY20*50</f>
        <v>100</v>
      </c>
      <c r="BA20" s="1113">
        <f t="shared" ref="BA20" si="72">INT((AS20/50000))</f>
        <v>1</v>
      </c>
      <c r="BB20" s="548">
        <f t="shared" ref="BB20" si="73">INT((AS20-BA20*50000)/10000)</f>
        <v>1</v>
      </c>
      <c r="BC20" s="548">
        <f t="shared" ref="BC20" si="74">INT((AS20-BA20*50000-BB20*10000)/5000)</f>
        <v>1</v>
      </c>
      <c r="BD20" s="548">
        <f t="shared" ref="BD20" si="75">INT((AS20-BA20*50000-BB20*10000-BC20*5000)/1000)</f>
        <v>3</v>
      </c>
      <c r="BE20" s="548">
        <f t="shared" ref="BE20" si="76">INT((AS20-BA20*50000-BB20*10000-BC20*5000-BD20*1000)/500)</f>
        <v>0</v>
      </c>
      <c r="BF20" s="548">
        <f t="shared" ref="BF20" si="77">INT((AS20-BA20*50000-BB20*10000-BC20*5000-BD20*1000-BE20*500)/100)</f>
        <v>1</v>
      </c>
      <c r="BG20" s="549">
        <f t="shared" ref="BG20" si="78">BA20*50000+BB20*10000+BC20*5000+BD20*1000+BE20*500+BF20*100</f>
        <v>68100</v>
      </c>
      <c r="BI20" s="578" t="s">
        <v>2389</v>
      </c>
      <c r="BJ20" s="578" t="s">
        <v>1908</v>
      </c>
      <c r="BK20" s="1163">
        <v>34411</v>
      </c>
      <c r="BL20" s="578" t="s">
        <v>2390</v>
      </c>
      <c r="BM20" s="531">
        <v>20896294</v>
      </c>
    </row>
    <row r="21" spans="1:65" s="755" customFormat="1" ht="60" customHeight="1">
      <c r="A21" s="1389">
        <v>15</v>
      </c>
      <c r="B21" s="1607" t="s">
        <v>442</v>
      </c>
      <c r="C21" s="1329" t="s">
        <v>1335</v>
      </c>
      <c r="D21" s="1841">
        <v>43224</v>
      </c>
      <c r="E21" s="578" t="s">
        <v>476</v>
      </c>
      <c r="F21" s="617">
        <f t="shared" si="51"/>
        <v>204</v>
      </c>
      <c r="G21" s="1874">
        <f>2</f>
        <v>2</v>
      </c>
      <c r="H21" s="1388">
        <v>22</v>
      </c>
      <c r="I21" s="1409">
        <f t="shared" si="0"/>
        <v>172.61538461538461</v>
      </c>
      <c r="J21" s="1827">
        <v>18</v>
      </c>
      <c r="K21" s="1097">
        <f t="shared" si="1"/>
        <v>172.61538461538461</v>
      </c>
      <c r="L21" s="1388">
        <v>62</v>
      </c>
      <c r="M21" s="761">
        <f t="shared" si="2"/>
        <v>1.471153846153846</v>
      </c>
      <c r="N21" s="788">
        <f t="shared" si="3"/>
        <v>91.211538461538453</v>
      </c>
      <c r="O21" s="1388">
        <v>0</v>
      </c>
      <c r="P21" s="761">
        <f t="shared" si="4"/>
        <v>1.9615384615384615</v>
      </c>
      <c r="Q21" s="618">
        <f t="shared" si="5"/>
        <v>0</v>
      </c>
      <c r="R21" s="1388">
        <v>16</v>
      </c>
      <c r="S21" s="761">
        <f t="shared" si="6"/>
        <v>1.9615384615384615</v>
      </c>
      <c r="T21" s="1096">
        <f t="shared" si="7"/>
        <v>31.384615384615383</v>
      </c>
      <c r="U21" s="1388">
        <v>5</v>
      </c>
      <c r="V21" s="761">
        <f t="shared" si="8"/>
        <v>7.8461538461538458</v>
      </c>
      <c r="W21" s="788">
        <f t="shared" si="9"/>
        <v>39.230769230769226</v>
      </c>
      <c r="X21" s="1388">
        <v>0</v>
      </c>
      <c r="Y21" s="788">
        <f>'P Salary'!T22*P!X21</f>
        <v>0</v>
      </c>
      <c r="Z21" s="1388">
        <v>0</v>
      </c>
      <c r="AA21" s="761">
        <f t="shared" si="10"/>
        <v>3.9230769230769229</v>
      </c>
      <c r="AB21" s="788">
        <f t="shared" si="11"/>
        <v>0</v>
      </c>
      <c r="AC21" s="1388">
        <v>0</v>
      </c>
      <c r="AD21" s="1467">
        <f t="shared" si="12"/>
        <v>27</v>
      </c>
      <c r="AE21" s="1727">
        <v>0</v>
      </c>
      <c r="AF21" s="1121">
        <v>0</v>
      </c>
      <c r="AG21" s="511">
        <v>0</v>
      </c>
      <c r="AH21" s="511">
        <v>0</v>
      </c>
      <c r="AI21" s="788">
        <v>10</v>
      </c>
      <c r="AJ21" s="618">
        <v>7</v>
      </c>
      <c r="AK21" s="788">
        <v>10</v>
      </c>
      <c r="AL21" s="788">
        <v>10</v>
      </c>
      <c r="AM21" s="1325">
        <f t="shared" si="13"/>
        <v>391.44230769230768</v>
      </c>
      <c r="AN21" s="1278">
        <v>0.5</v>
      </c>
      <c r="AO21" s="1721">
        <v>102</v>
      </c>
      <c r="AP21" s="1097">
        <f>'Tax Calulation            '!P21</f>
        <v>0</v>
      </c>
      <c r="AQ21" s="1097">
        <f>'Tax Calulation            '!W21</f>
        <v>5.9084194977843429</v>
      </c>
      <c r="AR21" s="1687">
        <f t="shared" si="25"/>
        <v>283.03388819452334</v>
      </c>
      <c r="AS21" s="1685">
        <f t="shared" si="26"/>
        <v>335500</v>
      </c>
      <c r="AT21" s="1683">
        <f t="shared" si="14"/>
        <v>200</v>
      </c>
      <c r="AU21" s="509"/>
      <c r="AV21" s="504"/>
      <c r="AW21" s="505">
        <f t="shared" si="28"/>
        <v>1485769.2307692308</v>
      </c>
      <c r="AX21" s="502">
        <f t="shared" si="15"/>
        <v>2</v>
      </c>
      <c r="AY21" s="502">
        <f t="shared" si="16"/>
        <v>0</v>
      </c>
      <c r="AZ21" s="573">
        <f t="shared" si="17"/>
        <v>200</v>
      </c>
      <c r="BA21" s="573">
        <f t="shared" si="18"/>
        <v>6</v>
      </c>
      <c r="BB21" s="548">
        <f t="shared" si="19"/>
        <v>3</v>
      </c>
      <c r="BC21" s="548">
        <f t="shared" si="20"/>
        <v>1</v>
      </c>
      <c r="BD21" s="548">
        <f t="shared" si="21"/>
        <v>0</v>
      </c>
      <c r="BE21" s="548">
        <f t="shared" si="22"/>
        <v>1</v>
      </c>
      <c r="BF21" s="548">
        <f t="shared" si="23"/>
        <v>0</v>
      </c>
      <c r="BG21" s="549">
        <f t="shared" si="24"/>
        <v>335500</v>
      </c>
      <c r="BI21" s="578" t="s">
        <v>874</v>
      </c>
      <c r="BJ21" s="578" t="s">
        <v>574</v>
      </c>
      <c r="BK21" s="1163">
        <v>35552</v>
      </c>
      <c r="BL21" s="578" t="s">
        <v>687</v>
      </c>
      <c r="BM21" s="531">
        <v>61372687</v>
      </c>
    </row>
    <row r="22" spans="1:65" s="755" customFormat="1" ht="60" customHeight="1">
      <c r="A22" s="1389">
        <v>16</v>
      </c>
      <c r="B22" s="1607" t="s">
        <v>446</v>
      </c>
      <c r="C22" s="1329" t="s">
        <v>1289</v>
      </c>
      <c r="D22" s="1841">
        <v>43397</v>
      </c>
      <c r="E22" s="578" t="s">
        <v>476</v>
      </c>
      <c r="F22" s="617">
        <f>165+12+14+8+2+3</f>
        <v>204</v>
      </c>
      <c r="G22" s="1874">
        <f>2</f>
        <v>2</v>
      </c>
      <c r="H22" s="1388">
        <v>22</v>
      </c>
      <c r="I22" s="1409">
        <f t="shared" si="0"/>
        <v>172.61538461538461</v>
      </c>
      <c r="J22" s="1827">
        <v>18.3</v>
      </c>
      <c r="K22" s="1097">
        <f t="shared" si="1"/>
        <v>172.61538461538461</v>
      </c>
      <c r="L22" s="1388">
        <v>62</v>
      </c>
      <c r="M22" s="761">
        <f t="shared" si="2"/>
        <v>1.471153846153846</v>
      </c>
      <c r="N22" s="788">
        <f t="shared" si="3"/>
        <v>91.211538461538453</v>
      </c>
      <c r="O22" s="1388">
        <v>0</v>
      </c>
      <c r="P22" s="761">
        <f t="shared" si="4"/>
        <v>1.9615384615384615</v>
      </c>
      <c r="Q22" s="618">
        <f t="shared" si="5"/>
        <v>0</v>
      </c>
      <c r="R22" s="1388">
        <v>24</v>
      </c>
      <c r="S22" s="761">
        <f t="shared" si="6"/>
        <v>1.9615384615384615</v>
      </c>
      <c r="T22" s="1096">
        <f t="shared" si="7"/>
        <v>47.076923076923073</v>
      </c>
      <c r="U22" s="1388">
        <v>5</v>
      </c>
      <c r="V22" s="761">
        <f t="shared" si="8"/>
        <v>7.8461538461538458</v>
      </c>
      <c r="W22" s="788">
        <f t="shared" si="9"/>
        <v>39.230769230769226</v>
      </c>
      <c r="X22" s="1388">
        <v>0</v>
      </c>
      <c r="Y22" s="788">
        <f>'P Salary'!T23*P!X22</f>
        <v>0</v>
      </c>
      <c r="Z22" s="1388">
        <v>0</v>
      </c>
      <c r="AA22" s="761">
        <f t="shared" si="10"/>
        <v>3.9230769230769229</v>
      </c>
      <c r="AB22" s="788">
        <f t="shared" si="11"/>
        <v>0</v>
      </c>
      <c r="AC22" s="1388">
        <v>0</v>
      </c>
      <c r="AD22" s="1467">
        <f t="shared" si="12"/>
        <v>27</v>
      </c>
      <c r="AE22" s="1727">
        <v>0</v>
      </c>
      <c r="AF22" s="1121">
        <v>0</v>
      </c>
      <c r="AG22" s="511">
        <v>0</v>
      </c>
      <c r="AH22" s="511">
        <v>0</v>
      </c>
      <c r="AI22" s="788">
        <v>10</v>
      </c>
      <c r="AJ22" s="618">
        <v>7</v>
      </c>
      <c r="AK22" s="788">
        <v>10</v>
      </c>
      <c r="AL22" s="788">
        <v>10</v>
      </c>
      <c r="AM22" s="1325">
        <f t="shared" si="13"/>
        <v>407.43461538461543</v>
      </c>
      <c r="AN22" s="1278">
        <v>0.5</v>
      </c>
      <c r="AO22" s="1721">
        <v>102</v>
      </c>
      <c r="AP22" s="1097">
        <f>'Tax Calulation            '!P22</f>
        <v>0.61249886376548512</v>
      </c>
      <c r="AQ22" s="1097">
        <f>'Tax Calulation            '!W22</f>
        <v>5.9084194977843429</v>
      </c>
      <c r="AR22" s="1687">
        <f t="shared" si="25"/>
        <v>298.41369702306559</v>
      </c>
      <c r="AS22" s="1685">
        <f t="shared" si="26"/>
        <v>397600</v>
      </c>
      <c r="AT22" s="1683">
        <f t="shared" si="14"/>
        <v>200</v>
      </c>
      <c r="AU22" s="509"/>
      <c r="AV22" s="504"/>
      <c r="AW22" s="505">
        <f t="shared" si="28"/>
        <v>1548538.4615384617</v>
      </c>
      <c r="AX22" s="502">
        <f t="shared" si="15"/>
        <v>2</v>
      </c>
      <c r="AY22" s="502">
        <f t="shared" si="16"/>
        <v>0</v>
      </c>
      <c r="AZ22" s="573">
        <f t="shared" si="17"/>
        <v>200</v>
      </c>
      <c r="BA22" s="573">
        <f t="shared" si="18"/>
        <v>7</v>
      </c>
      <c r="BB22" s="548">
        <f t="shared" si="19"/>
        <v>4</v>
      </c>
      <c r="BC22" s="548">
        <f t="shared" si="20"/>
        <v>1</v>
      </c>
      <c r="BD22" s="548">
        <f t="shared" si="21"/>
        <v>2</v>
      </c>
      <c r="BE22" s="548">
        <f t="shared" si="22"/>
        <v>1</v>
      </c>
      <c r="BF22" s="548">
        <f t="shared" si="23"/>
        <v>1</v>
      </c>
      <c r="BG22" s="549">
        <f t="shared" si="24"/>
        <v>397600</v>
      </c>
      <c r="BI22" s="578" t="s">
        <v>875</v>
      </c>
      <c r="BJ22" s="578" t="s">
        <v>572</v>
      </c>
      <c r="BK22" s="1163">
        <v>35165</v>
      </c>
      <c r="BL22" s="578" t="s">
        <v>688</v>
      </c>
      <c r="BM22" s="531">
        <v>100936565</v>
      </c>
    </row>
    <row r="23" spans="1:65" s="768" customFormat="1" ht="60" customHeight="1">
      <c r="A23" s="1389">
        <v>17</v>
      </c>
      <c r="B23" s="1608" t="s">
        <v>1927</v>
      </c>
      <c r="C23" s="1330" t="s">
        <v>1928</v>
      </c>
      <c r="D23" s="1851">
        <v>43417</v>
      </c>
      <c r="E23" s="628" t="s">
        <v>476</v>
      </c>
      <c r="F23" s="758">
        <f>165+12+14+8+2+3</f>
        <v>204</v>
      </c>
      <c r="G23" s="1875">
        <f>2</f>
        <v>2</v>
      </c>
      <c r="H23" s="1388">
        <v>21.5</v>
      </c>
      <c r="I23" s="1409">
        <f t="shared" si="0"/>
        <v>168.69230769230768</v>
      </c>
      <c r="J23" s="1827">
        <v>17.8</v>
      </c>
      <c r="K23" s="1097">
        <f t="shared" si="1"/>
        <v>168.69230769230768</v>
      </c>
      <c r="L23" s="1388">
        <v>63</v>
      </c>
      <c r="M23" s="761">
        <f t="shared" si="2"/>
        <v>1.471153846153846</v>
      </c>
      <c r="N23" s="788">
        <f t="shared" si="3"/>
        <v>92.682692307692307</v>
      </c>
      <c r="O23" s="1388">
        <v>0</v>
      </c>
      <c r="P23" s="761">
        <f t="shared" si="4"/>
        <v>1.9615384615384615</v>
      </c>
      <c r="Q23" s="788">
        <f t="shared" ref="Q23" si="79">O23*P23</f>
        <v>0</v>
      </c>
      <c r="R23" s="1388">
        <v>24</v>
      </c>
      <c r="S23" s="761">
        <f t="shared" si="6"/>
        <v>1.9615384615384615</v>
      </c>
      <c r="T23" s="1097">
        <f t="shared" ref="T23" si="80">S23*R23</f>
        <v>47.076923076923073</v>
      </c>
      <c r="U23" s="1388">
        <v>5.5</v>
      </c>
      <c r="V23" s="761">
        <f t="shared" si="8"/>
        <v>7.8461538461538458</v>
      </c>
      <c r="W23" s="788">
        <f t="shared" si="9"/>
        <v>43.153846153846153</v>
      </c>
      <c r="X23" s="1388">
        <v>0</v>
      </c>
      <c r="Y23" s="788">
        <f>'P Salary'!T24*P!X23</f>
        <v>0</v>
      </c>
      <c r="Z23" s="1388">
        <v>0</v>
      </c>
      <c r="AA23" s="761">
        <f t="shared" si="10"/>
        <v>3.9230769230769229</v>
      </c>
      <c r="AB23" s="788">
        <f t="shared" si="11"/>
        <v>0</v>
      </c>
      <c r="AC23" s="1388">
        <v>0</v>
      </c>
      <c r="AD23" s="1468">
        <f t="shared" ref="AD23" si="81">H23+U23+Z23+AC23+X23</f>
        <v>27</v>
      </c>
      <c r="AE23" s="1727">
        <v>0</v>
      </c>
      <c r="AF23" s="1121">
        <v>0</v>
      </c>
      <c r="AG23" s="762">
        <v>0</v>
      </c>
      <c r="AH23" s="762">
        <v>5</v>
      </c>
      <c r="AI23" s="788">
        <v>10</v>
      </c>
      <c r="AJ23" s="788">
        <v>6</v>
      </c>
      <c r="AK23" s="788">
        <v>10</v>
      </c>
      <c r="AL23" s="788">
        <v>10</v>
      </c>
      <c r="AM23" s="1325">
        <f t="shared" si="13"/>
        <v>412.40576923076924</v>
      </c>
      <c r="AN23" s="1280">
        <v>0.5</v>
      </c>
      <c r="AO23" s="1721">
        <v>102</v>
      </c>
      <c r="AP23" s="1097">
        <f>'Tax Calulation            '!P23</f>
        <v>0</v>
      </c>
      <c r="AQ23" s="1097">
        <f>'Tax Calulation            '!W23</f>
        <v>5.9084194977843429</v>
      </c>
      <c r="AR23" s="1687">
        <f t="shared" si="25"/>
        <v>303.9973497329849</v>
      </c>
      <c r="AS23" s="1685">
        <f t="shared" si="26"/>
        <v>16100</v>
      </c>
      <c r="AT23" s="1684">
        <f t="shared" ref="AT23" si="82">CEILING(AR23,(100))-100</f>
        <v>300</v>
      </c>
      <c r="AU23" s="759"/>
      <c r="AV23" s="763"/>
      <c r="AW23" s="764"/>
      <c r="AX23" s="612">
        <f t="shared" ref="AX23" si="83">INT(AT23/100)</f>
        <v>3</v>
      </c>
      <c r="AY23" s="612">
        <f t="shared" ref="AY23" si="84">INT((AT23-AX23*100)/50)</f>
        <v>0</v>
      </c>
      <c r="AZ23" s="765">
        <f t="shared" ref="AZ23" si="85">AX23*100+AY23*50</f>
        <v>300</v>
      </c>
      <c r="BA23" s="765">
        <f t="shared" ref="BA23" si="86">INT((AS23/50000))</f>
        <v>0</v>
      </c>
      <c r="BB23" s="766">
        <f t="shared" ref="BB23" si="87">INT((AS23-BA23*50000)/10000)</f>
        <v>1</v>
      </c>
      <c r="BC23" s="766">
        <f t="shared" ref="BC23" si="88">INT((AS23-BA23*50000-BB23*10000)/5000)</f>
        <v>1</v>
      </c>
      <c r="BD23" s="766">
        <f t="shared" ref="BD23" si="89">INT((AS23-BA23*50000-BB23*10000-BC23*5000)/1000)</f>
        <v>1</v>
      </c>
      <c r="BE23" s="766">
        <f t="shared" ref="BE23" si="90">INT((AS23-BA23*50000-BB23*10000-BC23*5000-BD23*1000)/500)</f>
        <v>0</v>
      </c>
      <c r="BF23" s="766">
        <f t="shared" ref="BF23" si="91">INT((AS23-BA23*50000-BB23*10000-BC23*5000-BD23*1000-BE23*500)/100)</f>
        <v>1</v>
      </c>
      <c r="BG23" s="767">
        <f t="shared" ref="BG23" si="92">BA23*50000+BB23*10000+BC23*5000+BD23*1000+BE23*500+BF23*100</f>
        <v>16100</v>
      </c>
      <c r="BI23" s="628" t="s">
        <v>1929</v>
      </c>
      <c r="BJ23" s="628" t="s">
        <v>904</v>
      </c>
      <c r="BK23" s="1165">
        <v>35013</v>
      </c>
      <c r="BL23" s="628" t="s">
        <v>1930</v>
      </c>
      <c r="BM23" s="787">
        <v>160284609</v>
      </c>
    </row>
    <row r="24" spans="1:65" s="755" customFormat="1" ht="60" customHeight="1">
      <c r="A24" s="1389">
        <v>18</v>
      </c>
      <c r="B24" s="1607" t="s">
        <v>518</v>
      </c>
      <c r="C24" s="1329" t="s">
        <v>519</v>
      </c>
      <c r="D24" s="1841">
        <v>43687</v>
      </c>
      <c r="E24" s="578" t="s">
        <v>476</v>
      </c>
      <c r="F24" s="617">
        <f>191+8+2+3</f>
        <v>204</v>
      </c>
      <c r="G24" s="1874">
        <f>2</f>
        <v>2</v>
      </c>
      <c r="H24" s="1388">
        <v>22</v>
      </c>
      <c r="I24" s="1409">
        <f t="shared" si="0"/>
        <v>172.61538461538461</v>
      </c>
      <c r="J24" s="1827">
        <v>17.8</v>
      </c>
      <c r="K24" s="1097">
        <f t="shared" si="1"/>
        <v>172.61538461538461</v>
      </c>
      <c r="L24" s="1388">
        <v>66</v>
      </c>
      <c r="M24" s="761">
        <f t="shared" si="2"/>
        <v>1.471153846153846</v>
      </c>
      <c r="N24" s="788">
        <f t="shared" si="3"/>
        <v>97.09615384615384</v>
      </c>
      <c r="O24" s="1388">
        <v>0</v>
      </c>
      <c r="P24" s="761">
        <f t="shared" si="4"/>
        <v>1.9615384615384615</v>
      </c>
      <c r="Q24" s="618">
        <f t="shared" si="5"/>
        <v>0</v>
      </c>
      <c r="R24" s="1388">
        <v>16</v>
      </c>
      <c r="S24" s="761">
        <f t="shared" si="6"/>
        <v>1.9615384615384615</v>
      </c>
      <c r="T24" s="1096">
        <f t="shared" si="7"/>
        <v>31.384615384615383</v>
      </c>
      <c r="U24" s="1388">
        <v>5</v>
      </c>
      <c r="V24" s="761">
        <f t="shared" si="8"/>
        <v>7.8461538461538458</v>
      </c>
      <c r="W24" s="788">
        <f t="shared" si="9"/>
        <v>39.230769230769226</v>
      </c>
      <c r="X24" s="1388">
        <v>0</v>
      </c>
      <c r="Y24" s="788">
        <f>'P Salary'!T25*P!X24</f>
        <v>0</v>
      </c>
      <c r="Z24" s="1388">
        <v>0</v>
      </c>
      <c r="AA24" s="761">
        <f t="shared" si="10"/>
        <v>3.9230769230769229</v>
      </c>
      <c r="AB24" s="788">
        <f t="shared" si="11"/>
        <v>0</v>
      </c>
      <c r="AC24" s="1388">
        <v>0</v>
      </c>
      <c r="AD24" s="1467">
        <f t="shared" si="12"/>
        <v>27</v>
      </c>
      <c r="AE24" s="1727">
        <v>0</v>
      </c>
      <c r="AF24" s="1121">
        <v>0</v>
      </c>
      <c r="AG24" s="511">
        <v>0</v>
      </c>
      <c r="AH24" s="511">
        <v>0</v>
      </c>
      <c r="AI24" s="788">
        <v>10</v>
      </c>
      <c r="AJ24" s="618">
        <v>6</v>
      </c>
      <c r="AK24" s="788">
        <v>10</v>
      </c>
      <c r="AL24" s="788">
        <v>10</v>
      </c>
      <c r="AM24" s="1325">
        <f t="shared" si="13"/>
        <v>396.12692307692305</v>
      </c>
      <c r="AN24" s="1281">
        <v>1</v>
      </c>
      <c r="AO24" s="1721">
        <v>102</v>
      </c>
      <c r="AP24" s="1097">
        <f>'Tax Calulation            '!P24</f>
        <v>0</v>
      </c>
      <c r="AQ24" s="1097">
        <f>'Tax Calulation            '!W24</f>
        <v>5.9084194977843429</v>
      </c>
      <c r="AR24" s="1687">
        <f t="shared" si="25"/>
        <v>287.21850357913871</v>
      </c>
      <c r="AS24" s="1685">
        <f t="shared" si="26"/>
        <v>352400</v>
      </c>
      <c r="AT24" s="1683">
        <f t="shared" ref="AT24:AT27" si="93">CEILING(AR24,(100))-100</f>
        <v>200</v>
      </c>
      <c r="AU24" s="509"/>
      <c r="AV24" s="504"/>
      <c r="AW24" s="505">
        <f>(K24+N24+Q24+T24+W24+AB24+AI24+AJ24+AK24+AL24)*4000</f>
        <v>1505307.6923076923</v>
      </c>
      <c r="AX24" s="502">
        <f t="shared" si="15"/>
        <v>2</v>
      </c>
      <c r="AY24" s="502">
        <f t="shared" si="16"/>
        <v>0</v>
      </c>
      <c r="AZ24" s="573">
        <f t="shared" ref="AZ24:AZ27" si="94">AX24*100+AY24*50</f>
        <v>200</v>
      </c>
      <c r="BA24" s="573">
        <f t="shared" si="18"/>
        <v>7</v>
      </c>
      <c r="BB24" s="548">
        <f t="shared" si="19"/>
        <v>0</v>
      </c>
      <c r="BC24" s="548">
        <f t="shared" si="20"/>
        <v>0</v>
      </c>
      <c r="BD24" s="548">
        <f t="shared" si="21"/>
        <v>2</v>
      </c>
      <c r="BE24" s="548">
        <f t="shared" si="22"/>
        <v>0</v>
      </c>
      <c r="BF24" s="548">
        <f t="shared" si="23"/>
        <v>4</v>
      </c>
      <c r="BG24" s="549">
        <f t="shared" ref="BG24:BG27" si="95">BA24*50000+BB24*10000+BC24*5000+BD24*1000+BE24*500+BF24*100</f>
        <v>352400</v>
      </c>
      <c r="BI24" s="578" t="s">
        <v>876</v>
      </c>
      <c r="BJ24" s="578" t="s">
        <v>571</v>
      </c>
      <c r="BK24" s="1163">
        <v>36234</v>
      </c>
      <c r="BL24" s="578" t="s">
        <v>689</v>
      </c>
      <c r="BM24" s="531">
        <v>51081541</v>
      </c>
    </row>
    <row r="25" spans="1:65" s="768" customFormat="1" ht="60" customHeight="1">
      <c r="A25" s="1389">
        <v>19</v>
      </c>
      <c r="B25" s="1608" t="s">
        <v>1020</v>
      </c>
      <c r="C25" s="1330" t="s">
        <v>1022</v>
      </c>
      <c r="D25" s="1851">
        <v>44531</v>
      </c>
      <c r="E25" s="628" t="s">
        <v>476</v>
      </c>
      <c r="F25" s="758">
        <f t="shared" ref="F25:F39" si="96">201+3</f>
        <v>204</v>
      </c>
      <c r="G25" s="1875">
        <v>2</v>
      </c>
      <c r="H25" s="1388">
        <v>20.5</v>
      </c>
      <c r="I25" s="1409">
        <f t="shared" si="0"/>
        <v>160.84615384615384</v>
      </c>
      <c r="J25" s="1827">
        <v>17.5</v>
      </c>
      <c r="K25" s="1097">
        <f t="shared" si="1"/>
        <v>160.84615384615384</v>
      </c>
      <c r="L25" s="1388">
        <v>62</v>
      </c>
      <c r="M25" s="761">
        <f t="shared" si="2"/>
        <v>1.471153846153846</v>
      </c>
      <c r="N25" s="788">
        <f t="shared" si="3"/>
        <v>91.211538461538453</v>
      </c>
      <c r="O25" s="1388">
        <v>0</v>
      </c>
      <c r="P25" s="761">
        <f t="shared" si="4"/>
        <v>1.9615384615384615</v>
      </c>
      <c r="Q25" s="618">
        <f t="shared" si="5"/>
        <v>0</v>
      </c>
      <c r="R25" s="1388">
        <v>24</v>
      </c>
      <c r="S25" s="761">
        <f t="shared" si="6"/>
        <v>1.9615384615384615</v>
      </c>
      <c r="T25" s="1096">
        <f t="shared" si="7"/>
        <v>47.076923076923073</v>
      </c>
      <c r="U25" s="1388">
        <v>6.5</v>
      </c>
      <c r="V25" s="761">
        <f t="shared" si="8"/>
        <v>7.8461538461538458</v>
      </c>
      <c r="W25" s="788">
        <f t="shared" si="9"/>
        <v>51</v>
      </c>
      <c r="X25" s="1388">
        <v>0</v>
      </c>
      <c r="Y25" s="788">
        <f>'P Salary'!T26*P!X25</f>
        <v>0</v>
      </c>
      <c r="Z25" s="1388">
        <v>0</v>
      </c>
      <c r="AA25" s="761">
        <f t="shared" si="10"/>
        <v>3.9230769230769229</v>
      </c>
      <c r="AB25" s="788">
        <f t="shared" si="11"/>
        <v>0</v>
      </c>
      <c r="AC25" s="1388">
        <v>0</v>
      </c>
      <c r="AD25" s="1467">
        <f t="shared" si="12"/>
        <v>27</v>
      </c>
      <c r="AE25" s="1727">
        <v>0</v>
      </c>
      <c r="AF25" s="1121">
        <v>0</v>
      </c>
      <c r="AG25" s="511">
        <v>0</v>
      </c>
      <c r="AH25" s="762">
        <v>0</v>
      </c>
      <c r="AI25" s="788">
        <v>10</v>
      </c>
      <c r="AJ25" s="788">
        <v>3</v>
      </c>
      <c r="AK25" s="788">
        <v>10</v>
      </c>
      <c r="AL25" s="788">
        <v>10</v>
      </c>
      <c r="AM25" s="1325">
        <f t="shared" si="13"/>
        <v>402.63461538461536</v>
      </c>
      <c r="AN25" s="1279">
        <v>1</v>
      </c>
      <c r="AO25" s="1721">
        <v>102</v>
      </c>
      <c r="AP25" s="1097">
        <f>'Tax Calulation            '!P25</f>
        <v>0</v>
      </c>
      <c r="AQ25" s="1097">
        <f>'Tax Calulation            '!W25</f>
        <v>5.9084194977843429</v>
      </c>
      <c r="AR25" s="1687">
        <f t="shared" si="25"/>
        <v>293.72619588683102</v>
      </c>
      <c r="AS25" s="1685">
        <f t="shared" si="26"/>
        <v>378700</v>
      </c>
      <c r="AT25" s="1684">
        <f t="shared" si="93"/>
        <v>200</v>
      </c>
      <c r="AU25" s="759"/>
      <c r="AV25" s="763"/>
      <c r="AW25" s="764">
        <f>(K25+N25+Q25+T25+W25+AB25+AI25+AJ25+AK25+AL25)*4000</f>
        <v>1532538.4615384615</v>
      </c>
      <c r="AX25" s="612">
        <f t="shared" si="15"/>
        <v>2</v>
      </c>
      <c r="AY25" s="612">
        <f t="shared" si="16"/>
        <v>0</v>
      </c>
      <c r="AZ25" s="765">
        <f t="shared" si="94"/>
        <v>200</v>
      </c>
      <c r="BA25" s="765">
        <f t="shared" si="18"/>
        <v>7</v>
      </c>
      <c r="BB25" s="766">
        <f t="shared" si="19"/>
        <v>2</v>
      </c>
      <c r="BC25" s="766">
        <f t="shared" si="20"/>
        <v>1</v>
      </c>
      <c r="BD25" s="766">
        <f t="shared" si="21"/>
        <v>3</v>
      </c>
      <c r="BE25" s="766">
        <f t="shared" si="22"/>
        <v>1</v>
      </c>
      <c r="BF25" s="766">
        <f t="shared" si="23"/>
        <v>2</v>
      </c>
      <c r="BG25" s="767">
        <f t="shared" si="95"/>
        <v>378700</v>
      </c>
      <c r="BI25" s="628" t="s">
        <v>1024</v>
      </c>
      <c r="BJ25" s="628" t="s">
        <v>572</v>
      </c>
      <c r="BK25" s="1165">
        <v>33446</v>
      </c>
      <c r="BL25" s="786" t="s">
        <v>1026</v>
      </c>
      <c r="BM25" s="787">
        <v>170889964</v>
      </c>
    </row>
    <row r="26" spans="1:65" s="768" customFormat="1" ht="60" customHeight="1">
      <c r="A26" s="1389">
        <v>20</v>
      </c>
      <c r="B26" s="1608" t="s">
        <v>2191</v>
      </c>
      <c r="C26" s="1330" t="s">
        <v>2192</v>
      </c>
      <c r="D26" s="1851">
        <v>44531</v>
      </c>
      <c r="E26" s="628" t="s">
        <v>476</v>
      </c>
      <c r="F26" s="758">
        <f t="shared" si="96"/>
        <v>204</v>
      </c>
      <c r="G26" s="1875">
        <v>2</v>
      </c>
      <c r="H26" s="1388">
        <v>21.5</v>
      </c>
      <c r="I26" s="1409">
        <f t="shared" ref="I26" si="97">F26/26*H26</f>
        <v>168.69230769230768</v>
      </c>
      <c r="J26" s="1827">
        <v>17</v>
      </c>
      <c r="K26" s="1097">
        <f t="shared" si="1"/>
        <v>168.69230769230768</v>
      </c>
      <c r="L26" s="1388">
        <v>58</v>
      </c>
      <c r="M26" s="761">
        <f t="shared" ref="M26" si="98">F26/26/8*1.5</f>
        <v>1.471153846153846</v>
      </c>
      <c r="N26" s="788">
        <f t="shared" si="3"/>
        <v>85.326923076923066</v>
      </c>
      <c r="O26" s="1388">
        <v>0</v>
      </c>
      <c r="P26" s="761">
        <f t="shared" ref="P26" si="99">F26/26/8*2</f>
        <v>1.9615384615384615</v>
      </c>
      <c r="Q26" s="618">
        <f t="shared" ref="Q26" si="100">O26*P26</f>
        <v>0</v>
      </c>
      <c r="R26" s="1388">
        <v>24</v>
      </c>
      <c r="S26" s="761">
        <f t="shared" ref="S26" si="101">F26/26/8*2</f>
        <v>1.9615384615384615</v>
      </c>
      <c r="T26" s="1096">
        <f t="shared" ref="T26" si="102">S26*R26</f>
        <v>47.076923076923073</v>
      </c>
      <c r="U26" s="1388">
        <v>5.5</v>
      </c>
      <c r="V26" s="761">
        <f t="shared" ref="V26" si="103">F26/26</f>
        <v>7.8461538461538458</v>
      </c>
      <c r="W26" s="788">
        <f t="shared" si="9"/>
        <v>43.153846153846153</v>
      </c>
      <c r="X26" s="1388">
        <v>0</v>
      </c>
      <c r="Y26" s="788">
        <f>'P Salary'!T27*P!X26</f>
        <v>0</v>
      </c>
      <c r="Z26" s="1388">
        <v>0</v>
      </c>
      <c r="AA26" s="761">
        <f t="shared" ref="AA26" si="104">F26/26/2</f>
        <v>3.9230769230769229</v>
      </c>
      <c r="AB26" s="788">
        <f t="shared" ref="AB26" si="105">Z26*AA26</f>
        <v>0</v>
      </c>
      <c r="AC26" s="1388">
        <v>0</v>
      </c>
      <c r="AD26" s="1468">
        <f t="shared" ref="AD26" si="106">H26+U26+Z26+AC26+X26</f>
        <v>27</v>
      </c>
      <c r="AE26" s="1727">
        <v>0</v>
      </c>
      <c r="AF26" s="1121">
        <v>0</v>
      </c>
      <c r="AG26" s="511">
        <v>0</v>
      </c>
      <c r="AH26" s="762">
        <v>0</v>
      </c>
      <c r="AI26" s="788">
        <v>10</v>
      </c>
      <c r="AJ26" s="788">
        <v>3</v>
      </c>
      <c r="AK26" s="788">
        <v>10</v>
      </c>
      <c r="AL26" s="788">
        <v>10</v>
      </c>
      <c r="AM26" s="1325">
        <f t="shared" si="13"/>
        <v>396.24999999999994</v>
      </c>
      <c r="AN26" s="1280">
        <v>0.5</v>
      </c>
      <c r="AO26" s="1721">
        <v>102</v>
      </c>
      <c r="AP26" s="1097">
        <f>'Tax Calulation            '!P26</f>
        <v>0</v>
      </c>
      <c r="AQ26" s="1097">
        <f>'Tax Calulation            '!W26</f>
        <v>5.9084194977843429</v>
      </c>
      <c r="AR26" s="1687">
        <f t="shared" si="25"/>
        <v>287.84158050221561</v>
      </c>
      <c r="AS26" s="1685">
        <f t="shared" si="26"/>
        <v>354900</v>
      </c>
      <c r="AT26" s="1684">
        <f t="shared" ref="AT26" si="107">CEILING(AR26,(100))-100</f>
        <v>200</v>
      </c>
      <c r="AU26" s="759"/>
      <c r="AV26" s="763"/>
      <c r="AW26" s="764"/>
      <c r="AX26" s="612">
        <f t="shared" ref="AX26" si="108">INT(AT26/100)</f>
        <v>2</v>
      </c>
      <c r="AY26" s="612">
        <f t="shared" ref="AY26" si="109">INT((AT26-AX26*100)/50)</f>
        <v>0</v>
      </c>
      <c r="AZ26" s="765">
        <f t="shared" ref="AZ26" si="110">AX26*100+AY26*50</f>
        <v>200</v>
      </c>
      <c r="BA26" s="765">
        <f t="shared" ref="BA26" si="111">INT((AS26/50000))</f>
        <v>7</v>
      </c>
      <c r="BB26" s="766">
        <f t="shared" ref="BB26" si="112">INT((AS26-BA26*50000)/10000)</f>
        <v>0</v>
      </c>
      <c r="BC26" s="766">
        <f t="shared" ref="BC26" si="113">INT((AS26-BA26*50000-BB26*10000)/5000)</f>
        <v>0</v>
      </c>
      <c r="BD26" s="766">
        <f t="shared" ref="BD26" si="114">INT((AS26-BA26*50000-BB26*10000-BC26*5000)/1000)</f>
        <v>4</v>
      </c>
      <c r="BE26" s="766">
        <f t="shared" ref="BE26" si="115">INT((AS26-BA26*50000-BB26*10000-BC26*5000-BD26*1000)/500)</f>
        <v>1</v>
      </c>
      <c r="BF26" s="766">
        <f t="shared" ref="BF26" si="116">INT((AS26-BA26*50000-BB26*10000-BC26*5000-BD26*1000-BE26*500)/100)</f>
        <v>4</v>
      </c>
      <c r="BG26" s="767">
        <f t="shared" ref="BG26" si="117">BA26*50000+BB26*10000+BC26*5000+BD26*1000+BE26*500+BF26*100</f>
        <v>354900</v>
      </c>
      <c r="BI26" s="628" t="s">
        <v>2193</v>
      </c>
      <c r="BJ26" s="628" t="s">
        <v>572</v>
      </c>
      <c r="BK26" s="1165">
        <v>33302</v>
      </c>
      <c r="BL26" s="786" t="s">
        <v>2194</v>
      </c>
      <c r="BM26" s="795" t="s">
        <v>2195</v>
      </c>
    </row>
    <row r="27" spans="1:65" s="768" customFormat="1" ht="60" customHeight="1">
      <c r="A27" s="1389">
        <v>21</v>
      </c>
      <c r="B27" s="1608" t="s">
        <v>1021</v>
      </c>
      <c r="C27" s="1330" t="s">
        <v>1023</v>
      </c>
      <c r="D27" s="1851">
        <v>44531</v>
      </c>
      <c r="E27" s="628" t="s">
        <v>476</v>
      </c>
      <c r="F27" s="758">
        <f t="shared" si="96"/>
        <v>204</v>
      </c>
      <c r="G27" s="1875">
        <v>2</v>
      </c>
      <c r="H27" s="1388">
        <v>22</v>
      </c>
      <c r="I27" s="1409">
        <f t="shared" si="0"/>
        <v>172.61538461538461</v>
      </c>
      <c r="J27" s="1827">
        <v>17.3</v>
      </c>
      <c r="K27" s="1097">
        <f t="shared" si="1"/>
        <v>172.61538461538461</v>
      </c>
      <c r="L27" s="1388">
        <v>62</v>
      </c>
      <c r="M27" s="761">
        <f t="shared" si="2"/>
        <v>1.471153846153846</v>
      </c>
      <c r="N27" s="788">
        <f t="shared" si="3"/>
        <v>91.211538461538453</v>
      </c>
      <c r="O27" s="1388">
        <v>0</v>
      </c>
      <c r="P27" s="761">
        <f t="shared" si="4"/>
        <v>1.9615384615384615</v>
      </c>
      <c r="Q27" s="618">
        <f t="shared" si="5"/>
        <v>0</v>
      </c>
      <c r="R27" s="1388">
        <v>8</v>
      </c>
      <c r="S27" s="761">
        <f t="shared" si="6"/>
        <v>1.9615384615384615</v>
      </c>
      <c r="T27" s="1096">
        <f t="shared" si="7"/>
        <v>15.692307692307692</v>
      </c>
      <c r="U27" s="1388">
        <v>5</v>
      </c>
      <c r="V27" s="761">
        <f t="shared" si="8"/>
        <v>7.8461538461538458</v>
      </c>
      <c r="W27" s="788">
        <f t="shared" si="9"/>
        <v>39.230769230769226</v>
      </c>
      <c r="X27" s="1388">
        <v>0</v>
      </c>
      <c r="Y27" s="788">
        <f>'P Salary'!T28*P!X27</f>
        <v>0</v>
      </c>
      <c r="Z27" s="1388">
        <v>0</v>
      </c>
      <c r="AA27" s="761">
        <f t="shared" si="10"/>
        <v>3.9230769230769229</v>
      </c>
      <c r="AB27" s="788">
        <f t="shared" si="11"/>
        <v>0</v>
      </c>
      <c r="AC27" s="1388">
        <v>0</v>
      </c>
      <c r="AD27" s="1467">
        <f t="shared" si="12"/>
        <v>27</v>
      </c>
      <c r="AE27" s="1727">
        <v>0</v>
      </c>
      <c r="AF27" s="1121">
        <v>0</v>
      </c>
      <c r="AG27" s="511">
        <v>0</v>
      </c>
      <c r="AH27" s="762">
        <v>0</v>
      </c>
      <c r="AI27" s="788">
        <v>10</v>
      </c>
      <c r="AJ27" s="788">
        <v>3</v>
      </c>
      <c r="AK27" s="788">
        <v>10</v>
      </c>
      <c r="AL27" s="788">
        <v>10</v>
      </c>
      <c r="AM27" s="1325">
        <f t="shared" si="13"/>
        <v>371.05</v>
      </c>
      <c r="AN27" s="1280">
        <v>0.5</v>
      </c>
      <c r="AO27" s="1721">
        <v>102</v>
      </c>
      <c r="AP27" s="1097">
        <f>'Tax Calulation            '!P27</f>
        <v>0</v>
      </c>
      <c r="AQ27" s="1097">
        <f>'Tax Calulation            '!W27</f>
        <v>5.9084194977843429</v>
      </c>
      <c r="AR27" s="1687">
        <f t="shared" si="25"/>
        <v>262.64158050221567</v>
      </c>
      <c r="AS27" s="1685">
        <f t="shared" si="26"/>
        <v>253100</v>
      </c>
      <c r="AT27" s="1684">
        <f t="shared" si="93"/>
        <v>200</v>
      </c>
      <c r="AU27" s="759"/>
      <c r="AV27" s="763"/>
      <c r="AW27" s="764">
        <f>(K27+N27+Q27+T27+W27+AB27+AI27+AJ27+AK27+AL27)*4000</f>
        <v>1407000</v>
      </c>
      <c r="AX27" s="612">
        <f t="shared" ref="AX27:AX36" si="118">INT(AT27/100)</f>
        <v>2</v>
      </c>
      <c r="AY27" s="612">
        <f t="shared" ref="AY27:AY36" si="119">INT((AT27-AX27*100)/50)</f>
        <v>0</v>
      </c>
      <c r="AZ27" s="765">
        <f t="shared" si="94"/>
        <v>200</v>
      </c>
      <c r="BA27" s="765">
        <f t="shared" ref="BA27:BA36" si="120">INT((AS27/50000))</f>
        <v>5</v>
      </c>
      <c r="BB27" s="766">
        <f t="shared" ref="BB27:BB36" si="121">INT((AS27-BA27*50000)/10000)</f>
        <v>0</v>
      </c>
      <c r="BC27" s="766">
        <f t="shared" ref="BC27:BC36" si="122">INT((AS27-BA27*50000-BB27*10000)/5000)</f>
        <v>0</v>
      </c>
      <c r="BD27" s="766">
        <f t="shared" ref="BD27:BD36" si="123">INT((AS27-BA27*50000-BB27*10000-BC27*5000)/1000)</f>
        <v>3</v>
      </c>
      <c r="BE27" s="766">
        <f t="shared" ref="BE27:BE36" si="124">INT((AS27-BA27*50000-BB27*10000-BC27*5000-BD27*1000)/500)</f>
        <v>0</v>
      </c>
      <c r="BF27" s="766">
        <f t="shared" ref="BF27:BF36" si="125">INT((AS27-BA27*50000-BB27*10000-BC27*5000-BD27*1000-BE27*500)/100)</f>
        <v>1</v>
      </c>
      <c r="BG27" s="767">
        <f t="shared" si="95"/>
        <v>253100</v>
      </c>
      <c r="BI27" s="628" t="s">
        <v>1025</v>
      </c>
      <c r="BJ27" s="628" t="s">
        <v>572</v>
      </c>
      <c r="BK27" s="1165">
        <v>36140</v>
      </c>
      <c r="BL27" s="786" t="s">
        <v>1027</v>
      </c>
      <c r="BM27" s="795" t="s">
        <v>1045</v>
      </c>
    </row>
    <row r="28" spans="1:65" s="768" customFormat="1" ht="60" customHeight="1">
      <c r="A28" s="1389">
        <v>22</v>
      </c>
      <c r="B28" s="1608" t="s">
        <v>2128</v>
      </c>
      <c r="C28" s="1330" t="s">
        <v>2129</v>
      </c>
      <c r="D28" s="1328">
        <v>44533</v>
      </c>
      <c r="E28" s="628" t="s">
        <v>476</v>
      </c>
      <c r="F28" s="758">
        <f>201+3</f>
        <v>204</v>
      </c>
      <c r="G28" s="1875">
        <v>2</v>
      </c>
      <c r="H28" s="1388">
        <v>22</v>
      </c>
      <c r="I28" s="1409">
        <f t="shared" ref="I28" si="126">F28/26*H28</f>
        <v>172.61538461538461</v>
      </c>
      <c r="J28" s="1827">
        <v>18.5</v>
      </c>
      <c r="K28" s="1097">
        <f t="shared" si="1"/>
        <v>172.61538461538461</v>
      </c>
      <c r="L28" s="1388">
        <v>63</v>
      </c>
      <c r="M28" s="761">
        <f t="shared" ref="M28" si="127">F28/26/8*1.5</f>
        <v>1.471153846153846</v>
      </c>
      <c r="N28" s="788">
        <f t="shared" si="3"/>
        <v>92.682692307692307</v>
      </c>
      <c r="O28" s="1388">
        <v>0</v>
      </c>
      <c r="P28" s="761">
        <f t="shared" ref="P28" si="128">F28/26/8*2</f>
        <v>1.9615384615384615</v>
      </c>
      <c r="Q28" s="618">
        <f t="shared" ref="Q28" si="129">O28*P28</f>
        <v>0</v>
      </c>
      <c r="R28" s="1388">
        <v>16</v>
      </c>
      <c r="S28" s="761">
        <f t="shared" ref="S28" si="130">F28/26/8*2</f>
        <v>1.9615384615384615</v>
      </c>
      <c r="T28" s="1096">
        <f t="shared" ref="T28" si="131">S28*R28</f>
        <v>31.384615384615383</v>
      </c>
      <c r="U28" s="1388">
        <v>5</v>
      </c>
      <c r="V28" s="761">
        <f t="shared" ref="V28" si="132">F28/26</f>
        <v>7.8461538461538458</v>
      </c>
      <c r="W28" s="788">
        <f t="shared" si="9"/>
        <v>39.230769230769226</v>
      </c>
      <c r="X28" s="1388">
        <v>0</v>
      </c>
      <c r="Y28" s="788">
        <f>'P Salary'!T29*P!X28</f>
        <v>0</v>
      </c>
      <c r="Z28" s="1388">
        <v>0</v>
      </c>
      <c r="AA28" s="761">
        <f t="shared" ref="AA28" si="133">F28/26/2</f>
        <v>3.9230769230769229</v>
      </c>
      <c r="AB28" s="788">
        <f t="shared" si="11"/>
        <v>0</v>
      </c>
      <c r="AC28" s="1388">
        <v>0</v>
      </c>
      <c r="AD28" s="1467">
        <f t="shared" ref="AD28" si="134">H28+U28+Z28+AC28+X28</f>
        <v>27</v>
      </c>
      <c r="AE28" s="1727">
        <v>0</v>
      </c>
      <c r="AF28" s="1121">
        <v>0</v>
      </c>
      <c r="AG28" s="511">
        <v>0</v>
      </c>
      <c r="AH28" s="762">
        <v>0</v>
      </c>
      <c r="AI28" s="788">
        <v>10</v>
      </c>
      <c r="AJ28" s="788">
        <v>3</v>
      </c>
      <c r="AK28" s="788">
        <v>10</v>
      </c>
      <c r="AL28" s="788">
        <v>10</v>
      </c>
      <c r="AM28" s="1325">
        <f t="shared" si="13"/>
        <v>389.41346153846149</v>
      </c>
      <c r="AN28" s="1280">
        <v>0.5</v>
      </c>
      <c r="AO28" s="1721">
        <v>102</v>
      </c>
      <c r="AP28" s="1097">
        <f>'Tax Calulation            '!P28</f>
        <v>0</v>
      </c>
      <c r="AQ28" s="1097">
        <f>'Tax Calulation            '!W28</f>
        <v>5.9084194977843429</v>
      </c>
      <c r="AR28" s="1687">
        <f t="shared" si="25"/>
        <v>281.00504204067715</v>
      </c>
      <c r="AS28" s="1685">
        <f t="shared" si="26"/>
        <v>327300</v>
      </c>
      <c r="AT28" s="1684">
        <f t="shared" ref="AT28" si="135">CEILING(AR28,(100))-100</f>
        <v>200</v>
      </c>
      <c r="AU28" s="759"/>
      <c r="AV28" s="763"/>
      <c r="AW28" s="764"/>
      <c r="AX28" s="612">
        <f t="shared" ref="AX28" si="136">INT(AT28/100)</f>
        <v>2</v>
      </c>
      <c r="AY28" s="612">
        <f t="shared" ref="AY28" si="137">INT((AT28-AX28*100)/50)</f>
        <v>0</v>
      </c>
      <c r="AZ28" s="765">
        <f t="shared" ref="AZ28" si="138">AX28*100+AY28*50</f>
        <v>200</v>
      </c>
      <c r="BA28" s="765">
        <f t="shared" ref="BA28" si="139">INT((AS28/50000))</f>
        <v>6</v>
      </c>
      <c r="BB28" s="766">
        <f t="shared" ref="BB28" si="140">INT((AS28-BA28*50000)/10000)</f>
        <v>2</v>
      </c>
      <c r="BC28" s="766">
        <f t="shared" ref="BC28" si="141">INT((AS28-BA28*50000-BB28*10000)/5000)</f>
        <v>1</v>
      </c>
      <c r="BD28" s="766">
        <f t="shared" ref="BD28" si="142">INT((AS28-BA28*50000-BB28*10000-BC28*5000)/1000)</f>
        <v>2</v>
      </c>
      <c r="BE28" s="766">
        <f t="shared" ref="BE28" si="143">INT((AS28-BA28*50000-BB28*10000-BC28*5000-BD28*1000)/500)</f>
        <v>0</v>
      </c>
      <c r="BF28" s="766">
        <f t="shared" ref="BF28" si="144">INT((AS28-BA28*50000-BB28*10000-BC28*5000-BD28*1000-BE28*500)/100)</f>
        <v>3</v>
      </c>
      <c r="BG28" s="767">
        <f t="shared" ref="BG28" si="145">BA28*50000+BB28*10000+BC28*5000+BD28*1000+BE28*500+BF28*100</f>
        <v>327300</v>
      </c>
      <c r="BI28" s="628" t="s">
        <v>2130</v>
      </c>
      <c r="BJ28" s="628" t="s">
        <v>572</v>
      </c>
      <c r="BK28" s="1165">
        <v>35799</v>
      </c>
      <c r="BL28" s="786" t="s">
        <v>2131</v>
      </c>
      <c r="BM28" s="795" t="s">
        <v>2132</v>
      </c>
    </row>
    <row r="29" spans="1:65" s="768" customFormat="1" ht="60" customHeight="1">
      <c r="A29" s="1389">
        <v>23</v>
      </c>
      <c r="B29" s="1608" t="s">
        <v>1357</v>
      </c>
      <c r="C29" s="1448" t="s">
        <v>1360</v>
      </c>
      <c r="D29" s="1851">
        <v>44593</v>
      </c>
      <c r="E29" s="628" t="s">
        <v>476</v>
      </c>
      <c r="F29" s="758">
        <f t="shared" si="96"/>
        <v>204</v>
      </c>
      <c r="G29" s="1875">
        <v>2</v>
      </c>
      <c r="H29" s="1388">
        <v>22</v>
      </c>
      <c r="I29" s="1409">
        <f t="shared" si="0"/>
        <v>172.61538461538461</v>
      </c>
      <c r="J29" s="1827">
        <v>17.8</v>
      </c>
      <c r="K29" s="1097">
        <f t="shared" si="1"/>
        <v>172.61538461538461</v>
      </c>
      <c r="L29" s="1388">
        <v>62</v>
      </c>
      <c r="M29" s="761">
        <f t="shared" si="2"/>
        <v>1.471153846153846</v>
      </c>
      <c r="N29" s="788">
        <f t="shared" si="3"/>
        <v>91.211538461538453</v>
      </c>
      <c r="O29" s="1388">
        <v>0</v>
      </c>
      <c r="P29" s="761">
        <f t="shared" si="4"/>
        <v>1.9615384615384615</v>
      </c>
      <c r="Q29" s="788">
        <f t="shared" si="5"/>
        <v>0</v>
      </c>
      <c r="R29" s="1388">
        <v>24</v>
      </c>
      <c r="S29" s="761">
        <f t="shared" si="6"/>
        <v>1.9615384615384615</v>
      </c>
      <c r="T29" s="1097">
        <f t="shared" si="7"/>
        <v>47.076923076923073</v>
      </c>
      <c r="U29" s="1388">
        <v>5</v>
      </c>
      <c r="V29" s="761">
        <f t="shared" si="8"/>
        <v>7.8461538461538458</v>
      </c>
      <c r="W29" s="788">
        <f t="shared" si="9"/>
        <v>39.230769230769226</v>
      </c>
      <c r="X29" s="1388">
        <v>0</v>
      </c>
      <c r="Y29" s="788">
        <f>'P Salary'!T30*P!X29</f>
        <v>0</v>
      </c>
      <c r="Z29" s="1388">
        <v>0</v>
      </c>
      <c r="AA29" s="761">
        <f t="shared" si="10"/>
        <v>3.9230769230769229</v>
      </c>
      <c r="AB29" s="788">
        <f t="shared" si="11"/>
        <v>0</v>
      </c>
      <c r="AC29" s="1388">
        <v>0</v>
      </c>
      <c r="AD29" s="1468">
        <f t="shared" si="12"/>
        <v>27</v>
      </c>
      <c r="AE29" s="1727">
        <v>0</v>
      </c>
      <c r="AF29" s="1121">
        <v>0</v>
      </c>
      <c r="AG29" s="762">
        <v>0</v>
      </c>
      <c r="AH29" s="762">
        <v>0</v>
      </c>
      <c r="AI29" s="788">
        <v>10</v>
      </c>
      <c r="AJ29" s="788">
        <v>3</v>
      </c>
      <c r="AK29" s="788">
        <v>10</v>
      </c>
      <c r="AL29" s="788">
        <v>10</v>
      </c>
      <c r="AM29" s="1325">
        <f t="shared" si="13"/>
        <v>402.93461538461543</v>
      </c>
      <c r="AN29" s="1280">
        <v>0.5</v>
      </c>
      <c r="AO29" s="1721">
        <v>102</v>
      </c>
      <c r="AP29" s="1097">
        <f>'Tax Calulation            '!P29</f>
        <v>0</v>
      </c>
      <c r="AQ29" s="1097">
        <f>'Tax Calulation            '!W29</f>
        <v>5.9084194977843429</v>
      </c>
      <c r="AR29" s="1687">
        <f t="shared" si="25"/>
        <v>294.52619588683109</v>
      </c>
      <c r="AS29" s="1685">
        <f t="shared" si="26"/>
        <v>381900</v>
      </c>
      <c r="AT29" s="1684">
        <f t="shared" ref="AT29:AT30" si="146">CEILING(AR29,(100))-100</f>
        <v>200</v>
      </c>
      <c r="AU29" s="759"/>
      <c r="AV29" s="763"/>
      <c r="AW29" s="764"/>
      <c r="AX29" s="612">
        <f t="shared" si="118"/>
        <v>2</v>
      </c>
      <c r="AY29" s="612">
        <f t="shared" si="119"/>
        <v>0</v>
      </c>
      <c r="AZ29" s="765">
        <f t="shared" ref="AZ29" si="147">AX29*100+AY29*50</f>
        <v>200</v>
      </c>
      <c r="BA29" s="765">
        <f t="shared" si="120"/>
        <v>7</v>
      </c>
      <c r="BB29" s="766">
        <f t="shared" si="121"/>
        <v>3</v>
      </c>
      <c r="BC29" s="766">
        <f t="shared" si="122"/>
        <v>0</v>
      </c>
      <c r="BD29" s="766">
        <f t="shared" si="123"/>
        <v>1</v>
      </c>
      <c r="BE29" s="766">
        <f t="shared" si="124"/>
        <v>1</v>
      </c>
      <c r="BF29" s="766">
        <f t="shared" si="125"/>
        <v>4</v>
      </c>
      <c r="BG29" s="767">
        <f t="shared" ref="BG29" si="148">BA29*50000+BB29*10000+BC29*5000+BD29*1000+BE29*500+BF29*100</f>
        <v>381900</v>
      </c>
      <c r="BI29" s="628" t="s">
        <v>1367</v>
      </c>
      <c r="BJ29" s="628" t="s">
        <v>572</v>
      </c>
      <c r="BK29" s="1165">
        <v>34979</v>
      </c>
      <c r="BL29" s="786" t="s">
        <v>1368</v>
      </c>
      <c r="BM29" s="795" t="s">
        <v>1369</v>
      </c>
    </row>
    <row r="30" spans="1:65" s="768" customFormat="1" ht="60" customHeight="1">
      <c r="A30" s="1389">
        <v>24</v>
      </c>
      <c r="B30" s="1607" t="s">
        <v>1358</v>
      </c>
      <c r="C30" s="1153" t="s">
        <v>1362</v>
      </c>
      <c r="D30" s="1841">
        <v>44595</v>
      </c>
      <c r="E30" s="628" t="s">
        <v>476</v>
      </c>
      <c r="F30" s="758">
        <f t="shared" si="96"/>
        <v>204</v>
      </c>
      <c r="G30" s="1875">
        <v>2</v>
      </c>
      <c r="H30" s="1388">
        <v>20</v>
      </c>
      <c r="I30" s="1409">
        <f t="shared" si="0"/>
        <v>156.92307692307691</v>
      </c>
      <c r="J30" s="1827">
        <v>16.5</v>
      </c>
      <c r="K30" s="1097">
        <f t="shared" si="1"/>
        <v>156.92307692307691</v>
      </c>
      <c r="L30" s="1388">
        <v>55</v>
      </c>
      <c r="M30" s="761">
        <f t="shared" si="2"/>
        <v>1.471153846153846</v>
      </c>
      <c r="N30" s="788">
        <f t="shared" si="3"/>
        <v>80.913461538461533</v>
      </c>
      <c r="O30" s="1388">
        <v>0</v>
      </c>
      <c r="P30" s="761">
        <f t="shared" si="4"/>
        <v>1.9615384615384615</v>
      </c>
      <c r="Q30" s="618">
        <f t="shared" si="5"/>
        <v>0</v>
      </c>
      <c r="R30" s="1388">
        <v>16</v>
      </c>
      <c r="S30" s="761">
        <f t="shared" si="6"/>
        <v>1.9615384615384615</v>
      </c>
      <c r="T30" s="1096">
        <f t="shared" si="7"/>
        <v>31.384615384615383</v>
      </c>
      <c r="U30" s="1388">
        <v>5</v>
      </c>
      <c r="V30" s="761">
        <f t="shared" si="8"/>
        <v>7.8461538461538458</v>
      </c>
      <c r="W30" s="788">
        <f t="shared" si="9"/>
        <v>39.230769230769226</v>
      </c>
      <c r="X30" s="1388">
        <v>0</v>
      </c>
      <c r="Y30" s="788">
        <f>'P Salary'!T31*P!X30</f>
        <v>0</v>
      </c>
      <c r="Z30" s="1388">
        <v>0</v>
      </c>
      <c r="AA30" s="761">
        <f t="shared" si="10"/>
        <v>3.9230769230769229</v>
      </c>
      <c r="AB30" s="788">
        <f t="shared" si="11"/>
        <v>0</v>
      </c>
      <c r="AC30" s="1388">
        <v>2</v>
      </c>
      <c r="AD30" s="1467">
        <f t="shared" si="12"/>
        <v>27</v>
      </c>
      <c r="AE30" s="1727">
        <v>0</v>
      </c>
      <c r="AF30" s="1121">
        <v>0</v>
      </c>
      <c r="AG30" s="511">
        <v>0</v>
      </c>
      <c r="AH30" s="762">
        <v>0</v>
      </c>
      <c r="AI30" s="788">
        <v>4</v>
      </c>
      <c r="AJ30" s="788">
        <v>3</v>
      </c>
      <c r="AK30" s="788">
        <v>10</v>
      </c>
      <c r="AL30" s="788">
        <v>10</v>
      </c>
      <c r="AM30" s="1325">
        <f t="shared" si="13"/>
        <v>353.95192307692304</v>
      </c>
      <c r="AN30" s="1280">
        <v>0.5</v>
      </c>
      <c r="AO30" s="1721">
        <v>102</v>
      </c>
      <c r="AP30" s="1097">
        <f>'Tax Calulation            '!P30</f>
        <v>0</v>
      </c>
      <c r="AQ30" s="1097">
        <f>'Tax Calulation            '!W30</f>
        <v>5.9084194977843429</v>
      </c>
      <c r="AR30" s="1687">
        <f t="shared" si="25"/>
        <v>245.5435035791387</v>
      </c>
      <c r="AS30" s="1685">
        <f t="shared" si="26"/>
        <v>184000</v>
      </c>
      <c r="AT30" s="1684">
        <f t="shared" si="146"/>
        <v>200</v>
      </c>
      <c r="AU30" s="759"/>
      <c r="AV30" s="763"/>
      <c r="AW30" s="764"/>
      <c r="AX30" s="612">
        <f t="shared" si="118"/>
        <v>2</v>
      </c>
      <c r="AY30" s="612">
        <f t="shared" si="119"/>
        <v>0</v>
      </c>
      <c r="AZ30" s="765">
        <f t="shared" ref="AZ30:AZ31" si="149">AX30*100+AY30*50</f>
        <v>200</v>
      </c>
      <c r="BA30" s="765">
        <f t="shared" si="120"/>
        <v>3</v>
      </c>
      <c r="BB30" s="766">
        <f t="shared" si="121"/>
        <v>3</v>
      </c>
      <c r="BC30" s="766">
        <f t="shared" si="122"/>
        <v>0</v>
      </c>
      <c r="BD30" s="766">
        <f t="shared" si="123"/>
        <v>4</v>
      </c>
      <c r="BE30" s="766">
        <f t="shared" si="124"/>
        <v>0</v>
      </c>
      <c r="BF30" s="766">
        <f t="shared" si="125"/>
        <v>0</v>
      </c>
      <c r="BG30" s="767">
        <f t="shared" ref="BG30:BG31" si="150">BA30*50000+BB30*10000+BC30*5000+BD30*1000+BE30*500+BF30*100</f>
        <v>184000</v>
      </c>
      <c r="BI30" s="628" t="s">
        <v>1373</v>
      </c>
      <c r="BJ30" s="628" t="s">
        <v>572</v>
      </c>
      <c r="BK30" s="1165">
        <v>29416</v>
      </c>
      <c r="BL30" s="786" t="s">
        <v>1374</v>
      </c>
      <c r="BM30" s="795" t="s">
        <v>1375</v>
      </c>
    </row>
    <row r="31" spans="1:65" s="768" customFormat="1" ht="60" customHeight="1">
      <c r="A31" s="1389">
        <v>25</v>
      </c>
      <c r="B31" s="1608" t="s">
        <v>1359</v>
      </c>
      <c r="C31" s="1448" t="s">
        <v>1363</v>
      </c>
      <c r="D31" s="1851">
        <v>44600</v>
      </c>
      <c r="E31" s="628" t="s">
        <v>476</v>
      </c>
      <c r="F31" s="758">
        <f t="shared" si="96"/>
        <v>204</v>
      </c>
      <c r="G31" s="1875">
        <v>2</v>
      </c>
      <c r="H31" s="1388">
        <v>22</v>
      </c>
      <c r="I31" s="1409">
        <f t="shared" si="0"/>
        <v>172.61538461538461</v>
      </c>
      <c r="J31" s="1827">
        <v>18.100000000000001</v>
      </c>
      <c r="K31" s="1097">
        <f t="shared" si="1"/>
        <v>172.61538461538461</v>
      </c>
      <c r="L31" s="1388">
        <v>60</v>
      </c>
      <c r="M31" s="761">
        <f t="shared" si="2"/>
        <v>1.471153846153846</v>
      </c>
      <c r="N31" s="788">
        <f t="shared" si="3"/>
        <v>88.269230769230759</v>
      </c>
      <c r="O31" s="1388">
        <v>0</v>
      </c>
      <c r="P31" s="761">
        <f t="shared" si="4"/>
        <v>1.9615384615384615</v>
      </c>
      <c r="Q31" s="788">
        <f t="shared" si="5"/>
        <v>0</v>
      </c>
      <c r="R31" s="1388">
        <v>24</v>
      </c>
      <c r="S31" s="761">
        <f t="shared" si="6"/>
        <v>1.9615384615384615</v>
      </c>
      <c r="T31" s="1097">
        <f t="shared" si="7"/>
        <v>47.076923076923073</v>
      </c>
      <c r="U31" s="1388">
        <v>5</v>
      </c>
      <c r="V31" s="761">
        <f t="shared" si="8"/>
        <v>7.8461538461538458</v>
      </c>
      <c r="W31" s="788">
        <f t="shared" si="9"/>
        <v>39.230769230769226</v>
      </c>
      <c r="X31" s="1388">
        <v>0</v>
      </c>
      <c r="Y31" s="788">
        <f>'P Salary'!T32*P!X31</f>
        <v>0</v>
      </c>
      <c r="Z31" s="1388">
        <v>0</v>
      </c>
      <c r="AA31" s="761">
        <f t="shared" si="10"/>
        <v>3.9230769230769229</v>
      </c>
      <c r="AB31" s="788">
        <f t="shared" si="11"/>
        <v>0</v>
      </c>
      <c r="AC31" s="1388">
        <v>0</v>
      </c>
      <c r="AD31" s="1468">
        <f t="shared" si="12"/>
        <v>27</v>
      </c>
      <c r="AE31" s="1727">
        <v>0</v>
      </c>
      <c r="AF31" s="1121">
        <v>0</v>
      </c>
      <c r="AG31" s="762">
        <v>0</v>
      </c>
      <c r="AH31" s="762">
        <v>0</v>
      </c>
      <c r="AI31" s="788">
        <v>10</v>
      </c>
      <c r="AJ31" s="788">
        <v>3</v>
      </c>
      <c r="AK31" s="788">
        <v>10</v>
      </c>
      <c r="AL31" s="788">
        <v>10</v>
      </c>
      <c r="AM31" s="1325">
        <f t="shared" si="13"/>
        <v>400.2923076923077</v>
      </c>
      <c r="AN31" s="1280">
        <v>0.5</v>
      </c>
      <c r="AO31" s="1721">
        <v>102</v>
      </c>
      <c r="AP31" s="1097">
        <f>'Tax Calulation            '!P31</f>
        <v>0</v>
      </c>
      <c r="AQ31" s="1097">
        <f>'Tax Calulation            '!W31</f>
        <v>5.9084194977843429</v>
      </c>
      <c r="AR31" s="1687">
        <f t="shared" si="25"/>
        <v>291.88388819452337</v>
      </c>
      <c r="AS31" s="1685">
        <f t="shared" si="26"/>
        <v>371200</v>
      </c>
      <c r="AT31" s="1684">
        <f t="shared" ref="AT31" si="151">CEILING(AR31,(100))-100</f>
        <v>200</v>
      </c>
      <c r="AU31" s="759"/>
      <c r="AV31" s="763"/>
      <c r="AW31" s="764">
        <f>(K31+N31+Q31+T31+W31+AB31+AI31+AJ31+AK31+AL31)*4000</f>
        <v>1520769.2307692308</v>
      </c>
      <c r="AX31" s="612">
        <f t="shared" si="118"/>
        <v>2</v>
      </c>
      <c r="AY31" s="612">
        <f t="shared" si="119"/>
        <v>0</v>
      </c>
      <c r="AZ31" s="765">
        <f t="shared" si="149"/>
        <v>200</v>
      </c>
      <c r="BA31" s="765">
        <f t="shared" si="120"/>
        <v>7</v>
      </c>
      <c r="BB31" s="766">
        <f t="shared" si="121"/>
        <v>2</v>
      </c>
      <c r="BC31" s="766">
        <f t="shared" si="122"/>
        <v>0</v>
      </c>
      <c r="BD31" s="766">
        <f t="shared" si="123"/>
        <v>1</v>
      </c>
      <c r="BE31" s="766">
        <f t="shared" si="124"/>
        <v>0</v>
      </c>
      <c r="BF31" s="766">
        <f t="shared" si="125"/>
        <v>2</v>
      </c>
      <c r="BG31" s="767">
        <f t="shared" si="150"/>
        <v>371200</v>
      </c>
      <c r="BI31" s="628" t="s">
        <v>1376</v>
      </c>
      <c r="BJ31" s="628" t="s">
        <v>572</v>
      </c>
      <c r="BK31" s="1165">
        <v>30145</v>
      </c>
      <c r="BL31" s="905" t="s">
        <v>1377</v>
      </c>
      <c r="BM31" s="795" t="s">
        <v>1378</v>
      </c>
    </row>
    <row r="32" spans="1:65" s="768" customFormat="1" ht="60" customHeight="1">
      <c r="A32" s="1389">
        <v>26</v>
      </c>
      <c r="B32" s="1608" t="s">
        <v>1494</v>
      </c>
      <c r="C32" s="1448" t="s">
        <v>1495</v>
      </c>
      <c r="D32" s="1851">
        <v>44623</v>
      </c>
      <c r="E32" s="628" t="s">
        <v>476</v>
      </c>
      <c r="F32" s="758">
        <f t="shared" si="96"/>
        <v>204</v>
      </c>
      <c r="G32" s="1875">
        <v>2</v>
      </c>
      <c r="H32" s="1388">
        <v>21</v>
      </c>
      <c r="I32" s="1409">
        <f t="shared" si="0"/>
        <v>164.76923076923077</v>
      </c>
      <c r="J32" s="1827">
        <v>17.7</v>
      </c>
      <c r="K32" s="1097">
        <f t="shared" si="1"/>
        <v>164.76923076923077</v>
      </c>
      <c r="L32" s="1388">
        <v>58</v>
      </c>
      <c r="M32" s="761">
        <f t="shared" si="2"/>
        <v>1.471153846153846</v>
      </c>
      <c r="N32" s="788">
        <f t="shared" si="3"/>
        <v>85.326923076923066</v>
      </c>
      <c r="O32" s="1388">
        <v>0</v>
      </c>
      <c r="P32" s="761">
        <f t="shared" si="4"/>
        <v>1.9615384615384615</v>
      </c>
      <c r="Q32" s="788">
        <f t="shared" si="5"/>
        <v>0</v>
      </c>
      <c r="R32" s="1388">
        <v>16</v>
      </c>
      <c r="S32" s="761">
        <f t="shared" si="6"/>
        <v>1.9615384615384615</v>
      </c>
      <c r="T32" s="1097">
        <f t="shared" si="7"/>
        <v>31.384615384615383</v>
      </c>
      <c r="U32" s="1388">
        <v>5</v>
      </c>
      <c r="V32" s="761">
        <f t="shared" si="8"/>
        <v>7.8461538461538458</v>
      </c>
      <c r="W32" s="788">
        <f t="shared" si="9"/>
        <v>39.230769230769226</v>
      </c>
      <c r="X32" s="1388">
        <v>1</v>
      </c>
      <c r="Y32" s="788">
        <f>'P Salary'!T33*P!X32</f>
        <v>10.423791918042619</v>
      </c>
      <c r="Z32" s="1388">
        <v>0</v>
      </c>
      <c r="AA32" s="761">
        <f t="shared" si="10"/>
        <v>3.9230769230769229</v>
      </c>
      <c r="AB32" s="788">
        <f t="shared" si="11"/>
        <v>0</v>
      </c>
      <c r="AC32" s="1388">
        <v>0</v>
      </c>
      <c r="AD32" s="1468">
        <f t="shared" si="12"/>
        <v>27</v>
      </c>
      <c r="AE32" s="1727">
        <v>0</v>
      </c>
      <c r="AF32" s="1121">
        <v>0</v>
      </c>
      <c r="AG32" s="762">
        <v>0</v>
      </c>
      <c r="AH32" s="762">
        <v>0</v>
      </c>
      <c r="AI32" s="788">
        <v>10</v>
      </c>
      <c r="AJ32" s="788">
        <v>3</v>
      </c>
      <c r="AK32" s="788">
        <v>10</v>
      </c>
      <c r="AL32" s="788">
        <v>10</v>
      </c>
      <c r="AM32" s="1325">
        <f t="shared" si="13"/>
        <v>383.83533037958108</v>
      </c>
      <c r="AN32" s="1280">
        <v>0.5</v>
      </c>
      <c r="AO32" s="1721">
        <v>102</v>
      </c>
      <c r="AP32" s="1097">
        <f>'Tax Calulation            '!P32</f>
        <v>0</v>
      </c>
      <c r="AQ32" s="1097">
        <f>'Tax Calulation            '!W32</f>
        <v>5.9084194977843429</v>
      </c>
      <c r="AR32" s="1687">
        <f t="shared" si="25"/>
        <v>275.42691088179674</v>
      </c>
      <c r="AS32" s="1685">
        <f t="shared" si="26"/>
        <v>304700</v>
      </c>
      <c r="AT32" s="1684">
        <f t="shared" ref="AT32" si="152">CEILING(AR32,(100))-100</f>
        <v>200</v>
      </c>
      <c r="AU32" s="759"/>
      <c r="AV32" s="763"/>
      <c r="AW32" s="764">
        <f>(K32+N32+Q32+T32+W32+AB32+AI32+AJ32+AK32+AL32)*4000</f>
        <v>1414846.1538461538</v>
      </c>
      <c r="AX32" s="612">
        <f t="shared" si="118"/>
        <v>2</v>
      </c>
      <c r="AY32" s="612">
        <f t="shared" si="119"/>
        <v>0</v>
      </c>
      <c r="AZ32" s="765">
        <f t="shared" ref="AZ32" si="153">AX32*100+AY32*50</f>
        <v>200</v>
      </c>
      <c r="BA32" s="765">
        <f t="shared" si="120"/>
        <v>6</v>
      </c>
      <c r="BB32" s="766">
        <f t="shared" si="121"/>
        <v>0</v>
      </c>
      <c r="BC32" s="766">
        <f t="shared" si="122"/>
        <v>0</v>
      </c>
      <c r="BD32" s="766">
        <f t="shared" si="123"/>
        <v>4</v>
      </c>
      <c r="BE32" s="766">
        <f t="shared" si="124"/>
        <v>1</v>
      </c>
      <c r="BF32" s="766">
        <f t="shared" si="125"/>
        <v>2</v>
      </c>
      <c r="BG32" s="767">
        <f t="shared" ref="BG32" si="154">BA32*50000+BB32*10000+BC32*5000+BD32*1000+BE32*500+BF32*100</f>
        <v>304700</v>
      </c>
      <c r="BI32" s="628" t="s">
        <v>1496</v>
      </c>
      <c r="BJ32" s="628" t="s">
        <v>943</v>
      </c>
      <c r="BK32" s="1165">
        <v>34884</v>
      </c>
      <c r="BL32" s="1350" t="s">
        <v>1497</v>
      </c>
      <c r="BM32" s="795">
        <v>150523527</v>
      </c>
    </row>
    <row r="33" spans="1:65" s="768" customFormat="1" ht="60" customHeight="1">
      <c r="A33" s="1389">
        <v>27</v>
      </c>
      <c r="B33" s="1607" t="s">
        <v>1519</v>
      </c>
      <c r="C33" s="1153" t="s">
        <v>1520</v>
      </c>
      <c r="D33" s="1841">
        <v>44677</v>
      </c>
      <c r="E33" s="628" t="s">
        <v>476</v>
      </c>
      <c r="F33" s="758">
        <f t="shared" si="96"/>
        <v>204</v>
      </c>
      <c r="G33" s="1875">
        <v>2</v>
      </c>
      <c r="H33" s="1388">
        <v>22</v>
      </c>
      <c r="I33" s="1409">
        <f>F33/26*H33</f>
        <v>172.61538461538461</v>
      </c>
      <c r="J33" s="1827">
        <v>17</v>
      </c>
      <c r="K33" s="1097">
        <f t="shared" si="1"/>
        <v>172.61538461538461</v>
      </c>
      <c r="L33" s="1388">
        <v>60</v>
      </c>
      <c r="M33" s="761">
        <f t="shared" si="2"/>
        <v>1.471153846153846</v>
      </c>
      <c r="N33" s="788">
        <f t="shared" si="3"/>
        <v>88.269230769230759</v>
      </c>
      <c r="O33" s="1388">
        <v>0</v>
      </c>
      <c r="P33" s="761">
        <f t="shared" si="4"/>
        <v>1.9615384615384615</v>
      </c>
      <c r="Q33" s="618">
        <f t="shared" si="5"/>
        <v>0</v>
      </c>
      <c r="R33" s="1388">
        <v>8</v>
      </c>
      <c r="S33" s="761">
        <f t="shared" si="6"/>
        <v>1.9615384615384615</v>
      </c>
      <c r="T33" s="1096">
        <f t="shared" si="7"/>
        <v>15.692307692307692</v>
      </c>
      <c r="U33" s="1388">
        <v>5</v>
      </c>
      <c r="V33" s="761">
        <f t="shared" si="8"/>
        <v>7.8461538461538458</v>
      </c>
      <c r="W33" s="788">
        <f t="shared" si="9"/>
        <v>39.230769230769226</v>
      </c>
      <c r="X33" s="1388">
        <v>0</v>
      </c>
      <c r="Y33" s="788">
        <f>'P Salary'!T34*P!X33</f>
        <v>0</v>
      </c>
      <c r="Z33" s="1388">
        <v>0</v>
      </c>
      <c r="AA33" s="761">
        <f t="shared" si="10"/>
        <v>3.9230769230769229</v>
      </c>
      <c r="AB33" s="788">
        <f t="shared" si="11"/>
        <v>0</v>
      </c>
      <c r="AC33" s="1388">
        <v>0</v>
      </c>
      <c r="AD33" s="1467">
        <f t="shared" si="12"/>
        <v>27</v>
      </c>
      <c r="AE33" s="1727">
        <v>0</v>
      </c>
      <c r="AF33" s="1121">
        <v>0</v>
      </c>
      <c r="AG33" s="511">
        <v>0</v>
      </c>
      <c r="AH33" s="762">
        <v>0</v>
      </c>
      <c r="AI33" s="788">
        <v>10</v>
      </c>
      <c r="AJ33" s="788">
        <v>3</v>
      </c>
      <c r="AK33" s="788">
        <v>10</v>
      </c>
      <c r="AL33" s="788">
        <v>10</v>
      </c>
      <c r="AM33" s="1325">
        <f t="shared" si="13"/>
        <v>367.80769230769226</v>
      </c>
      <c r="AN33" s="1280">
        <v>0.5</v>
      </c>
      <c r="AO33" s="1721">
        <v>102</v>
      </c>
      <c r="AP33" s="1097">
        <f>'Tax Calulation            '!P33</f>
        <v>0</v>
      </c>
      <c r="AQ33" s="1097">
        <f>'Tax Calulation            '!W33</f>
        <v>5.9084194977843429</v>
      </c>
      <c r="AR33" s="1687">
        <f t="shared" si="25"/>
        <v>259.39927280990793</v>
      </c>
      <c r="AS33" s="1685">
        <f t="shared" si="26"/>
        <v>240000</v>
      </c>
      <c r="AT33" s="1684">
        <f t="shared" ref="AT33" si="155">CEILING(AR33,(100))-100</f>
        <v>200</v>
      </c>
      <c r="AU33" s="759"/>
      <c r="AV33" s="763"/>
      <c r="AW33" s="764"/>
      <c r="AX33" s="612">
        <f t="shared" si="118"/>
        <v>2</v>
      </c>
      <c r="AY33" s="612">
        <f t="shared" si="119"/>
        <v>0</v>
      </c>
      <c r="AZ33" s="765">
        <f t="shared" ref="AZ33" si="156">AX33*100+AY33*50</f>
        <v>200</v>
      </c>
      <c r="BA33" s="765">
        <f t="shared" si="120"/>
        <v>4</v>
      </c>
      <c r="BB33" s="766">
        <f t="shared" si="121"/>
        <v>4</v>
      </c>
      <c r="BC33" s="766">
        <f t="shared" si="122"/>
        <v>0</v>
      </c>
      <c r="BD33" s="766">
        <f t="shared" si="123"/>
        <v>0</v>
      </c>
      <c r="BE33" s="766">
        <f t="shared" si="124"/>
        <v>0</v>
      </c>
      <c r="BF33" s="766">
        <f t="shared" si="125"/>
        <v>0</v>
      </c>
      <c r="BG33" s="767">
        <f t="shared" ref="BG33" si="157">BA33*50000+BB33*10000+BC33*5000+BD33*1000+BE33*500+BF33*100</f>
        <v>240000</v>
      </c>
      <c r="BI33" s="956" t="s">
        <v>1558</v>
      </c>
      <c r="BJ33" s="628" t="s">
        <v>572</v>
      </c>
      <c r="BK33" s="1163">
        <v>34399</v>
      </c>
      <c r="BL33" s="795"/>
      <c r="BM33" s="647" t="s">
        <v>1557</v>
      </c>
    </row>
    <row r="34" spans="1:65" s="768" customFormat="1" ht="60" customHeight="1">
      <c r="A34" s="1389">
        <v>28</v>
      </c>
      <c r="B34" s="1607" t="s">
        <v>1527</v>
      </c>
      <c r="C34" s="1153" t="s">
        <v>1531</v>
      </c>
      <c r="D34" s="1841">
        <v>44699</v>
      </c>
      <c r="E34" s="628" t="s">
        <v>476</v>
      </c>
      <c r="F34" s="758">
        <f t="shared" si="96"/>
        <v>204</v>
      </c>
      <c r="G34" s="1875">
        <v>2</v>
      </c>
      <c r="H34" s="1388">
        <v>21.5</v>
      </c>
      <c r="I34" s="1409">
        <f t="shared" si="0"/>
        <v>168.69230769230768</v>
      </c>
      <c r="J34" s="1827">
        <v>16.5</v>
      </c>
      <c r="K34" s="1097">
        <f t="shared" si="1"/>
        <v>168.69230769230768</v>
      </c>
      <c r="L34" s="1388">
        <v>58</v>
      </c>
      <c r="M34" s="761">
        <f t="shared" si="2"/>
        <v>1.471153846153846</v>
      </c>
      <c r="N34" s="788">
        <f t="shared" si="3"/>
        <v>85.326923076923066</v>
      </c>
      <c r="O34" s="1388">
        <v>0</v>
      </c>
      <c r="P34" s="761">
        <f t="shared" si="4"/>
        <v>1.9615384615384615</v>
      </c>
      <c r="Q34" s="618">
        <f t="shared" si="5"/>
        <v>0</v>
      </c>
      <c r="R34" s="1388">
        <v>24</v>
      </c>
      <c r="S34" s="761">
        <f t="shared" si="6"/>
        <v>1.9615384615384615</v>
      </c>
      <c r="T34" s="1096">
        <f t="shared" si="7"/>
        <v>47.076923076923073</v>
      </c>
      <c r="U34" s="1388">
        <v>5</v>
      </c>
      <c r="V34" s="761">
        <f t="shared" si="8"/>
        <v>7.8461538461538458</v>
      </c>
      <c r="W34" s="788">
        <f t="shared" si="9"/>
        <v>39.230769230769226</v>
      </c>
      <c r="X34" s="1388">
        <v>0.5</v>
      </c>
      <c r="Y34" s="788">
        <f>'P Salary'!T35*P!X34</f>
        <v>5.1973491671935044</v>
      </c>
      <c r="Z34" s="1388">
        <v>0</v>
      </c>
      <c r="AA34" s="761">
        <f t="shared" si="10"/>
        <v>3.9230769230769229</v>
      </c>
      <c r="AB34" s="788">
        <f t="shared" si="11"/>
        <v>0</v>
      </c>
      <c r="AC34" s="1388">
        <v>0</v>
      </c>
      <c r="AD34" s="1467">
        <f t="shared" si="12"/>
        <v>27</v>
      </c>
      <c r="AE34" s="1727">
        <v>0</v>
      </c>
      <c r="AF34" s="1121">
        <v>0</v>
      </c>
      <c r="AG34" s="511">
        <v>0</v>
      </c>
      <c r="AH34" s="762">
        <v>0</v>
      </c>
      <c r="AI34" s="788">
        <v>10</v>
      </c>
      <c r="AJ34" s="788">
        <v>3</v>
      </c>
      <c r="AK34" s="788">
        <v>10</v>
      </c>
      <c r="AL34" s="788">
        <v>10</v>
      </c>
      <c r="AM34" s="1325">
        <f t="shared" si="13"/>
        <v>397.02427224411656</v>
      </c>
      <c r="AN34" s="1280">
        <v>0.5</v>
      </c>
      <c r="AO34" s="1721">
        <v>102</v>
      </c>
      <c r="AP34" s="1097">
        <f>'Tax Calulation            '!P34</f>
        <v>9.1981706740539695E-2</v>
      </c>
      <c r="AQ34" s="1097">
        <f>'Tax Calulation            '!W34</f>
        <v>5.9084194977843429</v>
      </c>
      <c r="AR34" s="1687">
        <f t="shared" si="25"/>
        <v>288.52387103959171</v>
      </c>
      <c r="AS34" s="1685">
        <f t="shared" si="26"/>
        <v>357600</v>
      </c>
      <c r="AT34" s="1684">
        <f t="shared" ref="AT34:AT37" si="158">CEILING(AR34,(100))-100</f>
        <v>200</v>
      </c>
      <c r="AU34" s="759"/>
      <c r="AV34" s="763"/>
      <c r="AW34" s="764">
        <f t="shared" ref="AW34:AW39" si="159">(K34+N34+Q34+T34+W34+AB34+AI34+AJ34+AK34+AL34)*4000</f>
        <v>1493307.6923076923</v>
      </c>
      <c r="AX34" s="612">
        <f t="shared" si="118"/>
        <v>2</v>
      </c>
      <c r="AY34" s="612">
        <f t="shared" si="119"/>
        <v>0</v>
      </c>
      <c r="AZ34" s="765">
        <f t="shared" ref="AZ34:AZ37" si="160">AX34*100+AY34*50</f>
        <v>200</v>
      </c>
      <c r="BA34" s="765">
        <f t="shared" si="120"/>
        <v>7</v>
      </c>
      <c r="BB34" s="766">
        <f t="shared" si="121"/>
        <v>0</v>
      </c>
      <c r="BC34" s="766">
        <f t="shared" si="122"/>
        <v>1</v>
      </c>
      <c r="BD34" s="766">
        <f t="shared" si="123"/>
        <v>2</v>
      </c>
      <c r="BE34" s="766">
        <f t="shared" si="124"/>
        <v>1</v>
      </c>
      <c r="BF34" s="766">
        <f t="shared" si="125"/>
        <v>1</v>
      </c>
      <c r="BG34" s="767">
        <f t="shared" ref="BG34:BG37" si="161">BA34*50000+BB34*10000+BC34*5000+BD34*1000+BE34*500+BF34*100</f>
        <v>357600</v>
      </c>
      <c r="BI34" s="628" t="s">
        <v>1556</v>
      </c>
      <c r="BJ34" s="628" t="s">
        <v>572</v>
      </c>
      <c r="BK34" s="1165">
        <v>36954</v>
      </c>
      <c r="BL34" s="1047" t="s">
        <v>1555</v>
      </c>
      <c r="BM34" s="795">
        <v>171163470</v>
      </c>
    </row>
    <row r="35" spans="1:65" s="768" customFormat="1" ht="60" customHeight="1">
      <c r="A35" s="1389">
        <v>29</v>
      </c>
      <c r="B35" s="1608" t="s">
        <v>1528</v>
      </c>
      <c r="C35" s="1448" t="s">
        <v>1532</v>
      </c>
      <c r="D35" s="1851">
        <v>44699</v>
      </c>
      <c r="E35" s="628" t="s">
        <v>476</v>
      </c>
      <c r="F35" s="758">
        <f t="shared" si="96"/>
        <v>204</v>
      </c>
      <c r="G35" s="1875">
        <v>2</v>
      </c>
      <c r="H35" s="1388">
        <v>22</v>
      </c>
      <c r="I35" s="1409">
        <f t="shared" si="0"/>
        <v>172.61538461538461</v>
      </c>
      <c r="J35" s="1827">
        <v>17</v>
      </c>
      <c r="K35" s="1097">
        <f t="shared" si="1"/>
        <v>172.61538461538461</v>
      </c>
      <c r="L35" s="1388">
        <v>55</v>
      </c>
      <c r="M35" s="761">
        <f t="shared" si="2"/>
        <v>1.471153846153846</v>
      </c>
      <c r="N35" s="788">
        <f t="shared" si="3"/>
        <v>80.913461538461533</v>
      </c>
      <c r="O35" s="1388">
        <v>0</v>
      </c>
      <c r="P35" s="761">
        <f t="shared" si="4"/>
        <v>1.9615384615384615</v>
      </c>
      <c r="Q35" s="788">
        <f t="shared" si="5"/>
        <v>0</v>
      </c>
      <c r="R35" s="1388">
        <v>16</v>
      </c>
      <c r="S35" s="761">
        <f t="shared" si="6"/>
        <v>1.9615384615384615</v>
      </c>
      <c r="T35" s="1097">
        <f t="shared" si="7"/>
        <v>31.384615384615383</v>
      </c>
      <c r="U35" s="1388">
        <v>5</v>
      </c>
      <c r="V35" s="761">
        <f t="shared" si="8"/>
        <v>7.8461538461538458</v>
      </c>
      <c r="W35" s="788">
        <f t="shared" si="9"/>
        <v>39.230769230769226</v>
      </c>
      <c r="X35" s="1388">
        <v>0</v>
      </c>
      <c r="Y35" s="788">
        <f>'P Salary'!T36*P!X35</f>
        <v>0</v>
      </c>
      <c r="Z35" s="1388">
        <v>0</v>
      </c>
      <c r="AA35" s="761">
        <f t="shared" si="10"/>
        <v>3.9230769230769229</v>
      </c>
      <c r="AB35" s="788">
        <f t="shared" si="11"/>
        <v>0</v>
      </c>
      <c r="AC35" s="1388">
        <v>0</v>
      </c>
      <c r="AD35" s="1468">
        <f t="shared" si="12"/>
        <v>27</v>
      </c>
      <c r="AE35" s="1727">
        <v>0</v>
      </c>
      <c r="AF35" s="1121">
        <v>0</v>
      </c>
      <c r="AG35" s="762">
        <v>0</v>
      </c>
      <c r="AH35" s="762">
        <v>0</v>
      </c>
      <c r="AI35" s="788">
        <v>10</v>
      </c>
      <c r="AJ35" s="788">
        <v>3</v>
      </c>
      <c r="AK35" s="788">
        <v>10</v>
      </c>
      <c r="AL35" s="788">
        <v>10</v>
      </c>
      <c r="AM35" s="1325">
        <f t="shared" si="13"/>
        <v>376.14423076923072</v>
      </c>
      <c r="AN35" s="1280">
        <v>0.5</v>
      </c>
      <c r="AO35" s="1721">
        <v>102</v>
      </c>
      <c r="AP35" s="1097">
        <f>'Tax Calulation            '!P35</f>
        <v>0</v>
      </c>
      <c r="AQ35" s="1097">
        <f>'Tax Calulation            '!W35</f>
        <v>5.9084194977843429</v>
      </c>
      <c r="AR35" s="1687">
        <f t="shared" si="25"/>
        <v>267.73581127144638</v>
      </c>
      <c r="AS35" s="1685">
        <f t="shared" si="26"/>
        <v>273700</v>
      </c>
      <c r="AT35" s="1684">
        <f t="shared" si="158"/>
        <v>200</v>
      </c>
      <c r="AU35" s="759"/>
      <c r="AV35" s="763"/>
      <c r="AW35" s="764">
        <f t="shared" si="159"/>
        <v>1428576.9230769228</v>
      </c>
      <c r="AX35" s="612">
        <f t="shared" si="118"/>
        <v>2</v>
      </c>
      <c r="AY35" s="612">
        <f t="shared" si="119"/>
        <v>0</v>
      </c>
      <c r="AZ35" s="765">
        <f t="shared" si="160"/>
        <v>200</v>
      </c>
      <c r="BA35" s="765">
        <f t="shared" si="120"/>
        <v>5</v>
      </c>
      <c r="BB35" s="766">
        <f t="shared" si="121"/>
        <v>2</v>
      </c>
      <c r="BC35" s="766">
        <f t="shared" si="122"/>
        <v>0</v>
      </c>
      <c r="BD35" s="766">
        <f t="shared" si="123"/>
        <v>3</v>
      </c>
      <c r="BE35" s="766">
        <f t="shared" si="124"/>
        <v>1</v>
      </c>
      <c r="BF35" s="766">
        <f t="shared" si="125"/>
        <v>2</v>
      </c>
      <c r="BG35" s="767">
        <f t="shared" si="161"/>
        <v>273700</v>
      </c>
      <c r="BI35" s="628" t="s">
        <v>1549</v>
      </c>
      <c r="BJ35" s="628" t="s">
        <v>572</v>
      </c>
      <c r="BK35" s="1165">
        <v>32196</v>
      </c>
      <c r="BL35" s="1350" t="s">
        <v>1548</v>
      </c>
      <c r="BM35" s="795">
        <v>100970355</v>
      </c>
    </row>
    <row r="36" spans="1:65" s="768" customFormat="1" ht="60" customHeight="1">
      <c r="A36" s="1389">
        <v>30</v>
      </c>
      <c r="B36" s="1607" t="s">
        <v>1529</v>
      </c>
      <c r="C36" s="1153" t="s">
        <v>1533</v>
      </c>
      <c r="D36" s="1841">
        <v>44699</v>
      </c>
      <c r="E36" s="628" t="s">
        <v>476</v>
      </c>
      <c r="F36" s="758">
        <f t="shared" si="96"/>
        <v>204</v>
      </c>
      <c r="G36" s="1875">
        <v>2</v>
      </c>
      <c r="H36" s="1388">
        <v>21</v>
      </c>
      <c r="I36" s="1409">
        <f t="shared" si="0"/>
        <v>164.76923076923077</v>
      </c>
      <c r="J36" s="1827">
        <v>18.5</v>
      </c>
      <c r="K36" s="1097">
        <f t="shared" si="1"/>
        <v>164.76923076923077</v>
      </c>
      <c r="L36" s="1388">
        <v>62</v>
      </c>
      <c r="M36" s="761">
        <f t="shared" si="2"/>
        <v>1.471153846153846</v>
      </c>
      <c r="N36" s="788">
        <f t="shared" si="3"/>
        <v>91.211538461538453</v>
      </c>
      <c r="O36" s="1388">
        <v>0</v>
      </c>
      <c r="P36" s="761">
        <f t="shared" si="4"/>
        <v>1.9615384615384615</v>
      </c>
      <c r="Q36" s="618">
        <f t="shared" si="5"/>
        <v>0</v>
      </c>
      <c r="R36" s="1388">
        <v>24</v>
      </c>
      <c r="S36" s="761">
        <f t="shared" si="6"/>
        <v>1.9615384615384615</v>
      </c>
      <c r="T36" s="1096">
        <f t="shared" si="7"/>
        <v>47.076923076923073</v>
      </c>
      <c r="U36" s="1388">
        <v>5.5</v>
      </c>
      <c r="V36" s="761">
        <f t="shared" si="8"/>
        <v>7.8461538461538458</v>
      </c>
      <c r="W36" s="788">
        <f t="shared" si="9"/>
        <v>43.153846153846153</v>
      </c>
      <c r="X36" s="1388">
        <v>0.5</v>
      </c>
      <c r="Y36" s="788">
        <f>'P Salary'!T37*P!X36</f>
        <v>5.3584082144945064</v>
      </c>
      <c r="Z36" s="1388">
        <v>0</v>
      </c>
      <c r="AA36" s="761">
        <f t="shared" si="10"/>
        <v>3.9230769230769229</v>
      </c>
      <c r="AB36" s="788">
        <f t="shared" si="11"/>
        <v>0</v>
      </c>
      <c r="AC36" s="1388">
        <v>0</v>
      </c>
      <c r="AD36" s="1467">
        <f t="shared" si="12"/>
        <v>27</v>
      </c>
      <c r="AE36" s="1727">
        <v>0</v>
      </c>
      <c r="AF36" s="1121">
        <v>0</v>
      </c>
      <c r="AG36" s="511">
        <v>0</v>
      </c>
      <c r="AH36" s="762">
        <v>0</v>
      </c>
      <c r="AI36" s="788">
        <v>10</v>
      </c>
      <c r="AJ36" s="788">
        <v>3</v>
      </c>
      <c r="AK36" s="788">
        <v>10</v>
      </c>
      <c r="AL36" s="788">
        <v>10</v>
      </c>
      <c r="AM36" s="1325">
        <f t="shared" si="13"/>
        <v>405.06994667603294</v>
      </c>
      <c r="AN36" s="1280">
        <v>0.5</v>
      </c>
      <c r="AO36" s="1721">
        <v>102</v>
      </c>
      <c r="AP36" s="1097">
        <f>'Tax Calulation            '!P36</f>
        <v>0</v>
      </c>
      <c r="AQ36" s="1097">
        <f>'Tax Calulation            '!W36</f>
        <v>5.9084194977843429</v>
      </c>
      <c r="AR36" s="1687">
        <f t="shared" si="25"/>
        <v>296.6615271782486</v>
      </c>
      <c r="AS36" s="1685">
        <f t="shared" si="26"/>
        <v>390500</v>
      </c>
      <c r="AT36" s="1684">
        <f t="shared" si="158"/>
        <v>200</v>
      </c>
      <c r="AU36" s="759"/>
      <c r="AV36" s="763"/>
      <c r="AW36" s="764">
        <f t="shared" si="159"/>
        <v>1516846.1538461538</v>
      </c>
      <c r="AX36" s="612">
        <f t="shared" si="118"/>
        <v>2</v>
      </c>
      <c r="AY36" s="612">
        <f t="shared" si="119"/>
        <v>0</v>
      </c>
      <c r="AZ36" s="765">
        <f t="shared" si="160"/>
        <v>200</v>
      </c>
      <c r="BA36" s="765">
        <f t="shared" si="120"/>
        <v>7</v>
      </c>
      <c r="BB36" s="766">
        <f t="shared" si="121"/>
        <v>4</v>
      </c>
      <c r="BC36" s="766">
        <f t="shared" si="122"/>
        <v>0</v>
      </c>
      <c r="BD36" s="766">
        <f t="shared" si="123"/>
        <v>0</v>
      </c>
      <c r="BE36" s="766">
        <f t="shared" si="124"/>
        <v>1</v>
      </c>
      <c r="BF36" s="766">
        <f t="shared" si="125"/>
        <v>0</v>
      </c>
      <c r="BG36" s="767">
        <f t="shared" si="161"/>
        <v>390500</v>
      </c>
      <c r="BI36" s="628" t="s">
        <v>1554</v>
      </c>
      <c r="BJ36" s="628" t="s">
        <v>943</v>
      </c>
      <c r="BK36" s="1165">
        <v>36442</v>
      </c>
      <c r="BL36" s="1047" t="s">
        <v>1553</v>
      </c>
      <c r="BM36" s="795" t="s">
        <v>1552</v>
      </c>
    </row>
    <row r="37" spans="1:65" s="768" customFormat="1" ht="60" customHeight="1">
      <c r="A37" s="1389">
        <v>31</v>
      </c>
      <c r="B37" s="1607" t="s">
        <v>1530</v>
      </c>
      <c r="C37" s="1153" t="s">
        <v>1534</v>
      </c>
      <c r="D37" s="1841">
        <v>44701</v>
      </c>
      <c r="E37" s="628" t="s">
        <v>476</v>
      </c>
      <c r="F37" s="758">
        <f t="shared" si="96"/>
        <v>204</v>
      </c>
      <c r="G37" s="1875">
        <v>2</v>
      </c>
      <c r="H37" s="1388">
        <v>22</v>
      </c>
      <c r="I37" s="1409">
        <f t="shared" si="0"/>
        <v>172.61538461538461</v>
      </c>
      <c r="J37" s="1827">
        <v>17.8</v>
      </c>
      <c r="K37" s="1097">
        <f t="shared" si="1"/>
        <v>172.61538461538461</v>
      </c>
      <c r="L37" s="1388">
        <v>63</v>
      </c>
      <c r="M37" s="761">
        <f t="shared" si="2"/>
        <v>1.471153846153846</v>
      </c>
      <c r="N37" s="788">
        <f t="shared" si="3"/>
        <v>92.682692307692307</v>
      </c>
      <c r="O37" s="1388">
        <v>0</v>
      </c>
      <c r="P37" s="761">
        <f t="shared" si="4"/>
        <v>1.9615384615384615</v>
      </c>
      <c r="Q37" s="618">
        <f t="shared" si="5"/>
        <v>0</v>
      </c>
      <c r="R37" s="1388">
        <v>24</v>
      </c>
      <c r="S37" s="761">
        <f t="shared" si="6"/>
        <v>1.9615384615384615</v>
      </c>
      <c r="T37" s="1096">
        <f t="shared" si="7"/>
        <v>47.076923076923073</v>
      </c>
      <c r="U37" s="1388">
        <v>5</v>
      </c>
      <c r="V37" s="761">
        <f t="shared" si="8"/>
        <v>7.8461538461538458</v>
      </c>
      <c r="W37" s="788">
        <f t="shared" si="9"/>
        <v>39.230769230769226</v>
      </c>
      <c r="X37" s="1388">
        <v>0</v>
      </c>
      <c r="Y37" s="788">
        <f>'P Salary'!T38*P!X37</f>
        <v>0</v>
      </c>
      <c r="Z37" s="1388">
        <v>0</v>
      </c>
      <c r="AA37" s="761">
        <f t="shared" si="10"/>
        <v>3.9230769230769229</v>
      </c>
      <c r="AB37" s="788">
        <f t="shared" si="11"/>
        <v>0</v>
      </c>
      <c r="AC37" s="1388">
        <v>0</v>
      </c>
      <c r="AD37" s="1467">
        <f t="shared" si="12"/>
        <v>27</v>
      </c>
      <c r="AE37" s="1727">
        <v>0</v>
      </c>
      <c r="AF37" s="1121">
        <v>0</v>
      </c>
      <c r="AG37" s="511">
        <v>0</v>
      </c>
      <c r="AH37" s="762">
        <v>0</v>
      </c>
      <c r="AI37" s="788">
        <v>10</v>
      </c>
      <c r="AJ37" s="788">
        <v>3</v>
      </c>
      <c r="AK37" s="788">
        <v>10</v>
      </c>
      <c r="AL37" s="788">
        <v>10</v>
      </c>
      <c r="AM37" s="1325">
        <f t="shared" si="13"/>
        <v>404.40576923076924</v>
      </c>
      <c r="AN37" s="1280">
        <v>0.5</v>
      </c>
      <c r="AO37" s="1721">
        <v>102</v>
      </c>
      <c r="AP37" s="1097">
        <f>'Tax Calulation            '!P37</f>
        <v>0</v>
      </c>
      <c r="AQ37" s="1097">
        <f>'Tax Calulation            '!W37</f>
        <v>5.9084194977843429</v>
      </c>
      <c r="AR37" s="1687">
        <f t="shared" si="25"/>
        <v>295.9973497329849</v>
      </c>
      <c r="AS37" s="1685">
        <f>ROUND((AR37-AT37)*4040,-2)</f>
        <v>387800</v>
      </c>
      <c r="AT37" s="1684">
        <f t="shared" si="158"/>
        <v>200</v>
      </c>
      <c r="AU37" s="759"/>
      <c r="AV37" s="763"/>
      <c r="AW37" s="764">
        <f t="shared" si="159"/>
        <v>1538423.076923077</v>
      </c>
      <c r="AX37" s="612">
        <f t="shared" ref="AX37" si="162">INT(AT37/100)</f>
        <v>2</v>
      </c>
      <c r="AY37" s="612">
        <f t="shared" ref="AY37" si="163">INT((AT37-AX37*100)/50)</f>
        <v>0</v>
      </c>
      <c r="AZ37" s="765">
        <f t="shared" si="160"/>
        <v>200</v>
      </c>
      <c r="BA37" s="765">
        <f t="shared" ref="BA37" si="164">INT((AS37/50000))</f>
        <v>7</v>
      </c>
      <c r="BB37" s="766">
        <f t="shared" ref="BB37" si="165">INT((AS37-BA37*50000)/10000)</f>
        <v>3</v>
      </c>
      <c r="BC37" s="766">
        <f t="shared" ref="BC37" si="166">INT((AS37-BA37*50000-BB37*10000)/5000)</f>
        <v>1</v>
      </c>
      <c r="BD37" s="766">
        <f t="shared" ref="BD37" si="167">INT((AS37-BA37*50000-BB37*10000-BC37*5000)/1000)</f>
        <v>2</v>
      </c>
      <c r="BE37" s="766">
        <f t="shared" ref="BE37" si="168">INT((AS37-BA37*50000-BB37*10000-BC37*5000-BD37*1000)/500)</f>
        <v>1</v>
      </c>
      <c r="BF37" s="766">
        <f t="shared" ref="BF37" si="169">INT((AS37-BA37*50000-BB37*10000-BC37*5000-BD37*1000-BE37*500)/100)</f>
        <v>3</v>
      </c>
      <c r="BG37" s="767">
        <f t="shared" si="161"/>
        <v>387800</v>
      </c>
      <c r="BI37" s="628" t="s">
        <v>1551</v>
      </c>
      <c r="BJ37" s="628" t="s">
        <v>572</v>
      </c>
      <c r="BK37" s="1165">
        <v>36076</v>
      </c>
      <c r="BL37" s="1047" t="s">
        <v>1550</v>
      </c>
      <c r="BM37" s="795">
        <v>150627848</v>
      </c>
    </row>
    <row r="38" spans="1:65" s="768" customFormat="1" ht="60" customHeight="1">
      <c r="A38" s="1389">
        <v>32</v>
      </c>
      <c r="B38" s="1608" t="s">
        <v>1575</v>
      </c>
      <c r="C38" s="1448" t="s">
        <v>1576</v>
      </c>
      <c r="D38" s="1851">
        <v>44725</v>
      </c>
      <c r="E38" s="628" t="s">
        <v>476</v>
      </c>
      <c r="F38" s="758">
        <f t="shared" si="96"/>
        <v>204</v>
      </c>
      <c r="G38" s="1875">
        <v>2</v>
      </c>
      <c r="H38" s="1388">
        <v>22</v>
      </c>
      <c r="I38" s="1409">
        <f t="shared" si="0"/>
        <v>172.61538461538461</v>
      </c>
      <c r="J38" s="1827">
        <v>18.5</v>
      </c>
      <c r="K38" s="1097">
        <f t="shared" si="1"/>
        <v>172.61538461538461</v>
      </c>
      <c r="L38" s="1388">
        <v>62</v>
      </c>
      <c r="M38" s="761">
        <f t="shared" si="2"/>
        <v>1.471153846153846</v>
      </c>
      <c r="N38" s="788">
        <f t="shared" si="3"/>
        <v>91.211538461538453</v>
      </c>
      <c r="O38" s="1388">
        <v>0</v>
      </c>
      <c r="P38" s="761">
        <f t="shared" si="4"/>
        <v>1.9615384615384615</v>
      </c>
      <c r="Q38" s="788">
        <f t="shared" si="5"/>
        <v>0</v>
      </c>
      <c r="R38" s="1388">
        <v>16</v>
      </c>
      <c r="S38" s="761">
        <f t="shared" si="6"/>
        <v>1.9615384615384615</v>
      </c>
      <c r="T38" s="1097">
        <f t="shared" si="7"/>
        <v>31.384615384615383</v>
      </c>
      <c r="U38" s="1388">
        <v>5</v>
      </c>
      <c r="V38" s="761">
        <f t="shared" si="8"/>
        <v>7.8461538461538458</v>
      </c>
      <c r="W38" s="788">
        <f t="shared" si="9"/>
        <v>39.230769230769226</v>
      </c>
      <c r="X38" s="1388">
        <v>0</v>
      </c>
      <c r="Y38" s="788">
        <f>'P Salary'!T39*P!X38</f>
        <v>0</v>
      </c>
      <c r="Z38" s="1388">
        <v>0</v>
      </c>
      <c r="AA38" s="761">
        <f t="shared" si="10"/>
        <v>3.9230769230769229</v>
      </c>
      <c r="AB38" s="788">
        <f t="shared" si="11"/>
        <v>0</v>
      </c>
      <c r="AC38" s="1388">
        <v>0</v>
      </c>
      <c r="AD38" s="1468">
        <f t="shared" si="12"/>
        <v>27</v>
      </c>
      <c r="AE38" s="1727">
        <v>0</v>
      </c>
      <c r="AF38" s="1121">
        <v>0</v>
      </c>
      <c r="AG38" s="762">
        <v>0</v>
      </c>
      <c r="AH38" s="762">
        <v>0</v>
      </c>
      <c r="AI38" s="788">
        <v>10</v>
      </c>
      <c r="AJ38" s="788">
        <v>3</v>
      </c>
      <c r="AK38" s="788">
        <v>10</v>
      </c>
      <c r="AL38" s="788">
        <v>10</v>
      </c>
      <c r="AM38" s="1325">
        <f t="shared" si="13"/>
        <v>387.94230769230768</v>
      </c>
      <c r="AN38" s="1280">
        <v>0.5</v>
      </c>
      <c r="AO38" s="1721">
        <v>102</v>
      </c>
      <c r="AP38" s="1097">
        <f>'Tax Calulation            '!P38</f>
        <v>0</v>
      </c>
      <c r="AQ38" s="1097">
        <f>'Tax Calulation            '!W38</f>
        <v>5.9084194977843429</v>
      </c>
      <c r="AR38" s="1687">
        <f t="shared" si="25"/>
        <v>279.53388819452334</v>
      </c>
      <c r="AS38" s="1685">
        <f t="shared" si="26"/>
        <v>321300</v>
      </c>
      <c r="AT38" s="1684">
        <f t="shared" ref="AT38:AT39" si="170">CEILING(AR38,(100))-100</f>
        <v>200</v>
      </c>
      <c r="AU38" s="759"/>
      <c r="AV38" s="763"/>
      <c r="AW38" s="764">
        <f t="shared" si="159"/>
        <v>1469769.2307692308</v>
      </c>
      <c r="AX38" s="612">
        <f t="shared" ref="AX38:AX39" si="171">INT(AT38/100)</f>
        <v>2</v>
      </c>
      <c r="AY38" s="612">
        <f t="shared" ref="AY38:AY39" si="172">INT((AT38-AX38*100)/50)</f>
        <v>0</v>
      </c>
      <c r="AZ38" s="765">
        <f t="shared" ref="AZ38:AZ39" si="173">AX38*100+AY38*50</f>
        <v>200</v>
      </c>
      <c r="BA38" s="765">
        <f t="shared" ref="BA38:BA39" si="174">INT((AS38/50000))</f>
        <v>6</v>
      </c>
      <c r="BB38" s="766">
        <f t="shared" ref="BB38:BB39" si="175">INT((AS38-BA38*50000)/10000)</f>
        <v>2</v>
      </c>
      <c r="BC38" s="766">
        <f t="shared" ref="BC38:BC39" si="176">INT((AS38-BA38*50000-BB38*10000)/5000)</f>
        <v>0</v>
      </c>
      <c r="BD38" s="766">
        <f t="shared" ref="BD38:BD39" si="177">INT((AS38-BA38*50000-BB38*10000-BC38*5000)/1000)</f>
        <v>1</v>
      </c>
      <c r="BE38" s="766">
        <f t="shared" ref="BE38:BE39" si="178">INT((AS38-BA38*50000-BB38*10000-BC38*5000-BD38*1000)/500)</f>
        <v>0</v>
      </c>
      <c r="BF38" s="766">
        <f t="shared" ref="BF38:BF39" si="179">INT((AS38-BA38*50000-BB38*10000-BC38*5000-BD38*1000-BE38*500)/100)</f>
        <v>3</v>
      </c>
      <c r="BG38" s="767">
        <f t="shared" ref="BG38" si="180">BA38*50000+BB38*10000+BC38*5000+BD38*1000+BE38*500+BF38*100</f>
        <v>321300</v>
      </c>
      <c r="BI38" s="972" t="s">
        <v>1591</v>
      </c>
      <c r="BJ38" s="628" t="s">
        <v>572</v>
      </c>
      <c r="BK38" s="1166">
        <v>31475</v>
      </c>
      <c r="BL38" s="1110" t="s">
        <v>1592</v>
      </c>
      <c r="BM38" s="1101">
        <v>20462941</v>
      </c>
    </row>
    <row r="39" spans="1:65" s="768" customFormat="1" ht="60" customHeight="1">
      <c r="A39" s="1389">
        <v>33</v>
      </c>
      <c r="B39" s="1607" t="s">
        <v>1634</v>
      </c>
      <c r="C39" s="1153" t="s">
        <v>1635</v>
      </c>
      <c r="D39" s="1841">
        <v>44774</v>
      </c>
      <c r="E39" s="628" t="s">
        <v>476</v>
      </c>
      <c r="F39" s="758">
        <f t="shared" si="96"/>
        <v>204</v>
      </c>
      <c r="G39" s="1875">
        <v>2</v>
      </c>
      <c r="H39" s="1388">
        <v>21</v>
      </c>
      <c r="I39" s="1409">
        <f t="shared" si="0"/>
        <v>164.76923076923077</v>
      </c>
      <c r="J39" s="1827">
        <v>16.3</v>
      </c>
      <c r="K39" s="1097">
        <f t="shared" si="1"/>
        <v>164.76923076923077</v>
      </c>
      <c r="L39" s="1388">
        <v>53</v>
      </c>
      <c r="M39" s="761">
        <f t="shared" si="2"/>
        <v>1.471153846153846</v>
      </c>
      <c r="N39" s="788">
        <f t="shared" si="3"/>
        <v>77.97115384615384</v>
      </c>
      <c r="O39" s="1388">
        <v>0</v>
      </c>
      <c r="P39" s="761">
        <f t="shared" si="4"/>
        <v>1.9615384615384615</v>
      </c>
      <c r="Q39" s="618">
        <f t="shared" ref="Q39" si="181">O39*P39</f>
        <v>0</v>
      </c>
      <c r="R39" s="1388">
        <v>8</v>
      </c>
      <c r="S39" s="761">
        <f t="shared" si="6"/>
        <v>1.9615384615384615</v>
      </c>
      <c r="T39" s="1096">
        <f t="shared" ref="T39" si="182">S39*R39</f>
        <v>15.692307692307692</v>
      </c>
      <c r="U39" s="1388">
        <v>5</v>
      </c>
      <c r="V39" s="761">
        <f t="shared" si="8"/>
        <v>7.8461538461538458</v>
      </c>
      <c r="W39" s="788">
        <f t="shared" si="9"/>
        <v>39.230769230769226</v>
      </c>
      <c r="X39" s="1388">
        <v>1</v>
      </c>
      <c r="Y39" s="788">
        <f>'P Salary'!T40*P!X39</f>
        <v>10.850844779044888</v>
      </c>
      <c r="Z39" s="1388">
        <v>0</v>
      </c>
      <c r="AA39" s="761">
        <f t="shared" si="10"/>
        <v>3.9230769230769229</v>
      </c>
      <c r="AB39" s="788">
        <f t="shared" si="11"/>
        <v>0</v>
      </c>
      <c r="AC39" s="1388">
        <v>0</v>
      </c>
      <c r="AD39" s="1467">
        <f t="shared" si="12"/>
        <v>27</v>
      </c>
      <c r="AE39" s="1727">
        <v>0</v>
      </c>
      <c r="AF39" s="1121">
        <v>0</v>
      </c>
      <c r="AG39" s="511">
        <v>0</v>
      </c>
      <c r="AH39" s="762">
        <v>0</v>
      </c>
      <c r="AI39" s="788">
        <v>10</v>
      </c>
      <c r="AJ39" s="788">
        <v>3</v>
      </c>
      <c r="AK39" s="788">
        <v>10</v>
      </c>
      <c r="AL39" s="788">
        <v>10</v>
      </c>
      <c r="AM39" s="1325">
        <f t="shared" si="13"/>
        <v>359.81430631750646</v>
      </c>
      <c r="AN39" s="1279">
        <v>0.5</v>
      </c>
      <c r="AO39" s="1721">
        <v>102</v>
      </c>
      <c r="AP39" s="1097">
        <f>'Tax Calulation            '!P39</f>
        <v>0</v>
      </c>
      <c r="AQ39" s="1097">
        <f>'Tax Calulation            '!W39</f>
        <v>5.9084194977843429</v>
      </c>
      <c r="AR39" s="1687">
        <f t="shared" si="25"/>
        <v>251.40588681972213</v>
      </c>
      <c r="AS39" s="1685">
        <f t="shared" si="26"/>
        <v>207700</v>
      </c>
      <c r="AT39" s="1684">
        <f t="shared" si="170"/>
        <v>200</v>
      </c>
      <c r="AU39" s="759"/>
      <c r="AV39" s="763"/>
      <c r="AW39" s="764">
        <f t="shared" si="159"/>
        <v>1322653.8461538462</v>
      </c>
      <c r="AX39" s="612">
        <f t="shared" si="171"/>
        <v>2</v>
      </c>
      <c r="AY39" s="612">
        <f t="shared" si="172"/>
        <v>0</v>
      </c>
      <c r="AZ39" s="765">
        <f t="shared" si="173"/>
        <v>200</v>
      </c>
      <c r="BA39" s="765">
        <f t="shared" si="174"/>
        <v>4</v>
      </c>
      <c r="BB39" s="766">
        <f t="shared" si="175"/>
        <v>0</v>
      </c>
      <c r="BC39" s="766">
        <f t="shared" si="176"/>
        <v>1</v>
      </c>
      <c r="BD39" s="766">
        <f t="shared" si="177"/>
        <v>2</v>
      </c>
      <c r="BE39" s="766">
        <f t="shared" si="178"/>
        <v>1</v>
      </c>
      <c r="BF39" s="766">
        <f t="shared" si="179"/>
        <v>2</v>
      </c>
      <c r="BG39" s="767">
        <f>BA39*50000+BB39*10000+BC39*5000+BD39*1000+BE39*500+BF39*100</f>
        <v>207700</v>
      </c>
      <c r="BI39" s="1093" t="s">
        <v>1788</v>
      </c>
      <c r="BJ39" s="628" t="s">
        <v>572</v>
      </c>
      <c r="BK39" s="1157">
        <v>29966</v>
      </c>
      <c r="BL39" s="973"/>
      <c r="BM39" s="1112" t="s">
        <v>1787</v>
      </c>
    </row>
    <row r="40" spans="1:65" s="768" customFormat="1" ht="60" customHeight="1">
      <c r="A40" s="1389">
        <v>34</v>
      </c>
      <c r="B40" s="1609" t="s">
        <v>1855</v>
      </c>
      <c r="C40" s="1399" t="s">
        <v>1926</v>
      </c>
      <c r="D40" s="1850">
        <v>45037</v>
      </c>
      <c r="E40" s="628" t="s">
        <v>476</v>
      </c>
      <c r="F40" s="758">
        <f t="shared" ref="F40:F47" si="183">200+4</f>
        <v>204</v>
      </c>
      <c r="G40" s="1875">
        <v>0</v>
      </c>
      <c r="H40" s="1388">
        <v>22</v>
      </c>
      <c r="I40" s="1409">
        <f t="shared" si="0"/>
        <v>172.61538461538461</v>
      </c>
      <c r="J40" s="1827">
        <v>18.5</v>
      </c>
      <c r="K40" s="1097">
        <f t="shared" si="1"/>
        <v>172.61538461538461</v>
      </c>
      <c r="L40" s="1388">
        <v>62</v>
      </c>
      <c r="M40" s="761">
        <f t="shared" si="2"/>
        <v>1.471153846153846</v>
      </c>
      <c r="N40" s="788">
        <f t="shared" si="3"/>
        <v>91.211538461538453</v>
      </c>
      <c r="O40" s="1388">
        <v>0</v>
      </c>
      <c r="P40" s="761">
        <f t="shared" si="4"/>
        <v>1.9615384615384615</v>
      </c>
      <c r="Q40" s="618">
        <f t="shared" ref="Q40:Q52" si="184">O40*P40</f>
        <v>0</v>
      </c>
      <c r="R40" s="1388">
        <v>24</v>
      </c>
      <c r="S40" s="761">
        <f t="shared" si="6"/>
        <v>1.9615384615384615</v>
      </c>
      <c r="T40" s="1096">
        <f t="shared" ref="T40:T52" si="185">S40*R40</f>
        <v>47.076923076923073</v>
      </c>
      <c r="U40" s="1388">
        <v>5</v>
      </c>
      <c r="V40" s="761">
        <f t="shared" si="8"/>
        <v>7.8461538461538458</v>
      </c>
      <c r="W40" s="788">
        <f t="shared" si="9"/>
        <v>39.230769230769226</v>
      </c>
      <c r="X40" s="1388">
        <v>0</v>
      </c>
      <c r="Y40" s="788">
        <f>'P Salary'!T41*P!X40</f>
        <v>0</v>
      </c>
      <c r="Z40" s="1388">
        <v>0</v>
      </c>
      <c r="AA40" s="761">
        <f t="shared" si="10"/>
        <v>3.9230769230769229</v>
      </c>
      <c r="AB40" s="788">
        <f t="shared" si="11"/>
        <v>0</v>
      </c>
      <c r="AC40" s="1388">
        <v>0</v>
      </c>
      <c r="AD40" s="1467">
        <f t="shared" ref="AD40:AD52" si="186">H40+U40+Z40+AC40+X40</f>
        <v>27</v>
      </c>
      <c r="AE40" s="1727">
        <v>0</v>
      </c>
      <c r="AF40" s="1121">
        <v>0</v>
      </c>
      <c r="AG40" s="511">
        <v>0</v>
      </c>
      <c r="AH40" s="762">
        <v>0</v>
      </c>
      <c r="AI40" s="788">
        <v>10</v>
      </c>
      <c r="AJ40" s="788">
        <v>2</v>
      </c>
      <c r="AK40" s="788">
        <v>10</v>
      </c>
      <c r="AL40" s="788">
        <v>10</v>
      </c>
      <c r="AM40" s="1325">
        <f t="shared" si="13"/>
        <v>400.63461538461542</v>
      </c>
      <c r="AN40" s="1280">
        <v>0</v>
      </c>
      <c r="AO40" s="1721">
        <v>102</v>
      </c>
      <c r="AP40" s="1097">
        <f>'Tax Calulation            '!P40</f>
        <v>0.27249886376548116</v>
      </c>
      <c r="AQ40" s="1097">
        <f>'Tax Calulation            '!W40</f>
        <v>5.9084194977843429</v>
      </c>
      <c r="AR40" s="1687">
        <f t="shared" si="25"/>
        <v>292.45369702306562</v>
      </c>
      <c r="AS40" s="1685">
        <f t="shared" si="26"/>
        <v>373500</v>
      </c>
      <c r="AT40" s="1684">
        <f t="shared" ref="AT40:AT52" si="187">CEILING(AR40,(100))-100</f>
        <v>200</v>
      </c>
      <c r="AU40" s="759"/>
      <c r="AV40" s="763"/>
      <c r="AW40" s="764"/>
      <c r="AX40" s="612">
        <f t="shared" ref="AX40:AX52" si="188">INT(AT40/100)</f>
        <v>2</v>
      </c>
      <c r="AY40" s="612">
        <f t="shared" ref="AY40:AY52" si="189">INT((AT40-AX40*100)/50)</f>
        <v>0</v>
      </c>
      <c r="AZ40" s="765">
        <f t="shared" ref="AZ40:AZ52" si="190">AX40*100+AY40*50</f>
        <v>200</v>
      </c>
      <c r="BA40" s="765">
        <f t="shared" ref="BA40:BA52" si="191">INT((AS40/50000))</f>
        <v>7</v>
      </c>
      <c r="BB40" s="766">
        <f t="shared" ref="BB40:BB52" si="192">INT((AS40-BA40*50000)/10000)</f>
        <v>2</v>
      </c>
      <c r="BC40" s="766">
        <f t="shared" ref="BC40:BC52" si="193">INT((AS40-BA40*50000-BB40*10000)/5000)</f>
        <v>0</v>
      </c>
      <c r="BD40" s="766">
        <f t="shared" ref="BD40:BD52" si="194">INT((AS40-BA40*50000-BB40*10000-BC40*5000)/1000)</f>
        <v>3</v>
      </c>
      <c r="BE40" s="766">
        <f t="shared" ref="BE40:BE52" si="195">INT((AS40-BA40*50000-BB40*10000-BC40*5000-BD40*1000)/500)</f>
        <v>1</v>
      </c>
      <c r="BF40" s="766">
        <f t="shared" ref="BF40:BF52" si="196">INT((AS40-BA40*50000-BB40*10000-BC40*5000-BD40*1000-BE40*500)/100)</f>
        <v>0</v>
      </c>
      <c r="BG40" s="767">
        <f t="shared" ref="BG40:BG52" si="197">BA40*50000+BB40*10000+BC40*5000+BD40*1000+BE40*500+BF40*100</f>
        <v>373500</v>
      </c>
      <c r="BI40" s="1384" t="s">
        <v>1871</v>
      </c>
      <c r="BJ40" s="1460" t="s">
        <v>943</v>
      </c>
      <c r="BK40" s="1385">
        <v>38257</v>
      </c>
      <c r="BL40" s="1386" t="s">
        <v>1879</v>
      </c>
      <c r="BM40" s="1393" t="s">
        <v>1895</v>
      </c>
    </row>
    <row r="41" spans="1:65" s="768" customFormat="1" ht="60" customHeight="1">
      <c r="A41" s="1389">
        <v>35</v>
      </c>
      <c r="B41" s="1609" t="s">
        <v>1856</v>
      </c>
      <c r="C41" s="1399" t="s">
        <v>1925</v>
      </c>
      <c r="D41" s="1850">
        <v>45037</v>
      </c>
      <c r="E41" s="628" t="s">
        <v>476</v>
      </c>
      <c r="F41" s="758">
        <f t="shared" si="183"/>
        <v>204</v>
      </c>
      <c r="G41" s="1875">
        <v>0</v>
      </c>
      <c r="H41" s="1388">
        <v>22</v>
      </c>
      <c r="I41" s="1409">
        <f t="shared" si="0"/>
        <v>172.61538461538461</v>
      </c>
      <c r="J41" s="1827">
        <v>18.3</v>
      </c>
      <c r="K41" s="1097">
        <f t="shared" si="1"/>
        <v>172.61538461538461</v>
      </c>
      <c r="L41" s="1388">
        <v>62</v>
      </c>
      <c r="M41" s="761">
        <f t="shared" si="2"/>
        <v>1.471153846153846</v>
      </c>
      <c r="N41" s="788">
        <f t="shared" si="3"/>
        <v>91.211538461538453</v>
      </c>
      <c r="O41" s="1388">
        <v>0</v>
      </c>
      <c r="P41" s="761">
        <f t="shared" si="4"/>
        <v>1.9615384615384615</v>
      </c>
      <c r="Q41" s="618">
        <f t="shared" si="184"/>
        <v>0</v>
      </c>
      <c r="R41" s="1388">
        <v>16</v>
      </c>
      <c r="S41" s="761">
        <f t="shared" si="6"/>
        <v>1.9615384615384615</v>
      </c>
      <c r="T41" s="1096">
        <f t="shared" si="185"/>
        <v>31.384615384615383</v>
      </c>
      <c r="U41" s="1388">
        <v>5</v>
      </c>
      <c r="V41" s="761">
        <f t="shared" si="8"/>
        <v>7.8461538461538458</v>
      </c>
      <c r="W41" s="788">
        <f t="shared" si="9"/>
        <v>39.230769230769226</v>
      </c>
      <c r="X41" s="1388">
        <v>0</v>
      </c>
      <c r="Y41" s="788">
        <f>'P Salary'!T42*P!X41</f>
        <v>0</v>
      </c>
      <c r="Z41" s="1388">
        <v>0</v>
      </c>
      <c r="AA41" s="761">
        <f t="shared" si="10"/>
        <v>3.9230769230769229</v>
      </c>
      <c r="AB41" s="788">
        <f t="shared" si="11"/>
        <v>0</v>
      </c>
      <c r="AC41" s="1388">
        <v>0</v>
      </c>
      <c r="AD41" s="1467">
        <f t="shared" si="186"/>
        <v>27</v>
      </c>
      <c r="AE41" s="1727">
        <v>0</v>
      </c>
      <c r="AF41" s="1121">
        <v>0</v>
      </c>
      <c r="AG41" s="511">
        <v>0</v>
      </c>
      <c r="AH41" s="762">
        <v>0</v>
      </c>
      <c r="AI41" s="788">
        <v>10</v>
      </c>
      <c r="AJ41" s="788">
        <v>2</v>
      </c>
      <c r="AK41" s="788">
        <v>10</v>
      </c>
      <c r="AL41" s="788">
        <v>10</v>
      </c>
      <c r="AM41" s="1325">
        <f t="shared" si="13"/>
        <v>384.74230769230769</v>
      </c>
      <c r="AN41" s="1280">
        <v>0</v>
      </c>
      <c r="AO41" s="1721">
        <v>102</v>
      </c>
      <c r="AP41" s="1097">
        <f>'Tax Calulation            '!P41</f>
        <v>0</v>
      </c>
      <c r="AQ41" s="1097">
        <f>'Tax Calulation            '!W41</f>
        <v>5.9084194977843429</v>
      </c>
      <c r="AR41" s="1687">
        <f t="shared" si="25"/>
        <v>276.83388819452335</v>
      </c>
      <c r="AS41" s="1685">
        <f t="shared" si="26"/>
        <v>310400</v>
      </c>
      <c r="AT41" s="1684">
        <f t="shared" si="187"/>
        <v>200</v>
      </c>
      <c r="AU41" s="759"/>
      <c r="AV41" s="763"/>
      <c r="AW41" s="764"/>
      <c r="AX41" s="612">
        <f t="shared" si="188"/>
        <v>2</v>
      </c>
      <c r="AY41" s="612">
        <f t="shared" si="189"/>
        <v>0</v>
      </c>
      <c r="AZ41" s="765">
        <f t="shared" si="190"/>
        <v>200</v>
      </c>
      <c r="BA41" s="765">
        <f t="shared" si="191"/>
        <v>6</v>
      </c>
      <c r="BB41" s="766">
        <f t="shared" si="192"/>
        <v>1</v>
      </c>
      <c r="BC41" s="766">
        <f t="shared" si="193"/>
        <v>0</v>
      </c>
      <c r="BD41" s="766">
        <f t="shared" si="194"/>
        <v>0</v>
      </c>
      <c r="BE41" s="766">
        <f t="shared" si="195"/>
        <v>0</v>
      </c>
      <c r="BF41" s="766">
        <f t="shared" si="196"/>
        <v>4</v>
      </c>
      <c r="BG41" s="767">
        <f t="shared" si="197"/>
        <v>310400</v>
      </c>
      <c r="BI41" s="1460" t="s">
        <v>1872</v>
      </c>
      <c r="BJ41" s="1460" t="s">
        <v>572</v>
      </c>
      <c r="BK41" s="1385">
        <v>30967</v>
      </c>
      <c r="BL41" s="1386" t="s">
        <v>1880</v>
      </c>
      <c r="BM41" s="1394" t="s">
        <v>1896</v>
      </c>
    </row>
    <row r="42" spans="1:65" s="768" customFormat="1" ht="60" customHeight="1">
      <c r="A42" s="1389">
        <v>36</v>
      </c>
      <c r="B42" s="1608" t="s">
        <v>1857</v>
      </c>
      <c r="C42" s="1448" t="s">
        <v>1924</v>
      </c>
      <c r="D42" s="1851">
        <v>45037</v>
      </c>
      <c r="E42" s="628" t="s">
        <v>476</v>
      </c>
      <c r="F42" s="758">
        <f t="shared" si="183"/>
        <v>204</v>
      </c>
      <c r="G42" s="1875">
        <v>0</v>
      </c>
      <c r="H42" s="1388">
        <v>22</v>
      </c>
      <c r="I42" s="1409">
        <f t="shared" si="0"/>
        <v>172.61538461538461</v>
      </c>
      <c r="J42" s="1827">
        <v>18.3</v>
      </c>
      <c r="K42" s="1097">
        <f t="shared" si="1"/>
        <v>172.61538461538461</v>
      </c>
      <c r="L42" s="1388">
        <v>63</v>
      </c>
      <c r="M42" s="761">
        <f t="shared" si="2"/>
        <v>1.471153846153846</v>
      </c>
      <c r="N42" s="788">
        <f t="shared" si="3"/>
        <v>92.682692307692307</v>
      </c>
      <c r="O42" s="1388">
        <v>0</v>
      </c>
      <c r="P42" s="761">
        <f t="shared" si="4"/>
        <v>1.9615384615384615</v>
      </c>
      <c r="Q42" s="788">
        <f t="shared" si="184"/>
        <v>0</v>
      </c>
      <c r="R42" s="1388">
        <v>16</v>
      </c>
      <c r="S42" s="761">
        <f t="shared" si="6"/>
        <v>1.9615384615384615</v>
      </c>
      <c r="T42" s="1097">
        <f t="shared" si="185"/>
        <v>31.384615384615383</v>
      </c>
      <c r="U42" s="1388">
        <v>5</v>
      </c>
      <c r="V42" s="761">
        <f t="shared" si="8"/>
        <v>7.8461538461538458</v>
      </c>
      <c r="W42" s="788">
        <f t="shared" si="9"/>
        <v>39.230769230769226</v>
      </c>
      <c r="X42" s="1388">
        <v>0</v>
      </c>
      <c r="Y42" s="788">
        <f>'P Salary'!T43*P!X42</f>
        <v>0</v>
      </c>
      <c r="Z42" s="1388">
        <v>0</v>
      </c>
      <c r="AA42" s="761">
        <f t="shared" si="10"/>
        <v>3.9230769230769229</v>
      </c>
      <c r="AB42" s="788">
        <f t="shared" si="11"/>
        <v>0</v>
      </c>
      <c r="AC42" s="1388">
        <v>0</v>
      </c>
      <c r="AD42" s="1468">
        <f>H42+U42+Z42+AC42+X42</f>
        <v>27</v>
      </c>
      <c r="AE42" s="1727">
        <v>0</v>
      </c>
      <c r="AF42" s="1121">
        <v>0</v>
      </c>
      <c r="AG42" s="762">
        <v>0</v>
      </c>
      <c r="AH42" s="762">
        <v>0</v>
      </c>
      <c r="AI42" s="788">
        <v>10</v>
      </c>
      <c r="AJ42" s="788">
        <v>2</v>
      </c>
      <c r="AK42" s="788">
        <v>10</v>
      </c>
      <c r="AL42" s="788">
        <v>10</v>
      </c>
      <c r="AM42" s="1325">
        <f t="shared" si="13"/>
        <v>386.2134615384615</v>
      </c>
      <c r="AN42" s="1280">
        <v>0</v>
      </c>
      <c r="AO42" s="1721">
        <v>102</v>
      </c>
      <c r="AP42" s="1097">
        <f>'Tax Calulation            '!P42</f>
        <v>0</v>
      </c>
      <c r="AQ42" s="1097">
        <f>'Tax Calulation            '!W42</f>
        <v>5.9084194977843429</v>
      </c>
      <c r="AR42" s="1687">
        <f t="shared" si="25"/>
        <v>278.30504204067717</v>
      </c>
      <c r="AS42" s="1685">
        <f t="shared" si="26"/>
        <v>316400</v>
      </c>
      <c r="AT42" s="1684">
        <f t="shared" si="187"/>
        <v>200</v>
      </c>
      <c r="AU42" s="759"/>
      <c r="AV42" s="763"/>
      <c r="AW42" s="764"/>
      <c r="AX42" s="612">
        <f t="shared" si="188"/>
        <v>2</v>
      </c>
      <c r="AY42" s="612">
        <f t="shared" si="189"/>
        <v>0</v>
      </c>
      <c r="AZ42" s="765">
        <f t="shared" si="190"/>
        <v>200</v>
      </c>
      <c r="BA42" s="765">
        <f t="shared" si="191"/>
        <v>6</v>
      </c>
      <c r="BB42" s="766">
        <f t="shared" si="192"/>
        <v>1</v>
      </c>
      <c r="BC42" s="766">
        <f t="shared" si="193"/>
        <v>1</v>
      </c>
      <c r="BD42" s="766">
        <f t="shared" si="194"/>
        <v>1</v>
      </c>
      <c r="BE42" s="766">
        <f t="shared" si="195"/>
        <v>0</v>
      </c>
      <c r="BF42" s="766">
        <f t="shared" si="196"/>
        <v>4</v>
      </c>
      <c r="BG42" s="767">
        <f t="shared" si="197"/>
        <v>316400</v>
      </c>
      <c r="BI42" s="972" t="s">
        <v>1873</v>
      </c>
      <c r="BJ42" s="972" t="s">
        <v>572</v>
      </c>
      <c r="BK42" s="624">
        <v>38436</v>
      </c>
      <c r="BL42" s="1110" t="s">
        <v>1881</v>
      </c>
      <c r="BM42" s="1395" t="s">
        <v>1897</v>
      </c>
    </row>
    <row r="43" spans="1:65" s="768" customFormat="1" ht="60" customHeight="1">
      <c r="A43" s="1389">
        <v>37</v>
      </c>
      <c r="B43" s="1609" t="s">
        <v>1858</v>
      </c>
      <c r="C43" s="1399" t="s">
        <v>1919</v>
      </c>
      <c r="D43" s="1850">
        <v>45037</v>
      </c>
      <c r="E43" s="628" t="s">
        <v>476</v>
      </c>
      <c r="F43" s="758">
        <f t="shared" si="183"/>
        <v>204</v>
      </c>
      <c r="G43" s="1875">
        <v>0</v>
      </c>
      <c r="H43" s="1388">
        <v>22</v>
      </c>
      <c r="I43" s="1409">
        <f t="shared" si="0"/>
        <v>172.61538461538461</v>
      </c>
      <c r="J43" s="1827">
        <v>18.3</v>
      </c>
      <c r="K43" s="1097">
        <f t="shared" si="1"/>
        <v>172.61538461538461</v>
      </c>
      <c r="L43" s="1388">
        <v>67</v>
      </c>
      <c r="M43" s="761">
        <f t="shared" si="2"/>
        <v>1.471153846153846</v>
      </c>
      <c r="N43" s="788">
        <f t="shared" si="3"/>
        <v>98.567307692307679</v>
      </c>
      <c r="O43" s="1388">
        <v>0</v>
      </c>
      <c r="P43" s="761">
        <f t="shared" si="4"/>
        <v>1.9615384615384615</v>
      </c>
      <c r="Q43" s="618">
        <f t="shared" si="184"/>
        <v>0</v>
      </c>
      <c r="R43" s="1388">
        <v>16</v>
      </c>
      <c r="S43" s="761">
        <f t="shared" si="6"/>
        <v>1.9615384615384615</v>
      </c>
      <c r="T43" s="1096">
        <f t="shared" si="185"/>
        <v>31.384615384615383</v>
      </c>
      <c r="U43" s="1388">
        <v>5</v>
      </c>
      <c r="V43" s="761">
        <f t="shared" si="8"/>
        <v>7.8461538461538458</v>
      </c>
      <c r="W43" s="788">
        <f t="shared" si="9"/>
        <v>39.230769230769226</v>
      </c>
      <c r="X43" s="1388">
        <v>0</v>
      </c>
      <c r="Y43" s="788">
        <f>'P Salary'!T44*P!X43</f>
        <v>0</v>
      </c>
      <c r="Z43" s="1388">
        <v>0</v>
      </c>
      <c r="AA43" s="761">
        <f t="shared" si="10"/>
        <v>3.9230769230769229</v>
      </c>
      <c r="AB43" s="788">
        <f t="shared" si="11"/>
        <v>0</v>
      </c>
      <c r="AC43" s="1388">
        <v>0</v>
      </c>
      <c r="AD43" s="1467">
        <f t="shared" si="186"/>
        <v>27</v>
      </c>
      <c r="AE43" s="1727">
        <v>0</v>
      </c>
      <c r="AF43" s="1121">
        <v>0</v>
      </c>
      <c r="AG43" s="511">
        <v>0</v>
      </c>
      <c r="AH43" s="762">
        <v>0</v>
      </c>
      <c r="AI43" s="788">
        <v>10</v>
      </c>
      <c r="AJ43" s="788">
        <v>2</v>
      </c>
      <c r="AK43" s="788">
        <v>10</v>
      </c>
      <c r="AL43" s="788">
        <v>10</v>
      </c>
      <c r="AM43" s="1325">
        <f t="shared" si="13"/>
        <v>392.09807692307686</v>
      </c>
      <c r="AN43" s="1280">
        <v>0</v>
      </c>
      <c r="AO43" s="1721">
        <v>102</v>
      </c>
      <c r="AP43" s="1097">
        <f>'Tax Calulation            '!P43</f>
        <v>0</v>
      </c>
      <c r="AQ43" s="1097">
        <f>'Tax Calulation            '!W43</f>
        <v>5.9084194977843429</v>
      </c>
      <c r="AR43" s="1687">
        <f t="shared" si="25"/>
        <v>284.18965742529252</v>
      </c>
      <c r="AS43" s="1685">
        <f t="shared" si="26"/>
        <v>340100</v>
      </c>
      <c r="AT43" s="1684">
        <f t="shared" si="187"/>
        <v>200</v>
      </c>
      <c r="AU43" s="759"/>
      <c r="AV43" s="763"/>
      <c r="AW43" s="764"/>
      <c r="AX43" s="612">
        <f t="shared" si="188"/>
        <v>2</v>
      </c>
      <c r="AY43" s="612">
        <f t="shared" si="189"/>
        <v>0</v>
      </c>
      <c r="AZ43" s="765">
        <f t="shared" si="190"/>
        <v>200</v>
      </c>
      <c r="BA43" s="765">
        <f t="shared" si="191"/>
        <v>6</v>
      </c>
      <c r="BB43" s="766">
        <f t="shared" si="192"/>
        <v>4</v>
      </c>
      <c r="BC43" s="766">
        <f t="shared" si="193"/>
        <v>0</v>
      </c>
      <c r="BD43" s="766">
        <f t="shared" si="194"/>
        <v>0</v>
      </c>
      <c r="BE43" s="766">
        <f t="shared" si="195"/>
        <v>0</v>
      </c>
      <c r="BF43" s="766">
        <f t="shared" si="196"/>
        <v>1</v>
      </c>
      <c r="BG43" s="767">
        <f t="shared" si="197"/>
        <v>340100</v>
      </c>
      <c r="BI43" s="1460" t="s">
        <v>1874</v>
      </c>
      <c r="BJ43" s="1460" t="s">
        <v>943</v>
      </c>
      <c r="BK43" s="1385">
        <v>36252</v>
      </c>
      <c r="BL43" s="1386" t="s">
        <v>1883</v>
      </c>
      <c r="BM43" s="1394" t="s">
        <v>1898</v>
      </c>
    </row>
    <row r="44" spans="1:65" s="768" customFormat="1" ht="60" customHeight="1">
      <c r="A44" s="1389">
        <v>38</v>
      </c>
      <c r="B44" s="1608" t="s">
        <v>1859</v>
      </c>
      <c r="C44" s="1448" t="s">
        <v>1920</v>
      </c>
      <c r="D44" s="1850">
        <v>45037</v>
      </c>
      <c r="E44" s="628" t="s">
        <v>476</v>
      </c>
      <c r="F44" s="758">
        <f t="shared" si="183"/>
        <v>204</v>
      </c>
      <c r="G44" s="1875">
        <v>0</v>
      </c>
      <c r="H44" s="1388">
        <v>22</v>
      </c>
      <c r="I44" s="1409">
        <f t="shared" si="0"/>
        <v>172.61538461538461</v>
      </c>
      <c r="J44" s="1827">
        <v>18.5</v>
      </c>
      <c r="K44" s="1097">
        <f t="shared" si="1"/>
        <v>172.61538461538461</v>
      </c>
      <c r="L44" s="1388">
        <v>63</v>
      </c>
      <c r="M44" s="761">
        <f t="shared" si="2"/>
        <v>1.471153846153846</v>
      </c>
      <c r="N44" s="788">
        <f t="shared" si="3"/>
        <v>92.682692307692307</v>
      </c>
      <c r="O44" s="1388">
        <v>0</v>
      </c>
      <c r="P44" s="761">
        <f t="shared" si="4"/>
        <v>1.9615384615384615</v>
      </c>
      <c r="Q44" s="788">
        <f t="shared" si="184"/>
        <v>0</v>
      </c>
      <c r="R44" s="1388">
        <v>16</v>
      </c>
      <c r="S44" s="761">
        <f t="shared" si="6"/>
        <v>1.9615384615384615</v>
      </c>
      <c r="T44" s="1097">
        <f t="shared" si="185"/>
        <v>31.384615384615383</v>
      </c>
      <c r="U44" s="1388">
        <v>5</v>
      </c>
      <c r="V44" s="761">
        <f t="shared" si="8"/>
        <v>7.8461538461538458</v>
      </c>
      <c r="W44" s="788">
        <f t="shared" si="9"/>
        <v>39.230769230769226</v>
      </c>
      <c r="X44" s="1388">
        <v>0</v>
      </c>
      <c r="Y44" s="788">
        <f>'P Salary'!T45*P!X44</f>
        <v>0</v>
      </c>
      <c r="Z44" s="1388">
        <v>0</v>
      </c>
      <c r="AA44" s="761">
        <f t="shared" si="10"/>
        <v>3.9230769230769229</v>
      </c>
      <c r="AB44" s="788">
        <f t="shared" si="11"/>
        <v>0</v>
      </c>
      <c r="AC44" s="1388">
        <v>0</v>
      </c>
      <c r="AD44" s="1468">
        <f t="shared" si="186"/>
        <v>27</v>
      </c>
      <c r="AE44" s="1727">
        <v>0</v>
      </c>
      <c r="AF44" s="1121">
        <v>0</v>
      </c>
      <c r="AG44" s="762">
        <v>0</v>
      </c>
      <c r="AH44" s="762">
        <v>0</v>
      </c>
      <c r="AI44" s="788">
        <v>10</v>
      </c>
      <c r="AJ44" s="788">
        <v>2</v>
      </c>
      <c r="AK44" s="788">
        <v>10</v>
      </c>
      <c r="AL44" s="788">
        <v>10</v>
      </c>
      <c r="AM44" s="1325">
        <f t="shared" si="13"/>
        <v>386.41346153846149</v>
      </c>
      <c r="AN44" s="1280">
        <v>0</v>
      </c>
      <c r="AO44" s="1721">
        <v>102</v>
      </c>
      <c r="AP44" s="1097">
        <f>'Tax Calulation            '!P44</f>
        <v>0</v>
      </c>
      <c r="AQ44" s="1097">
        <f>'Tax Calulation            '!W44</f>
        <v>5.9084194977843429</v>
      </c>
      <c r="AR44" s="1687">
        <f t="shared" si="25"/>
        <v>278.50504204067715</v>
      </c>
      <c r="AS44" s="1685">
        <f t="shared" si="26"/>
        <v>317200</v>
      </c>
      <c r="AT44" s="1684">
        <f t="shared" si="187"/>
        <v>200</v>
      </c>
      <c r="AU44" s="759"/>
      <c r="AV44" s="763"/>
      <c r="AW44" s="764"/>
      <c r="AX44" s="612">
        <f t="shared" si="188"/>
        <v>2</v>
      </c>
      <c r="AY44" s="612">
        <f t="shared" si="189"/>
        <v>0</v>
      </c>
      <c r="AZ44" s="765">
        <f t="shared" si="190"/>
        <v>200</v>
      </c>
      <c r="BA44" s="765">
        <f t="shared" si="191"/>
        <v>6</v>
      </c>
      <c r="BB44" s="766">
        <f t="shared" si="192"/>
        <v>1</v>
      </c>
      <c r="BC44" s="766">
        <f t="shared" si="193"/>
        <v>1</v>
      </c>
      <c r="BD44" s="766">
        <f t="shared" si="194"/>
        <v>2</v>
      </c>
      <c r="BE44" s="766">
        <f t="shared" si="195"/>
        <v>0</v>
      </c>
      <c r="BF44" s="766">
        <f t="shared" si="196"/>
        <v>2</v>
      </c>
      <c r="BG44" s="767">
        <f t="shared" si="197"/>
        <v>317200</v>
      </c>
      <c r="BI44" s="972" t="s">
        <v>1875</v>
      </c>
      <c r="BJ44" s="972" t="s">
        <v>572</v>
      </c>
      <c r="BK44" s="624">
        <v>38026</v>
      </c>
      <c r="BL44" s="1110" t="s">
        <v>1884</v>
      </c>
      <c r="BM44" s="1395" t="s">
        <v>1899</v>
      </c>
    </row>
    <row r="45" spans="1:65" s="768" customFormat="1" ht="60" customHeight="1">
      <c r="A45" s="1389">
        <v>39</v>
      </c>
      <c r="B45" s="1609" t="s">
        <v>1860</v>
      </c>
      <c r="C45" s="1399" t="s">
        <v>1921</v>
      </c>
      <c r="D45" s="1850">
        <v>45037</v>
      </c>
      <c r="E45" s="628" t="s">
        <v>476</v>
      </c>
      <c r="F45" s="758">
        <f t="shared" si="183"/>
        <v>204</v>
      </c>
      <c r="G45" s="1875">
        <v>0</v>
      </c>
      <c r="H45" s="1388">
        <v>22</v>
      </c>
      <c r="I45" s="1409">
        <f t="shared" si="0"/>
        <v>172.61538461538461</v>
      </c>
      <c r="J45" s="1827">
        <v>17</v>
      </c>
      <c r="K45" s="1097">
        <f t="shared" si="1"/>
        <v>172.61538461538461</v>
      </c>
      <c r="L45" s="1388">
        <v>58</v>
      </c>
      <c r="M45" s="761">
        <f t="shared" si="2"/>
        <v>1.471153846153846</v>
      </c>
      <c r="N45" s="788">
        <f t="shared" si="3"/>
        <v>85.326923076923066</v>
      </c>
      <c r="O45" s="1388">
        <v>0</v>
      </c>
      <c r="P45" s="761">
        <f t="shared" si="4"/>
        <v>1.9615384615384615</v>
      </c>
      <c r="Q45" s="618">
        <f t="shared" si="184"/>
        <v>0</v>
      </c>
      <c r="R45" s="1388">
        <v>16</v>
      </c>
      <c r="S45" s="761">
        <f t="shared" si="6"/>
        <v>1.9615384615384615</v>
      </c>
      <c r="T45" s="1096">
        <f t="shared" si="185"/>
        <v>31.384615384615383</v>
      </c>
      <c r="U45" s="1388">
        <v>5</v>
      </c>
      <c r="V45" s="761">
        <f t="shared" si="8"/>
        <v>7.8461538461538458</v>
      </c>
      <c r="W45" s="788">
        <f t="shared" si="9"/>
        <v>39.230769230769226</v>
      </c>
      <c r="X45" s="1388">
        <v>0</v>
      </c>
      <c r="Y45" s="788">
        <f>'P Salary'!T46*P!X45</f>
        <v>0</v>
      </c>
      <c r="Z45" s="1388">
        <v>0</v>
      </c>
      <c r="AA45" s="761">
        <f t="shared" si="10"/>
        <v>3.9230769230769229</v>
      </c>
      <c r="AB45" s="788">
        <f t="shared" si="11"/>
        <v>0</v>
      </c>
      <c r="AC45" s="1388">
        <v>0</v>
      </c>
      <c r="AD45" s="1467">
        <f t="shared" si="186"/>
        <v>27</v>
      </c>
      <c r="AE45" s="1727">
        <v>0</v>
      </c>
      <c r="AF45" s="1121">
        <v>0</v>
      </c>
      <c r="AG45" s="511">
        <v>0</v>
      </c>
      <c r="AH45" s="762">
        <v>0</v>
      </c>
      <c r="AI45" s="788">
        <v>10</v>
      </c>
      <c r="AJ45" s="788">
        <v>2</v>
      </c>
      <c r="AK45" s="788">
        <v>10</v>
      </c>
      <c r="AL45" s="788">
        <v>10</v>
      </c>
      <c r="AM45" s="1325">
        <f t="shared" si="13"/>
        <v>377.55769230769226</v>
      </c>
      <c r="AN45" s="1280">
        <v>0</v>
      </c>
      <c r="AO45" s="1721">
        <v>102</v>
      </c>
      <c r="AP45" s="1097">
        <f>'Tax Calulation            '!P45</f>
        <v>0</v>
      </c>
      <c r="AQ45" s="1097">
        <f>'Tax Calulation            '!W45</f>
        <v>5.9084194977843429</v>
      </c>
      <c r="AR45" s="1687">
        <f t="shared" si="25"/>
        <v>269.64927280990793</v>
      </c>
      <c r="AS45" s="1685">
        <f t="shared" si="26"/>
        <v>281400</v>
      </c>
      <c r="AT45" s="1684">
        <f t="shared" si="187"/>
        <v>200</v>
      </c>
      <c r="AU45" s="759"/>
      <c r="AV45" s="763"/>
      <c r="AW45" s="764"/>
      <c r="AX45" s="612">
        <f t="shared" si="188"/>
        <v>2</v>
      </c>
      <c r="AY45" s="612">
        <f t="shared" si="189"/>
        <v>0</v>
      </c>
      <c r="AZ45" s="765">
        <f t="shared" si="190"/>
        <v>200</v>
      </c>
      <c r="BA45" s="765">
        <f t="shared" si="191"/>
        <v>5</v>
      </c>
      <c r="BB45" s="766">
        <f t="shared" si="192"/>
        <v>3</v>
      </c>
      <c r="BC45" s="766">
        <f t="shared" si="193"/>
        <v>0</v>
      </c>
      <c r="BD45" s="766">
        <f t="shared" si="194"/>
        <v>1</v>
      </c>
      <c r="BE45" s="766">
        <f t="shared" si="195"/>
        <v>0</v>
      </c>
      <c r="BF45" s="766">
        <f t="shared" si="196"/>
        <v>4</v>
      </c>
      <c r="BG45" s="767">
        <f t="shared" si="197"/>
        <v>281400</v>
      </c>
      <c r="BI45" s="1460" t="s">
        <v>1876</v>
      </c>
      <c r="BJ45" s="1460" t="s">
        <v>572</v>
      </c>
      <c r="BK45" s="1385">
        <v>29288</v>
      </c>
      <c r="BL45" s="1386" t="s">
        <v>1885</v>
      </c>
      <c r="BM45" s="1394" t="s">
        <v>1900</v>
      </c>
    </row>
    <row r="46" spans="1:65" s="768" customFormat="1" ht="60" customHeight="1">
      <c r="A46" s="1389">
        <v>40</v>
      </c>
      <c r="B46" s="1609" t="s">
        <v>1861</v>
      </c>
      <c r="C46" s="1399" t="s">
        <v>1922</v>
      </c>
      <c r="D46" s="1850">
        <v>45037</v>
      </c>
      <c r="E46" s="628" t="s">
        <v>476</v>
      </c>
      <c r="F46" s="758">
        <f t="shared" si="183"/>
        <v>204</v>
      </c>
      <c r="G46" s="1875">
        <v>0</v>
      </c>
      <c r="H46" s="1388">
        <v>21</v>
      </c>
      <c r="I46" s="1409">
        <f t="shared" si="0"/>
        <v>164.76923076923077</v>
      </c>
      <c r="J46" s="1827">
        <v>16.5</v>
      </c>
      <c r="K46" s="1097">
        <f t="shared" si="1"/>
        <v>164.76923076923077</v>
      </c>
      <c r="L46" s="1388">
        <v>48</v>
      </c>
      <c r="M46" s="761">
        <f t="shared" si="2"/>
        <v>1.471153846153846</v>
      </c>
      <c r="N46" s="788">
        <f t="shared" si="3"/>
        <v>70.615384615384613</v>
      </c>
      <c r="O46" s="1388">
        <v>0</v>
      </c>
      <c r="P46" s="761">
        <f t="shared" si="4"/>
        <v>1.9615384615384615</v>
      </c>
      <c r="Q46" s="618">
        <f t="shared" si="184"/>
        <v>0</v>
      </c>
      <c r="R46" s="1388">
        <v>16</v>
      </c>
      <c r="S46" s="761">
        <f t="shared" si="6"/>
        <v>1.9615384615384615</v>
      </c>
      <c r="T46" s="1096">
        <f t="shared" si="185"/>
        <v>31.384615384615383</v>
      </c>
      <c r="U46" s="1388">
        <v>5.5</v>
      </c>
      <c r="V46" s="761">
        <f t="shared" si="8"/>
        <v>7.8461538461538458</v>
      </c>
      <c r="W46" s="788">
        <f t="shared" si="9"/>
        <v>43.153846153846153</v>
      </c>
      <c r="X46" s="1388">
        <v>0.5</v>
      </c>
      <c r="Y46" s="788">
        <f>'P Salary'!T47*P!X46</f>
        <v>5.0252249796597592</v>
      </c>
      <c r="Z46" s="1388">
        <v>0</v>
      </c>
      <c r="AA46" s="761">
        <f t="shared" si="10"/>
        <v>3.9230769230769229</v>
      </c>
      <c r="AB46" s="788">
        <f t="shared" si="11"/>
        <v>0</v>
      </c>
      <c r="AC46" s="1388">
        <v>0</v>
      </c>
      <c r="AD46" s="1467">
        <f t="shared" si="186"/>
        <v>27</v>
      </c>
      <c r="AE46" s="1727">
        <v>0</v>
      </c>
      <c r="AF46" s="1121">
        <v>0</v>
      </c>
      <c r="AG46" s="511">
        <v>0</v>
      </c>
      <c r="AH46" s="762">
        <v>0</v>
      </c>
      <c r="AI46" s="788">
        <v>10</v>
      </c>
      <c r="AJ46" s="788">
        <v>2</v>
      </c>
      <c r="AK46" s="788">
        <v>10</v>
      </c>
      <c r="AL46" s="788">
        <v>10</v>
      </c>
      <c r="AM46" s="1325">
        <f t="shared" si="13"/>
        <v>363.44830190273666</v>
      </c>
      <c r="AN46" s="1280">
        <v>0</v>
      </c>
      <c r="AO46" s="1721">
        <v>102</v>
      </c>
      <c r="AP46" s="1097">
        <f>'Tax Calulation            '!P46</f>
        <v>0</v>
      </c>
      <c r="AQ46" s="1097">
        <f>'Tax Calulation            '!W46</f>
        <v>5.9084194977843429</v>
      </c>
      <c r="AR46" s="1687">
        <f t="shared" si="25"/>
        <v>255.53988240495232</v>
      </c>
      <c r="AS46" s="1685">
        <f t="shared" si="26"/>
        <v>224400</v>
      </c>
      <c r="AT46" s="1684">
        <f t="shared" si="187"/>
        <v>200</v>
      </c>
      <c r="AU46" s="759"/>
      <c r="AV46" s="763"/>
      <c r="AW46" s="764"/>
      <c r="AX46" s="612">
        <f t="shared" si="188"/>
        <v>2</v>
      </c>
      <c r="AY46" s="612">
        <f t="shared" si="189"/>
        <v>0</v>
      </c>
      <c r="AZ46" s="765">
        <f t="shared" si="190"/>
        <v>200</v>
      </c>
      <c r="BA46" s="765">
        <f t="shared" si="191"/>
        <v>4</v>
      </c>
      <c r="BB46" s="766">
        <f t="shared" si="192"/>
        <v>2</v>
      </c>
      <c r="BC46" s="766">
        <f t="shared" si="193"/>
        <v>0</v>
      </c>
      <c r="BD46" s="766">
        <f t="shared" si="194"/>
        <v>4</v>
      </c>
      <c r="BE46" s="766">
        <f t="shared" si="195"/>
        <v>0</v>
      </c>
      <c r="BF46" s="766">
        <f t="shared" si="196"/>
        <v>4</v>
      </c>
      <c r="BG46" s="767">
        <f t="shared" si="197"/>
        <v>224400</v>
      </c>
      <c r="BI46" s="1460" t="s">
        <v>1877</v>
      </c>
      <c r="BJ46" s="1460" t="s">
        <v>572</v>
      </c>
      <c r="BK46" s="1385">
        <v>31607</v>
      </c>
      <c r="BL46" s="1386" t="s">
        <v>1886</v>
      </c>
      <c r="BM46" s="1112" t="s">
        <v>1901</v>
      </c>
    </row>
    <row r="47" spans="1:65" s="768" customFormat="1" ht="60" customHeight="1">
      <c r="A47" s="1389">
        <v>41</v>
      </c>
      <c r="B47" s="1609" t="s">
        <v>1862</v>
      </c>
      <c r="C47" s="1399" t="s">
        <v>1923</v>
      </c>
      <c r="D47" s="1850">
        <v>45037</v>
      </c>
      <c r="E47" s="628" t="s">
        <v>476</v>
      </c>
      <c r="F47" s="758">
        <f t="shared" si="183"/>
        <v>204</v>
      </c>
      <c r="G47" s="1875">
        <v>0</v>
      </c>
      <c r="H47" s="1388">
        <v>22</v>
      </c>
      <c r="I47" s="1409">
        <f t="shared" si="0"/>
        <v>172.61538461538461</v>
      </c>
      <c r="J47" s="1827">
        <v>18.100000000000001</v>
      </c>
      <c r="K47" s="1097">
        <f t="shared" si="1"/>
        <v>172.61538461538461</v>
      </c>
      <c r="L47" s="1388">
        <v>60</v>
      </c>
      <c r="M47" s="761">
        <f t="shared" si="2"/>
        <v>1.471153846153846</v>
      </c>
      <c r="N47" s="788">
        <f t="shared" si="3"/>
        <v>88.269230769230759</v>
      </c>
      <c r="O47" s="1388">
        <v>0</v>
      </c>
      <c r="P47" s="761">
        <f t="shared" si="4"/>
        <v>1.9615384615384615</v>
      </c>
      <c r="Q47" s="618">
        <f t="shared" si="184"/>
        <v>0</v>
      </c>
      <c r="R47" s="1388">
        <v>24</v>
      </c>
      <c r="S47" s="761">
        <f t="shared" si="6"/>
        <v>1.9615384615384615</v>
      </c>
      <c r="T47" s="1096">
        <f t="shared" si="185"/>
        <v>47.076923076923073</v>
      </c>
      <c r="U47" s="1388">
        <v>5</v>
      </c>
      <c r="V47" s="761">
        <f t="shared" si="8"/>
        <v>7.8461538461538458</v>
      </c>
      <c r="W47" s="788">
        <f t="shared" si="9"/>
        <v>39.230769230769226</v>
      </c>
      <c r="X47" s="1388">
        <v>0</v>
      </c>
      <c r="Y47" s="788">
        <f>'P Salary'!T48*P!X47</f>
        <v>0</v>
      </c>
      <c r="Z47" s="1388">
        <v>0</v>
      </c>
      <c r="AA47" s="761">
        <f t="shared" si="10"/>
        <v>3.9230769230769229</v>
      </c>
      <c r="AB47" s="788">
        <f t="shared" ref="AB47:AB48" si="198">Z47*AA47</f>
        <v>0</v>
      </c>
      <c r="AC47" s="1388">
        <v>0</v>
      </c>
      <c r="AD47" s="1467">
        <f t="shared" si="186"/>
        <v>27</v>
      </c>
      <c r="AE47" s="1727">
        <v>0</v>
      </c>
      <c r="AF47" s="1121">
        <v>0</v>
      </c>
      <c r="AG47" s="511">
        <v>0</v>
      </c>
      <c r="AH47" s="762">
        <v>5</v>
      </c>
      <c r="AI47" s="788">
        <v>10</v>
      </c>
      <c r="AJ47" s="788">
        <v>2</v>
      </c>
      <c r="AK47" s="788">
        <v>10</v>
      </c>
      <c r="AL47" s="788">
        <v>10</v>
      </c>
      <c r="AM47" s="1325">
        <f t="shared" si="13"/>
        <v>402.2923076923077</v>
      </c>
      <c r="AN47" s="1280">
        <v>0</v>
      </c>
      <c r="AO47" s="1721">
        <v>102</v>
      </c>
      <c r="AP47" s="1097">
        <f>'Tax Calulation            '!P47</f>
        <v>0</v>
      </c>
      <c r="AQ47" s="1097">
        <f>'Tax Calulation            '!W47</f>
        <v>5.9084194977843429</v>
      </c>
      <c r="AR47" s="1687">
        <f t="shared" si="25"/>
        <v>294.38388819452337</v>
      </c>
      <c r="AS47" s="1685">
        <f t="shared" si="26"/>
        <v>381300</v>
      </c>
      <c r="AT47" s="1684">
        <f t="shared" si="187"/>
        <v>200</v>
      </c>
      <c r="AU47" s="759"/>
      <c r="AV47" s="763"/>
      <c r="AW47" s="764"/>
      <c r="AX47" s="612">
        <f t="shared" si="188"/>
        <v>2</v>
      </c>
      <c r="AY47" s="612">
        <f t="shared" si="189"/>
        <v>0</v>
      </c>
      <c r="AZ47" s="765">
        <f t="shared" si="190"/>
        <v>200</v>
      </c>
      <c r="BA47" s="765">
        <f t="shared" si="191"/>
        <v>7</v>
      </c>
      <c r="BB47" s="766">
        <f t="shared" si="192"/>
        <v>3</v>
      </c>
      <c r="BC47" s="766">
        <f t="shared" si="193"/>
        <v>0</v>
      </c>
      <c r="BD47" s="766">
        <f t="shared" si="194"/>
        <v>1</v>
      </c>
      <c r="BE47" s="766">
        <f t="shared" si="195"/>
        <v>0</v>
      </c>
      <c r="BF47" s="766">
        <f t="shared" si="196"/>
        <v>3</v>
      </c>
      <c r="BG47" s="767">
        <f t="shared" si="197"/>
        <v>381300</v>
      </c>
      <c r="BI47" s="1460" t="s">
        <v>1878</v>
      </c>
      <c r="BJ47" s="1460" t="s">
        <v>572</v>
      </c>
      <c r="BK47" s="1385">
        <v>29647</v>
      </c>
      <c r="BL47" s="1386" t="s">
        <v>1887</v>
      </c>
      <c r="BM47" s="1112" t="s">
        <v>1902</v>
      </c>
    </row>
    <row r="48" spans="1:65" s="768" customFormat="1" ht="60" customHeight="1">
      <c r="A48" s="1389">
        <v>42</v>
      </c>
      <c r="B48" s="1609" t="s">
        <v>2201</v>
      </c>
      <c r="C48" s="1153" t="s">
        <v>2202</v>
      </c>
      <c r="D48" s="1852">
        <v>45419</v>
      </c>
      <c r="E48" s="628" t="s">
        <v>476</v>
      </c>
      <c r="F48" s="758">
        <f>202+2</f>
        <v>204</v>
      </c>
      <c r="G48" s="1875">
        <v>0</v>
      </c>
      <c r="H48" s="1388">
        <v>22</v>
      </c>
      <c r="I48" s="1409">
        <f t="shared" ref="I48" si="199">F48/26*H48</f>
        <v>172.61538461538461</v>
      </c>
      <c r="J48" s="1827">
        <v>15</v>
      </c>
      <c r="K48" s="1097">
        <f t="shared" si="1"/>
        <v>172.61538461538461</v>
      </c>
      <c r="L48" s="1388">
        <v>67</v>
      </c>
      <c r="M48" s="761">
        <f t="shared" ref="M48" si="200">F48/26/8*1.5</f>
        <v>1.471153846153846</v>
      </c>
      <c r="N48" s="788">
        <f t="shared" si="3"/>
        <v>98.567307692307679</v>
      </c>
      <c r="O48" s="1388">
        <v>0</v>
      </c>
      <c r="P48" s="761">
        <f t="shared" ref="P48" si="201">F48/26/8*2</f>
        <v>1.9615384615384615</v>
      </c>
      <c r="Q48" s="618">
        <f t="shared" ref="Q48" si="202">O48*P48</f>
        <v>0</v>
      </c>
      <c r="R48" s="1388">
        <v>24</v>
      </c>
      <c r="S48" s="761">
        <f t="shared" ref="S48" si="203">F48/26/8*2</f>
        <v>1.9615384615384615</v>
      </c>
      <c r="T48" s="1096">
        <f t="shared" ref="T48" si="204">S48*R48</f>
        <v>47.076923076923073</v>
      </c>
      <c r="U48" s="1388">
        <v>5</v>
      </c>
      <c r="V48" s="761">
        <f t="shared" ref="V48" si="205">F48/26</f>
        <v>7.8461538461538458</v>
      </c>
      <c r="W48" s="788">
        <f t="shared" si="9"/>
        <v>39.230769230769226</v>
      </c>
      <c r="X48" s="1388">
        <v>0</v>
      </c>
      <c r="Y48" s="788">
        <f>'P Salary'!T49*P!X48</f>
        <v>0</v>
      </c>
      <c r="Z48" s="1388">
        <v>0</v>
      </c>
      <c r="AA48" s="761">
        <f t="shared" ref="AA48" si="206">F48/26/2</f>
        <v>3.9230769230769229</v>
      </c>
      <c r="AB48" s="788">
        <f t="shared" si="198"/>
        <v>0</v>
      </c>
      <c r="AC48" s="1388">
        <v>0</v>
      </c>
      <c r="AD48" s="1468">
        <f t="shared" ref="AD48" si="207">H48+U48+Z48+AC48+X48</f>
        <v>27</v>
      </c>
      <c r="AE48" s="1727">
        <v>0</v>
      </c>
      <c r="AF48" s="1121">
        <v>0</v>
      </c>
      <c r="AG48" s="511">
        <v>0</v>
      </c>
      <c r="AH48" s="762">
        <v>5</v>
      </c>
      <c r="AI48" s="788">
        <v>10</v>
      </c>
      <c r="AJ48" s="788">
        <v>0</v>
      </c>
      <c r="AK48" s="788">
        <v>10</v>
      </c>
      <c r="AL48" s="788">
        <v>10</v>
      </c>
      <c r="AM48" s="1325">
        <f t="shared" si="13"/>
        <v>407.49038461538458</v>
      </c>
      <c r="AN48" s="1280">
        <v>0</v>
      </c>
      <c r="AO48" s="1721">
        <v>102</v>
      </c>
      <c r="AP48" s="1097">
        <f>'Tax Calulation            '!P48</f>
        <v>0</v>
      </c>
      <c r="AQ48" s="1097">
        <f>'Tax Calulation            '!W48</f>
        <v>5.9084194977843429</v>
      </c>
      <c r="AR48" s="1687">
        <f t="shared" si="25"/>
        <v>299.58196511760025</v>
      </c>
      <c r="AS48" s="1685">
        <f t="shared" si="26"/>
        <v>402300</v>
      </c>
      <c r="AT48" s="1684">
        <f t="shared" ref="AT48" si="208">CEILING(AR48,(100))-100</f>
        <v>200</v>
      </c>
      <c r="AU48" s="759"/>
      <c r="AV48" s="763"/>
      <c r="AW48" s="764"/>
      <c r="AX48" s="612">
        <f t="shared" ref="AX48" si="209">INT(AT48/100)</f>
        <v>2</v>
      </c>
      <c r="AY48" s="612">
        <f t="shared" ref="AY48" si="210">INT((AT48-AX48*100)/50)</f>
        <v>0</v>
      </c>
      <c r="AZ48" s="765">
        <f t="shared" ref="AZ48" si="211">AX48*100+AY48*50</f>
        <v>200</v>
      </c>
      <c r="BA48" s="765">
        <f t="shared" ref="BA48" si="212">INT((AS48/50000))</f>
        <v>8</v>
      </c>
      <c r="BB48" s="766">
        <f t="shared" ref="BB48" si="213">INT((AS48-BA48*50000)/10000)</f>
        <v>0</v>
      </c>
      <c r="BC48" s="766">
        <f t="shared" ref="BC48" si="214">INT((AS48-BA48*50000-BB48*10000)/5000)</f>
        <v>0</v>
      </c>
      <c r="BD48" s="766">
        <f t="shared" ref="BD48" si="215">INT((AS48-BA48*50000-BB48*10000-BC48*5000)/1000)</f>
        <v>2</v>
      </c>
      <c r="BE48" s="766">
        <f t="shared" ref="BE48" si="216">INT((AS48-BA48*50000-BB48*10000-BC48*5000-BD48*1000)/500)</f>
        <v>0</v>
      </c>
      <c r="BF48" s="766">
        <f t="shared" ref="BF48" si="217">INT((AS48-BA48*50000-BB48*10000-BC48*5000-BD48*1000-BE48*500)/100)</f>
        <v>3</v>
      </c>
      <c r="BG48" s="767">
        <f t="shared" ref="BG48" si="218">BA48*50000+BB48*10000+BC48*5000+BD48*1000+BE48*500+BF48*100</f>
        <v>402300</v>
      </c>
      <c r="BI48" s="1486" t="s">
        <v>2203</v>
      </c>
      <c r="BJ48" s="627" t="s">
        <v>572</v>
      </c>
      <c r="BK48" s="1722">
        <v>35765</v>
      </c>
      <c r="BL48" s="1486" t="s">
        <v>2204</v>
      </c>
      <c r="BM48" s="1723" t="s">
        <v>2205</v>
      </c>
    </row>
    <row r="49" spans="1:65" s="768" customFormat="1" ht="60" customHeight="1">
      <c r="A49" s="1389">
        <v>43</v>
      </c>
      <c r="B49" s="1608" t="s">
        <v>2217</v>
      </c>
      <c r="C49" s="1448" t="s">
        <v>2221</v>
      </c>
      <c r="D49" s="1328">
        <v>45475</v>
      </c>
      <c r="E49" s="628" t="s">
        <v>476</v>
      </c>
      <c r="F49" s="758">
        <v>204</v>
      </c>
      <c r="G49" s="1875">
        <v>0</v>
      </c>
      <c r="H49" s="1388">
        <v>17.5</v>
      </c>
      <c r="I49" s="1409">
        <f t="shared" ref="I49" si="219">F49/26*H49</f>
        <v>137.30769230769229</v>
      </c>
      <c r="J49" s="1827">
        <v>15</v>
      </c>
      <c r="K49" s="1097">
        <f t="shared" si="1"/>
        <v>137.30769230769229</v>
      </c>
      <c r="L49" s="1388">
        <v>50</v>
      </c>
      <c r="M49" s="761">
        <f t="shared" ref="M49" si="220">F49/26/8*1.5</f>
        <v>1.471153846153846</v>
      </c>
      <c r="N49" s="788">
        <f t="shared" si="3"/>
        <v>73.557692307692307</v>
      </c>
      <c r="O49" s="1388">
        <v>0</v>
      </c>
      <c r="P49" s="761">
        <f t="shared" ref="P49" si="221">F49/26/8*2</f>
        <v>1.9615384615384615</v>
      </c>
      <c r="Q49" s="618">
        <f t="shared" ref="Q49" si="222">O49*P49</f>
        <v>0</v>
      </c>
      <c r="R49" s="1388">
        <v>16</v>
      </c>
      <c r="S49" s="761">
        <f t="shared" ref="S49" si="223">F49/26/8*2</f>
        <v>1.9615384615384615</v>
      </c>
      <c r="T49" s="1096">
        <f t="shared" ref="T49" si="224">S49*R49</f>
        <v>31.384615384615383</v>
      </c>
      <c r="U49" s="1388">
        <v>5</v>
      </c>
      <c r="V49" s="761">
        <f t="shared" ref="V49" si="225">F49/26</f>
        <v>7.8461538461538458</v>
      </c>
      <c r="W49" s="788">
        <f t="shared" si="9"/>
        <v>39.230769230769226</v>
      </c>
      <c r="X49" s="1388">
        <v>0</v>
      </c>
      <c r="Y49" s="788">
        <f>'P Salary'!T50*P!X49</f>
        <v>0</v>
      </c>
      <c r="Z49" s="1388">
        <v>0</v>
      </c>
      <c r="AA49" s="761">
        <f t="shared" ref="AA49" si="226">F49/26/2</f>
        <v>3.9230769230769229</v>
      </c>
      <c r="AB49" s="788">
        <f t="shared" si="11"/>
        <v>0</v>
      </c>
      <c r="AC49" s="1388">
        <v>4.5</v>
      </c>
      <c r="AD49" s="1468">
        <f t="shared" ref="AD49" si="227">H49+U49+Z49+AC49+X49</f>
        <v>27</v>
      </c>
      <c r="AE49" s="1727">
        <v>0</v>
      </c>
      <c r="AF49" s="1121">
        <v>0</v>
      </c>
      <c r="AG49" s="511">
        <v>50</v>
      </c>
      <c r="AH49" s="762">
        <v>0</v>
      </c>
      <c r="AI49" s="788">
        <v>0</v>
      </c>
      <c r="AJ49" s="788">
        <v>0</v>
      </c>
      <c r="AK49" s="788">
        <v>10</v>
      </c>
      <c r="AL49" s="788">
        <v>10</v>
      </c>
      <c r="AM49" s="1325">
        <f t="shared" si="13"/>
        <v>366.48076923076917</v>
      </c>
      <c r="AN49" s="1280">
        <v>0</v>
      </c>
      <c r="AO49" s="1721">
        <v>102</v>
      </c>
      <c r="AP49" s="1097">
        <f>'Tax Calulation            '!P49</f>
        <v>0</v>
      </c>
      <c r="AQ49" s="1097">
        <f>'Tax Calulation            '!W49</f>
        <v>5.9084194977843429</v>
      </c>
      <c r="AR49" s="1687">
        <f t="shared" si="25"/>
        <v>258.57234973298483</v>
      </c>
      <c r="AS49" s="1685">
        <f t="shared" si="26"/>
        <v>236600</v>
      </c>
      <c r="AT49" s="1684">
        <f t="shared" ref="AT49" si="228">CEILING(AR49,(100))-100</f>
        <v>200</v>
      </c>
      <c r="AU49" s="759"/>
      <c r="AV49" s="763"/>
      <c r="AW49" s="764"/>
      <c r="AX49" s="612">
        <f t="shared" ref="AX49" si="229">INT(AT49/100)</f>
        <v>2</v>
      </c>
      <c r="AY49" s="612">
        <f t="shared" ref="AY49" si="230">INT((AT49-AX49*100)/50)</f>
        <v>0</v>
      </c>
      <c r="AZ49" s="765">
        <f t="shared" ref="AZ49" si="231">AX49*100+AY49*50</f>
        <v>200</v>
      </c>
      <c r="BA49" s="765">
        <f t="shared" ref="BA49" si="232">INT((AS49/50000))</f>
        <v>4</v>
      </c>
      <c r="BB49" s="766">
        <f t="shared" ref="BB49" si="233">INT((AS49-BA49*50000)/10000)</f>
        <v>3</v>
      </c>
      <c r="BC49" s="766">
        <f t="shared" ref="BC49" si="234">INT((AS49-BA49*50000-BB49*10000)/5000)</f>
        <v>1</v>
      </c>
      <c r="BD49" s="766">
        <f t="shared" ref="BD49" si="235">INT((AS49-BA49*50000-BB49*10000-BC49*5000)/1000)</f>
        <v>1</v>
      </c>
      <c r="BE49" s="766">
        <f t="shared" ref="BE49" si="236">INT((AS49-BA49*50000-BB49*10000-BC49*5000-BD49*1000)/500)</f>
        <v>1</v>
      </c>
      <c r="BF49" s="766">
        <f t="shared" ref="BF49" si="237">INT((AS49-BA49*50000-BB49*10000-BC49*5000-BD49*1000-BE49*500)/100)</f>
        <v>1</v>
      </c>
      <c r="BG49" s="767">
        <f t="shared" ref="BG49" si="238">BA49*50000+BB49*10000+BC49*5000+BD49*1000+BE49*500+BF49*100</f>
        <v>236600</v>
      </c>
      <c r="BI49" s="1772" t="s">
        <v>2225</v>
      </c>
      <c r="BJ49" s="1386" t="s">
        <v>572</v>
      </c>
      <c r="BK49" s="1773">
        <v>33331</v>
      </c>
      <c r="BL49" s="1764" t="s">
        <v>2229</v>
      </c>
      <c r="BM49" s="1771" t="s">
        <v>2233</v>
      </c>
    </row>
    <row r="50" spans="1:65" s="768" customFormat="1" ht="60" customHeight="1">
      <c r="A50" s="1389">
        <v>44</v>
      </c>
      <c r="B50" s="1608" t="s">
        <v>2218</v>
      </c>
      <c r="C50" s="1448" t="s">
        <v>2222</v>
      </c>
      <c r="D50" s="1328">
        <v>45496</v>
      </c>
      <c r="E50" s="628" t="s">
        <v>476</v>
      </c>
      <c r="F50" s="758">
        <f>202+2</f>
        <v>204</v>
      </c>
      <c r="G50" s="1875">
        <v>0</v>
      </c>
      <c r="H50" s="1388">
        <v>22</v>
      </c>
      <c r="I50" s="1409">
        <f t="shared" ref="I50" si="239">F50/26*H50</f>
        <v>172.61538461538461</v>
      </c>
      <c r="J50" s="1827">
        <v>16.7</v>
      </c>
      <c r="K50" s="1097">
        <f t="shared" si="1"/>
        <v>172.61538461538461</v>
      </c>
      <c r="L50" s="1388">
        <v>52</v>
      </c>
      <c r="M50" s="761">
        <f t="shared" ref="M50" si="240">F50/26/8*1.5</f>
        <v>1.471153846153846</v>
      </c>
      <c r="N50" s="788">
        <f t="shared" si="3"/>
        <v>76.5</v>
      </c>
      <c r="O50" s="1388">
        <v>0</v>
      </c>
      <c r="P50" s="761">
        <f t="shared" ref="P50" si="241">F50/26/8*2</f>
        <v>1.9615384615384615</v>
      </c>
      <c r="Q50" s="618">
        <f t="shared" ref="Q50" si="242">O50*P50</f>
        <v>0</v>
      </c>
      <c r="R50" s="1388">
        <v>16</v>
      </c>
      <c r="S50" s="761">
        <f t="shared" ref="S50" si="243">F50/26/8*2</f>
        <v>1.9615384615384615</v>
      </c>
      <c r="T50" s="1096">
        <f t="shared" ref="T50" si="244">S50*R50</f>
        <v>31.384615384615383</v>
      </c>
      <c r="U50" s="1388">
        <v>5</v>
      </c>
      <c r="V50" s="761">
        <f t="shared" ref="V50" si="245">F50/26</f>
        <v>7.8461538461538458</v>
      </c>
      <c r="W50" s="788">
        <f t="shared" si="9"/>
        <v>39.230769230769226</v>
      </c>
      <c r="X50" s="1388">
        <v>0</v>
      </c>
      <c r="Y50" s="788">
        <f>'P Salary'!T51*P!X50</f>
        <v>0</v>
      </c>
      <c r="Z50" s="1388">
        <v>0</v>
      </c>
      <c r="AA50" s="761">
        <f t="shared" ref="AA50" si="246">F50/26/2</f>
        <v>3.9230769230769229</v>
      </c>
      <c r="AB50" s="788">
        <f t="shared" si="11"/>
        <v>0</v>
      </c>
      <c r="AC50" s="1388">
        <v>0</v>
      </c>
      <c r="AD50" s="1468">
        <f t="shared" ref="AD50" si="247">H50+U50+Z50+AC50+X50</f>
        <v>27</v>
      </c>
      <c r="AE50" s="1727">
        <v>0</v>
      </c>
      <c r="AF50" s="1121">
        <v>0</v>
      </c>
      <c r="AG50" s="511">
        <v>0</v>
      </c>
      <c r="AH50" s="762">
        <v>0</v>
      </c>
      <c r="AI50" s="788">
        <v>10</v>
      </c>
      <c r="AJ50" s="788">
        <v>0</v>
      </c>
      <c r="AK50" s="788">
        <v>10</v>
      </c>
      <c r="AL50" s="788">
        <v>10</v>
      </c>
      <c r="AM50" s="1325">
        <f t="shared" si="13"/>
        <v>366.43076923076922</v>
      </c>
      <c r="AN50" s="1280">
        <v>0</v>
      </c>
      <c r="AO50" s="1721">
        <v>102</v>
      </c>
      <c r="AP50" s="1097">
        <f>'Tax Calulation            '!P50</f>
        <v>0</v>
      </c>
      <c r="AQ50" s="1097">
        <f>'Tax Calulation            '!W50</f>
        <v>5.9084194977843429</v>
      </c>
      <c r="AR50" s="1687">
        <f t="shared" si="25"/>
        <v>258.52234973298488</v>
      </c>
      <c r="AS50" s="1685">
        <f t="shared" si="26"/>
        <v>236400</v>
      </c>
      <c r="AT50" s="1684">
        <f t="shared" ref="AT50" si="248">CEILING(AR50,(100))-100</f>
        <v>200</v>
      </c>
      <c r="AU50" s="759"/>
      <c r="AV50" s="763"/>
      <c r="AW50" s="764"/>
      <c r="AX50" s="612">
        <f t="shared" ref="AX50" si="249">INT(AT50/100)</f>
        <v>2</v>
      </c>
      <c r="AY50" s="612">
        <f t="shared" ref="AY50" si="250">INT((AT50-AX50*100)/50)</f>
        <v>0</v>
      </c>
      <c r="AZ50" s="765">
        <f t="shared" ref="AZ50" si="251">AX50*100+AY50*50</f>
        <v>200</v>
      </c>
      <c r="BA50" s="765">
        <f t="shared" ref="BA50" si="252">INT((AS50/50000))</f>
        <v>4</v>
      </c>
      <c r="BB50" s="766">
        <f t="shared" ref="BB50" si="253">INT((AS50-BA50*50000)/10000)</f>
        <v>3</v>
      </c>
      <c r="BC50" s="766">
        <f t="shared" ref="BC50" si="254">INT((AS50-BA50*50000-BB50*10000)/5000)</f>
        <v>1</v>
      </c>
      <c r="BD50" s="766">
        <f t="shared" ref="BD50" si="255">INT((AS50-BA50*50000-BB50*10000-BC50*5000)/1000)</f>
        <v>1</v>
      </c>
      <c r="BE50" s="766">
        <f t="shared" ref="BE50" si="256">INT((AS50-BA50*50000-BB50*10000-BC50*5000-BD50*1000)/500)</f>
        <v>0</v>
      </c>
      <c r="BF50" s="766">
        <f t="shared" ref="BF50" si="257">INT((AS50-BA50*50000-BB50*10000-BC50*5000-BD50*1000-BE50*500)/100)</f>
        <v>4</v>
      </c>
      <c r="BG50" s="767">
        <f t="shared" ref="BG50" si="258">BA50*50000+BB50*10000+BC50*5000+BD50*1000+BE50*500+BF50*100</f>
        <v>236400</v>
      </c>
      <c r="BI50" s="1772" t="s">
        <v>2226</v>
      </c>
      <c r="BJ50" s="1570" t="s">
        <v>943</v>
      </c>
      <c r="BK50" s="1773">
        <v>30933</v>
      </c>
      <c r="BL50" s="1764" t="s">
        <v>2230</v>
      </c>
      <c r="BM50" s="1771" t="s">
        <v>2234</v>
      </c>
    </row>
    <row r="51" spans="1:65" s="768" customFormat="1" ht="60" customHeight="1">
      <c r="A51" s="1389">
        <v>45</v>
      </c>
      <c r="B51" s="1608" t="s">
        <v>2219</v>
      </c>
      <c r="C51" s="1448" t="s">
        <v>2223</v>
      </c>
      <c r="D51" s="1328">
        <v>45498</v>
      </c>
      <c r="E51" s="628" t="s">
        <v>476</v>
      </c>
      <c r="F51" s="758">
        <f>202+2</f>
        <v>204</v>
      </c>
      <c r="G51" s="1875">
        <v>0</v>
      </c>
      <c r="H51" s="1388">
        <v>17.5</v>
      </c>
      <c r="I51" s="1409">
        <f t="shared" si="0"/>
        <v>137.30769230769229</v>
      </c>
      <c r="J51" s="1827">
        <v>15</v>
      </c>
      <c r="K51" s="1097">
        <f t="shared" si="1"/>
        <v>137.30769230769229</v>
      </c>
      <c r="L51" s="1388">
        <v>48</v>
      </c>
      <c r="M51" s="761">
        <f t="shared" si="2"/>
        <v>1.471153846153846</v>
      </c>
      <c r="N51" s="788">
        <f t="shared" si="3"/>
        <v>70.615384615384613</v>
      </c>
      <c r="O51" s="1388">
        <v>0</v>
      </c>
      <c r="P51" s="761">
        <f t="shared" si="4"/>
        <v>1.9615384615384615</v>
      </c>
      <c r="Q51" s="618">
        <f t="shared" si="184"/>
        <v>0</v>
      </c>
      <c r="R51" s="1388">
        <v>12</v>
      </c>
      <c r="S51" s="761">
        <f t="shared" si="6"/>
        <v>1.9615384615384615</v>
      </c>
      <c r="T51" s="1096">
        <f t="shared" si="185"/>
        <v>23.538461538461537</v>
      </c>
      <c r="U51" s="1388">
        <v>5</v>
      </c>
      <c r="V51" s="761">
        <f t="shared" si="8"/>
        <v>7.8461538461538458</v>
      </c>
      <c r="W51" s="788">
        <f t="shared" si="9"/>
        <v>39.230769230769226</v>
      </c>
      <c r="X51" s="1388">
        <v>0</v>
      </c>
      <c r="Y51" s="788">
        <f>'P Salary'!T52*P!X51</f>
        <v>0</v>
      </c>
      <c r="Z51" s="1388">
        <v>0</v>
      </c>
      <c r="AA51" s="761">
        <f t="shared" si="10"/>
        <v>3.9230769230769229</v>
      </c>
      <c r="AB51" s="788">
        <f t="shared" ref="AB51:AB52" si="259">Z51*AA51</f>
        <v>0</v>
      </c>
      <c r="AC51" s="1388">
        <v>4.5</v>
      </c>
      <c r="AD51" s="1468">
        <f t="shared" si="186"/>
        <v>27</v>
      </c>
      <c r="AE51" s="1727">
        <v>0</v>
      </c>
      <c r="AF51" s="1121">
        <v>0</v>
      </c>
      <c r="AG51" s="511">
        <v>0</v>
      </c>
      <c r="AH51" s="762">
        <v>0</v>
      </c>
      <c r="AI51" s="788">
        <v>0</v>
      </c>
      <c r="AJ51" s="788">
        <v>0</v>
      </c>
      <c r="AK51" s="788">
        <v>10</v>
      </c>
      <c r="AL51" s="788">
        <v>10</v>
      </c>
      <c r="AM51" s="1325">
        <f t="shared" si="13"/>
        <v>305.69230769230768</v>
      </c>
      <c r="AN51" s="1280">
        <v>0</v>
      </c>
      <c r="AO51" s="1721">
        <v>102</v>
      </c>
      <c r="AP51" s="1097">
        <f>'Tax Calulation            '!P51</f>
        <v>0</v>
      </c>
      <c r="AQ51" s="1097">
        <f>'Tax Calulation            '!W51</f>
        <v>5.9084194977843429</v>
      </c>
      <c r="AR51" s="1687">
        <f t="shared" si="25"/>
        <v>197.78388819452334</v>
      </c>
      <c r="AS51" s="1685">
        <f t="shared" si="26"/>
        <v>395000</v>
      </c>
      <c r="AT51" s="1684">
        <f t="shared" si="187"/>
        <v>100</v>
      </c>
      <c r="AU51" s="759"/>
      <c r="AV51" s="763"/>
      <c r="AW51" s="764"/>
      <c r="AX51" s="612">
        <f t="shared" si="188"/>
        <v>1</v>
      </c>
      <c r="AY51" s="612">
        <f t="shared" si="189"/>
        <v>0</v>
      </c>
      <c r="AZ51" s="765">
        <f t="shared" si="190"/>
        <v>100</v>
      </c>
      <c r="BA51" s="765">
        <f t="shared" si="191"/>
        <v>7</v>
      </c>
      <c r="BB51" s="766">
        <f t="shared" si="192"/>
        <v>4</v>
      </c>
      <c r="BC51" s="766">
        <f t="shared" si="193"/>
        <v>1</v>
      </c>
      <c r="BD51" s="766">
        <f t="shared" si="194"/>
        <v>0</v>
      </c>
      <c r="BE51" s="766">
        <f t="shared" si="195"/>
        <v>0</v>
      </c>
      <c r="BF51" s="766">
        <f t="shared" si="196"/>
        <v>0</v>
      </c>
      <c r="BG51" s="767">
        <f t="shared" si="197"/>
        <v>395000</v>
      </c>
      <c r="BI51" s="1772" t="s">
        <v>2227</v>
      </c>
      <c r="BJ51" s="1570" t="s">
        <v>943</v>
      </c>
      <c r="BK51" s="1773">
        <v>37021</v>
      </c>
      <c r="BL51" s="1764" t="s">
        <v>2231</v>
      </c>
      <c r="BM51" s="1771" t="s">
        <v>2235</v>
      </c>
    </row>
    <row r="52" spans="1:65" s="768" customFormat="1" ht="60" customHeight="1">
      <c r="A52" s="1389">
        <v>46</v>
      </c>
      <c r="B52" s="1608" t="s">
        <v>2220</v>
      </c>
      <c r="C52" s="1448" t="s">
        <v>2224</v>
      </c>
      <c r="D52" s="1328">
        <v>45498</v>
      </c>
      <c r="E52" s="628" t="s">
        <v>476</v>
      </c>
      <c r="F52" s="758">
        <f>202+2</f>
        <v>204</v>
      </c>
      <c r="G52" s="1875">
        <v>0</v>
      </c>
      <c r="H52" s="1388">
        <v>21.5</v>
      </c>
      <c r="I52" s="1409">
        <f>F52/26*H52</f>
        <v>168.69230769230768</v>
      </c>
      <c r="J52" s="1827">
        <v>16.8</v>
      </c>
      <c r="K52" s="1097">
        <f t="shared" si="1"/>
        <v>168.69230769230768</v>
      </c>
      <c r="L52" s="1388">
        <v>61</v>
      </c>
      <c r="M52" s="761">
        <f t="shared" si="2"/>
        <v>1.471153846153846</v>
      </c>
      <c r="N52" s="788">
        <f t="shared" si="3"/>
        <v>89.740384615384613</v>
      </c>
      <c r="O52" s="1388">
        <v>0</v>
      </c>
      <c r="P52" s="761">
        <f t="shared" si="4"/>
        <v>1.9615384615384615</v>
      </c>
      <c r="Q52" s="618">
        <f t="shared" si="184"/>
        <v>0</v>
      </c>
      <c r="R52" s="1388">
        <v>8</v>
      </c>
      <c r="S52" s="761">
        <f t="shared" si="6"/>
        <v>1.9615384615384615</v>
      </c>
      <c r="T52" s="1096">
        <f t="shared" si="185"/>
        <v>15.692307692307692</v>
      </c>
      <c r="U52" s="1388">
        <v>5</v>
      </c>
      <c r="V52" s="761">
        <f t="shared" si="8"/>
        <v>7.8461538461538458</v>
      </c>
      <c r="W52" s="788">
        <f t="shared" si="9"/>
        <v>39.230769230769226</v>
      </c>
      <c r="X52" s="1388">
        <v>0</v>
      </c>
      <c r="Y52" s="788">
        <f>'P Salary'!T53*P!X52</f>
        <v>0</v>
      </c>
      <c r="Z52" s="1388">
        <v>0</v>
      </c>
      <c r="AA52" s="761">
        <f t="shared" si="10"/>
        <v>3.9230769230769229</v>
      </c>
      <c r="AB52" s="788">
        <f t="shared" si="259"/>
        <v>0</v>
      </c>
      <c r="AC52" s="1388">
        <v>0.5</v>
      </c>
      <c r="AD52" s="1468">
        <f t="shared" si="186"/>
        <v>27</v>
      </c>
      <c r="AE52" s="1727">
        <v>0</v>
      </c>
      <c r="AF52" s="1121">
        <v>0</v>
      </c>
      <c r="AG52" s="511">
        <v>0</v>
      </c>
      <c r="AH52" s="762">
        <v>0</v>
      </c>
      <c r="AI52" s="788">
        <v>8.5</v>
      </c>
      <c r="AJ52" s="788">
        <v>0</v>
      </c>
      <c r="AK52" s="788">
        <v>10</v>
      </c>
      <c r="AL52" s="788">
        <v>10</v>
      </c>
      <c r="AM52" s="1325">
        <f t="shared" si="13"/>
        <v>358.65576923076918</v>
      </c>
      <c r="AN52" s="1280">
        <v>0</v>
      </c>
      <c r="AO52" s="1721">
        <v>102</v>
      </c>
      <c r="AP52" s="1097">
        <f>'Tax Calulation            '!P52</f>
        <v>0</v>
      </c>
      <c r="AQ52" s="1097">
        <f>'Tax Calulation            '!W52</f>
        <v>5.9084194977843429</v>
      </c>
      <c r="AR52" s="1687">
        <f t="shared" si="25"/>
        <v>250.74734973298484</v>
      </c>
      <c r="AS52" s="1685">
        <f t="shared" si="26"/>
        <v>205000</v>
      </c>
      <c r="AT52" s="1684">
        <f t="shared" si="187"/>
        <v>200</v>
      </c>
      <c r="AU52" s="759"/>
      <c r="AV52" s="763"/>
      <c r="AW52" s="764"/>
      <c r="AX52" s="612">
        <f t="shared" si="188"/>
        <v>2</v>
      </c>
      <c r="AY52" s="612">
        <f t="shared" si="189"/>
        <v>0</v>
      </c>
      <c r="AZ52" s="765">
        <f t="shared" si="190"/>
        <v>200</v>
      </c>
      <c r="BA52" s="765">
        <f t="shared" si="191"/>
        <v>4</v>
      </c>
      <c r="BB52" s="766">
        <f t="shared" si="192"/>
        <v>0</v>
      </c>
      <c r="BC52" s="766">
        <f t="shared" si="193"/>
        <v>1</v>
      </c>
      <c r="BD52" s="766">
        <f t="shared" si="194"/>
        <v>0</v>
      </c>
      <c r="BE52" s="766">
        <f t="shared" si="195"/>
        <v>0</v>
      </c>
      <c r="BF52" s="766">
        <f t="shared" si="196"/>
        <v>0</v>
      </c>
      <c r="BG52" s="767">
        <f t="shared" si="197"/>
        <v>205000</v>
      </c>
      <c r="BI52" s="1772" t="s">
        <v>2228</v>
      </c>
      <c r="BJ52" s="1570" t="s">
        <v>943</v>
      </c>
      <c r="BK52" s="1773">
        <v>38632</v>
      </c>
      <c r="BL52" s="1764" t="s">
        <v>2232</v>
      </c>
      <c r="BM52" s="1771" t="s">
        <v>2236</v>
      </c>
    </row>
    <row r="53" spans="1:65" ht="60" customHeight="1">
      <c r="A53" s="535" t="s">
        <v>214</v>
      </c>
      <c r="B53" s="1381"/>
      <c r="C53" s="536"/>
      <c r="D53" s="536"/>
      <c r="E53" s="608"/>
      <c r="F53" s="536"/>
      <c r="G53" s="536"/>
      <c r="H53" s="536"/>
      <c r="I53" s="536"/>
      <c r="J53" s="1758">
        <f>SUM(J7:J52)</f>
        <v>809.5999999999998</v>
      </c>
      <c r="K53" s="536"/>
      <c r="L53" s="536"/>
      <c r="M53" s="536"/>
      <c r="N53" s="536"/>
      <c r="O53" s="536"/>
      <c r="P53" s="510"/>
      <c r="Q53" s="536"/>
      <c r="R53" s="536"/>
      <c r="S53" s="536"/>
      <c r="T53" s="536"/>
      <c r="U53" s="536"/>
      <c r="V53" s="536"/>
      <c r="W53" s="536"/>
      <c r="X53" s="536"/>
      <c r="Y53" s="950">
        <f>SUM(Y7:Y52)</f>
        <v>48.113939284781402</v>
      </c>
      <c r="Z53" s="536"/>
      <c r="AA53" s="536"/>
      <c r="AB53" s="536"/>
      <c r="AC53" s="536"/>
      <c r="AD53" s="536"/>
      <c r="AE53" s="622">
        <f>SUM(AE7:AE52)</f>
        <v>0</v>
      </c>
      <c r="AF53" s="1115">
        <f>SUM(AF7:AF52)</f>
        <v>0</v>
      </c>
      <c r="AG53" s="536"/>
      <c r="AH53" s="1290">
        <f>SUM(AH7:AH52)</f>
        <v>15</v>
      </c>
      <c r="AI53" s="536"/>
      <c r="AJ53" s="536"/>
      <c r="AK53" s="622">
        <f t="shared" ref="AK53:AT53" si="260">SUM(AK7:AK52)</f>
        <v>452.3</v>
      </c>
      <c r="AL53" s="622">
        <f t="shared" si="260"/>
        <v>455</v>
      </c>
      <c r="AM53" s="551">
        <f t="shared" si="260"/>
        <v>17964.340381592472</v>
      </c>
      <c r="AN53" s="1276">
        <f t="shared" si="260"/>
        <v>16.5</v>
      </c>
      <c r="AO53" s="810">
        <f t="shared" si="260"/>
        <v>4590</v>
      </c>
      <c r="AP53" s="623">
        <f t="shared" si="260"/>
        <v>6.1893145027296335</v>
      </c>
      <c r="AQ53" s="623">
        <f t="shared" si="260"/>
        <v>268.27395432337215</v>
      </c>
      <c r="AR53" s="1611">
        <f t="shared" si="260"/>
        <v>13083.377112766373</v>
      </c>
      <c r="AS53" s="1741">
        <f t="shared" si="260"/>
        <v>12052700</v>
      </c>
      <c r="AT53" s="736">
        <f t="shared" si="260"/>
        <v>10100</v>
      </c>
      <c r="AU53" s="634"/>
      <c r="AV53" s="501"/>
      <c r="AW53" s="552"/>
      <c r="AX53" s="573">
        <f t="shared" ref="AX53:BG53" si="261">SUM(AX7:AX52)</f>
        <v>101</v>
      </c>
      <c r="AY53" s="573">
        <f t="shared" si="261"/>
        <v>0</v>
      </c>
      <c r="AZ53" s="507">
        <f t="shared" si="261"/>
        <v>10100</v>
      </c>
      <c r="BA53" s="573">
        <f t="shared" si="261"/>
        <v>220</v>
      </c>
      <c r="BB53" s="573">
        <f t="shared" si="261"/>
        <v>85</v>
      </c>
      <c r="BC53" s="573">
        <f t="shared" si="261"/>
        <v>20</v>
      </c>
      <c r="BD53" s="573">
        <f t="shared" si="261"/>
        <v>85</v>
      </c>
      <c r="BE53" s="573">
        <f t="shared" si="261"/>
        <v>18</v>
      </c>
      <c r="BF53" s="573">
        <f t="shared" si="261"/>
        <v>87</v>
      </c>
      <c r="BG53" s="579">
        <f t="shared" si="261"/>
        <v>12052700</v>
      </c>
      <c r="BI53" s="1383"/>
    </row>
    <row r="54" spans="1:65">
      <c r="A54" s="552"/>
      <c r="B54" s="567"/>
      <c r="C54" s="567"/>
      <c r="D54" s="508"/>
      <c r="E54" s="609"/>
      <c r="F54" s="554"/>
      <c r="G54" s="552"/>
      <c r="H54" s="552"/>
      <c r="I54" s="552"/>
      <c r="J54" s="777"/>
      <c r="K54" s="552"/>
      <c r="L54" s="552"/>
      <c r="M54" s="552"/>
      <c r="N54" s="552"/>
      <c r="O54" s="552"/>
      <c r="P54" s="552"/>
      <c r="Q54" s="552"/>
      <c r="R54" s="552"/>
      <c r="S54" s="552"/>
      <c r="T54" s="552"/>
      <c r="U54" s="552"/>
      <c r="V54" s="552"/>
      <c r="W54" s="552"/>
      <c r="X54" s="552"/>
      <c r="Y54" s="552"/>
      <c r="Z54" s="552"/>
      <c r="AA54" s="552"/>
      <c r="AB54" s="552"/>
      <c r="AC54" s="552"/>
      <c r="AD54" s="552"/>
      <c r="AE54" s="552"/>
      <c r="AF54" s="777"/>
      <c r="AG54" s="552"/>
      <c r="AH54" s="552"/>
      <c r="AI54" s="552"/>
      <c r="AJ54" s="552"/>
      <c r="AK54" s="552"/>
      <c r="AL54" s="552"/>
      <c r="AM54" s="552"/>
      <c r="AN54" s="552"/>
      <c r="AO54" s="552"/>
      <c r="AP54" s="552"/>
      <c r="AQ54" s="552"/>
      <c r="AR54" s="552"/>
      <c r="AS54" s="552"/>
      <c r="AT54" s="552"/>
      <c r="AU54" s="552"/>
      <c r="AV54" s="552"/>
      <c r="AW54" s="552"/>
      <c r="AX54" s="552"/>
      <c r="AY54" s="552"/>
      <c r="AZ54" s="552"/>
      <c r="BA54" s="552"/>
      <c r="BB54" s="552"/>
    </row>
    <row r="55" spans="1:65" s="1355" customFormat="1" ht="27" customHeight="1">
      <c r="A55" s="1355" t="s">
        <v>213</v>
      </c>
      <c r="B55" s="1358"/>
      <c r="C55" s="1358"/>
      <c r="F55" s="1359"/>
      <c r="J55" s="1406"/>
      <c r="M55" s="1355" t="s">
        <v>2168</v>
      </c>
      <c r="AF55" s="1361"/>
      <c r="AG55" s="1357" t="s">
        <v>445</v>
      </c>
      <c r="AH55" s="1357"/>
      <c r="AT55" s="1355" t="s">
        <v>212</v>
      </c>
    </row>
    <row r="56" spans="1:65">
      <c r="A56" s="552"/>
      <c r="B56" s="567"/>
      <c r="C56" s="567"/>
      <c r="D56" s="508"/>
      <c r="E56" s="609"/>
      <c r="F56" s="554"/>
      <c r="G56" s="552"/>
      <c r="H56" s="552"/>
      <c r="I56" s="552"/>
      <c r="J56" s="777"/>
      <c r="K56" s="552"/>
      <c r="L56" s="552"/>
      <c r="M56" s="552"/>
      <c r="N56" s="552"/>
      <c r="O56" s="552"/>
      <c r="P56" s="552"/>
      <c r="Q56" s="552"/>
      <c r="R56" s="552"/>
      <c r="S56" s="552"/>
      <c r="T56" s="552"/>
      <c r="U56" s="552"/>
      <c r="V56" s="552"/>
      <c r="W56" s="552"/>
      <c r="X56" s="552"/>
      <c r="Y56" s="552"/>
      <c r="Z56" s="552"/>
      <c r="AA56" s="552"/>
      <c r="AB56" s="552"/>
      <c r="AC56" s="552"/>
      <c r="AD56" s="552"/>
      <c r="AE56" s="552"/>
      <c r="AF56" s="777"/>
      <c r="AG56" s="552"/>
      <c r="AH56" s="552"/>
      <c r="AI56" s="552"/>
      <c r="AJ56" s="552"/>
      <c r="AK56" s="552"/>
      <c r="AL56" s="552"/>
      <c r="AM56" s="552"/>
      <c r="AN56" s="552"/>
      <c r="AO56" s="552"/>
      <c r="AP56" s="552"/>
      <c r="AQ56" s="552"/>
      <c r="AR56" s="552"/>
      <c r="AS56" s="552"/>
      <c r="AT56" s="552"/>
      <c r="AU56" s="552"/>
      <c r="AV56" s="552"/>
      <c r="AW56" s="552"/>
      <c r="AX56" s="552"/>
      <c r="AY56" s="552"/>
      <c r="AZ56" s="552"/>
      <c r="BA56" s="552"/>
      <c r="BB56" s="552"/>
    </row>
    <row r="58" spans="1:65" ht="20.25" customHeight="1"/>
    <row r="59" spans="1:65" ht="20.25" customHeight="1">
      <c r="J59" s="968"/>
    </row>
    <row r="60" spans="1:65" ht="20.25" customHeight="1"/>
    <row r="61" spans="1:65">
      <c r="I61" s="695"/>
    </row>
  </sheetData>
  <mergeCells count="32">
    <mergeCell ref="X5:Y5"/>
    <mergeCell ref="BJ5:BJ6"/>
    <mergeCell ref="BK5:BK6"/>
    <mergeCell ref="BL5:BL6"/>
    <mergeCell ref="AC5:AC6"/>
    <mergeCell ref="AE5:AE6"/>
    <mergeCell ref="AG5:AG6"/>
    <mergeCell ref="Z5:AB5"/>
    <mergeCell ref="BM5:BM6"/>
    <mergeCell ref="AI5:AI6"/>
    <mergeCell ref="AJ5:AJ6"/>
    <mergeCell ref="AU5:AU6"/>
    <mergeCell ref="AX5:AZ5"/>
    <mergeCell ref="BC5:BG5"/>
    <mergeCell ref="AK5:AK6"/>
    <mergeCell ref="AL5:AL6"/>
    <mergeCell ref="AM5:AM6"/>
    <mergeCell ref="AN5:AN6"/>
    <mergeCell ref="AP5:AP6"/>
    <mergeCell ref="AR5:AT5"/>
    <mergeCell ref="AQ5:AQ6"/>
    <mergeCell ref="AO5:AO6"/>
    <mergeCell ref="A1:AU1"/>
    <mergeCell ref="A2:AU2"/>
    <mergeCell ref="AX4:BG4"/>
    <mergeCell ref="C4:F4"/>
    <mergeCell ref="A3:AT3"/>
    <mergeCell ref="H5:K5"/>
    <mergeCell ref="L5:N5"/>
    <mergeCell ref="O5:Q5"/>
    <mergeCell ref="R5:T5"/>
    <mergeCell ref="U5:W5"/>
  </mergeCells>
  <phoneticPr fontId="171" type="noConversion"/>
  <dataValidations count="1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BL40:BL41">
      <formula1>9</formula1>
    </dataValidation>
  </dataValidations>
  <pageMargins left="0" right="0" top="0" bottom="0" header="0" footer="0"/>
  <pageSetup paperSize="9" scale="35" orientation="landscape" horizontalDpi="4294967293" r:id="rId1"/>
  <colBreaks count="1" manualBreakCount="1">
    <brk id="47" max="10485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3"/>
  <sheetViews>
    <sheetView workbookViewId="0">
      <pane xSplit="4" ySplit="6" topLeftCell="E49" activePane="bottomRight" state="frozen"/>
      <selection pane="topRight" activeCell="E1" sqref="E1"/>
      <selection pane="bottomLeft" activeCell="A7" sqref="A7"/>
      <selection pane="bottomRight" activeCell="A7" sqref="A7:A52"/>
    </sheetView>
  </sheetViews>
  <sheetFormatPr defaultRowHeight="15.75"/>
  <cols>
    <col min="1" max="1" width="4.125" style="474" customWidth="1"/>
    <col min="2" max="2" width="6.75" style="477" customWidth="1"/>
    <col min="3" max="3" width="11.625" style="477" customWidth="1"/>
    <col min="4" max="4" width="10.875" style="475" customWidth="1"/>
    <col min="5" max="5" width="6.375" style="500" customWidth="1"/>
    <col min="6" max="6" width="12.75" style="474" customWidth="1"/>
    <col min="7" max="7" width="9.125" style="474" bestFit="1" customWidth="1"/>
    <col min="8" max="8" width="13.75" style="474" bestFit="1" customWidth="1"/>
    <col min="9" max="10" width="7.375" style="474" customWidth="1"/>
    <col min="11" max="11" width="9" style="474"/>
    <col min="12" max="12" width="12.75" style="474" customWidth="1"/>
    <col min="13" max="13" width="9" style="474"/>
    <col min="14" max="14" width="11.875" style="474" customWidth="1"/>
    <col min="15" max="15" width="13.5" style="474" customWidth="1"/>
    <col min="16" max="16" width="15.125" style="474" customWidth="1"/>
    <col min="17" max="17" width="9" style="474"/>
    <col min="18" max="19" width="14.625" style="474" customWidth="1"/>
    <col min="20" max="20" width="12.25" style="474" customWidth="1"/>
    <col min="21" max="21" width="12.125" style="474" customWidth="1"/>
    <col min="22" max="23" width="14.625" style="474" customWidth="1"/>
    <col min="24" max="16384" width="9" style="474"/>
  </cols>
  <sheetData>
    <row r="1" spans="1:39" s="479" customFormat="1" ht="29.25" customHeight="1">
      <c r="A1" s="2127" t="s">
        <v>222</v>
      </c>
      <c r="B1" s="2127"/>
      <c r="C1" s="2127"/>
      <c r="D1" s="2127"/>
      <c r="E1" s="2127"/>
      <c r="F1" s="2127"/>
      <c r="G1" s="2127"/>
      <c r="H1" s="2127"/>
      <c r="I1" s="2127"/>
      <c r="J1" s="2127"/>
      <c r="K1" s="2127"/>
      <c r="L1" s="2127"/>
      <c r="M1" s="2127"/>
      <c r="N1" s="2127"/>
      <c r="O1" s="2127"/>
      <c r="P1" s="2127"/>
      <c r="R1" s="2169" t="s">
        <v>222</v>
      </c>
      <c r="S1" s="2169"/>
      <c r="T1" s="2169"/>
      <c r="U1" s="2169"/>
      <c r="V1" s="2169"/>
      <c r="W1" s="2169"/>
    </row>
    <row r="2" spans="1:39" s="479" customFormat="1" ht="20.25" customHeight="1">
      <c r="A2" s="2127" t="s">
        <v>221</v>
      </c>
      <c r="B2" s="2127"/>
      <c r="C2" s="2127"/>
      <c r="D2" s="2127"/>
      <c r="E2" s="2127"/>
      <c r="F2" s="2127"/>
      <c r="G2" s="2127"/>
      <c r="H2" s="2127"/>
      <c r="I2" s="2127"/>
      <c r="J2" s="2127"/>
      <c r="K2" s="2127"/>
      <c r="L2" s="2127"/>
      <c r="M2" s="2127"/>
      <c r="N2" s="2127"/>
      <c r="O2" s="2127"/>
      <c r="P2" s="2127"/>
      <c r="R2" s="2126" t="s">
        <v>1807</v>
      </c>
      <c r="S2" s="2126"/>
      <c r="T2" s="2126"/>
      <c r="U2" s="2126"/>
      <c r="V2" s="2126"/>
      <c r="W2" s="2126"/>
    </row>
    <row r="3" spans="1:39" s="479" customFormat="1" ht="19.5" customHeight="1">
      <c r="A3" s="2126" t="s">
        <v>2354</v>
      </c>
      <c r="B3" s="2126"/>
      <c r="C3" s="2126"/>
      <c r="D3" s="2126"/>
      <c r="E3" s="2126"/>
      <c r="F3" s="2126"/>
      <c r="G3" s="2126"/>
      <c r="H3" s="2126"/>
      <c r="I3" s="2126"/>
      <c r="J3" s="2126"/>
      <c r="K3" s="2126"/>
      <c r="L3" s="2126"/>
      <c r="M3" s="2126"/>
      <c r="N3" s="2126"/>
      <c r="O3" s="2126"/>
      <c r="P3" s="2126"/>
      <c r="R3" s="2126" t="s">
        <v>2353</v>
      </c>
      <c r="S3" s="2126"/>
      <c r="T3" s="2126"/>
      <c r="U3" s="2126"/>
      <c r="V3" s="2126"/>
      <c r="W3" s="2126"/>
    </row>
    <row r="4" spans="1:39" s="479" customFormat="1" ht="20.25" customHeight="1" thickBot="1">
      <c r="A4" s="2128" t="s">
        <v>342</v>
      </c>
      <c r="B4" s="2128"/>
      <c r="C4" s="2128"/>
      <c r="D4" s="2128"/>
      <c r="E4" s="2128"/>
    </row>
    <row r="5" spans="1:39" s="473" customFormat="1" ht="63" customHeight="1" thickTop="1">
      <c r="A5" s="482" t="s">
        <v>223</v>
      </c>
      <c r="B5" s="482" t="s">
        <v>224</v>
      </c>
      <c r="C5" s="482" t="s">
        <v>225</v>
      </c>
      <c r="D5" s="482" t="s">
        <v>226</v>
      </c>
      <c r="E5" s="498" t="s">
        <v>227</v>
      </c>
      <c r="F5" s="482" t="s">
        <v>228</v>
      </c>
      <c r="G5" s="482" t="s">
        <v>229</v>
      </c>
      <c r="H5" s="482" t="s">
        <v>230</v>
      </c>
      <c r="I5" s="482" t="s">
        <v>231</v>
      </c>
      <c r="J5" s="482" t="s">
        <v>232</v>
      </c>
      <c r="K5" s="482" t="s">
        <v>233</v>
      </c>
      <c r="L5" s="482" t="s">
        <v>234</v>
      </c>
      <c r="M5" s="482" t="s">
        <v>235</v>
      </c>
      <c r="N5" s="482" t="s">
        <v>236</v>
      </c>
      <c r="O5" s="482" t="s">
        <v>237</v>
      </c>
      <c r="P5" s="482" t="s">
        <v>238</v>
      </c>
      <c r="Q5" s="483"/>
      <c r="R5" s="1203" t="s">
        <v>1810</v>
      </c>
      <c r="S5" s="1203" t="s">
        <v>1811</v>
      </c>
      <c r="T5" s="498" t="s">
        <v>1812</v>
      </c>
      <c r="U5" s="498" t="s">
        <v>1809</v>
      </c>
      <c r="V5" s="498" t="s">
        <v>1813</v>
      </c>
      <c r="W5" s="498" t="s">
        <v>1814</v>
      </c>
      <c r="X5" s="483"/>
      <c r="Y5" s="483"/>
      <c r="Z5" s="483"/>
      <c r="AA5" s="484"/>
      <c r="AB5" s="484"/>
      <c r="AC5" s="484"/>
      <c r="AD5" s="484"/>
      <c r="AE5" s="484"/>
      <c r="AF5" s="484"/>
      <c r="AG5" s="484"/>
      <c r="AH5" s="484"/>
      <c r="AI5" s="484"/>
      <c r="AJ5" s="484"/>
      <c r="AK5" s="484"/>
      <c r="AL5" s="484"/>
      <c r="AM5" s="484"/>
    </row>
    <row r="6" spans="1:39" s="473" customFormat="1" ht="33" customHeight="1">
      <c r="A6" s="485" t="s">
        <v>111</v>
      </c>
      <c r="B6" s="485" t="s">
        <v>239</v>
      </c>
      <c r="C6" s="485" t="s">
        <v>87</v>
      </c>
      <c r="D6" s="486" t="s">
        <v>240</v>
      </c>
      <c r="E6" s="499" t="s">
        <v>218</v>
      </c>
      <c r="F6" s="492" t="s">
        <v>241</v>
      </c>
      <c r="G6" s="492" t="s">
        <v>242</v>
      </c>
      <c r="H6" s="492" t="s">
        <v>243</v>
      </c>
      <c r="I6" s="492" t="s">
        <v>244</v>
      </c>
      <c r="J6" s="493" t="s">
        <v>245</v>
      </c>
      <c r="K6" s="492" t="s">
        <v>246</v>
      </c>
      <c r="L6" s="493" t="s">
        <v>247</v>
      </c>
      <c r="M6" s="492" t="s">
        <v>248</v>
      </c>
      <c r="N6" s="492"/>
      <c r="O6" s="492" t="s">
        <v>249</v>
      </c>
      <c r="P6" s="492" t="s">
        <v>250</v>
      </c>
      <c r="Q6" s="487"/>
      <c r="R6" s="1154"/>
      <c r="S6" s="1169"/>
      <c r="T6" s="1169"/>
      <c r="U6" s="488">
        <v>4062</v>
      </c>
      <c r="V6" s="1183">
        <v>0.02</v>
      </c>
      <c r="W6" s="488">
        <v>4062</v>
      </c>
      <c r="X6" s="487"/>
      <c r="Y6" s="487"/>
      <c r="Z6" s="487"/>
      <c r="AA6" s="481"/>
      <c r="AB6" s="481"/>
      <c r="AC6" s="481"/>
      <c r="AD6" s="481"/>
      <c r="AE6" s="481"/>
      <c r="AF6" s="481"/>
      <c r="AG6" s="484"/>
      <c r="AH6" s="484"/>
      <c r="AI6" s="484"/>
      <c r="AJ6" s="484"/>
      <c r="AK6" s="484"/>
      <c r="AL6" s="484"/>
      <c r="AM6" s="484"/>
    </row>
    <row r="7" spans="1:39" s="477" customFormat="1" ht="31.5" customHeight="1">
      <c r="A7" s="478">
        <v>1</v>
      </c>
      <c r="B7" s="518" t="s">
        <v>343</v>
      </c>
      <c r="C7" s="578" t="s">
        <v>512</v>
      </c>
      <c r="D7" s="1474">
        <v>41346</v>
      </c>
      <c r="E7" s="692" t="s">
        <v>356</v>
      </c>
      <c r="F7" s="494">
        <f>P!AM7-P!AE7-P!AK7-P!AL7-P!AF7-P!AH7-W7</f>
        <v>621.23340742529251</v>
      </c>
      <c r="G7" s="495">
        <v>4062</v>
      </c>
      <c r="H7" s="488">
        <f t="shared" ref="H7:H52" si="0">F7*G7</f>
        <v>2523450.100961538</v>
      </c>
      <c r="I7" s="480">
        <v>1</v>
      </c>
      <c r="J7" s="525">
        <v>3</v>
      </c>
      <c r="K7" s="488">
        <f t="shared" ref="K7:K52" si="1">150000*(J7+I7)</f>
        <v>600000</v>
      </c>
      <c r="L7" s="488">
        <f t="shared" ref="L7:L49" si="2">H7-K7</f>
        <v>1923450.100961538</v>
      </c>
      <c r="M7" s="489">
        <f>IF(L7&gt;=12500000,20%,IF(L7&gt;=8500001,15%,IF(L7&gt;=2000001,10%,IF(L7&gt;=1500001,5%,0%))))</f>
        <v>0.05</v>
      </c>
      <c r="N7" s="488">
        <f>IF(M7=5%,75000,IF(M7=10%,175000,0))</f>
        <v>75000</v>
      </c>
      <c r="O7" s="490">
        <f t="shared" ref="O7:O27" si="3">L7*M7-N7</f>
        <v>21172.505048076913</v>
      </c>
      <c r="P7" s="491">
        <f>O7/4062</f>
        <v>5.2123350684581276</v>
      </c>
      <c r="R7" s="1186">
        <v>29799</v>
      </c>
      <c r="S7" s="1170">
        <v>44835</v>
      </c>
      <c r="T7" s="1174">
        <f>P!AM7-P!AF7</f>
        <v>647.14182692307691</v>
      </c>
      <c r="U7" s="1176">
        <f>T7*4062</f>
        <v>2628690.1009615385</v>
      </c>
      <c r="V7" s="1206">
        <f>IF(YEARFRAC(R7,S7)&gt;=60,"0",IF(U7&lt;400000,400000*2%,IF(U7&gt;1200000,1200000*2%,U7*2%)))</f>
        <v>24000</v>
      </c>
      <c r="W7" s="1194">
        <f>V7/4062</f>
        <v>5.9084194977843429</v>
      </c>
    </row>
    <row r="8" spans="1:39" s="477" customFormat="1" ht="31.5" customHeight="1">
      <c r="A8" s="478">
        <v>2</v>
      </c>
      <c r="B8" s="518" t="s">
        <v>416</v>
      </c>
      <c r="C8" s="578" t="s">
        <v>422</v>
      </c>
      <c r="D8" s="1474">
        <v>41747</v>
      </c>
      <c r="E8" s="692" t="s">
        <v>356</v>
      </c>
      <c r="F8" s="494">
        <f>P!AM8-P!AE8-P!AK8-P!AL8-P!AF8-P!AH8-W8</f>
        <v>353.82234973298489</v>
      </c>
      <c r="G8" s="495">
        <v>4062</v>
      </c>
      <c r="H8" s="488">
        <f t="shared" si="0"/>
        <v>1437226.3846153845</v>
      </c>
      <c r="I8" s="480">
        <v>1</v>
      </c>
      <c r="J8" s="525">
        <v>4</v>
      </c>
      <c r="K8" s="488">
        <f t="shared" si="1"/>
        <v>750000</v>
      </c>
      <c r="L8" s="488">
        <f t="shared" si="2"/>
        <v>687226.38461538451</v>
      </c>
      <c r="M8" s="489">
        <f t="shared" ref="M8:M39" si="4">IF(L8&gt;=12500000,20%,IF(L8&gt;=8500001,15%,IF(L8&gt;=2000001,10%,IF(L8&gt;=1500001,5%,0%))))</f>
        <v>0</v>
      </c>
      <c r="N8" s="488">
        <f t="shared" ref="N8:N52" si="5">IF(M8=5%,75000,IF(M8=10%,175000,0))</f>
        <v>0</v>
      </c>
      <c r="O8" s="490">
        <f t="shared" si="3"/>
        <v>0</v>
      </c>
      <c r="P8" s="491">
        <f t="shared" ref="P8:P52" si="6">O8/4062</f>
        <v>0</v>
      </c>
      <c r="R8" s="1186">
        <v>28708</v>
      </c>
      <c r="S8" s="1170">
        <v>44835</v>
      </c>
      <c r="T8" s="1174">
        <f>P!AM8-P!AF8</f>
        <v>379.73076923076923</v>
      </c>
      <c r="U8" s="1176">
        <f t="shared" ref="U8:U52" si="7">T8*4062</f>
        <v>1542466.3846153845</v>
      </c>
      <c r="V8" s="1206">
        <f t="shared" ref="V8:V52" si="8">IF(YEARFRAC(R8,S8)&gt;=60,"0",IF(U8&lt;400000,400000*2%,IF(U8&gt;1200000,1200000*2%,U8*2%)))</f>
        <v>24000</v>
      </c>
      <c r="W8" s="1194">
        <f t="shared" ref="W8:W52" si="9">V8/4062</f>
        <v>5.9084194977843429</v>
      </c>
    </row>
    <row r="9" spans="1:39" s="477" customFormat="1" ht="31.5" customHeight="1">
      <c r="A9" s="478">
        <v>3</v>
      </c>
      <c r="B9" s="518" t="s">
        <v>344</v>
      </c>
      <c r="C9" s="578" t="s">
        <v>345</v>
      </c>
      <c r="D9" s="1474">
        <v>41821</v>
      </c>
      <c r="E9" s="692" t="s">
        <v>356</v>
      </c>
      <c r="F9" s="494">
        <f>P!AM9-P!AE9-P!AK9-P!AL9-P!AF9-P!AH9-W9</f>
        <v>384.22619588683108</v>
      </c>
      <c r="G9" s="495">
        <v>4062</v>
      </c>
      <c r="H9" s="488">
        <f t="shared" si="0"/>
        <v>1560726.8076923077</v>
      </c>
      <c r="I9" s="480">
        <v>1</v>
      </c>
      <c r="J9" s="525">
        <v>2</v>
      </c>
      <c r="K9" s="488">
        <f t="shared" si="1"/>
        <v>450000</v>
      </c>
      <c r="L9" s="488">
        <f t="shared" si="2"/>
        <v>1110726.8076923077</v>
      </c>
      <c r="M9" s="489">
        <f t="shared" si="4"/>
        <v>0</v>
      </c>
      <c r="N9" s="488">
        <f t="shared" si="5"/>
        <v>0</v>
      </c>
      <c r="O9" s="490">
        <f t="shared" si="3"/>
        <v>0</v>
      </c>
      <c r="P9" s="491">
        <f t="shared" si="6"/>
        <v>0</v>
      </c>
      <c r="R9" s="1186">
        <v>29678</v>
      </c>
      <c r="S9" s="1170">
        <v>44835</v>
      </c>
      <c r="T9" s="1174">
        <f>P!AM9-P!AF9</f>
        <v>410.13461538461542</v>
      </c>
      <c r="U9" s="1176">
        <f t="shared" si="7"/>
        <v>1665966.8076923077</v>
      </c>
      <c r="V9" s="1206">
        <f t="shared" si="8"/>
        <v>24000</v>
      </c>
      <c r="W9" s="1194">
        <f t="shared" si="9"/>
        <v>5.9084194977843429</v>
      </c>
    </row>
    <row r="10" spans="1:39" s="477" customFormat="1" ht="31.5" customHeight="1">
      <c r="A10" s="478">
        <v>4</v>
      </c>
      <c r="B10" s="518" t="s">
        <v>554</v>
      </c>
      <c r="C10" s="578" t="s">
        <v>555</v>
      </c>
      <c r="D10" s="1474">
        <v>41822</v>
      </c>
      <c r="E10" s="692" t="s">
        <v>356</v>
      </c>
      <c r="F10" s="494">
        <f>P!AM10-P!AE10-P!AK10-P!AL10-P!AF10-P!AH10-W10</f>
        <v>368.04883746143531</v>
      </c>
      <c r="G10" s="495">
        <v>4062</v>
      </c>
      <c r="H10" s="488">
        <f t="shared" si="0"/>
        <v>1495014.3777683503</v>
      </c>
      <c r="I10" s="480"/>
      <c r="J10" s="525">
        <v>3</v>
      </c>
      <c r="K10" s="488">
        <f t="shared" si="1"/>
        <v>450000</v>
      </c>
      <c r="L10" s="488">
        <f t="shared" si="2"/>
        <v>1045014.3777683503</v>
      </c>
      <c r="M10" s="489">
        <f t="shared" si="4"/>
        <v>0</v>
      </c>
      <c r="N10" s="488">
        <f t="shared" si="5"/>
        <v>0</v>
      </c>
      <c r="O10" s="490">
        <f t="shared" si="3"/>
        <v>0</v>
      </c>
      <c r="P10" s="491">
        <f t="shared" si="6"/>
        <v>0</v>
      </c>
      <c r="R10" s="1186">
        <v>31423</v>
      </c>
      <c r="S10" s="1170">
        <v>44835</v>
      </c>
      <c r="T10" s="1174">
        <f>P!AM10-P!AF10</f>
        <v>393.95725695921965</v>
      </c>
      <c r="U10" s="1176">
        <f t="shared" si="7"/>
        <v>1600254.3777683503</v>
      </c>
      <c r="V10" s="1206">
        <f t="shared" si="8"/>
        <v>24000</v>
      </c>
      <c r="W10" s="1194">
        <f t="shared" si="9"/>
        <v>5.9084194977843429</v>
      </c>
    </row>
    <row r="11" spans="1:39" s="477" customFormat="1" ht="31.5" customHeight="1">
      <c r="A11" s="478">
        <v>5</v>
      </c>
      <c r="B11" s="518" t="s">
        <v>346</v>
      </c>
      <c r="C11" s="578" t="s">
        <v>347</v>
      </c>
      <c r="D11" s="1474">
        <v>41866</v>
      </c>
      <c r="E11" s="692" t="s">
        <v>356</v>
      </c>
      <c r="F11" s="494">
        <f>P!AM11-P!AE11-P!AK11-P!AL11-P!AF11-P!AH11-W11</f>
        <v>385.72619588683108</v>
      </c>
      <c r="G11" s="495">
        <v>4062</v>
      </c>
      <c r="H11" s="488">
        <f t="shared" si="0"/>
        <v>1566819.8076923077</v>
      </c>
      <c r="I11" s="480"/>
      <c r="J11" s="525">
        <v>1</v>
      </c>
      <c r="K11" s="488">
        <f t="shared" si="1"/>
        <v>150000</v>
      </c>
      <c r="L11" s="488">
        <f t="shared" si="2"/>
        <v>1416819.8076923077</v>
      </c>
      <c r="M11" s="489">
        <f t="shared" si="4"/>
        <v>0</v>
      </c>
      <c r="N11" s="488">
        <f t="shared" si="5"/>
        <v>0</v>
      </c>
      <c r="O11" s="490">
        <f t="shared" si="3"/>
        <v>0</v>
      </c>
      <c r="P11" s="491">
        <f t="shared" si="6"/>
        <v>0</v>
      </c>
      <c r="R11" s="1186">
        <v>26983</v>
      </c>
      <c r="S11" s="1170">
        <v>44835</v>
      </c>
      <c r="T11" s="1174">
        <f>P!AM11-P!AF11</f>
        <v>411.63461538461542</v>
      </c>
      <c r="U11" s="1176">
        <f t="shared" si="7"/>
        <v>1672059.8076923077</v>
      </c>
      <c r="V11" s="1206">
        <f t="shared" si="8"/>
        <v>24000</v>
      </c>
      <c r="W11" s="1194">
        <f t="shared" si="9"/>
        <v>5.9084194977843429</v>
      </c>
    </row>
    <row r="12" spans="1:39" s="477" customFormat="1" ht="31.5" customHeight="1">
      <c r="A12" s="478">
        <v>6</v>
      </c>
      <c r="B12" s="518" t="s">
        <v>348</v>
      </c>
      <c r="C12" s="578" t="s">
        <v>349</v>
      </c>
      <c r="D12" s="1474">
        <v>41883</v>
      </c>
      <c r="E12" s="692" t="s">
        <v>356</v>
      </c>
      <c r="F12" s="494">
        <f>P!AM12-P!AE12-P!AK12-P!AL12-P!AF12-P!AH12-W12</f>
        <v>369.83388819452335</v>
      </c>
      <c r="G12" s="495">
        <v>4062</v>
      </c>
      <c r="H12" s="488">
        <f t="shared" si="0"/>
        <v>1502265.2538461538</v>
      </c>
      <c r="I12" s="480"/>
      <c r="J12" s="525">
        <v>1</v>
      </c>
      <c r="K12" s="488">
        <f t="shared" si="1"/>
        <v>150000</v>
      </c>
      <c r="L12" s="488">
        <f t="shared" si="2"/>
        <v>1352265.2538461538</v>
      </c>
      <c r="M12" s="489">
        <f t="shared" si="4"/>
        <v>0</v>
      </c>
      <c r="N12" s="488">
        <f t="shared" si="5"/>
        <v>0</v>
      </c>
      <c r="O12" s="490">
        <f t="shared" si="3"/>
        <v>0</v>
      </c>
      <c r="P12" s="491">
        <f t="shared" si="6"/>
        <v>0</v>
      </c>
      <c r="R12" s="1186">
        <v>23411</v>
      </c>
      <c r="S12" s="1170">
        <v>44835</v>
      </c>
      <c r="T12" s="1174">
        <f>P!AM12-P!AF12</f>
        <v>395.74230769230769</v>
      </c>
      <c r="U12" s="1176">
        <f t="shared" si="7"/>
        <v>1607505.2538461538</v>
      </c>
      <c r="V12" s="1206">
        <f t="shared" si="8"/>
        <v>24000</v>
      </c>
      <c r="W12" s="1194">
        <f t="shared" si="9"/>
        <v>5.9084194977843429</v>
      </c>
    </row>
    <row r="13" spans="1:39" s="477" customFormat="1" ht="31.5" customHeight="1">
      <c r="A13" s="478">
        <v>7</v>
      </c>
      <c r="B13" s="518" t="s">
        <v>401</v>
      </c>
      <c r="C13" s="581" t="s">
        <v>402</v>
      </c>
      <c r="D13" s="1474">
        <v>41883</v>
      </c>
      <c r="E13" s="692" t="s">
        <v>356</v>
      </c>
      <c r="F13" s="494">
        <f>P!AM13-P!AE13-P!AK13-P!AL13-P!AF13-P!AH13-W13</f>
        <v>388.45225915395747</v>
      </c>
      <c r="G13" s="495">
        <v>4062</v>
      </c>
      <c r="H13" s="488">
        <f t="shared" si="0"/>
        <v>1577893.0766833753</v>
      </c>
      <c r="I13" s="480"/>
      <c r="J13" s="525">
        <v>1</v>
      </c>
      <c r="K13" s="488">
        <f t="shared" si="1"/>
        <v>150000</v>
      </c>
      <c r="L13" s="488">
        <f t="shared" si="2"/>
        <v>1427893.0766833753</v>
      </c>
      <c r="M13" s="489">
        <f t="shared" si="4"/>
        <v>0</v>
      </c>
      <c r="N13" s="488">
        <f t="shared" si="5"/>
        <v>0</v>
      </c>
      <c r="O13" s="490">
        <f t="shared" si="3"/>
        <v>0</v>
      </c>
      <c r="P13" s="491">
        <f t="shared" si="6"/>
        <v>0</v>
      </c>
      <c r="R13" s="1186">
        <v>32606</v>
      </c>
      <c r="S13" s="1170">
        <v>44835</v>
      </c>
      <c r="T13" s="1174">
        <f>P!AM13-P!AF13</f>
        <v>414.36067865174181</v>
      </c>
      <c r="U13" s="1176">
        <f t="shared" si="7"/>
        <v>1683133.0766833753</v>
      </c>
      <c r="V13" s="1206">
        <f t="shared" si="8"/>
        <v>24000</v>
      </c>
      <c r="W13" s="1194">
        <f t="shared" si="9"/>
        <v>5.9084194977843429</v>
      </c>
    </row>
    <row r="14" spans="1:39" s="477" customFormat="1" ht="31.5" customHeight="1">
      <c r="A14" s="478">
        <v>8</v>
      </c>
      <c r="B14" s="518" t="s">
        <v>350</v>
      </c>
      <c r="C14" s="581" t="s">
        <v>351</v>
      </c>
      <c r="D14" s="1474">
        <v>42125</v>
      </c>
      <c r="E14" s="692" t="s">
        <v>356</v>
      </c>
      <c r="F14" s="494">
        <f>P!AM14-P!AE14-P!AK14-P!AL14-P!AF14-P!AH14-W14</f>
        <v>359.30696511760027</v>
      </c>
      <c r="G14" s="495">
        <v>4062</v>
      </c>
      <c r="H14" s="488">
        <f t="shared" si="0"/>
        <v>1459504.8923076922</v>
      </c>
      <c r="I14" s="480"/>
      <c r="J14" s="526"/>
      <c r="K14" s="488">
        <f t="shared" si="1"/>
        <v>0</v>
      </c>
      <c r="L14" s="488">
        <f t="shared" si="2"/>
        <v>1459504.8923076922</v>
      </c>
      <c r="M14" s="489">
        <f t="shared" si="4"/>
        <v>0</v>
      </c>
      <c r="N14" s="488">
        <f t="shared" si="5"/>
        <v>0</v>
      </c>
      <c r="O14" s="490">
        <f t="shared" si="3"/>
        <v>0</v>
      </c>
      <c r="P14" s="491">
        <f t="shared" si="6"/>
        <v>0</v>
      </c>
      <c r="R14" s="1186">
        <v>31788</v>
      </c>
      <c r="S14" s="1170">
        <v>44835</v>
      </c>
      <c r="T14" s="1174">
        <f>P!AM14-P!AF14</f>
        <v>385.21538461538461</v>
      </c>
      <c r="U14" s="1176">
        <f t="shared" si="7"/>
        <v>1564744.8923076922</v>
      </c>
      <c r="V14" s="1206">
        <f t="shared" si="8"/>
        <v>24000</v>
      </c>
      <c r="W14" s="1194">
        <f t="shared" si="9"/>
        <v>5.9084194977843429</v>
      </c>
    </row>
    <row r="15" spans="1:39" s="477" customFormat="1" ht="31.5" customHeight="1">
      <c r="A15" s="478">
        <v>9</v>
      </c>
      <c r="B15" s="518" t="s">
        <v>352</v>
      </c>
      <c r="C15" s="581" t="s">
        <v>353</v>
      </c>
      <c r="D15" s="1474">
        <v>42128</v>
      </c>
      <c r="E15" s="692" t="s">
        <v>356</v>
      </c>
      <c r="F15" s="494">
        <f>P!AM15-P!AE15-P!AK15-P!AL15-P!AF15-P!AH15-W15</f>
        <v>385.9973497329849</v>
      </c>
      <c r="G15" s="495">
        <v>4062</v>
      </c>
      <c r="H15" s="488">
        <f t="shared" si="0"/>
        <v>1567921.2346153846</v>
      </c>
      <c r="I15" s="480"/>
      <c r="J15" s="525">
        <v>3</v>
      </c>
      <c r="K15" s="488">
        <f t="shared" si="1"/>
        <v>450000</v>
      </c>
      <c r="L15" s="488">
        <f t="shared" si="2"/>
        <v>1117921.2346153846</v>
      </c>
      <c r="M15" s="489">
        <f t="shared" si="4"/>
        <v>0</v>
      </c>
      <c r="N15" s="488">
        <f t="shared" si="5"/>
        <v>0</v>
      </c>
      <c r="O15" s="490">
        <f t="shared" si="3"/>
        <v>0</v>
      </c>
      <c r="P15" s="491">
        <f t="shared" si="6"/>
        <v>0</v>
      </c>
      <c r="R15" s="1212">
        <v>28772</v>
      </c>
      <c r="S15" s="1170">
        <v>44835</v>
      </c>
      <c r="T15" s="1174">
        <f>P!AM15-P!AF15</f>
        <v>411.90576923076924</v>
      </c>
      <c r="U15" s="1176">
        <f t="shared" si="7"/>
        <v>1673161.2346153846</v>
      </c>
      <c r="V15" s="1206">
        <f t="shared" si="8"/>
        <v>24000</v>
      </c>
      <c r="W15" s="1194">
        <f t="shared" si="9"/>
        <v>5.9084194977843429</v>
      </c>
    </row>
    <row r="16" spans="1:39" s="477" customFormat="1" ht="31.5" customHeight="1">
      <c r="A16" s="478">
        <v>10</v>
      </c>
      <c r="B16" s="518" t="s">
        <v>461</v>
      </c>
      <c r="C16" s="581" t="s">
        <v>462</v>
      </c>
      <c r="D16" s="1474">
        <v>42248</v>
      </c>
      <c r="E16" s="692" t="s">
        <v>356</v>
      </c>
      <c r="F16" s="494">
        <f>P!AM16-P!AE16-P!AK16-P!AL16-P!AF16-P!AH16-W16</f>
        <v>384.72619588683108</v>
      </c>
      <c r="G16" s="495">
        <v>4062</v>
      </c>
      <c r="H16" s="488">
        <f t="shared" si="0"/>
        <v>1562757.8076923077</v>
      </c>
      <c r="I16" s="480"/>
      <c r="J16" s="525">
        <v>3</v>
      </c>
      <c r="K16" s="488">
        <f t="shared" si="1"/>
        <v>450000</v>
      </c>
      <c r="L16" s="488">
        <f t="shared" si="2"/>
        <v>1112757.8076923077</v>
      </c>
      <c r="M16" s="489">
        <f t="shared" si="4"/>
        <v>0</v>
      </c>
      <c r="N16" s="488">
        <f t="shared" si="5"/>
        <v>0</v>
      </c>
      <c r="O16" s="490">
        <f t="shared" si="3"/>
        <v>0</v>
      </c>
      <c r="P16" s="491">
        <f t="shared" si="6"/>
        <v>0</v>
      </c>
      <c r="R16" s="1186">
        <v>30355</v>
      </c>
      <c r="S16" s="1170">
        <v>44835</v>
      </c>
      <c r="T16" s="1174">
        <f>P!AM16-P!AF16</f>
        <v>410.63461538461542</v>
      </c>
      <c r="U16" s="1176">
        <f t="shared" si="7"/>
        <v>1667997.8076923077</v>
      </c>
      <c r="V16" s="1206">
        <f t="shared" si="8"/>
        <v>24000</v>
      </c>
      <c r="W16" s="1194">
        <f t="shared" si="9"/>
        <v>5.9084194977843429</v>
      </c>
    </row>
    <row r="17" spans="1:23" s="477" customFormat="1" ht="31.5" customHeight="1">
      <c r="A17" s="478">
        <v>11</v>
      </c>
      <c r="B17" s="1333" t="s">
        <v>2307</v>
      </c>
      <c r="C17" s="581" t="s">
        <v>719</v>
      </c>
      <c r="D17" s="1474">
        <v>42695</v>
      </c>
      <c r="E17" s="1637" t="s">
        <v>1122</v>
      </c>
      <c r="F17" s="494">
        <f>P!AM17-P!AE17-P!AK17-P!AL17-P!AF17-P!AH17-W17</f>
        <v>440.1204266560618</v>
      </c>
      <c r="G17" s="495">
        <v>4062</v>
      </c>
      <c r="H17" s="488">
        <f t="shared" si="0"/>
        <v>1787769.173076923</v>
      </c>
      <c r="I17" s="480"/>
      <c r="J17" s="525">
        <v>2</v>
      </c>
      <c r="K17" s="488">
        <f t="shared" ref="K17" si="10">150000*(J17+I17)</f>
        <v>300000</v>
      </c>
      <c r="L17" s="488">
        <f t="shared" ref="L17" si="11">H17-K17</f>
        <v>1487769.173076923</v>
      </c>
      <c r="M17" s="489">
        <f t="shared" ref="M17" si="12">IF(L17&gt;=12500000,20%,IF(L17&gt;=8500001,15%,IF(L17&gt;=2000001,10%,IF(L17&gt;=1500001,5%,0%))))</f>
        <v>0</v>
      </c>
      <c r="N17" s="488">
        <f t="shared" si="5"/>
        <v>0</v>
      </c>
      <c r="O17" s="490">
        <f t="shared" ref="O17" si="13">L17*M17-N17</f>
        <v>0</v>
      </c>
      <c r="P17" s="491">
        <f t="shared" si="6"/>
        <v>0</v>
      </c>
      <c r="R17" s="1186">
        <v>36484</v>
      </c>
      <c r="S17" s="1170">
        <v>44835</v>
      </c>
      <c r="T17" s="1174">
        <f>P!AM17-P!AF17</f>
        <v>466.02884615384613</v>
      </c>
      <c r="U17" s="1176">
        <f t="shared" si="7"/>
        <v>1893009.173076923</v>
      </c>
      <c r="V17" s="1206">
        <f t="shared" si="8"/>
        <v>24000</v>
      </c>
      <c r="W17" s="1194">
        <f t="shared" si="9"/>
        <v>5.9084194977843429</v>
      </c>
    </row>
    <row r="18" spans="1:23" s="477" customFormat="1" ht="31.5" customHeight="1">
      <c r="A18" s="478">
        <v>12</v>
      </c>
      <c r="B18" s="572" t="s">
        <v>431</v>
      </c>
      <c r="C18" s="578" t="s">
        <v>433</v>
      </c>
      <c r="D18" s="1474">
        <v>43210</v>
      </c>
      <c r="E18" s="692" t="s">
        <v>356</v>
      </c>
      <c r="F18" s="494">
        <f>P!AM18-P!AE18-P!AK18-P!AL18-P!AF18-P!AH18-W18</f>
        <v>382.69734973298489</v>
      </c>
      <c r="G18" s="495">
        <v>4062</v>
      </c>
      <c r="H18" s="488">
        <f t="shared" si="0"/>
        <v>1554516.6346153845</v>
      </c>
      <c r="I18" s="480"/>
      <c r="J18" s="525">
        <v>1</v>
      </c>
      <c r="K18" s="488">
        <f t="shared" si="1"/>
        <v>150000</v>
      </c>
      <c r="L18" s="488">
        <f t="shared" si="2"/>
        <v>1404516.6346153845</v>
      </c>
      <c r="M18" s="489">
        <f t="shared" si="4"/>
        <v>0</v>
      </c>
      <c r="N18" s="488">
        <f t="shared" si="5"/>
        <v>0</v>
      </c>
      <c r="O18" s="490">
        <f t="shared" si="3"/>
        <v>0</v>
      </c>
      <c r="P18" s="491">
        <f t="shared" si="6"/>
        <v>0</v>
      </c>
      <c r="R18" s="1186">
        <v>30015</v>
      </c>
      <c r="S18" s="1170">
        <v>44835</v>
      </c>
      <c r="T18" s="1174">
        <f>P!AM18-P!AF18</f>
        <v>408.60576923076923</v>
      </c>
      <c r="U18" s="1176">
        <f t="shared" si="7"/>
        <v>1659756.6346153845</v>
      </c>
      <c r="V18" s="1206">
        <f t="shared" si="8"/>
        <v>24000</v>
      </c>
      <c r="W18" s="1194">
        <f t="shared" si="9"/>
        <v>5.9084194977843429</v>
      </c>
    </row>
    <row r="19" spans="1:23" s="477" customFormat="1" ht="31.5" customHeight="1">
      <c r="A19" s="478">
        <v>13</v>
      </c>
      <c r="B19" s="572" t="s">
        <v>432</v>
      </c>
      <c r="C19" s="578" t="s">
        <v>434</v>
      </c>
      <c r="D19" s="1474">
        <v>43211</v>
      </c>
      <c r="E19" s="692" t="s">
        <v>356</v>
      </c>
      <c r="F19" s="494">
        <f>P!AM19-P!AE19-P!AK19-P!AL19-P!AF19-P!AH19-W19</f>
        <v>379.45504204067714</v>
      </c>
      <c r="G19" s="495">
        <v>4062</v>
      </c>
      <c r="H19" s="488">
        <f t="shared" si="0"/>
        <v>1541346.3807692307</v>
      </c>
      <c r="I19" s="480"/>
      <c r="J19" s="525">
        <v>3</v>
      </c>
      <c r="K19" s="488">
        <f t="shared" si="1"/>
        <v>450000</v>
      </c>
      <c r="L19" s="488">
        <f t="shared" si="2"/>
        <v>1091346.3807692307</v>
      </c>
      <c r="M19" s="489">
        <f t="shared" si="4"/>
        <v>0</v>
      </c>
      <c r="N19" s="488">
        <f t="shared" si="5"/>
        <v>0</v>
      </c>
      <c r="O19" s="490">
        <f t="shared" si="3"/>
        <v>0</v>
      </c>
      <c r="P19" s="491">
        <f t="shared" si="6"/>
        <v>0</v>
      </c>
      <c r="R19" s="1186">
        <v>29741</v>
      </c>
      <c r="S19" s="1170">
        <v>44835</v>
      </c>
      <c r="T19" s="1174">
        <f>P!AM19-P!AF19</f>
        <v>405.36346153846148</v>
      </c>
      <c r="U19" s="1176">
        <f t="shared" si="7"/>
        <v>1646586.3807692304</v>
      </c>
      <c r="V19" s="1206">
        <f t="shared" si="8"/>
        <v>24000</v>
      </c>
      <c r="W19" s="1194">
        <f t="shared" si="9"/>
        <v>5.9084194977843429</v>
      </c>
    </row>
    <row r="20" spans="1:23" s="477" customFormat="1" ht="31.5" customHeight="1">
      <c r="A20" s="478">
        <v>14</v>
      </c>
      <c r="B20" s="572" t="s">
        <v>2387</v>
      </c>
      <c r="C20" s="1390" t="s">
        <v>2388</v>
      </c>
      <c r="D20" s="1476">
        <v>43210</v>
      </c>
      <c r="E20" s="731" t="s">
        <v>476</v>
      </c>
      <c r="F20" s="494">
        <f>P!AM20-P!AE20-P!AK20-P!AL20-P!AF20-P!AH20-W20</f>
        <v>110.05876923076923</v>
      </c>
      <c r="G20" s="495">
        <v>4062</v>
      </c>
      <c r="H20" s="488">
        <f t="shared" ref="H20" si="14">F20*G20</f>
        <v>447058.72061538463</v>
      </c>
      <c r="I20" s="480"/>
      <c r="J20" s="525">
        <v>2</v>
      </c>
      <c r="K20" s="488">
        <f t="shared" ref="K20" si="15">150000*(J20+I20)</f>
        <v>300000</v>
      </c>
      <c r="L20" s="488">
        <f t="shared" ref="L20" si="16">H20-K20</f>
        <v>147058.72061538463</v>
      </c>
      <c r="M20" s="489">
        <f t="shared" ref="M20" si="17">IF(L20&gt;=12500000,20%,IF(L20&gt;=8500001,15%,IF(L20&gt;=2000001,10%,IF(L20&gt;=1500001,5%,0%))))</f>
        <v>0</v>
      </c>
      <c r="N20" s="488">
        <f t="shared" si="5"/>
        <v>0</v>
      </c>
      <c r="O20" s="490">
        <f t="shared" ref="O20" si="18">L20*M20-N20</f>
        <v>0</v>
      </c>
      <c r="P20" s="491">
        <f t="shared" si="6"/>
        <v>0</v>
      </c>
      <c r="R20" s="1163">
        <v>34411</v>
      </c>
      <c r="S20" s="1170">
        <v>44835</v>
      </c>
      <c r="T20" s="1174">
        <f>P!AM20-P!AF20</f>
        <v>119.75384615384615</v>
      </c>
      <c r="U20" s="1176">
        <f t="shared" si="7"/>
        <v>486440.12307692308</v>
      </c>
      <c r="V20" s="1206">
        <f t="shared" si="8"/>
        <v>9728.802461538462</v>
      </c>
      <c r="W20" s="1194">
        <f t="shared" si="9"/>
        <v>2.3950769230769233</v>
      </c>
    </row>
    <row r="21" spans="1:23" s="477" customFormat="1" ht="31.5" customHeight="1">
      <c r="A21" s="478">
        <v>15</v>
      </c>
      <c r="B21" s="572" t="s">
        <v>442</v>
      </c>
      <c r="C21" s="578" t="s">
        <v>437</v>
      </c>
      <c r="D21" s="1474">
        <v>43224</v>
      </c>
      <c r="E21" s="692" t="s">
        <v>356</v>
      </c>
      <c r="F21" s="494">
        <f>P!AM21-P!AE21-P!AK21-P!AL21-P!AF21-P!AH21-W21</f>
        <v>365.53388819452334</v>
      </c>
      <c r="G21" s="495">
        <v>4062</v>
      </c>
      <c r="H21" s="488">
        <f t="shared" si="0"/>
        <v>1484798.6538461538</v>
      </c>
      <c r="I21" s="480"/>
      <c r="J21" s="525">
        <v>0</v>
      </c>
      <c r="K21" s="488">
        <f t="shared" si="1"/>
        <v>0</v>
      </c>
      <c r="L21" s="488">
        <f t="shared" si="2"/>
        <v>1484798.6538461538</v>
      </c>
      <c r="M21" s="489">
        <f t="shared" si="4"/>
        <v>0</v>
      </c>
      <c r="N21" s="488">
        <f t="shared" si="5"/>
        <v>0</v>
      </c>
      <c r="O21" s="490">
        <f t="shared" si="3"/>
        <v>0</v>
      </c>
      <c r="P21" s="491">
        <f t="shared" si="6"/>
        <v>0</v>
      </c>
      <c r="R21" s="1186">
        <v>35552</v>
      </c>
      <c r="S21" s="1170">
        <v>44835</v>
      </c>
      <c r="T21" s="1174">
        <f>P!AM21-P!AF21</f>
        <v>391.44230769230768</v>
      </c>
      <c r="U21" s="1176">
        <f t="shared" si="7"/>
        <v>1590038.6538461538</v>
      </c>
      <c r="V21" s="1206">
        <f t="shared" si="8"/>
        <v>24000</v>
      </c>
      <c r="W21" s="1194">
        <f t="shared" si="9"/>
        <v>5.9084194977843429</v>
      </c>
    </row>
    <row r="22" spans="1:23" s="477" customFormat="1" ht="31.5" customHeight="1">
      <c r="A22" s="478">
        <v>16</v>
      </c>
      <c r="B22" s="572" t="s">
        <v>446</v>
      </c>
      <c r="C22" s="578" t="s">
        <v>447</v>
      </c>
      <c r="D22" s="1474">
        <v>43397</v>
      </c>
      <c r="E22" s="692" t="s">
        <v>356</v>
      </c>
      <c r="F22" s="494">
        <f>P!AM22-P!AE22-P!AK22-P!AL22-P!AF22-P!AH22-W22</f>
        <v>381.52619588683109</v>
      </c>
      <c r="G22" s="495">
        <v>4062</v>
      </c>
      <c r="H22" s="488">
        <f t="shared" si="0"/>
        <v>1549759.4076923078</v>
      </c>
      <c r="I22" s="480"/>
      <c r="J22" s="525">
        <v>0</v>
      </c>
      <c r="K22" s="488">
        <f t="shared" si="1"/>
        <v>0</v>
      </c>
      <c r="L22" s="488">
        <f t="shared" si="2"/>
        <v>1549759.4076923078</v>
      </c>
      <c r="M22" s="489">
        <f t="shared" si="4"/>
        <v>0.05</v>
      </c>
      <c r="N22" s="488">
        <f t="shared" si="5"/>
        <v>75000</v>
      </c>
      <c r="O22" s="490">
        <f t="shared" si="3"/>
        <v>2487.9703846154007</v>
      </c>
      <c r="P22" s="491">
        <f t="shared" si="6"/>
        <v>0.61249886376548512</v>
      </c>
      <c r="R22" s="1186">
        <v>35165</v>
      </c>
      <c r="S22" s="1170">
        <v>44835</v>
      </c>
      <c r="T22" s="1174">
        <f>P!AM22-P!AF22</f>
        <v>407.43461538461543</v>
      </c>
      <c r="U22" s="1176">
        <f t="shared" si="7"/>
        <v>1654999.4076923078</v>
      </c>
      <c r="V22" s="1206">
        <f t="shared" si="8"/>
        <v>24000</v>
      </c>
      <c r="W22" s="1194">
        <f t="shared" si="9"/>
        <v>5.9084194977843429</v>
      </c>
    </row>
    <row r="23" spans="1:23" s="477" customFormat="1" ht="31.5" customHeight="1">
      <c r="A23" s="478">
        <v>17</v>
      </c>
      <c r="B23" s="572" t="s">
        <v>1927</v>
      </c>
      <c r="C23" s="578" t="s">
        <v>1928</v>
      </c>
      <c r="D23" s="1474">
        <v>43417</v>
      </c>
      <c r="E23" s="632" t="s">
        <v>476</v>
      </c>
      <c r="F23" s="494">
        <f>P!AM23-P!AE23-P!AK23-P!AL23-P!AF23-P!AH23-W23</f>
        <v>381.4973497329849</v>
      </c>
      <c r="G23" s="495">
        <v>4062</v>
      </c>
      <c r="H23" s="488">
        <f t="shared" si="0"/>
        <v>1549642.2346153846</v>
      </c>
      <c r="I23" s="480"/>
      <c r="J23" s="525">
        <v>3</v>
      </c>
      <c r="K23" s="488">
        <f t="shared" si="1"/>
        <v>450000</v>
      </c>
      <c r="L23" s="488">
        <f t="shared" ref="L23" si="19">H23-K23</f>
        <v>1099642.2346153846</v>
      </c>
      <c r="M23" s="489">
        <f t="shared" ref="M23" si="20">IF(L23&gt;=12500000,20%,IF(L23&gt;=8500001,15%,IF(L23&gt;=2000001,10%,IF(L23&gt;=1500001,5%,0%))))</f>
        <v>0</v>
      </c>
      <c r="N23" s="488">
        <f t="shared" si="5"/>
        <v>0</v>
      </c>
      <c r="O23" s="490">
        <f t="shared" ref="O23" si="21">L23*M23-N23</f>
        <v>0</v>
      </c>
      <c r="P23" s="491">
        <f t="shared" si="6"/>
        <v>0</v>
      </c>
      <c r="R23" s="1186">
        <v>35013</v>
      </c>
      <c r="S23" s="1170">
        <v>44835</v>
      </c>
      <c r="T23" s="1174">
        <f>P!AM23-P!AF23</f>
        <v>412.40576923076924</v>
      </c>
      <c r="U23" s="1176">
        <f t="shared" si="7"/>
        <v>1675192.2346153846</v>
      </c>
      <c r="V23" s="1206">
        <f t="shared" si="8"/>
        <v>24000</v>
      </c>
      <c r="W23" s="1194">
        <f t="shared" si="9"/>
        <v>5.9084194977843429</v>
      </c>
    </row>
    <row r="24" spans="1:23" s="477" customFormat="1" ht="31.5" customHeight="1">
      <c r="A24" s="478">
        <v>18</v>
      </c>
      <c r="B24" s="572" t="s">
        <v>518</v>
      </c>
      <c r="C24" s="578" t="s">
        <v>519</v>
      </c>
      <c r="D24" s="1474">
        <v>43687</v>
      </c>
      <c r="E24" s="693" t="s">
        <v>476</v>
      </c>
      <c r="F24" s="494">
        <f>P!AM24-P!AE24-P!AK24-P!AL24-P!AF24-P!AH24-W24</f>
        <v>370.21850357913871</v>
      </c>
      <c r="G24" s="495">
        <v>4062</v>
      </c>
      <c r="H24" s="488">
        <f t="shared" si="0"/>
        <v>1503827.5615384614</v>
      </c>
      <c r="I24" s="480">
        <v>1</v>
      </c>
      <c r="J24" s="525">
        <v>1</v>
      </c>
      <c r="K24" s="488">
        <f t="shared" si="1"/>
        <v>300000</v>
      </c>
      <c r="L24" s="488">
        <f t="shared" si="2"/>
        <v>1203827.5615384614</v>
      </c>
      <c r="M24" s="489">
        <f t="shared" si="4"/>
        <v>0</v>
      </c>
      <c r="N24" s="488">
        <f t="shared" si="5"/>
        <v>0</v>
      </c>
      <c r="O24" s="490">
        <f t="shared" si="3"/>
        <v>0</v>
      </c>
      <c r="P24" s="491">
        <f t="shared" si="6"/>
        <v>0</v>
      </c>
      <c r="R24" s="1186">
        <v>36234</v>
      </c>
      <c r="S24" s="1170">
        <v>44835</v>
      </c>
      <c r="T24" s="1174">
        <f>P!AM24-P!AF24</f>
        <v>396.12692307692305</v>
      </c>
      <c r="U24" s="1176">
        <f t="shared" si="7"/>
        <v>1609067.5615384614</v>
      </c>
      <c r="V24" s="1206">
        <f t="shared" si="8"/>
        <v>24000</v>
      </c>
      <c r="W24" s="1194">
        <f t="shared" si="9"/>
        <v>5.9084194977843429</v>
      </c>
    </row>
    <row r="25" spans="1:23" s="477" customFormat="1" ht="31.5" customHeight="1">
      <c r="A25" s="478">
        <v>19</v>
      </c>
      <c r="B25" s="789" t="s">
        <v>2191</v>
      </c>
      <c r="C25" s="1103" t="s">
        <v>2192</v>
      </c>
      <c r="D25" s="1477">
        <v>44531</v>
      </c>
      <c r="E25" s="693" t="s">
        <v>476</v>
      </c>
      <c r="F25" s="494">
        <f>P!AM25-P!AE25-P!AK25-P!AL25-P!AF25-P!AH25-W25</f>
        <v>376.72619588683102</v>
      </c>
      <c r="G25" s="495">
        <v>4062</v>
      </c>
      <c r="H25" s="488">
        <f t="shared" si="0"/>
        <v>1530261.8076923075</v>
      </c>
      <c r="I25" s="480">
        <v>0</v>
      </c>
      <c r="J25" s="525">
        <v>1</v>
      </c>
      <c r="K25" s="488">
        <f t="shared" si="1"/>
        <v>150000</v>
      </c>
      <c r="L25" s="488">
        <f t="shared" ref="L25" si="22">H25-K25</f>
        <v>1380261.8076923075</v>
      </c>
      <c r="M25" s="489">
        <f t="shared" ref="M25" si="23">IF(L25&gt;=12500000,20%,IF(L25&gt;=8500001,15%,IF(L25&gt;=2000001,10%,IF(L25&gt;=1500001,5%,0%))))</f>
        <v>0</v>
      </c>
      <c r="N25" s="488">
        <f t="shared" si="5"/>
        <v>0</v>
      </c>
      <c r="O25" s="490">
        <f t="shared" ref="O25" si="24">L25*M25-N25</f>
        <v>0</v>
      </c>
      <c r="P25" s="491">
        <f t="shared" si="6"/>
        <v>0</v>
      </c>
      <c r="R25" s="1212">
        <v>33302</v>
      </c>
      <c r="S25" s="1170">
        <v>44835</v>
      </c>
      <c r="T25" s="1174">
        <f>P!AM25-P!AF25</f>
        <v>402.63461538461536</v>
      </c>
      <c r="U25" s="1176">
        <f t="shared" si="7"/>
        <v>1635501.8076923075</v>
      </c>
      <c r="V25" s="1206">
        <f t="shared" si="8"/>
        <v>24000</v>
      </c>
      <c r="W25" s="1194">
        <f t="shared" si="9"/>
        <v>5.9084194977843429</v>
      </c>
    </row>
    <row r="26" spans="1:23" s="477" customFormat="1" ht="31.5" customHeight="1">
      <c r="A26" s="478">
        <v>20</v>
      </c>
      <c r="B26" s="572" t="s">
        <v>1020</v>
      </c>
      <c r="C26" s="578" t="s">
        <v>1022</v>
      </c>
      <c r="D26" s="1474">
        <v>44531</v>
      </c>
      <c r="E26" s="693" t="s">
        <v>476</v>
      </c>
      <c r="F26" s="494">
        <f>P!AM26-P!AE26-P!AK26-P!AL26-P!AF26-P!AH26-W26</f>
        <v>370.34158050221561</v>
      </c>
      <c r="G26" s="495">
        <v>4062</v>
      </c>
      <c r="H26" s="488">
        <f t="shared" si="0"/>
        <v>1504327.4999999998</v>
      </c>
      <c r="I26" s="480"/>
      <c r="J26" s="525">
        <v>1</v>
      </c>
      <c r="K26" s="488">
        <f t="shared" si="1"/>
        <v>150000</v>
      </c>
      <c r="L26" s="488">
        <f t="shared" si="2"/>
        <v>1354327.4999999998</v>
      </c>
      <c r="M26" s="489">
        <f t="shared" si="4"/>
        <v>0</v>
      </c>
      <c r="N26" s="488">
        <f t="shared" si="5"/>
        <v>0</v>
      </c>
      <c r="O26" s="490">
        <f t="shared" si="3"/>
        <v>0</v>
      </c>
      <c r="P26" s="491">
        <f t="shared" si="6"/>
        <v>0</v>
      </c>
      <c r="R26" s="1212">
        <v>33446</v>
      </c>
      <c r="S26" s="1170">
        <v>44835</v>
      </c>
      <c r="T26" s="1174">
        <f>P!AM26-P!AF26</f>
        <v>396.24999999999994</v>
      </c>
      <c r="U26" s="1176">
        <f t="shared" si="7"/>
        <v>1609567.4999999998</v>
      </c>
      <c r="V26" s="1206">
        <f t="shared" si="8"/>
        <v>24000</v>
      </c>
      <c r="W26" s="1194">
        <f t="shared" si="9"/>
        <v>5.9084194977843429</v>
      </c>
    </row>
    <row r="27" spans="1:23" s="477" customFormat="1" ht="31.5" customHeight="1">
      <c r="A27" s="478">
        <v>21</v>
      </c>
      <c r="B27" s="572" t="s">
        <v>1021</v>
      </c>
      <c r="C27" s="578" t="s">
        <v>1023</v>
      </c>
      <c r="D27" s="1474">
        <v>44531</v>
      </c>
      <c r="E27" s="693" t="s">
        <v>476</v>
      </c>
      <c r="F27" s="494">
        <f>P!AM27-P!AE27-P!AK27-P!AL27-P!AF27-P!AH27-W27</f>
        <v>345.14158050221567</v>
      </c>
      <c r="G27" s="495">
        <v>4062</v>
      </c>
      <c r="H27" s="488">
        <f t="shared" si="0"/>
        <v>1401965.1</v>
      </c>
      <c r="I27" s="480"/>
      <c r="J27" s="525">
        <v>0</v>
      </c>
      <c r="K27" s="488">
        <f t="shared" si="1"/>
        <v>0</v>
      </c>
      <c r="L27" s="488">
        <f t="shared" si="2"/>
        <v>1401965.1</v>
      </c>
      <c r="M27" s="489">
        <f t="shared" si="4"/>
        <v>0</v>
      </c>
      <c r="N27" s="488">
        <f t="shared" si="5"/>
        <v>0</v>
      </c>
      <c r="O27" s="490">
        <f t="shared" si="3"/>
        <v>0</v>
      </c>
      <c r="P27" s="491">
        <f t="shared" si="6"/>
        <v>0</v>
      </c>
      <c r="R27" s="1212">
        <v>36140</v>
      </c>
      <c r="S27" s="1170">
        <v>44835</v>
      </c>
      <c r="T27" s="1174">
        <f>P!AM27-P!AF27</f>
        <v>371.05</v>
      </c>
      <c r="U27" s="1176">
        <f t="shared" si="7"/>
        <v>1507205.1</v>
      </c>
      <c r="V27" s="1206">
        <f t="shared" si="8"/>
        <v>24000</v>
      </c>
      <c r="W27" s="1194">
        <f t="shared" si="9"/>
        <v>5.9084194977843429</v>
      </c>
    </row>
    <row r="28" spans="1:23" s="477" customFormat="1" ht="31.5" customHeight="1">
      <c r="A28" s="478">
        <v>22</v>
      </c>
      <c r="B28" s="1360" t="s">
        <v>2128</v>
      </c>
      <c r="C28" s="1103" t="s">
        <v>2129</v>
      </c>
      <c r="D28" s="688">
        <v>44533</v>
      </c>
      <c r="E28" s="1669" t="s">
        <v>476</v>
      </c>
      <c r="F28" s="494">
        <f>P!AM28-P!AE28-P!AK28-P!AL28-P!AF28-P!AH28-W28</f>
        <v>363.50504204067715</v>
      </c>
      <c r="G28" s="495">
        <v>4062</v>
      </c>
      <c r="H28" s="488">
        <f t="shared" si="0"/>
        <v>1476557.4807692305</v>
      </c>
      <c r="I28" s="480"/>
      <c r="J28" s="525">
        <v>2</v>
      </c>
      <c r="K28" s="488">
        <f t="shared" si="1"/>
        <v>300000</v>
      </c>
      <c r="L28" s="488">
        <f t="shared" ref="L28" si="25">H28-K28</f>
        <v>1176557.4807692305</v>
      </c>
      <c r="M28" s="489">
        <f t="shared" ref="M28" si="26">IF(L28&gt;=12500000,20%,IF(L28&gt;=8500001,15%,IF(L28&gt;=2000001,10%,IF(L28&gt;=1500001,5%,0%))))</f>
        <v>0</v>
      </c>
      <c r="N28" s="488">
        <f t="shared" si="5"/>
        <v>0</v>
      </c>
      <c r="O28" s="490">
        <f t="shared" ref="O28" si="27">L28*M28-N28</f>
        <v>0</v>
      </c>
      <c r="P28" s="491">
        <f t="shared" si="6"/>
        <v>0</v>
      </c>
      <c r="R28" s="1212">
        <v>35799</v>
      </c>
      <c r="S28" s="1170">
        <v>44835</v>
      </c>
      <c r="T28" s="1174">
        <f>P!AM28-P!AF28</f>
        <v>389.41346153846149</v>
      </c>
      <c r="U28" s="1176">
        <f t="shared" si="7"/>
        <v>1581797.4807692305</v>
      </c>
      <c r="V28" s="1206">
        <f t="shared" si="8"/>
        <v>24000</v>
      </c>
      <c r="W28" s="1194">
        <f t="shared" si="9"/>
        <v>5.9084194977843429</v>
      </c>
    </row>
    <row r="29" spans="1:23" s="477" customFormat="1" ht="31.5" customHeight="1">
      <c r="A29" s="478">
        <v>23</v>
      </c>
      <c r="B29" s="572" t="s">
        <v>1357</v>
      </c>
      <c r="C29" s="956" t="s">
        <v>1360</v>
      </c>
      <c r="D29" s="1474">
        <v>44593</v>
      </c>
      <c r="E29" s="693" t="s">
        <v>476</v>
      </c>
      <c r="F29" s="494">
        <f>P!AM29-P!AE29-P!AK29-P!AL29-P!AF29-P!AH29-W29</f>
        <v>377.02619588683109</v>
      </c>
      <c r="G29" s="495">
        <v>4062</v>
      </c>
      <c r="H29" s="488">
        <f t="shared" si="0"/>
        <v>1531480.4076923078</v>
      </c>
      <c r="I29" s="480"/>
      <c r="J29" s="525">
        <v>1</v>
      </c>
      <c r="K29" s="488">
        <f t="shared" si="1"/>
        <v>150000</v>
      </c>
      <c r="L29" s="488">
        <f t="shared" si="2"/>
        <v>1381480.4076923078</v>
      </c>
      <c r="M29" s="489">
        <f t="shared" si="4"/>
        <v>0</v>
      </c>
      <c r="N29" s="488">
        <f t="shared" si="5"/>
        <v>0</v>
      </c>
      <c r="O29" s="490">
        <f t="shared" ref="O29" si="28">L29*M29-N29</f>
        <v>0</v>
      </c>
      <c r="P29" s="491">
        <f t="shared" si="6"/>
        <v>0</v>
      </c>
      <c r="R29" s="1212">
        <v>34979</v>
      </c>
      <c r="S29" s="1170">
        <v>44835</v>
      </c>
      <c r="T29" s="1174">
        <f>P!AM29-P!AF29</f>
        <v>402.93461538461543</v>
      </c>
      <c r="U29" s="1176">
        <f t="shared" si="7"/>
        <v>1636720.4076923078</v>
      </c>
      <c r="V29" s="1206">
        <f t="shared" si="8"/>
        <v>24000</v>
      </c>
      <c r="W29" s="1194">
        <f t="shared" si="9"/>
        <v>5.9084194977843429</v>
      </c>
    </row>
    <row r="30" spans="1:23" s="477" customFormat="1" ht="31.5" customHeight="1">
      <c r="A30" s="478">
        <v>24</v>
      </c>
      <c r="B30" s="572" t="s">
        <v>1358</v>
      </c>
      <c r="C30" s="956" t="s">
        <v>1362</v>
      </c>
      <c r="D30" s="1474">
        <v>44595</v>
      </c>
      <c r="E30" s="693" t="s">
        <v>476</v>
      </c>
      <c r="F30" s="494">
        <f>P!AM30-P!AE30-P!AK30-P!AL30-P!AF30-P!AH30-W30</f>
        <v>328.0435035791387</v>
      </c>
      <c r="G30" s="495">
        <v>4062</v>
      </c>
      <c r="H30" s="488">
        <f t="shared" si="0"/>
        <v>1332512.7115384615</v>
      </c>
      <c r="I30" s="480"/>
      <c r="J30" s="525">
        <v>3</v>
      </c>
      <c r="K30" s="488">
        <f t="shared" si="1"/>
        <v>450000</v>
      </c>
      <c r="L30" s="488">
        <f t="shared" si="2"/>
        <v>882512.7115384615</v>
      </c>
      <c r="M30" s="489">
        <f t="shared" si="4"/>
        <v>0</v>
      </c>
      <c r="N30" s="488">
        <f t="shared" si="5"/>
        <v>0</v>
      </c>
      <c r="O30" s="490">
        <f t="shared" ref="O30:O32" si="29">L30*M30-N30</f>
        <v>0</v>
      </c>
      <c r="P30" s="491">
        <f t="shared" si="6"/>
        <v>0</v>
      </c>
      <c r="R30" s="1212">
        <v>29416</v>
      </c>
      <c r="S30" s="1170">
        <v>44835</v>
      </c>
      <c r="T30" s="1174">
        <f>P!AM30-P!AF30</f>
        <v>353.95192307692304</v>
      </c>
      <c r="U30" s="1176">
        <f t="shared" si="7"/>
        <v>1437752.7115384613</v>
      </c>
      <c r="V30" s="1206">
        <f t="shared" si="8"/>
        <v>24000</v>
      </c>
      <c r="W30" s="1194">
        <f t="shared" si="9"/>
        <v>5.9084194977843429</v>
      </c>
    </row>
    <row r="31" spans="1:23" s="477" customFormat="1" ht="31.5" customHeight="1">
      <c r="A31" s="478">
        <v>25</v>
      </c>
      <c r="B31" s="572" t="s">
        <v>1359</v>
      </c>
      <c r="C31" s="956" t="s">
        <v>1363</v>
      </c>
      <c r="D31" s="1474">
        <v>44600</v>
      </c>
      <c r="E31" s="693" t="s">
        <v>476</v>
      </c>
      <c r="F31" s="494">
        <f>P!AM31-P!AE31-P!AK31-P!AL31-P!AF31-P!AH31-W31</f>
        <v>374.38388819452337</v>
      </c>
      <c r="G31" s="495">
        <v>4062</v>
      </c>
      <c r="H31" s="488">
        <f t="shared" si="0"/>
        <v>1520747.3538461539</v>
      </c>
      <c r="I31" s="480"/>
      <c r="J31" s="525">
        <v>3</v>
      </c>
      <c r="K31" s="488">
        <f t="shared" si="1"/>
        <v>450000</v>
      </c>
      <c r="L31" s="488">
        <f t="shared" si="2"/>
        <v>1070747.3538461539</v>
      </c>
      <c r="M31" s="489">
        <f t="shared" si="4"/>
        <v>0</v>
      </c>
      <c r="N31" s="488">
        <f t="shared" si="5"/>
        <v>0</v>
      </c>
      <c r="O31" s="490">
        <f t="shared" si="29"/>
        <v>0</v>
      </c>
      <c r="P31" s="491">
        <f t="shared" si="6"/>
        <v>0</v>
      </c>
      <c r="R31" s="1212">
        <v>30145</v>
      </c>
      <c r="S31" s="1170">
        <v>44835</v>
      </c>
      <c r="T31" s="1174">
        <f>P!AM31-P!AF31</f>
        <v>400.2923076923077</v>
      </c>
      <c r="U31" s="1176">
        <f t="shared" si="7"/>
        <v>1625987.3538461539</v>
      </c>
      <c r="V31" s="1206">
        <f t="shared" si="8"/>
        <v>24000</v>
      </c>
      <c r="W31" s="1194">
        <f t="shared" si="9"/>
        <v>5.9084194977843429</v>
      </c>
    </row>
    <row r="32" spans="1:23" s="477" customFormat="1" ht="31.5" customHeight="1">
      <c r="A32" s="478">
        <v>26</v>
      </c>
      <c r="B32" s="572" t="s">
        <v>1494</v>
      </c>
      <c r="C32" s="956" t="s">
        <v>1495</v>
      </c>
      <c r="D32" s="1474">
        <v>44623</v>
      </c>
      <c r="E32" s="693" t="s">
        <v>476</v>
      </c>
      <c r="F32" s="494">
        <f>P!AM32-P!AE32-P!AK32-P!AL32-P!AF32-P!AH32-W32</f>
        <v>357.92691088179674</v>
      </c>
      <c r="G32" s="495">
        <v>4062</v>
      </c>
      <c r="H32" s="488">
        <f t="shared" si="0"/>
        <v>1453899.1120018584</v>
      </c>
      <c r="I32" s="480">
        <v>1</v>
      </c>
      <c r="J32" s="525">
        <v>2</v>
      </c>
      <c r="K32" s="488">
        <f t="shared" si="1"/>
        <v>450000</v>
      </c>
      <c r="L32" s="488">
        <f t="shared" si="2"/>
        <v>1003899.1120018584</v>
      </c>
      <c r="M32" s="489">
        <f t="shared" si="4"/>
        <v>0</v>
      </c>
      <c r="N32" s="488">
        <f t="shared" si="5"/>
        <v>0</v>
      </c>
      <c r="O32" s="490">
        <f t="shared" si="29"/>
        <v>0</v>
      </c>
      <c r="P32" s="491">
        <f t="shared" si="6"/>
        <v>0</v>
      </c>
      <c r="R32" s="1212">
        <v>34884</v>
      </c>
      <c r="S32" s="1170">
        <v>44835</v>
      </c>
      <c r="T32" s="1174">
        <f>P!AM32-P!AF32</f>
        <v>383.83533037958108</v>
      </c>
      <c r="U32" s="1176">
        <f t="shared" si="7"/>
        <v>1559139.1120018584</v>
      </c>
      <c r="V32" s="1206">
        <f t="shared" si="8"/>
        <v>24000</v>
      </c>
      <c r="W32" s="1194">
        <f t="shared" si="9"/>
        <v>5.9084194977843429</v>
      </c>
    </row>
    <row r="33" spans="1:23" s="477" customFormat="1" ht="31.5" customHeight="1">
      <c r="A33" s="478">
        <v>27</v>
      </c>
      <c r="B33" s="572" t="s">
        <v>1519</v>
      </c>
      <c r="C33" s="956" t="s">
        <v>1520</v>
      </c>
      <c r="D33" s="1474">
        <v>44677</v>
      </c>
      <c r="E33" s="693" t="s">
        <v>476</v>
      </c>
      <c r="F33" s="494">
        <f>P!AM33-P!AE33-P!AK33-P!AL33-P!AF33-P!AH33-W33</f>
        <v>341.89927280990793</v>
      </c>
      <c r="G33" s="495">
        <v>4062</v>
      </c>
      <c r="H33" s="488">
        <f t="shared" si="0"/>
        <v>1388794.846153846</v>
      </c>
      <c r="I33" s="480"/>
      <c r="J33" s="525">
        <v>1</v>
      </c>
      <c r="K33" s="488">
        <f t="shared" si="1"/>
        <v>150000</v>
      </c>
      <c r="L33" s="488">
        <f t="shared" si="2"/>
        <v>1238794.846153846</v>
      </c>
      <c r="M33" s="489">
        <f t="shared" si="4"/>
        <v>0</v>
      </c>
      <c r="N33" s="488">
        <f t="shared" si="5"/>
        <v>0</v>
      </c>
      <c r="O33" s="490">
        <f t="shared" ref="O33:O34" si="30">L33*M33-N33</f>
        <v>0</v>
      </c>
      <c r="P33" s="491">
        <f t="shared" si="6"/>
        <v>0</v>
      </c>
      <c r="R33" s="1186">
        <v>34399</v>
      </c>
      <c r="S33" s="1170">
        <v>44835</v>
      </c>
      <c r="T33" s="1174">
        <f>P!AM33-P!AF33</f>
        <v>367.80769230769226</v>
      </c>
      <c r="U33" s="1176">
        <f t="shared" si="7"/>
        <v>1494034.846153846</v>
      </c>
      <c r="V33" s="1206">
        <f t="shared" si="8"/>
        <v>24000</v>
      </c>
      <c r="W33" s="1194">
        <f t="shared" si="9"/>
        <v>5.9084194977843429</v>
      </c>
    </row>
    <row r="34" spans="1:23" s="477" customFormat="1" ht="31.5" customHeight="1">
      <c r="A34" s="478">
        <v>28</v>
      </c>
      <c r="B34" s="572" t="s">
        <v>1527</v>
      </c>
      <c r="C34" s="1079" t="s">
        <v>1531</v>
      </c>
      <c r="D34" s="1474">
        <v>44699</v>
      </c>
      <c r="E34" s="693" t="s">
        <v>476</v>
      </c>
      <c r="F34" s="494">
        <f>P!AM34-P!AE34-P!AK34-P!AL34-P!AF34-P!AH34-W34</f>
        <v>371.11585274633222</v>
      </c>
      <c r="G34" s="495">
        <v>4062</v>
      </c>
      <c r="H34" s="488">
        <f t="shared" si="0"/>
        <v>1507472.5938556015</v>
      </c>
      <c r="I34" s="480"/>
      <c r="J34" s="525">
        <v>0</v>
      </c>
      <c r="K34" s="488">
        <f t="shared" si="1"/>
        <v>0</v>
      </c>
      <c r="L34" s="488">
        <f t="shared" si="2"/>
        <v>1507472.5938556015</v>
      </c>
      <c r="M34" s="489">
        <f t="shared" si="4"/>
        <v>0.05</v>
      </c>
      <c r="N34" s="488">
        <f t="shared" si="5"/>
        <v>75000</v>
      </c>
      <c r="O34" s="490">
        <f t="shared" si="30"/>
        <v>373.62969278007222</v>
      </c>
      <c r="P34" s="491">
        <f t="shared" si="6"/>
        <v>9.1981706740539695E-2</v>
      </c>
      <c r="R34" s="1212">
        <v>36954</v>
      </c>
      <c r="S34" s="1170">
        <v>44835</v>
      </c>
      <c r="T34" s="1174">
        <f>P!AM34-P!AF34</f>
        <v>397.02427224411656</v>
      </c>
      <c r="U34" s="1176">
        <f t="shared" si="7"/>
        <v>1612712.5938556015</v>
      </c>
      <c r="V34" s="1206">
        <f t="shared" si="8"/>
        <v>24000</v>
      </c>
      <c r="W34" s="1194">
        <f t="shared" si="9"/>
        <v>5.9084194977843429</v>
      </c>
    </row>
    <row r="35" spans="1:23" s="477" customFormat="1" ht="31.5" customHeight="1">
      <c r="A35" s="478">
        <v>29</v>
      </c>
      <c r="B35" s="572" t="s">
        <v>1528</v>
      </c>
      <c r="C35" s="1079" t="s">
        <v>1532</v>
      </c>
      <c r="D35" s="1474">
        <v>44699</v>
      </c>
      <c r="E35" s="693" t="s">
        <v>476</v>
      </c>
      <c r="F35" s="494">
        <f>P!AM35-P!AE35-P!AK35-P!AL35-P!AF35-P!AH35-W35</f>
        <v>350.23581127144638</v>
      </c>
      <c r="G35" s="495">
        <v>4062</v>
      </c>
      <c r="H35" s="488">
        <f t="shared" si="0"/>
        <v>1422657.8653846153</v>
      </c>
      <c r="I35" s="480"/>
      <c r="J35" s="525">
        <v>1</v>
      </c>
      <c r="K35" s="488">
        <f t="shared" si="1"/>
        <v>150000</v>
      </c>
      <c r="L35" s="488">
        <f t="shared" si="2"/>
        <v>1272657.8653846153</v>
      </c>
      <c r="M35" s="489">
        <f t="shared" si="4"/>
        <v>0</v>
      </c>
      <c r="N35" s="488">
        <f t="shared" si="5"/>
        <v>0</v>
      </c>
      <c r="O35" s="490">
        <f t="shared" ref="O35:O37" si="31">L35*M35-N35</f>
        <v>0</v>
      </c>
      <c r="P35" s="491">
        <f t="shared" si="6"/>
        <v>0</v>
      </c>
      <c r="R35" s="1212">
        <v>32196</v>
      </c>
      <c r="S35" s="1170">
        <v>44835</v>
      </c>
      <c r="T35" s="1174">
        <f>P!AM35-P!AF35</f>
        <v>376.14423076923072</v>
      </c>
      <c r="U35" s="1176">
        <f t="shared" si="7"/>
        <v>1527897.8653846153</v>
      </c>
      <c r="V35" s="1206">
        <f t="shared" si="8"/>
        <v>24000</v>
      </c>
      <c r="W35" s="1194">
        <f t="shared" si="9"/>
        <v>5.9084194977843429</v>
      </c>
    </row>
    <row r="36" spans="1:23" s="477" customFormat="1" ht="31.5" customHeight="1">
      <c r="A36" s="478">
        <v>30</v>
      </c>
      <c r="B36" s="572" t="s">
        <v>1529</v>
      </c>
      <c r="C36" s="1079" t="s">
        <v>1533</v>
      </c>
      <c r="D36" s="1474">
        <v>44699</v>
      </c>
      <c r="E36" s="693" t="s">
        <v>476</v>
      </c>
      <c r="F36" s="494">
        <f>P!AM36-P!AE36-P!AK36-P!AL36-P!AF36-P!AH36-W36</f>
        <v>379.1615271782486</v>
      </c>
      <c r="G36" s="495">
        <v>4062</v>
      </c>
      <c r="H36" s="488">
        <f t="shared" si="0"/>
        <v>1540154.1233980458</v>
      </c>
      <c r="I36" s="480">
        <v>1</v>
      </c>
      <c r="J36" s="525">
        <v>1</v>
      </c>
      <c r="K36" s="488">
        <f t="shared" si="1"/>
        <v>300000</v>
      </c>
      <c r="L36" s="488">
        <f t="shared" si="2"/>
        <v>1240154.1233980458</v>
      </c>
      <c r="M36" s="489">
        <f t="shared" si="4"/>
        <v>0</v>
      </c>
      <c r="N36" s="488">
        <f t="shared" si="5"/>
        <v>0</v>
      </c>
      <c r="O36" s="490">
        <f t="shared" si="31"/>
        <v>0</v>
      </c>
      <c r="P36" s="491">
        <f t="shared" si="6"/>
        <v>0</v>
      </c>
      <c r="R36" s="1212">
        <v>36442</v>
      </c>
      <c r="S36" s="1170">
        <v>44835</v>
      </c>
      <c r="T36" s="1174">
        <f>P!AM36-P!AF36</f>
        <v>405.06994667603294</v>
      </c>
      <c r="U36" s="1176">
        <f t="shared" si="7"/>
        <v>1645394.1233980458</v>
      </c>
      <c r="V36" s="1206">
        <f t="shared" si="8"/>
        <v>24000</v>
      </c>
      <c r="W36" s="1194">
        <f t="shared" si="9"/>
        <v>5.9084194977843429</v>
      </c>
    </row>
    <row r="37" spans="1:23" s="477" customFormat="1" ht="31.5" customHeight="1">
      <c r="A37" s="478">
        <v>31</v>
      </c>
      <c r="B37" s="572" t="s">
        <v>1530</v>
      </c>
      <c r="C37" s="1079" t="s">
        <v>1534</v>
      </c>
      <c r="D37" s="1474">
        <v>44701</v>
      </c>
      <c r="E37" s="693" t="s">
        <v>476</v>
      </c>
      <c r="F37" s="494">
        <f>P!AM37-P!AE37-P!AK37-P!AL37-P!AF37-P!AH37-W37</f>
        <v>378.4973497329849</v>
      </c>
      <c r="G37" s="495">
        <v>4062</v>
      </c>
      <c r="H37" s="488">
        <f t="shared" si="0"/>
        <v>1537456.2346153846</v>
      </c>
      <c r="I37" s="480"/>
      <c r="J37" s="525">
        <v>2</v>
      </c>
      <c r="K37" s="488">
        <f t="shared" si="1"/>
        <v>300000</v>
      </c>
      <c r="L37" s="488">
        <f t="shared" si="2"/>
        <v>1237456.2346153846</v>
      </c>
      <c r="M37" s="489">
        <f t="shared" si="4"/>
        <v>0</v>
      </c>
      <c r="N37" s="488">
        <f t="shared" si="5"/>
        <v>0</v>
      </c>
      <c r="O37" s="490">
        <f t="shared" si="31"/>
        <v>0</v>
      </c>
      <c r="P37" s="491">
        <f t="shared" si="6"/>
        <v>0</v>
      </c>
      <c r="R37" s="1212">
        <v>36076</v>
      </c>
      <c r="S37" s="1170">
        <v>44835</v>
      </c>
      <c r="T37" s="1174">
        <f>P!AM37-P!AF37</f>
        <v>404.40576923076924</v>
      </c>
      <c r="U37" s="1176">
        <f t="shared" si="7"/>
        <v>1642696.2346153846</v>
      </c>
      <c r="V37" s="1206">
        <f t="shared" si="8"/>
        <v>24000</v>
      </c>
      <c r="W37" s="1194">
        <f t="shared" si="9"/>
        <v>5.9084194977843429</v>
      </c>
    </row>
    <row r="38" spans="1:23" s="477" customFormat="1" ht="31.5" customHeight="1">
      <c r="A38" s="478">
        <v>32</v>
      </c>
      <c r="B38" s="785" t="s">
        <v>1575</v>
      </c>
      <c r="C38" s="1095" t="s">
        <v>1576</v>
      </c>
      <c r="D38" s="1473">
        <v>44725</v>
      </c>
      <c r="E38" s="693" t="s">
        <v>476</v>
      </c>
      <c r="F38" s="494">
        <f>P!AM38-P!AE38-P!AK38-P!AL38-P!AF38-P!AH38-W38</f>
        <v>362.03388819452334</v>
      </c>
      <c r="G38" s="495">
        <v>4062</v>
      </c>
      <c r="H38" s="488">
        <f t="shared" si="0"/>
        <v>1470581.6538461538</v>
      </c>
      <c r="I38" s="480"/>
      <c r="J38" s="525">
        <v>2</v>
      </c>
      <c r="K38" s="488">
        <f t="shared" si="1"/>
        <v>300000</v>
      </c>
      <c r="L38" s="488">
        <f t="shared" si="2"/>
        <v>1170581.6538461538</v>
      </c>
      <c r="M38" s="489">
        <f t="shared" si="4"/>
        <v>0</v>
      </c>
      <c r="N38" s="488">
        <f t="shared" si="5"/>
        <v>0</v>
      </c>
      <c r="O38" s="490">
        <f t="shared" ref="O38:O39" si="32">L38*M38-N38</f>
        <v>0</v>
      </c>
      <c r="P38" s="491">
        <f t="shared" si="6"/>
        <v>0</v>
      </c>
      <c r="R38" s="1186">
        <v>31475</v>
      </c>
      <c r="S38" s="1170">
        <v>44835</v>
      </c>
      <c r="T38" s="1174">
        <f>P!AM38-P!AF38</f>
        <v>387.94230769230768</v>
      </c>
      <c r="U38" s="1176">
        <f t="shared" si="7"/>
        <v>1575821.6538461538</v>
      </c>
      <c r="V38" s="1206">
        <f t="shared" si="8"/>
        <v>24000</v>
      </c>
      <c r="W38" s="1194">
        <f t="shared" si="9"/>
        <v>5.9084194977843429</v>
      </c>
    </row>
    <row r="39" spans="1:23" s="477" customFormat="1" ht="31.5" customHeight="1">
      <c r="A39" s="478">
        <v>33</v>
      </c>
      <c r="B39" s="572" t="s">
        <v>1634</v>
      </c>
      <c r="C39" s="956" t="s">
        <v>1635</v>
      </c>
      <c r="D39" s="1474">
        <v>44774</v>
      </c>
      <c r="E39" s="693" t="s">
        <v>476</v>
      </c>
      <c r="F39" s="494">
        <f>P!AM39-P!AE39-P!AK39-P!AL39-P!AF39-P!AH39-W39</f>
        <v>333.90588681972213</v>
      </c>
      <c r="G39" s="495">
        <v>4062</v>
      </c>
      <c r="H39" s="488">
        <f t="shared" si="0"/>
        <v>1356325.7122617112</v>
      </c>
      <c r="I39" s="480"/>
      <c r="J39" s="525">
        <v>1</v>
      </c>
      <c r="K39" s="488">
        <f t="shared" si="1"/>
        <v>150000</v>
      </c>
      <c r="L39" s="488">
        <f t="shared" si="2"/>
        <v>1206325.7122617112</v>
      </c>
      <c r="M39" s="489">
        <f t="shared" si="4"/>
        <v>0</v>
      </c>
      <c r="N39" s="488">
        <f t="shared" si="5"/>
        <v>0</v>
      </c>
      <c r="O39" s="490">
        <f t="shared" si="32"/>
        <v>0</v>
      </c>
      <c r="P39" s="491">
        <f t="shared" si="6"/>
        <v>0</v>
      </c>
      <c r="R39" s="1208">
        <v>29966</v>
      </c>
      <c r="S39" s="1179">
        <v>44835</v>
      </c>
      <c r="T39" s="1174">
        <f>P!AM39-P!AF39</f>
        <v>359.81430631750646</v>
      </c>
      <c r="U39" s="1176">
        <f t="shared" si="7"/>
        <v>1461565.7122617112</v>
      </c>
      <c r="V39" s="1206">
        <f t="shared" si="8"/>
        <v>24000</v>
      </c>
      <c r="W39" s="1194">
        <f t="shared" si="9"/>
        <v>5.9084194977843429</v>
      </c>
    </row>
    <row r="40" spans="1:23" s="477" customFormat="1" ht="31.5" customHeight="1">
      <c r="A40" s="478">
        <v>34</v>
      </c>
      <c r="B40" s="1381" t="s">
        <v>1855</v>
      </c>
      <c r="C40" s="1384" t="s">
        <v>1863</v>
      </c>
      <c r="D40" s="1475">
        <v>45036</v>
      </c>
      <c r="E40" s="693" t="s">
        <v>476</v>
      </c>
      <c r="F40" s="494">
        <f>P!AM40-P!AE40-P!AK40-P!AL40-P!AF40-P!AH40-W40</f>
        <v>374.72619588683108</v>
      </c>
      <c r="G40" s="495">
        <v>4062</v>
      </c>
      <c r="H40" s="488">
        <f t="shared" si="0"/>
        <v>1522137.8076923077</v>
      </c>
      <c r="I40" s="480"/>
      <c r="J40" s="525">
        <v>0</v>
      </c>
      <c r="K40" s="488">
        <f t="shared" si="1"/>
        <v>0</v>
      </c>
      <c r="L40" s="488">
        <f t="shared" si="2"/>
        <v>1522137.8076923077</v>
      </c>
      <c r="M40" s="489">
        <f t="shared" ref="M40:M52" si="33">IF(L40&gt;=12500000,20%,IF(L40&gt;=8500001,15%,IF(L40&gt;=2000001,10%,IF(L40&gt;=1500001,5%,0%))))</f>
        <v>0.05</v>
      </c>
      <c r="N40" s="488">
        <f t="shared" si="5"/>
        <v>75000</v>
      </c>
      <c r="O40" s="490">
        <f t="shared" ref="O40:O52" si="34">L40*M40-N40</f>
        <v>1106.8903846153844</v>
      </c>
      <c r="P40" s="491">
        <f t="shared" si="6"/>
        <v>0.27249886376548116</v>
      </c>
      <c r="R40" s="1558">
        <v>38257</v>
      </c>
      <c r="S40" s="1179">
        <v>44836</v>
      </c>
      <c r="T40" s="1174">
        <f>P!AM40-P!AF40</f>
        <v>400.63461538461542</v>
      </c>
      <c r="U40" s="1176">
        <f t="shared" si="7"/>
        <v>1627377.8076923077</v>
      </c>
      <c r="V40" s="1206">
        <f t="shared" si="8"/>
        <v>24000</v>
      </c>
      <c r="W40" s="1194">
        <f t="shared" si="9"/>
        <v>5.9084194977843429</v>
      </c>
    </row>
    <row r="41" spans="1:23" s="477" customFormat="1" ht="31.5" customHeight="1">
      <c r="A41" s="478">
        <v>35</v>
      </c>
      <c r="B41" s="1381" t="s">
        <v>1856</v>
      </c>
      <c r="C41" s="1384" t="s">
        <v>1864</v>
      </c>
      <c r="D41" s="1475">
        <v>45036</v>
      </c>
      <c r="E41" s="693" t="s">
        <v>476</v>
      </c>
      <c r="F41" s="494">
        <f>P!AM41-P!AE41-P!AK41-P!AL41-P!AF41-P!AH41-W41</f>
        <v>358.83388819452335</v>
      </c>
      <c r="G41" s="495">
        <v>4062</v>
      </c>
      <c r="H41" s="488">
        <f t="shared" si="0"/>
        <v>1457583.2538461538</v>
      </c>
      <c r="I41" s="480"/>
      <c r="J41" s="525">
        <v>2</v>
      </c>
      <c r="K41" s="488">
        <f t="shared" si="1"/>
        <v>300000</v>
      </c>
      <c r="L41" s="488">
        <f>H41-K41</f>
        <v>1157583.2538461538</v>
      </c>
      <c r="M41" s="489">
        <f t="shared" si="33"/>
        <v>0</v>
      </c>
      <c r="N41" s="488">
        <f t="shared" si="5"/>
        <v>0</v>
      </c>
      <c r="O41" s="490">
        <f t="shared" si="34"/>
        <v>0</v>
      </c>
      <c r="P41" s="491">
        <f t="shared" si="6"/>
        <v>0</v>
      </c>
      <c r="R41" s="1558">
        <v>30967</v>
      </c>
      <c r="S41" s="1179">
        <v>44838</v>
      </c>
      <c r="T41" s="1174">
        <f>P!AM41-P!AF41</f>
        <v>384.74230769230769</v>
      </c>
      <c r="U41" s="1176">
        <f t="shared" si="7"/>
        <v>1562823.2538461538</v>
      </c>
      <c r="V41" s="1206">
        <f t="shared" si="8"/>
        <v>24000</v>
      </c>
      <c r="W41" s="1194">
        <f t="shared" si="9"/>
        <v>5.9084194977843429</v>
      </c>
    </row>
    <row r="42" spans="1:23" s="477" customFormat="1" ht="31.5" customHeight="1">
      <c r="A42" s="478">
        <v>36</v>
      </c>
      <c r="B42" s="1381" t="s">
        <v>1857</v>
      </c>
      <c r="C42" s="1384" t="s">
        <v>1865</v>
      </c>
      <c r="D42" s="1475">
        <v>45036</v>
      </c>
      <c r="E42" s="693" t="s">
        <v>476</v>
      </c>
      <c r="F42" s="494">
        <f>P!AM42-P!AE42-P!AK42-P!AL42-P!AF42-P!AH42-W42</f>
        <v>360.30504204067717</v>
      </c>
      <c r="G42" s="495">
        <v>4062</v>
      </c>
      <c r="H42" s="488">
        <f t="shared" si="0"/>
        <v>1463559.0807692306</v>
      </c>
      <c r="I42" s="480"/>
      <c r="J42" s="525">
        <v>0</v>
      </c>
      <c r="K42" s="488">
        <f t="shared" si="1"/>
        <v>0</v>
      </c>
      <c r="L42" s="488">
        <f t="shared" si="2"/>
        <v>1463559.0807692306</v>
      </c>
      <c r="M42" s="489">
        <f t="shared" si="33"/>
        <v>0</v>
      </c>
      <c r="N42" s="488">
        <f t="shared" si="5"/>
        <v>0</v>
      </c>
      <c r="O42" s="490">
        <f t="shared" si="34"/>
        <v>0</v>
      </c>
      <c r="P42" s="491">
        <f t="shared" si="6"/>
        <v>0</v>
      </c>
      <c r="R42" s="1558">
        <v>38436</v>
      </c>
      <c r="S42" s="1179">
        <v>44840</v>
      </c>
      <c r="T42" s="1174">
        <f>P!AM42-P!AF42</f>
        <v>386.2134615384615</v>
      </c>
      <c r="U42" s="1176">
        <f t="shared" si="7"/>
        <v>1568799.0807692306</v>
      </c>
      <c r="V42" s="1206">
        <f t="shared" si="8"/>
        <v>24000</v>
      </c>
      <c r="W42" s="1194">
        <f t="shared" si="9"/>
        <v>5.9084194977843429</v>
      </c>
    </row>
    <row r="43" spans="1:23" s="477" customFormat="1" ht="31.5" customHeight="1">
      <c r="A43" s="478">
        <v>37</v>
      </c>
      <c r="B43" s="1381" t="s">
        <v>1858</v>
      </c>
      <c r="C43" s="1384" t="s">
        <v>1866</v>
      </c>
      <c r="D43" s="1475">
        <v>45036</v>
      </c>
      <c r="E43" s="693" t="s">
        <v>476</v>
      </c>
      <c r="F43" s="494">
        <f>P!AM43-P!AE43-P!AK43-P!AL43-P!AF43-P!AH43-W43</f>
        <v>366.18965742529252</v>
      </c>
      <c r="G43" s="495">
        <v>4062</v>
      </c>
      <c r="H43" s="488">
        <f t="shared" si="0"/>
        <v>1487462.3884615381</v>
      </c>
      <c r="I43" s="480"/>
      <c r="J43" s="525">
        <v>1</v>
      </c>
      <c r="K43" s="488">
        <f t="shared" si="1"/>
        <v>150000</v>
      </c>
      <c r="L43" s="488">
        <f t="shared" si="2"/>
        <v>1337462.3884615381</v>
      </c>
      <c r="M43" s="489">
        <f t="shared" si="33"/>
        <v>0</v>
      </c>
      <c r="N43" s="488">
        <f t="shared" si="5"/>
        <v>0</v>
      </c>
      <c r="O43" s="490">
        <f t="shared" si="34"/>
        <v>0</v>
      </c>
      <c r="P43" s="491">
        <f t="shared" si="6"/>
        <v>0</v>
      </c>
      <c r="R43" s="1558">
        <v>36252</v>
      </c>
      <c r="S43" s="1179">
        <v>44842</v>
      </c>
      <c r="T43" s="1174">
        <f>P!AM43-P!AF43</f>
        <v>392.09807692307686</v>
      </c>
      <c r="U43" s="1176">
        <f t="shared" si="7"/>
        <v>1592702.3884615381</v>
      </c>
      <c r="V43" s="1206">
        <f t="shared" si="8"/>
        <v>24000</v>
      </c>
      <c r="W43" s="1194">
        <f t="shared" si="9"/>
        <v>5.9084194977843429</v>
      </c>
    </row>
    <row r="44" spans="1:23" s="477" customFormat="1" ht="31.5" customHeight="1">
      <c r="A44" s="478">
        <v>38</v>
      </c>
      <c r="B44" s="1381" t="s">
        <v>1859</v>
      </c>
      <c r="C44" s="1384" t="s">
        <v>1867</v>
      </c>
      <c r="D44" s="1475">
        <v>45036</v>
      </c>
      <c r="E44" s="693" t="s">
        <v>476</v>
      </c>
      <c r="F44" s="494">
        <f>P!AM44-P!AE44-P!AK44-P!AL44-P!AF44-P!AH44-W44</f>
        <v>360.50504204067715</v>
      </c>
      <c r="G44" s="495">
        <v>4062</v>
      </c>
      <c r="H44" s="488">
        <f t="shared" si="0"/>
        <v>1464371.4807692305</v>
      </c>
      <c r="I44" s="480"/>
      <c r="J44" s="525">
        <v>0</v>
      </c>
      <c r="K44" s="488">
        <f t="shared" si="1"/>
        <v>0</v>
      </c>
      <c r="L44" s="488">
        <f t="shared" si="2"/>
        <v>1464371.4807692305</v>
      </c>
      <c r="M44" s="489">
        <f t="shared" si="33"/>
        <v>0</v>
      </c>
      <c r="N44" s="488">
        <f t="shared" si="5"/>
        <v>0</v>
      </c>
      <c r="O44" s="490">
        <f t="shared" si="34"/>
        <v>0</v>
      </c>
      <c r="P44" s="491">
        <f t="shared" si="6"/>
        <v>0</v>
      </c>
      <c r="R44" s="1558">
        <v>38026</v>
      </c>
      <c r="S44" s="1179">
        <v>44844</v>
      </c>
      <c r="T44" s="1174">
        <f>P!AM44-P!AF44</f>
        <v>386.41346153846149</v>
      </c>
      <c r="U44" s="1176">
        <f t="shared" si="7"/>
        <v>1569611.4807692305</v>
      </c>
      <c r="V44" s="1206">
        <f t="shared" si="8"/>
        <v>24000</v>
      </c>
      <c r="W44" s="1194">
        <f t="shared" si="9"/>
        <v>5.9084194977843429</v>
      </c>
    </row>
    <row r="45" spans="1:23" s="477" customFormat="1" ht="31.5" customHeight="1">
      <c r="A45" s="478">
        <v>39</v>
      </c>
      <c r="B45" s="1381" t="s">
        <v>1860</v>
      </c>
      <c r="C45" s="1384" t="s">
        <v>1868</v>
      </c>
      <c r="D45" s="1475">
        <v>45036</v>
      </c>
      <c r="E45" s="693" t="s">
        <v>476</v>
      </c>
      <c r="F45" s="494">
        <f>P!AM45-P!AE45-P!AK45-P!AL45-P!AF45-P!AH45-W45</f>
        <v>351.64927280990793</v>
      </c>
      <c r="G45" s="495">
        <v>4062</v>
      </c>
      <c r="H45" s="488">
        <f t="shared" si="0"/>
        <v>1428399.346153846</v>
      </c>
      <c r="I45" s="480"/>
      <c r="J45" s="525">
        <v>3</v>
      </c>
      <c r="K45" s="488">
        <f t="shared" si="1"/>
        <v>450000</v>
      </c>
      <c r="L45" s="488">
        <f t="shared" si="2"/>
        <v>978399.34615384601</v>
      </c>
      <c r="M45" s="489">
        <f t="shared" si="33"/>
        <v>0</v>
      </c>
      <c r="N45" s="488">
        <f t="shared" si="5"/>
        <v>0</v>
      </c>
      <c r="O45" s="490">
        <f t="shared" si="34"/>
        <v>0</v>
      </c>
      <c r="P45" s="491">
        <f t="shared" si="6"/>
        <v>0</v>
      </c>
      <c r="R45" s="1558">
        <v>29288</v>
      </c>
      <c r="S45" s="1179">
        <v>44845</v>
      </c>
      <c r="T45" s="1174">
        <f>P!AM45-P!AF45</f>
        <v>377.55769230769226</v>
      </c>
      <c r="U45" s="1176">
        <f t="shared" si="7"/>
        <v>1533639.346153846</v>
      </c>
      <c r="V45" s="1206">
        <f t="shared" si="8"/>
        <v>24000</v>
      </c>
      <c r="W45" s="1194">
        <f t="shared" si="9"/>
        <v>5.9084194977843429</v>
      </c>
    </row>
    <row r="46" spans="1:23" s="477" customFormat="1" ht="31.5" customHeight="1">
      <c r="A46" s="478">
        <v>40</v>
      </c>
      <c r="B46" s="1381" t="s">
        <v>1861</v>
      </c>
      <c r="C46" s="1384" t="s">
        <v>1869</v>
      </c>
      <c r="D46" s="1475">
        <v>45036</v>
      </c>
      <c r="E46" s="693" t="s">
        <v>476</v>
      </c>
      <c r="F46" s="494">
        <f>P!AM46-P!AE46-P!AK46-P!AL46-P!AF46-P!AH46-W46</f>
        <v>337.53988240495232</v>
      </c>
      <c r="G46" s="495">
        <v>4062</v>
      </c>
      <c r="H46" s="488">
        <f t="shared" si="0"/>
        <v>1371087.0023289162</v>
      </c>
      <c r="I46" s="480"/>
      <c r="J46" s="525">
        <v>1</v>
      </c>
      <c r="K46" s="488">
        <f t="shared" si="1"/>
        <v>150000</v>
      </c>
      <c r="L46" s="488">
        <f t="shared" si="2"/>
        <v>1221087.0023289162</v>
      </c>
      <c r="M46" s="489">
        <f t="shared" si="33"/>
        <v>0</v>
      </c>
      <c r="N46" s="488">
        <f t="shared" si="5"/>
        <v>0</v>
      </c>
      <c r="O46" s="490">
        <f t="shared" si="34"/>
        <v>0</v>
      </c>
      <c r="P46" s="491">
        <f t="shared" si="6"/>
        <v>0</v>
      </c>
      <c r="R46" s="1558">
        <v>31607</v>
      </c>
      <c r="S46" s="1179">
        <v>44846</v>
      </c>
      <c r="T46" s="1174">
        <f>P!AM46-P!AF46</f>
        <v>363.44830190273666</v>
      </c>
      <c r="U46" s="1176">
        <f t="shared" si="7"/>
        <v>1476327.0023289162</v>
      </c>
      <c r="V46" s="1206">
        <f t="shared" si="8"/>
        <v>24000</v>
      </c>
      <c r="W46" s="1194">
        <f t="shared" si="9"/>
        <v>5.9084194977843429</v>
      </c>
    </row>
    <row r="47" spans="1:23" s="477" customFormat="1" ht="31.5" customHeight="1">
      <c r="A47" s="478">
        <v>41</v>
      </c>
      <c r="B47" s="1381" t="s">
        <v>1862</v>
      </c>
      <c r="C47" s="1384" t="s">
        <v>1870</v>
      </c>
      <c r="D47" s="1475">
        <v>45036</v>
      </c>
      <c r="E47" s="693" t="s">
        <v>476</v>
      </c>
      <c r="F47" s="494">
        <f>P!AM47-P!AE47-P!AK47-P!AL47-P!AF47-P!AH47-W47</f>
        <v>371.38388819452337</v>
      </c>
      <c r="G47" s="495">
        <v>4062</v>
      </c>
      <c r="H47" s="488">
        <f t="shared" si="0"/>
        <v>1508561.3538461539</v>
      </c>
      <c r="I47" s="480"/>
      <c r="J47" s="525">
        <v>4</v>
      </c>
      <c r="K47" s="488">
        <f t="shared" si="1"/>
        <v>600000</v>
      </c>
      <c r="L47" s="488">
        <f t="shared" si="2"/>
        <v>908561.35384615394</v>
      </c>
      <c r="M47" s="489">
        <f t="shared" ref="M47:M49" si="35">IF(L47&gt;=12500000,20%,IF(L47&gt;=8500001,15%,IF(L47&gt;=2000001,10%,IF(L47&gt;=1500001,5%,0%))))</f>
        <v>0</v>
      </c>
      <c r="N47" s="488">
        <f t="shared" si="5"/>
        <v>0</v>
      </c>
      <c r="O47" s="490">
        <f t="shared" ref="O47:O49" si="36">L47*M47-N47</f>
        <v>0</v>
      </c>
      <c r="P47" s="491">
        <f t="shared" si="6"/>
        <v>0</v>
      </c>
      <c r="R47" s="1558">
        <v>29647</v>
      </c>
      <c r="S47" s="1179">
        <v>44847</v>
      </c>
      <c r="T47" s="1174">
        <f>P!AM47-P!AF47</f>
        <v>402.2923076923077</v>
      </c>
      <c r="U47" s="1176">
        <f t="shared" si="7"/>
        <v>1634111.3538461539</v>
      </c>
      <c r="V47" s="1206">
        <f t="shared" si="8"/>
        <v>24000</v>
      </c>
      <c r="W47" s="1194">
        <f t="shared" si="9"/>
        <v>5.9084194977843429</v>
      </c>
    </row>
    <row r="48" spans="1:23" s="477" customFormat="1" ht="31.5" customHeight="1">
      <c r="A48" s="478">
        <v>42</v>
      </c>
      <c r="B48" s="1445" t="s">
        <v>2201</v>
      </c>
      <c r="C48" s="1079" t="s">
        <v>2202</v>
      </c>
      <c r="D48" s="1382">
        <v>45419</v>
      </c>
      <c r="E48" s="627" t="s">
        <v>476</v>
      </c>
      <c r="F48" s="494">
        <f>P!AM48-P!AE48-P!AK48-P!AL48-P!AF48-P!AH48-W48</f>
        <v>376.58196511760025</v>
      </c>
      <c r="G48" s="495">
        <v>4062</v>
      </c>
      <c r="H48" s="488">
        <f t="shared" si="0"/>
        <v>1529675.9423076923</v>
      </c>
      <c r="I48" s="480"/>
      <c r="J48" s="525">
        <v>2</v>
      </c>
      <c r="K48" s="488">
        <f t="shared" si="1"/>
        <v>300000</v>
      </c>
      <c r="L48" s="488">
        <f t="shared" si="2"/>
        <v>1229675.9423076923</v>
      </c>
      <c r="M48" s="489">
        <f t="shared" si="35"/>
        <v>0</v>
      </c>
      <c r="N48" s="488">
        <f t="shared" si="5"/>
        <v>0</v>
      </c>
      <c r="O48" s="490">
        <f t="shared" si="36"/>
        <v>0</v>
      </c>
      <c r="P48" s="491">
        <f t="shared" si="6"/>
        <v>0</v>
      </c>
      <c r="R48" s="1743">
        <v>35765</v>
      </c>
      <c r="S48" s="1170">
        <v>44836</v>
      </c>
      <c r="T48" s="1174">
        <f>P!AM48-P!AF48</f>
        <v>407.49038461538458</v>
      </c>
      <c r="U48" s="1176">
        <f t="shared" si="7"/>
        <v>1655225.9423076923</v>
      </c>
      <c r="V48" s="1206">
        <f t="shared" si="8"/>
        <v>24000</v>
      </c>
      <c r="W48" s="1194">
        <f t="shared" si="9"/>
        <v>5.9084194977843429</v>
      </c>
    </row>
    <row r="49" spans="1:23" s="477" customFormat="1" ht="31.5" customHeight="1">
      <c r="A49" s="478">
        <v>43</v>
      </c>
      <c r="B49" s="1360" t="s">
        <v>2217</v>
      </c>
      <c r="C49" s="1095" t="s">
        <v>2221</v>
      </c>
      <c r="D49" s="1328">
        <v>45475</v>
      </c>
      <c r="E49" s="693" t="s">
        <v>476</v>
      </c>
      <c r="F49" s="494">
        <f>P!AM49-P!AE49-P!AK49-P!AL49-P!AF49-P!AH49-W49</f>
        <v>340.57234973298483</v>
      </c>
      <c r="G49" s="495">
        <v>4062</v>
      </c>
      <c r="H49" s="488">
        <f t="shared" si="0"/>
        <v>1383404.8846153843</v>
      </c>
      <c r="I49" s="480"/>
      <c r="J49" s="525">
        <v>3</v>
      </c>
      <c r="K49" s="488">
        <f t="shared" si="1"/>
        <v>450000</v>
      </c>
      <c r="L49" s="488">
        <f t="shared" si="2"/>
        <v>933404.88461538428</v>
      </c>
      <c r="M49" s="489">
        <f t="shared" si="35"/>
        <v>0</v>
      </c>
      <c r="N49" s="488">
        <f t="shared" si="5"/>
        <v>0</v>
      </c>
      <c r="O49" s="490">
        <f t="shared" si="36"/>
        <v>0</v>
      </c>
      <c r="P49" s="491">
        <f t="shared" si="6"/>
        <v>0</v>
      </c>
      <c r="R49" s="688">
        <v>33331</v>
      </c>
      <c r="S49" s="1170">
        <v>44836</v>
      </c>
      <c r="T49" s="1174">
        <f>P!AM49-P!AF49</f>
        <v>366.48076923076917</v>
      </c>
      <c r="U49" s="1176">
        <f t="shared" si="7"/>
        <v>1488644.8846153843</v>
      </c>
      <c r="V49" s="1206">
        <f t="shared" si="8"/>
        <v>24000</v>
      </c>
      <c r="W49" s="1194">
        <f t="shared" si="9"/>
        <v>5.9084194977843429</v>
      </c>
    </row>
    <row r="50" spans="1:23" s="477" customFormat="1" ht="31.5" customHeight="1">
      <c r="A50" s="478">
        <v>44</v>
      </c>
      <c r="B50" s="1360" t="s">
        <v>2218</v>
      </c>
      <c r="C50" s="1095" t="s">
        <v>2222</v>
      </c>
      <c r="D50" s="1328">
        <v>45496</v>
      </c>
      <c r="E50" s="693" t="s">
        <v>476</v>
      </c>
      <c r="F50" s="494">
        <f>P!AM50-P!AE50-P!AK50-P!AL50-P!AF50-P!AH50-W50</f>
        <v>340.52234973298488</v>
      </c>
      <c r="G50" s="495">
        <v>4062</v>
      </c>
      <c r="H50" s="488">
        <f t="shared" si="0"/>
        <v>1383201.7846153846</v>
      </c>
      <c r="I50" s="480">
        <v>1</v>
      </c>
      <c r="J50" s="525">
        <v>1</v>
      </c>
      <c r="K50" s="488">
        <f t="shared" si="1"/>
        <v>300000</v>
      </c>
      <c r="L50" s="488">
        <f t="shared" ref="L50" si="37">H50-K50</f>
        <v>1083201.7846153846</v>
      </c>
      <c r="M50" s="489">
        <f t="shared" ref="M50" si="38">IF(L50&gt;=12500000,20%,IF(L50&gt;=8500001,15%,IF(L50&gt;=2000001,10%,IF(L50&gt;=1500001,5%,0%))))</f>
        <v>0</v>
      </c>
      <c r="N50" s="488">
        <f t="shared" si="5"/>
        <v>0</v>
      </c>
      <c r="O50" s="490">
        <f t="shared" ref="O50" si="39">L50*M50-N50</f>
        <v>0</v>
      </c>
      <c r="P50" s="491">
        <f t="shared" si="6"/>
        <v>0</v>
      </c>
      <c r="R50" s="688">
        <v>30933</v>
      </c>
      <c r="S50" s="1170">
        <v>44836</v>
      </c>
      <c r="T50" s="1174">
        <f>P!AM50-P!AF50</f>
        <v>366.43076923076922</v>
      </c>
      <c r="U50" s="1176">
        <f t="shared" si="7"/>
        <v>1488441.7846153846</v>
      </c>
      <c r="V50" s="1206">
        <f t="shared" si="8"/>
        <v>24000</v>
      </c>
      <c r="W50" s="1194">
        <f t="shared" si="9"/>
        <v>5.9084194977843429</v>
      </c>
    </row>
    <row r="51" spans="1:23" s="477" customFormat="1" ht="31.5" customHeight="1">
      <c r="A51" s="478">
        <v>45</v>
      </c>
      <c r="B51" s="1360" t="s">
        <v>2219</v>
      </c>
      <c r="C51" s="1095" t="s">
        <v>2223</v>
      </c>
      <c r="D51" s="1328">
        <v>45498</v>
      </c>
      <c r="E51" s="627" t="s">
        <v>476</v>
      </c>
      <c r="F51" s="494">
        <f>P!AM51-P!AE51-P!AK51-P!AL51-P!AF51-P!AH51-W51</f>
        <v>279.78388819452334</v>
      </c>
      <c r="G51" s="495">
        <v>4062</v>
      </c>
      <c r="H51" s="488">
        <f t="shared" si="0"/>
        <v>1136482.1538461538</v>
      </c>
      <c r="I51" s="480">
        <v>1</v>
      </c>
      <c r="J51" s="525">
        <v>0</v>
      </c>
      <c r="K51" s="488">
        <f t="shared" si="1"/>
        <v>150000</v>
      </c>
      <c r="L51" s="488">
        <f t="shared" ref="L51:L52" si="40">H51-K51</f>
        <v>986482.15384615376</v>
      </c>
      <c r="M51" s="489">
        <f t="shared" si="33"/>
        <v>0</v>
      </c>
      <c r="N51" s="488">
        <f t="shared" si="5"/>
        <v>0</v>
      </c>
      <c r="O51" s="490">
        <f t="shared" si="34"/>
        <v>0</v>
      </c>
      <c r="P51" s="491">
        <f t="shared" si="6"/>
        <v>0</v>
      </c>
      <c r="R51" s="688">
        <v>37021</v>
      </c>
      <c r="S51" s="1170">
        <v>44836</v>
      </c>
      <c r="T51" s="1174">
        <f>P!AM51-P!AF51</f>
        <v>305.69230769230768</v>
      </c>
      <c r="U51" s="1176">
        <f t="shared" si="7"/>
        <v>1241722.1538461538</v>
      </c>
      <c r="V51" s="1206">
        <f t="shared" si="8"/>
        <v>24000</v>
      </c>
      <c r="W51" s="1194">
        <f t="shared" si="9"/>
        <v>5.9084194977843429</v>
      </c>
    </row>
    <row r="52" spans="1:23" s="477" customFormat="1" ht="31.5" customHeight="1">
      <c r="A52" s="478">
        <v>46</v>
      </c>
      <c r="B52" s="1360" t="s">
        <v>2220</v>
      </c>
      <c r="C52" s="1095" t="s">
        <v>2224</v>
      </c>
      <c r="D52" s="1328">
        <v>45498</v>
      </c>
      <c r="E52" s="627" t="s">
        <v>476</v>
      </c>
      <c r="F52" s="494">
        <f>P!AM52-P!AE52-P!AK52-P!AL52-P!AF52-P!AH52-W52</f>
        <v>332.74734973298484</v>
      </c>
      <c r="G52" s="495">
        <v>4062</v>
      </c>
      <c r="H52" s="488">
        <f t="shared" si="0"/>
        <v>1351619.7346153844</v>
      </c>
      <c r="I52" s="480">
        <v>1</v>
      </c>
      <c r="J52" s="525">
        <v>0</v>
      </c>
      <c r="K52" s="488">
        <f t="shared" si="1"/>
        <v>150000</v>
      </c>
      <c r="L52" s="488">
        <f t="shared" si="40"/>
        <v>1201619.7346153844</v>
      </c>
      <c r="M52" s="489">
        <f t="shared" si="33"/>
        <v>0</v>
      </c>
      <c r="N52" s="488">
        <f t="shared" si="5"/>
        <v>0</v>
      </c>
      <c r="O52" s="490">
        <f t="shared" si="34"/>
        <v>0</v>
      </c>
      <c r="P52" s="491">
        <f t="shared" si="6"/>
        <v>0</v>
      </c>
      <c r="R52" s="688">
        <v>38632</v>
      </c>
      <c r="S52" s="1170">
        <v>44837</v>
      </c>
      <c r="T52" s="1174">
        <f>P!AM52-P!AF52</f>
        <v>358.65576923076918</v>
      </c>
      <c r="U52" s="1176">
        <f t="shared" si="7"/>
        <v>1456859.7346153844</v>
      </c>
      <c r="V52" s="1206">
        <f t="shared" si="8"/>
        <v>24000</v>
      </c>
      <c r="W52" s="1194">
        <f t="shared" si="9"/>
        <v>5.9084194977843429</v>
      </c>
    </row>
    <row r="53" spans="1:23" ht="38.25" customHeight="1">
      <c r="A53" s="1338"/>
      <c r="B53" s="1339"/>
      <c r="C53" s="1339"/>
      <c r="D53" s="1339"/>
      <c r="E53" s="1339"/>
      <c r="F53" s="1340">
        <f>SUM(F7:F52)</f>
        <v>16773.7664272691</v>
      </c>
      <c r="G53" s="1339"/>
      <c r="H53" s="1339"/>
      <c r="I53" s="1339"/>
      <c r="J53" s="1339"/>
      <c r="K53" s="1339"/>
      <c r="L53" s="2129" t="s">
        <v>251</v>
      </c>
      <c r="M53" s="2130"/>
      <c r="N53" s="2131"/>
      <c r="O53" s="496">
        <f>SUM(O7:O52)</f>
        <v>25140.995510087771</v>
      </c>
      <c r="P53" s="497">
        <f>SUM(P7:P52)</f>
        <v>6.1893145027296335</v>
      </c>
      <c r="R53" s="1178"/>
      <c r="S53" s="2187" t="s">
        <v>251</v>
      </c>
      <c r="T53" s="2188"/>
      <c r="U53" s="2189"/>
      <c r="V53" s="1210">
        <f>SUM(V7:V52)</f>
        <v>1089728.8024615385</v>
      </c>
      <c r="W53" s="1214">
        <f>SUM(W7:W52)</f>
        <v>268.27395432337215</v>
      </c>
    </row>
  </sheetData>
  <mergeCells count="9">
    <mergeCell ref="L53:N53"/>
    <mergeCell ref="A4:E4"/>
    <mergeCell ref="R1:W1"/>
    <mergeCell ref="R2:W2"/>
    <mergeCell ref="R3:W3"/>
    <mergeCell ref="A1:P1"/>
    <mergeCell ref="A2:P2"/>
    <mergeCell ref="A3:P3"/>
    <mergeCell ref="S53:U53"/>
  </mergeCells>
  <phoneticPr fontId="171" type="noConversion"/>
  <conditionalFormatting sqref="M26:M27 M7:M16 M24 M29:M39 M18:M19 M21:M22">
    <cfRule type="cellIs" dxfId="34" priority="93" stopIfTrue="1" operator="equal">
      <formula>0</formula>
    </cfRule>
  </conditionalFormatting>
  <conditionalFormatting sqref="M40">
    <cfRule type="cellIs" dxfId="33" priority="30" stopIfTrue="1" operator="equal">
      <formula>0</formula>
    </cfRule>
  </conditionalFormatting>
  <conditionalFormatting sqref="M41">
    <cfRule type="cellIs" dxfId="32" priority="28" stopIfTrue="1" operator="equal">
      <formula>0</formula>
    </cfRule>
  </conditionalFormatting>
  <conditionalFormatting sqref="M42">
    <cfRule type="cellIs" dxfId="31" priority="26" stopIfTrue="1" operator="equal">
      <formula>0</formula>
    </cfRule>
  </conditionalFormatting>
  <conditionalFormatting sqref="M43">
    <cfRule type="cellIs" dxfId="30" priority="24" stopIfTrue="1" operator="equal">
      <formula>0</formula>
    </cfRule>
  </conditionalFormatting>
  <conditionalFormatting sqref="M44">
    <cfRule type="cellIs" dxfId="29" priority="22" stopIfTrue="1" operator="equal">
      <formula>0</formula>
    </cfRule>
  </conditionalFormatting>
  <conditionalFormatting sqref="M45">
    <cfRule type="cellIs" dxfId="28" priority="21" stopIfTrue="1" operator="equal">
      <formula>0</formula>
    </cfRule>
  </conditionalFormatting>
  <conditionalFormatting sqref="M46">
    <cfRule type="cellIs" dxfId="27" priority="20" stopIfTrue="1" operator="equal">
      <formula>0</formula>
    </cfRule>
  </conditionalFormatting>
  <conditionalFormatting sqref="M23">
    <cfRule type="cellIs" dxfId="26" priority="17" stopIfTrue="1" operator="equal">
      <formula>0</formula>
    </cfRule>
  </conditionalFormatting>
  <conditionalFormatting sqref="M28">
    <cfRule type="cellIs" dxfId="25" priority="15" stopIfTrue="1" operator="equal">
      <formula>0</formula>
    </cfRule>
  </conditionalFormatting>
  <conditionalFormatting sqref="M47">
    <cfRule type="cellIs" dxfId="24" priority="14" stopIfTrue="1" operator="equal">
      <formula>0</formula>
    </cfRule>
  </conditionalFormatting>
  <conditionalFormatting sqref="M51">
    <cfRule type="cellIs" dxfId="23" priority="11" stopIfTrue="1" operator="equal">
      <formula>0</formula>
    </cfRule>
  </conditionalFormatting>
  <conditionalFormatting sqref="M52">
    <cfRule type="cellIs" dxfId="22" priority="10" stopIfTrue="1" operator="equal">
      <formula>0</formula>
    </cfRule>
  </conditionalFormatting>
  <conditionalFormatting sqref="M25">
    <cfRule type="cellIs" dxfId="21" priority="9" stopIfTrue="1" operator="equal">
      <formula>0</formula>
    </cfRule>
  </conditionalFormatting>
  <conditionalFormatting sqref="M50">
    <cfRule type="cellIs" dxfId="20" priority="8" stopIfTrue="1" operator="equal">
      <formula>0</formula>
    </cfRule>
  </conditionalFormatting>
  <conditionalFormatting sqref="M48">
    <cfRule type="cellIs" dxfId="19" priority="6" stopIfTrue="1" operator="equal">
      <formula>0</formula>
    </cfRule>
  </conditionalFormatting>
  <conditionalFormatting sqref="M49">
    <cfRule type="cellIs" dxfId="18" priority="3" stopIfTrue="1" operator="equal">
      <formula>0</formula>
    </cfRule>
  </conditionalFormatting>
  <conditionalFormatting sqref="M17">
    <cfRule type="cellIs" dxfId="17" priority="2" stopIfTrue="1" operator="equal">
      <formula>0</formula>
    </cfRule>
  </conditionalFormatting>
  <conditionalFormatting sqref="M20">
    <cfRule type="cellIs" dxfId="16" priority="1" stopIfTrue="1" operator="equal">
      <formula>0</formula>
    </cfRule>
  </conditionalFormatting>
  <printOptions horizontalCentered="1"/>
  <pageMargins left="0.2" right="0.19" top="0.2" bottom="0.2" header="0.3" footer="0.31"/>
  <pageSetup paperSize="9" scale="7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29"/>
  <sheetViews>
    <sheetView topLeftCell="A5" zoomScale="110" zoomScaleNormal="110" workbookViewId="0">
      <pane xSplit="4" ySplit="3" topLeftCell="P22" activePane="bottomRight" state="frozen"/>
      <selection activeCell="A5" sqref="A5"/>
      <selection pane="topRight" activeCell="E5" sqref="E5"/>
      <selection pane="bottomLeft" activeCell="A8" sqref="A8"/>
      <selection pane="bottomRight" activeCell="U26" sqref="U26"/>
    </sheetView>
  </sheetViews>
  <sheetFormatPr defaultRowHeight="14.25"/>
  <cols>
    <col min="1" max="1" width="4.875" customWidth="1"/>
    <col min="2" max="2" width="8.125" customWidth="1"/>
    <col min="5" max="5" width="4.625" customWidth="1"/>
    <col min="6" max="17" width="8" customWidth="1"/>
    <col min="18" max="18" width="8.125" customWidth="1"/>
  </cols>
  <sheetData>
    <row r="1" spans="1:37" s="839" customFormat="1" ht="42" hidden="1" customHeight="1">
      <c r="A1" s="2134" t="s">
        <v>222</v>
      </c>
      <c r="B1" s="2134"/>
      <c r="C1" s="2134"/>
      <c r="D1" s="2134"/>
      <c r="E1" s="2134"/>
      <c r="F1" s="2134"/>
      <c r="G1" s="2134"/>
      <c r="H1" s="2134"/>
      <c r="I1" s="2134"/>
      <c r="J1" s="2134"/>
      <c r="K1" s="2134"/>
      <c r="L1" s="2134"/>
      <c r="M1" s="2134"/>
      <c r="N1" s="2134"/>
      <c r="O1" s="2134"/>
      <c r="P1" s="2134"/>
      <c r="Q1" s="2134"/>
      <c r="R1" s="2134"/>
      <c r="S1" s="2134"/>
      <c r="T1" s="2134"/>
      <c r="U1" s="844"/>
      <c r="V1" s="844"/>
      <c r="W1" s="844"/>
    </row>
    <row r="2" spans="1:37" s="871" customFormat="1" ht="42.75" hidden="1" customHeight="1">
      <c r="A2" s="2134" t="s">
        <v>221</v>
      </c>
      <c r="B2" s="2134"/>
      <c r="C2" s="2134"/>
      <c r="D2" s="2134"/>
      <c r="E2" s="2134"/>
      <c r="F2" s="2134"/>
      <c r="G2" s="2134"/>
      <c r="H2" s="2134"/>
      <c r="I2" s="2134"/>
      <c r="J2" s="2134"/>
      <c r="K2" s="2134"/>
      <c r="L2" s="2134"/>
      <c r="M2" s="2134"/>
      <c r="N2" s="2134"/>
      <c r="O2" s="2134"/>
      <c r="P2" s="2134"/>
      <c r="Q2" s="2134"/>
      <c r="R2" s="2134"/>
      <c r="S2" s="2134"/>
      <c r="T2" s="2134"/>
      <c r="U2" s="844"/>
      <c r="V2" s="844"/>
      <c r="W2" s="844"/>
    </row>
    <row r="3" spans="1:37" s="871" customFormat="1" ht="42.75" hidden="1" customHeight="1">
      <c r="A3" s="2135" t="s">
        <v>1070</v>
      </c>
      <c r="B3" s="2135"/>
      <c r="C3" s="2135"/>
      <c r="D3" s="2135"/>
      <c r="E3" s="2135"/>
      <c r="F3" s="2135"/>
      <c r="G3" s="2135"/>
      <c r="H3" s="2135"/>
      <c r="I3" s="2135"/>
      <c r="J3" s="2135"/>
      <c r="K3" s="2135"/>
      <c r="L3" s="2135"/>
      <c r="M3" s="2135"/>
      <c r="N3" s="2135"/>
      <c r="O3" s="2135"/>
      <c r="P3" s="2135"/>
      <c r="Q3" s="2135"/>
      <c r="R3" s="2135"/>
      <c r="S3" s="2135"/>
      <c r="T3" s="2135"/>
      <c r="U3" s="845"/>
      <c r="V3" s="845"/>
      <c r="W3" s="845"/>
    </row>
    <row r="4" spans="1:37" s="871" customFormat="1" ht="42.75" hidden="1" customHeight="1">
      <c r="A4" s="2135" t="s">
        <v>1071</v>
      </c>
      <c r="B4" s="2135"/>
      <c r="C4" s="2135"/>
      <c r="D4" s="2135"/>
      <c r="E4" s="2135"/>
      <c r="F4" s="2135"/>
      <c r="G4" s="2135"/>
      <c r="H4" s="2135"/>
      <c r="I4" s="2135"/>
      <c r="J4" s="2135"/>
      <c r="K4" s="2135"/>
      <c r="L4" s="2135"/>
      <c r="M4" s="2135"/>
      <c r="N4" s="2135"/>
      <c r="O4" s="2135"/>
      <c r="P4" s="2135"/>
      <c r="Q4" s="2135"/>
      <c r="R4" s="2135"/>
      <c r="S4" s="2135"/>
      <c r="T4" s="2135"/>
      <c r="U4" s="845"/>
      <c r="V4" s="845"/>
      <c r="W4" s="845"/>
    </row>
    <row r="5" spans="1:37" s="856" customFormat="1" ht="20.25" customHeight="1">
      <c r="A5" s="2136" t="s">
        <v>354</v>
      </c>
      <c r="B5" s="2136"/>
      <c r="C5" s="2136"/>
      <c r="D5" s="817"/>
      <c r="E5" s="817"/>
      <c r="F5" s="817"/>
      <c r="G5" s="817"/>
      <c r="H5" s="817"/>
      <c r="I5" s="817"/>
      <c r="J5" s="817"/>
      <c r="K5" s="817"/>
      <c r="L5" s="2136" t="s">
        <v>2347</v>
      </c>
      <c r="M5" s="2136"/>
      <c r="N5" s="2136"/>
      <c r="O5" s="2136"/>
      <c r="P5" s="2136"/>
      <c r="Q5" s="2136"/>
      <c r="R5" s="2136"/>
      <c r="S5" s="817"/>
      <c r="T5" s="817"/>
      <c r="U5" s="817"/>
      <c r="V5" s="817"/>
      <c r="W5" s="819"/>
      <c r="X5" s="1222"/>
    </row>
    <row r="6" spans="1:37" ht="33.75" customHeight="1">
      <c r="A6" s="820" t="s">
        <v>252</v>
      </c>
      <c r="B6" s="820" t="s">
        <v>1072</v>
      </c>
      <c r="C6" s="820" t="s">
        <v>1073</v>
      </c>
      <c r="D6" s="820" t="s">
        <v>254</v>
      </c>
      <c r="E6" s="821" t="s">
        <v>227</v>
      </c>
      <c r="F6" s="2178" t="s">
        <v>1074</v>
      </c>
      <c r="G6" s="2179"/>
      <c r="H6" s="2179"/>
      <c r="I6" s="2179"/>
      <c r="J6" s="2179"/>
      <c r="K6" s="2179"/>
      <c r="L6" s="2179"/>
      <c r="M6" s="2179"/>
      <c r="N6" s="2179"/>
      <c r="O6" s="2179"/>
      <c r="P6" s="2179"/>
      <c r="Q6" s="2180"/>
      <c r="R6" s="822" t="s">
        <v>1075</v>
      </c>
      <c r="S6" s="822" t="s">
        <v>1076</v>
      </c>
      <c r="T6" s="822" t="s">
        <v>1077</v>
      </c>
      <c r="U6" s="822" t="s">
        <v>1126</v>
      </c>
      <c r="V6" s="850" t="s">
        <v>1128</v>
      </c>
      <c r="W6" s="823" t="s">
        <v>1078</v>
      </c>
    </row>
    <row r="7" spans="1:37" s="839" customFormat="1" ht="33" customHeight="1">
      <c r="A7" s="824" t="s">
        <v>41</v>
      </c>
      <c r="B7" s="858" t="s">
        <v>42</v>
      </c>
      <c r="C7" s="858" t="s">
        <v>1079</v>
      </c>
      <c r="D7" s="858" t="s">
        <v>1080</v>
      </c>
      <c r="E7" s="859" t="s">
        <v>1081</v>
      </c>
      <c r="F7" s="859" t="s">
        <v>1082</v>
      </c>
      <c r="G7" s="859" t="s">
        <v>1083</v>
      </c>
      <c r="H7" s="859" t="s">
        <v>1084</v>
      </c>
      <c r="I7" s="859" t="s">
        <v>1085</v>
      </c>
      <c r="J7" s="859" t="s">
        <v>1086</v>
      </c>
      <c r="K7" s="825" t="s">
        <v>1087</v>
      </c>
      <c r="L7" s="825" t="s">
        <v>1088</v>
      </c>
      <c r="M7" s="825" t="s">
        <v>1089</v>
      </c>
      <c r="N7" s="825" t="s">
        <v>1090</v>
      </c>
      <c r="O7" s="825" t="s">
        <v>1091</v>
      </c>
      <c r="P7" s="825" t="s">
        <v>1092</v>
      </c>
      <c r="Q7" s="825" t="s">
        <v>1093</v>
      </c>
      <c r="R7" s="826" t="s">
        <v>1094</v>
      </c>
      <c r="S7" s="827" t="s">
        <v>1095</v>
      </c>
      <c r="T7" s="827" t="s">
        <v>1096</v>
      </c>
      <c r="U7" s="852" t="s">
        <v>1125</v>
      </c>
      <c r="V7" s="908" t="s">
        <v>1127</v>
      </c>
      <c r="W7" s="861" t="s">
        <v>1097</v>
      </c>
      <c r="X7" s="837"/>
      <c r="Y7" s="1701">
        <v>1</v>
      </c>
      <c r="Z7" s="1701">
        <v>2</v>
      </c>
      <c r="AA7" s="1701">
        <v>3</v>
      </c>
      <c r="AB7" s="1701">
        <v>4</v>
      </c>
      <c r="AC7" s="1701">
        <v>5</v>
      </c>
      <c r="AD7" s="1701">
        <v>6</v>
      </c>
      <c r="AE7" s="1701">
        <v>7</v>
      </c>
      <c r="AF7" s="1701">
        <v>8</v>
      </c>
      <c r="AG7" s="1701">
        <v>9</v>
      </c>
      <c r="AH7" s="1701">
        <v>10</v>
      </c>
      <c r="AI7" s="1701">
        <v>11</v>
      </c>
      <c r="AJ7" s="1701">
        <v>12</v>
      </c>
      <c r="AK7" s="1701" t="s">
        <v>74</v>
      </c>
    </row>
    <row r="8" spans="1:37" s="1219" customFormat="1" ht="45" customHeight="1">
      <c r="A8" s="862">
        <v>1</v>
      </c>
      <c r="B8" s="1504" t="s">
        <v>1823</v>
      </c>
      <c r="C8" s="1509" t="s">
        <v>1824</v>
      </c>
      <c r="D8" s="1482">
        <v>41681</v>
      </c>
      <c r="E8" s="1637" t="s">
        <v>355</v>
      </c>
      <c r="F8" s="1719">
        <v>334.04872981956316</v>
      </c>
      <c r="G8" s="1719">
        <v>358.83670145005641</v>
      </c>
      <c r="H8" s="1719">
        <v>323.43782730862983</v>
      </c>
      <c r="I8" s="1719">
        <v>385.39316201284441</v>
      </c>
      <c r="J8" s="1719">
        <v>505.88242361856783</v>
      </c>
      <c r="K8" s="1719">
        <v>572.25704493526268</v>
      </c>
      <c r="L8" s="1719">
        <v>538.34665119363399</v>
      </c>
      <c r="M8" s="1719">
        <v>400.81107197258189</v>
      </c>
      <c r="N8" s="1719">
        <v>323.52132811326493</v>
      </c>
      <c r="O8" s="1306">
        <v>379.00781180917346</v>
      </c>
      <c r="P8" s="1306">
        <v>254.84615384615384</v>
      </c>
      <c r="Q8" s="1306">
        <v>30</v>
      </c>
      <c r="R8" s="831">
        <f t="shared" ref="R8:R26" si="0">SUM(F8:Q8)</f>
        <v>4406.3889060797337</v>
      </c>
      <c r="S8" s="831">
        <f>R8/12</f>
        <v>367.19907550664448</v>
      </c>
      <c r="T8" s="831">
        <f t="shared" ref="T8:T26" si="1">S8/26</f>
        <v>14.123041365640173</v>
      </c>
      <c r="U8" s="924">
        <f>QC!W7</f>
        <v>0</v>
      </c>
      <c r="V8" s="935">
        <f t="shared" ref="V8:V26" si="2">T8*U8</f>
        <v>0</v>
      </c>
      <c r="W8" s="894"/>
      <c r="X8" s="504"/>
      <c r="Y8" s="924">
        <v>0</v>
      </c>
      <c r="Z8" s="924">
        <v>1</v>
      </c>
      <c r="AA8" s="1693">
        <v>3</v>
      </c>
      <c r="AB8" s="924">
        <v>1.5</v>
      </c>
      <c r="AC8" s="924">
        <v>1</v>
      </c>
      <c r="AD8" s="924">
        <v>0</v>
      </c>
      <c r="AE8" s="924">
        <v>0</v>
      </c>
      <c r="AF8" s="1693"/>
      <c r="AG8" s="924">
        <v>1</v>
      </c>
      <c r="AH8" s="1693"/>
      <c r="AI8" s="1693"/>
      <c r="AJ8" s="1693"/>
      <c r="AK8" s="1705">
        <f t="shared" ref="AK8:AK26" si="3">SUM(Y8:AJ8)</f>
        <v>7.5</v>
      </c>
    </row>
    <row r="9" spans="1:37" s="1710" customFormat="1" ht="45" customHeight="1">
      <c r="A9" s="862">
        <v>2</v>
      </c>
      <c r="B9" s="533" t="s">
        <v>2169</v>
      </c>
      <c r="C9" s="578" t="s">
        <v>293</v>
      </c>
      <c r="D9" s="1476">
        <v>42543</v>
      </c>
      <c r="E9" s="1637" t="s">
        <v>355</v>
      </c>
      <c r="F9" s="1719">
        <v>308.29968011051551</v>
      </c>
      <c r="G9" s="1719">
        <v>355.29570275403609</v>
      </c>
      <c r="H9" s="1719">
        <v>259.713268235496</v>
      </c>
      <c r="I9" s="1719">
        <v>375.11507331485319</v>
      </c>
      <c r="J9" s="1719">
        <v>493.81359482102056</v>
      </c>
      <c r="K9" s="1719">
        <v>553.42355293221635</v>
      </c>
      <c r="L9" s="1719">
        <v>537.79125239572238</v>
      </c>
      <c r="M9" s="1719">
        <v>405.18926123381567</v>
      </c>
      <c r="N9" s="1719">
        <v>315.60756110864605</v>
      </c>
      <c r="O9" s="1306">
        <v>329.89886124290837</v>
      </c>
      <c r="P9" s="1306">
        <v>215.30769230769232</v>
      </c>
      <c r="Q9" s="1306">
        <v>30</v>
      </c>
      <c r="R9" s="831">
        <f t="shared" si="0"/>
        <v>4179.4555004569229</v>
      </c>
      <c r="S9" s="831">
        <f>R9/12</f>
        <v>348.28795837141024</v>
      </c>
      <c r="T9" s="831">
        <f t="shared" si="1"/>
        <v>13.395690706592701</v>
      </c>
      <c r="U9" s="924">
        <f>QC!W8</f>
        <v>0</v>
      </c>
      <c r="V9" s="935">
        <f t="shared" si="2"/>
        <v>0</v>
      </c>
      <c r="W9" s="894"/>
      <c r="X9" s="504"/>
      <c r="Y9" s="924"/>
      <c r="Z9" s="924">
        <v>0</v>
      </c>
      <c r="AA9" s="1693">
        <v>2</v>
      </c>
      <c r="AB9" s="924">
        <v>1.5</v>
      </c>
      <c r="AC9" s="1693"/>
      <c r="AD9" s="924">
        <v>0</v>
      </c>
      <c r="AE9" s="924">
        <v>0.5</v>
      </c>
      <c r="AF9" s="1693"/>
      <c r="AG9" s="924">
        <v>1</v>
      </c>
      <c r="AH9" s="1693"/>
      <c r="AI9" s="1693"/>
      <c r="AJ9" s="1693"/>
      <c r="AK9" s="1705">
        <f t="shared" si="3"/>
        <v>5</v>
      </c>
    </row>
    <row r="10" spans="1:37" s="871" customFormat="1" ht="45" customHeight="1">
      <c r="A10" s="862">
        <v>3</v>
      </c>
      <c r="B10" s="1740" t="s">
        <v>2199</v>
      </c>
      <c r="C10" s="628" t="s">
        <v>2105</v>
      </c>
      <c r="D10" s="1680">
        <v>42507</v>
      </c>
      <c r="E10" s="513" t="s">
        <v>355</v>
      </c>
      <c r="F10" s="1719">
        <v>308.57276828110162</v>
      </c>
      <c r="G10" s="1719">
        <v>314.63034188034186</v>
      </c>
      <c r="H10" s="1719">
        <v>278.82368616702979</v>
      </c>
      <c r="I10" s="1719">
        <v>334.71212837339596</v>
      </c>
      <c r="J10" s="1719">
        <v>494.81359482102056</v>
      </c>
      <c r="K10" s="1719">
        <v>563.16103389185071</v>
      </c>
      <c r="L10" s="1719">
        <v>527.48792156119737</v>
      </c>
      <c r="M10" s="1719">
        <v>402.72991241431839</v>
      </c>
      <c r="N10" s="1719">
        <v>315.20560739247588</v>
      </c>
      <c r="O10" s="1097" t="s">
        <v>1102</v>
      </c>
      <c r="P10" s="1306">
        <v>78.180000000000007</v>
      </c>
      <c r="Q10" s="1306">
        <v>30</v>
      </c>
      <c r="R10" s="831">
        <f t="shared" si="0"/>
        <v>3648.3169947827319</v>
      </c>
      <c r="S10" s="831">
        <f>R10/11</f>
        <v>331.66518134388474</v>
      </c>
      <c r="T10" s="831">
        <f t="shared" si="1"/>
        <v>12.756353128610952</v>
      </c>
      <c r="U10" s="924">
        <f>QC!W9</f>
        <v>0.5</v>
      </c>
      <c r="V10" s="935">
        <f t="shared" si="2"/>
        <v>6.378176564305476</v>
      </c>
      <c r="W10" s="894"/>
      <c r="X10" s="504"/>
      <c r="Y10" s="924">
        <v>0</v>
      </c>
      <c r="Z10" s="924">
        <v>0.5</v>
      </c>
      <c r="AA10" s="1693">
        <v>2</v>
      </c>
      <c r="AB10" s="924">
        <v>2.5</v>
      </c>
      <c r="AC10" s="1693"/>
      <c r="AD10" s="924">
        <v>0</v>
      </c>
      <c r="AE10" s="924">
        <v>0</v>
      </c>
      <c r="AF10" s="1693"/>
      <c r="AG10" s="924">
        <v>1</v>
      </c>
      <c r="AH10" s="1693"/>
      <c r="AI10" s="1693"/>
      <c r="AJ10" s="1693"/>
      <c r="AK10" s="1705">
        <f t="shared" si="3"/>
        <v>6</v>
      </c>
    </row>
    <row r="11" spans="1:37" s="1739" customFormat="1" ht="45" customHeight="1">
      <c r="A11" s="862">
        <v>4</v>
      </c>
      <c r="B11" s="1082" t="s">
        <v>2200</v>
      </c>
      <c r="C11" s="578" t="s">
        <v>549</v>
      </c>
      <c r="D11" s="1476">
        <v>43845</v>
      </c>
      <c r="E11" s="557" t="s">
        <v>355</v>
      </c>
      <c r="F11" s="1719">
        <v>301.98433048433048</v>
      </c>
      <c r="G11" s="1719">
        <v>315.21877967711305</v>
      </c>
      <c r="H11" s="1719">
        <v>275.57294621801071</v>
      </c>
      <c r="I11" s="1719">
        <v>333.60975436946768</v>
      </c>
      <c r="J11" s="1719">
        <v>486.99285986290931</v>
      </c>
      <c r="K11" s="1719">
        <v>559.16103389185071</v>
      </c>
      <c r="L11" s="1719">
        <v>523.9394657067071</v>
      </c>
      <c r="M11" s="1719">
        <v>394.90917745620715</v>
      </c>
      <c r="N11" s="1719">
        <v>311.81101239821089</v>
      </c>
      <c r="O11" s="1306">
        <v>325.89904822264936</v>
      </c>
      <c r="P11" s="1306">
        <v>214.30769230769232</v>
      </c>
      <c r="Q11" s="1306">
        <v>30</v>
      </c>
      <c r="R11" s="831">
        <f t="shared" si="0"/>
        <v>4073.4061005951494</v>
      </c>
      <c r="S11" s="831">
        <f>R11/12</f>
        <v>339.45050838292912</v>
      </c>
      <c r="T11" s="831">
        <f t="shared" ref="T11" si="4">S11/26</f>
        <v>13.055788783958812</v>
      </c>
      <c r="U11" s="924">
        <f>QC!W10</f>
        <v>0</v>
      </c>
      <c r="V11" s="935">
        <f t="shared" si="2"/>
        <v>0</v>
      </c>
      <c r="W11" s="894"/>
      <c r="X11" s="504"/>
      <c r="Y11" s="1692">
        <v>0</v>
      </c>
      <c r="Z11" s="894">
        <v>0</v>
      </c>
      <c r="AA11" s="1694">
        <v>2</v>
      </c>
      <c r="AB11" s="894">
        <v>2.5</v>
      </c>
      <c r="AC11" s="1693"/>
      <c r="AD11" s="924">
        <v>0</v>
      </c>
      <c r="AE11" s="924">
        <v>0</v>
      </c>
      <c r="AF11" s="1693"/>
      <c r="AG11" s="924">
        <v>2</v>
      </c>
      <c r="AH11" s="1693"/>
      <c r="AI11" s="1693"/>
      <c r="AJ11" s="1693"/>
      <c r="AK11" s="1705">
        <f t="shared" si="3"/>
        <v>6.5</v>
      </c>
    </row>
    <row r="12" spans="1:37" s="871" customFormat="1" ht="39.75" customHeight="1">
      <c r="A12" s="862">
        <v>5</v>
      </c>
      <c r="B12" s="1505" t="s">
        <v>1265</v>
      </c>
      <c r="C12" s="1260" t="s">
        <v>1290</v>
      </c>
      <c r="D12" s="1502">
        <v>43299</v>
      </c>
      <c r="E12" s="1637" t="s">
        <v>355</v>
      </c>
      <c r="F12" s="1719">
        <v>343.18815289648626</v>
      </c>
      <c r="G12" s="1719">
        <v>253.87286324786322</v>
      </c>
      <c r="H12" s="1719">
        <v>312.08133091763028</v>
      </c>
      <c r="I12" s="1719">
        <v>374.75456627564165</v>
      </c>
      <c r="J12" s="1719">
        <v>491.81359482102056</v>
      </c>
      <c r="K12" s="1719">
        <v>544.56130997715161</v>
      </c>
      <c r="L12" s="1719">
        <v>539.41845109391591</v>
      </c>
      <c r="M12" s="1719">
        <v>401.70711518159635</v>
      </c>
      <c r="N12" s="1719">
        <v>313.97657469167609</v>
      </c>
      <c r="O12" s="1306">
        <v>371.13644338596623</v>
      </c>
      <c r="P12" s="1306">
        <v>263.65384615384613</v>
      </c>
      <c r="Q12" s="1306">
        <v>30</v>
      </c>
      <c r="R12" s="831">
        <f t="shared" si="0"/>
        <v>4240.1642486427936</v>
      </c>
      <c r="S12" s="1243">
        <f t="shared" ref="S12:S26" si="5">R12/12</f>
        <v>353.34702072023282</v>
      </c>
      <c r="T12" s="831">
        <f t="shared" si="1"/>
        <v>13.590270027701262</v>
      </c>
      <c r="U12" s="924">
        <f>QC!W11</f>
        <v>0</v>
      </c>
      <c r="V12" s="935">
        <f t="shared" si="2"/>
        <v>0</v>
      </c>
      <c r="W12" s="894"/>
      <c r="X12" s="505"/>
      <c r="Y12" s="924">
        <v>0</v>
      </c>
      <c r="Z12" s="924">
        <v>0</v>
      </c>
      <c r="AA12" s="1693">
        <v>2</v>
      </c>
      <c r="AB12" s="924">
        <v>1.5</v>
      </c>
      <c r="AC12" s="1693"/>
      <c r="AD12" s="924">
        <v>0</v>
      </c>
      <c r="AE12" s="924">
        <v>0.5</v>
      </c>
      <c r="AF12" s="924">
        <v>1</v>
      </c>
      <c r="AG12" s="924">
        <v>1</v>
      </c>
      <c r="AH12" s="1693"/>
      <c r="AI12" s="1693"/>
      <c r="AJ12" s="1693"/>
      <c r="AK12" s="1705">
        <f t="shared" si="3"/>
        <v>6</v>
      </c>
    </row>
    <row r="13" spans="1:37" s="871" customFormat="1" ht="37.5" customHeight="1">
      <c r="A13" s="862">
        <v>6</v>
      </c>
      <c r="B13" s="1487" t="s">
        <v>1291</v>
      </c>
      <c r="C13" s="1488" t="s">
        <v>318</v>
      </c>
      <c r="D13" s="1502">
        <v>42006</v>
      </c>
      <c r="E13" s="1637" t="s">
        <v>355</v>
      </c>
      <c r="F13" s="1719">
        <v>342.36894586894584</v>
      </c>
      <c r="G13" s="1719">
        <v>357.98804886136804</v>
      </c>
      <c r="H13" s="1719">
        <v>334.88966984543214</v>
      </c>
      <c r="I13" s="1719">
        <v>379.52599554769921</v>
      </c>
      <c r="J13" s="1719">
        <v>474.29712490479812</v>
      </c>
      <c r="K13" s="1719">
        <v>564.16103389185071</v>
      </c>
      <c r="L13" s="1719">
        <v>546.79637173171659</v>
      </c>
      <c r="M13" s="1719">
        <v>423.38994668697632</v>
      </c>
      <c r="N13" s="1719">
        <v>335.30346050060933</v>
      </c>
      <c r="O13" s="1306">
        <v>378.92994056775444</v>
      </c>
      <c r="P13" s="1306">
        <v>277.18318679179822</v>
      </c>
      <c r="Q13" s="1306">
        <v>30</v>
      </c>
      <c r="R13" s="831">
        <f t="shared" si="0"/>
        <v>4444.8337251989487</v>
      </c>
      <c r="S13" s="831">
        <f t="shared" si="5"/>
        <v>370.40281043324575</v>
      </c>
      <c r="T13" s="831">
        <f t="shared" si="1"/>
        <v>14.24626193974022</v>
      </c>
      <c r="U13" s="924">
        <f>QC!W12</f>
        <v>0</v>
      </c>
      <c r="V13" s="935">
        <f t="shared" si="2"/>
        <v>0</v>
      </c>
      <c r="W13" s="894"/>
      <c r="X13" s="504"/>
      <c r="Y13" s="924">
        <v>0</v>
      </c>
      <c r="Z13" s="924">
        <v>1</v>
      </c>
      <c r="AA13" s="1693">
        <v>2</v>
      </c>
      <c r="AB13" s="924">
        <v>1.5</v>
      </c>
      <c r="AC13" s="1693"/>
      <c r="AD13" s="924">
        <v>0</v>
      </c>
      <c r="AE13" s="924">
        <v>0</v>
      </c>
      <c r="AF13" s="1693"/>
      <c r="AG13" s="924">
        <v>1</v>
      </c>
      <c r="AH13" s="1693"/>
      <c r="AI13" s="1693"/>
      <c r="AJ13" s="1693"/>
      <c r="AK13" s="1705">
        <f t="shared" si="3"/>
        <v>5.5</v>
      </c>
    </row>
    <row r="14" spans="1:37" s="1441" customFormat="1" ht="37.5" customHeight="1">
      <c r="A14" s="862">
        <v>7</v>
      </c>
      <c r="B14" s="1454" t="s">
        <v>1980</v>
      </c>
      <c r="C14" s="1435" t="s">
        <v>1984</v>
      </c>
      <c r="D14" s="1446">
        <v>45119</v>
      </c>
      <c r="E14" s="1637" t="s">
        <v>355</v>
      </c>
      <c r="F14" s="1719">
        <v>342.18815289648626</v>
      </c>
      <c r="G14" s="1719">
        <v>352.29570275403609</v>
      </c>
      <c r="H14" s="1719">
        <v>304.71481456069608</v>
      </c>
      <c r="I14" s="1719">
        <v>369.46294643637901</v>
      </c>
      <c r="J14" s="1719">
        <v>458.22296268088348</v>
      </c>
      <c r="K14" s="1719">
        <v>516.36862147753243</v>
      </c>
      <c r="L14" s="1719">
        <v>523.98792156119737</v>
      </c>
      <c r="M14" s="1719">
        <v>404.55064737242952</v>
      </c>
      <c r="N14" s="1719">
        <v>313.50531895657633</v>
      </c>
      <c r="O14" s="1306">
        <v>299.8858736311405</v>
      </c>
      <c r="P14" s="1306">
        <v>244.84615384615384</v>
      </c>
      <c r="Q14" s="1306">
        <v>30</v>
      </c>
      <c r="R14" s="831">
        <f t="shared" si="0"/>
        <v>4160.0291161735113</v>
      </c>
      <c r="S14" s="831">
        <f>R14/12</f>
        <v>346.66909301445929</v>
      </c>
      <c r="T14" s="831">
        <f t="shared" si="1"/>
        <v>13.333426654402281</v>
      </c>
      <c r="U14" s="924">
        <f>QC!W13</f>
        <v>0</v>
      </c>
      <c r="V14" s="935">
        <f t="shared" si="2"/>
        <v>0</v>
      </c>
      <c r="W14" s="894"/>
      <c r="X14" s="504"/>
      <c r="Y14" s="924">
        <v>0</v>
      </c>
      <c r="Z14" s="924">
        <v>0</v>
      </c>
      <c r="AA14" s="1693">
        <v>2.5</v>
      </c>
      <c r="AB14" s="924">
        <v>1.5</v>
      </c>
      <c r="AC14" s="1693"/>
      <c r="AD14" s="924">
        <v>0</v>
      </c>
      <c r="AE14" s="924">
        <v>0</v>
      </c>
      <c r="AF14" s="1693"/>
      <c r="AG14" s="924">
        <v>1</v>
      </c>
      <c r="AH14" s="1693"/>
      <c r="AI14" s="1693"/>
      <c r="AJ14" s="1693"/>
      <c r="AK14" s="1705">
        <f t="shared" si="3"/>
        <v>5</v>
      </c>
    </row>
    <row r="15" spans="1:37" s="1717" customFormat="1" ht="37.5" customHeight="1">
      <c r="A15" s="862">
        <v>8</v>
      </c>
      <c r="B15" s="624" t="s">
        <v>2189</v>
      </c>
      <c r="C15" s="627" t="s">
        <v>1488</v>
      </c>
      <c r="D15" s="1477">
        <v>44635</v>
      </c>
      <c r="E15" s="1637" t="s">
        <v>355</v>
      </c>
      <c r="F15" s="1719">
        <v>284.63057929724602</v>
      </c>
      <c r="G15" s="1719">
        <v>283.13817663817667</v>
      </c>
      <c r="H15" s="1719">
        <v>352.44161127528673</v>
      </c>
      <c r="I15" s="1719">
        <v>431.45677158893199</v>
      </c>
      <c r="J15" s="1719">
        <v>522.10138994668705</v>
      </c>
      <c r="K15" s="1719">
        <v>542.22001142421948</v>
      </c>
      <c r="L15" s="1719">
        <v>509.56851553618793</v>
      </c>
      <c r="M15" s="1719">
        <v>392.5279893373953</v>
      </c>
      <c r="N15" s="1719">
        <v>315.06412344077194</v>
      </c>
      <c r="O15" s="1306">
        <v>319.53760328072985</v>
      </c>
      <c r="P15" s="1306">
        <v>216.33110595184598</v>
      </c>
      <c r="Q15" s="1306">
        <v>30</v>
      </c>
      <c r="R15" s="831">
        <f t="shared" si="0"/>
        <v>4199.0178777174788</v>
      </c>
      <c r="S15" s="831">
        <f>R15/12</f>
        <v>349.91815647645655</v>
      </c>
      <c r="T15" s="831">
        <f t="shared" si="1"/>
        <v>13.458390633709866</v>
      </c>
      <c r="U15" s="924">
        <f>QC!W14</f>
        <v>0</v>
      </c>
      <c r="V15" s="935">
        <f t="shared" si="2"/>
        <v>0</v>
      </c>
      <c r="W15" s="894"/>
      <c r="X15" s="504"/>
      <c r="Y15" s="924">
        <v>0</v>
      </c>
      <c r="Z15" s="924">
        <v>0</v>
      </c>
      <c r="AA15" s="1693">
        <v>2</v>
      </c>
      <c r="AB15" s="924">
        <v>1.5</v>
      </c>
      <c r="AC15" s="1693"/>
      <c r="AD15" s="924">
        <v>0</v>
      </c>
      <c r="AE15" s="924">
        <v>0</v>
      </c>
      <c r="AF15" s="1693"/>
      <c r="AG15" s="924">
        <v>1</v>
      </c>
      <c r="AH15" s="1693"/>
      <c r="AI15" s="1693"/>
      <c r="AJ15" s="1693"/>
      <c r="AK15" s="1705">
        <f t="shared" si="3"/>
        <v>4.5</v>
      </c>
    </row>
    <row r="16" spans="1:37" s="871" customFormat="1" ht="45" customHeight="1">
      <c r="A16" s="862">
        <v>9</v>
      </c>
      <c r="B16" s="1497" t="s">
        <v>1292</v>
      </c>
      <c r="C16" s="1499" t="s">
        <v>539</v>
      </c>
      <c r="D16" s="1496">
        <v>41730</v>
      </c>
      <c r="E16" s="1637" t="s">
        <v>355</v>
      </c>
      <c r="F16" s="1719">
        <v>266.07300569800566</v>
      </c>
      <c r="G16" s="1719">
        <v>365.62210414218919</v>
      </c>
      <c r="H16" s="1719">
        <v>286.452508133528</v>
      </c>
      <c r="I16" s="1719">
        <v>370.45809036236511</v>
      </c>
      <c r="J16" s="1719">
        <v>445.94345011424224</v>
      </c>
      <c r="K16" s="1719">
        <v>514.31371858339674</v>
      </c>
      <c r="L16" s="1719">
        <v>535.42705657771569</v>
      </c>
      <c r="M16" s="1719">
        <v>367.26721005884929</v>
      </c>
      <c r="N16" s="1719">
        <v>320.82516120632931</v>
      </c>
      <c r="O16" s="1306">
        <v>373.8651113640754</v>
      </c>
      <c r="P16" s="1306">
        <v>290.8867998988008</v>
      </c>
      <c r="Q16" s="1306">
        <v>30</v>
      </c>
      <c r="R16" s="831">
        <f t="shared" si="0"/>
        <v>4167.1342161394969</v>
      </c>
      <c r="S16" s="831">
        <f t="shared" si="5"/>
        <v>347.26118467829139</v>
      </c>
      <c r="T16" s="831">
        <f t="shared" si="1"/>
        <v>13.356199410703514</v>
      </c>
      <c r="U16" s="924">
        <f>QC!W15</f>
        <v>0</v>
      </c>
      <c r="V16" s="935">
        <f t="shared" si="2"/>
        <v>0</v>
      </c>
      <c r="W16" s="894"/>
      <c r="X16" s="504"/>
      <c r="Y16" s="924">
        <v>0</v>
      </c>
      <c r="Z16" s="924">
        <v>3.5</v>
      </c>
      <c r="AA16" s="1693">
        <v>2</v>
      </c>
      <c r="AB16" s="924">
        <v>1.5</v>
      </c>
      <c r="AC16" s="1693"/>
      <c r="AD16" s="924">
        <v>0</v>
      </c>
      <c r="AE16" s="924">
        <v>2</v>
      </c>
      <c r="AF16" s="924">
        <v>1</v>
      </c>
      <c r="AG16" s="924">
        <v>2</v>
      </c>
      <c r="AH16" s="1693"/>
      <c r="AI16" s="1693"/>
      <c r="AJ16" s="1693"/>
      <c r="AK16" s="1705">
        <f t="shared" si="3"/>
        <v>12</v>
      </c>
    </row>
    <row r="17" spans="1:37" s="871" customFormat="1" ht="45" customHeight="1">
      <c r="A17" s="862">
        <v>10</v>
      </c>
      <c r="B17" s="1506" t="s">
        <v>1293</v>
      </c>
      <c r="C17" s="1499" t="s">
        <v>1294</v>
      </c>
      <c r="D17" s="1496">
        <v>44543</v>
      </c>
      <c r="E17" s="1637" t="s">
        <v>355</v>
      </c>
      <c r="F17" s="1719">
        <v>276.38069800569804</v>
      </c>
      <c r="G17" s="1719">
        <v>349.05510808973662</v>
      </c>
      <c r="H17" s="1719">
        <v>296.5328945743646</v>
      </c>
      <c r="I17" s="1719">
        <v>360.91004233126057</v>
      </c>
      <c r="J17" s="1719">
        <v>446.08492003046462</v>
      </c>
      <c r="K17" s="1719">
        <v>498.30987242955064</v>
      </c>
      <c r="L17" s="1719">
        <v>545.46339591788455</v>
      </c>
      <c r="M17" s="1719">
        <v>350.85858719155965</v>
      </c>
      <c r="N17" s="1719">
        <v>312.15113646695397</v>
      </c>
      <c r="O17" s="1306">
        <v>349.05249299644981</v>
      </c>
      <c r="P17" s="1306">
        <v>275.86671564300161</v>
      </c>
      <c r="Q17" s="1306">
        <v>30</v>
      </c>
      <c r="R17" s="831">
        <f t="shared" si="0"/>
        <v>4090.6658636769248</v>
      </c>
      <c r="S17" s="831">
        <f>R17/12</f>
        <v>340.88882197307709</v>
      </c>
      <c r="T17" s="831">
        <f t="shared" si="1"/>
        <v>13.111108537426041</v>
      </c>
      <c r="U17" s="924">
        <f>QC!W16</f>
        <v>0</v>
      </c>
      <c r="V17" s="935">
        <f t="shared" si="2"/>
        <v>0</v>
      </c>
      <c r="W17" s="894"/>
      <c r="X17" s="504"/>
      <c r="Y17" s="924">
        <v>0</v>
      </c>
      <c r="Z17" s="924">
        <v>3</v>
      </c>
      <c r="AA17" s="1693">
        <v>2</v>
      </c>
      <c r="AB17" s="924">
        <v>2.5</v>
      </c>
      <c r="AC17" s="1693"/>
      <c r="AD17" s="924">
        <v>0</v>
      </c>
      <c r="AE17" s="924">
        <v>2</v>
      </c>
      <c r="AF17" s="924">
        <v>1</v>
      </c>
      <c r="AG17" s="924">
        <v>1</v>
      </c>
      <c r="AH17" s="1693"/>
      <c r="AI17" s="1693"/>
      <c r="AJ17" s="1693"/>
      <c r="AK17" s="1705">
        <f t="shared" si="3"/>
        <v>11.5</v>
      </c>
    </row>
    <row r="18" spans="1:37" s="982" customFormat="1" ht="42" customHeight="1">
      <c r="A18" s="862">
        <v>11</v>
      </c>
      <c r="B18" s="1497" t="s">
        <v>1406</v>
      </c>
      <c r="C18" s="1499" t="s">
        <v>1284</v>
      </c>
      <c r="D18" s="1496">
        <v>42128</v>
      </c>
      <c r="E18" s="1637" t="s">
        <v>355</v>
      </c>
      <c r="F18" s="1719">
        <v>255.48456790123456</v>
      </c>
      <c r="G18" s="1719">
        <v>293.52410807569322</v>
      </c>
      <c r="H18" s="1719">
        <v>255.72957155008297</v>
      </c>
      <c r="I18" s="1719">
        <v>333.79732187099751</v>
      </c>
      <c r="J18" s="1719">
        <v>437.80198019801981</v>
      </c>
      <c r="K18" s="1719">
        <v>492.13378712871281</v>
      </c>
      <c r="L18" s="1719">
        <v>543.02590067620861</v>
      </c>
      <c r="M18" s="1719">
        <v>345.59298078929908</v>
      </c>
      <c r="N18" s="1719">
        <v>318.29634588540927</v>
      </c>
      <c r="O18" s="1306">
        <v>326.87712839094416</v>
      </c>
      <c r="P18" s="1306">
        <v>279.29435904900862</v>
      </c>
      <c r="Q18" s="1306">
        <v>30</v>
      </c>
      <c r="R18" s="831">
        <f t="shared" si="0"/>
        <v>3911.5580515156103</v>
      </c>
      <c r="S18" s="863">
        <f t="shared" ref="S18" si="6">R18/12</f>
        <v>325.96317095963417</v>
      </c>
      <c r="T18" s="831">
        <f t="shared" si="1"/>
        <v>12.537045036909007</v>
      </c>
      <c r="U18" s="924">
        <f>QC!W17</f>
        <v>0</v>
      </c>
      <c r="V18" s="935">
        <f t="shared" si="2"/>
        <v>0</v>
      </c>
      <c r="W18" s="894"/>
      <c r="X18" s="504"/>
      <c r="Y18" s="924">
        <v>0</v>
      </c>
      <c r="Z18" s="924">
        <v>3</v>
      </c>
      <c r="AA18" s="1693">
        <v>2</v>
      </c>
      <c r="AB18" s="924">
        <v>1.5</v>
      </c>
      <c r="AC18" s="1693"/>
      <c r="AD18" s="924">
        <v>0</v>
      </c>
      <c r="AE18" s="924">
        <v>2</v>
      </c>
      <c r="AF18" s="924">
        <v>1</v>
      </c>
      <c r="AG18" s="924">
        <v>1</v>
      </c>
      <c r="AH18" s="1693"/>
      <c r="AI18" s="1693"/>
      <c r="AJ18" s="1693"/>
      <c r="AK18" s="1705">
        <f t="shared" si="3"/>
        <v>10.5</v>
      </c>
    </row>
    <row r="19" spans="1:37" s="1379" customFormat="1" ht="42" customHeight="1">
      <c r="A19" s="862">
        <v>12</v>
      </c>
      <c r="B19" s="1507" t="s">
        <v>1893</v>
      </c>
      <c r="C19" s="943" t="s">
        <v>1894</v>
      </c>
      <c r="D19" s="1472">
        <v>42523</v>
      </c>
      <c r="E19" s="1637" t="s">
        <v>355</v>
      </c>
      <c r="F19" s="1719">
        <v>269.92307692307691</v>
      </c>
      <c r="G19" s="1719">
        <v>290.55184507792774</v>
      </c>
      <c r="H19" s="1731">
        <v>279.79635257691143</v>
      </c>
      <c r="I19" s="1719">
        <v>349.77801146143486</v>
      </c>
      <c r="J19" s="1719">
        <v>436.17421934501147</v>
      </c>
      <c r="K19" s="1719">
        <v>494.2030178979436</v>
      </c>
      <c r="L19" s="1719">
        <v>527.32150825792633</v>
      </c>
      <c r="M19" s="1719">
        <v>361.14800121995142</v>
      </c>
      <c r="N19" s="1719">
        <v>311.40921902604452</v>
      </c>
      <c r="O19" s="1306">
        <v>323.9917512318367</v>
      </c>
      <c r="P19" s="1306">
        <v>277.62387770638236</v>
      </c>
      <c r="Q19" s="1306">
        <v>30</v>
      </c>
      <c r="R19" s="831">
        <f t="shared" si="0"/>
        <v>3951.9208807244468</v>
      </c>
      <c r="S19" s="863">
        <f>R19/12</f>
        <v>329.32674006037058</v>
      </c>
      <c r="T19" s="831">
        <f t="shared" si="1"/>
        <v>12.666413079245022</v>
      </c>
      <c r="U19" s="924">
        <f>QC!W18</f>
        <v>0</v>
      </c>
      <c r="V19" s="935">
        <f t="shared" si="2"/>
        <v>0</v>
      </c>
      <c r="W19" s="894"/>
      <c r="X19" s="504"/>
      <c r="Y19" s="924">
        <v>0</v>
      </c>
      <c r="Z19" s="924">
        <v>3</v>
      </c>
      <c r="AA19" s="1693">
        <v>2</v>
      </c>
      <c r="AB19" s="924">
        <v>1.5</v>
      </c>
      <c r="AC19" s="1693"/>
      <c r="AD19" s="924">
        <v>0</v>
      </c>
      <c r="AE19" s="924">
        <v>2</v>
      </c>
      <c r="AF19" s="924">
        <v>1</v>
      </c>
      <c r="AG19" s="924">
        <v>1</v>
      </c>
      <c r="AH19" s="1693"/>
      <c r="AI19" s="1693"/>
      <c r="AJ19" s="1693"/>
      <c r="AK19" s="1705">
        <f t="shared" si="3"/>
        <v>10.5</v>
      </c>
    </row>
    <row r="20" spans="1:37" s="871" customFormat="1" ht="47.25" customHeight="1">
      <c r="A20" s="862">
        <v>13</v>
      </c>
      <c r="B20" s="1508" t="s">
        <v>1295</v>
      </c>
      <c r="C20" s="1510" t="s">
        <v>1296</v>
      </c>
      <c r="D20" s="1503">
        <v>42829</v>
      </c>
      <c r="E20" s="1637" t="s">
        <v>355</v>
      </c>
      <c r="F20" s="1719">
        <v>280.38069800569804</v>
      </c>
      <c r="G20" s="1719">
        <v>349.29877706819565</v>
      </c>
      <c r="H20" s="1719">
        <v>296.24451984893625</v>
      </c>
      <c r="I20" s="1719">
        <v>373.9062877620018</v>
      </c>
      <c r="J20" s="1719">
        <v>449.08492003046462</v>
      </c>
      <c r="K20" s="1719">
        <v>508.1137185833968</v>
      </c>
      <c r="L20" s="1719">
        <v>462.83931958999392</v>
      </c>
      <c r="M20" s="1719">
        <v>354.90676974981886</v>
      </c>
      <c r="N20" s="1719">
        <v>316.68663283004548</v>
      </c>
      <c r="O20" s="1306">
        <v>336.34603708193214</v>
      </c>
      <c r="P20" s="1306">
        <v>281.60067759118385</v>
      </c>
      <c r="Q20" s="1306">
        <v>30</v>
      </c>
      <c r="R20" s="831">
        <f t="shared" si="0"/>
        <v>4039.4083581416671</v>
      </c>
      <c r="S20" s="831">
        <f t="shared" si="5"/>
        <v>336.61736317847226</v>
      </c>
      <c r="T20" s="831">
        <f t="shared" si="1"/>
        <v>12.946821660710471</v>
      </c>
      <c r="U20" s="924">
        <f>QC!W19</f>
        <v>2.5</v>
      </c>
      <c r="V20" s="935">
        <f t="shared" si="2"/>
        <v>32.367054151776181</v>
      </c>
      <c r="W20" s="894"/>
      <c r="X20" s="504"/>
      <c r="Y20" s="924">
        <v>0</v>
      </c>
      <c r="Z20" s="924">
        <v>3</v>
      </c>
      <c r="AA20" s="1693">
        <v>2</v>
      </c>
      <c r="AB20" s="924">
        <v>1.5</v>
      </c>
      <c r="AC20" s="1693"/>
      <c r="AD20" s="924">
        <v>0</v>
      </c>
      <c r="AE20" s="924">
        <v>2</v>
      </c>
      <c r="AF20" s="924">
        <v>1</v>
      </c>
      <c r="AG20" s="924">
        <v>1</v>
      </c>
      <c r="AH20" s="1693"/>
      <c r="AI20" s="1693"/>
      <c r="AJ20" s="1693"/>
      <c r="AK20" s="1705">
        <f t="shared" si="3"/>
        <v>10.5</v>
      </c>
    </row>
    <row r="21" spans="1:37" s="871" customFormat="1" ht="42" customHeight="1">
      <c r="A21" s="862">
        <v>14</v>
      </c>
      <c r="B21" s="1508" t="s">
        <v>1297</v>
      </c>
      <c r="C21" s="1510" t="s">
        <v>413</v>
      </c>
      <c r="D21" s="1503">
        <v>42847</v>
      </c>
      <c r="E21" s="1637" t="s">
        <v>355</v>
      </c>
      <c r="F21" s="1719">
        <v>272.74228395061726</v>
      </c>
      <c r="G21" s="1719">
        <v>292.08654429676443</v>
      </c>
      <c r="H21" s="1719">
        <v>295.84647813433997</v>
      </c>
      <c r="I21" s="1719">
        <v>317.48152519609926</v>
      </c>
      <c r="J21" s="1719">
        <v>442.44345011424224</v>
      </c>
      <c r="K21" s="1719">
        <v>500.47224866717437</v>
      </c>
      <c r="L21" s="1719">
        <v>547.36837933054926</v>
      </c>
      <c r="M21" s="1719">
        <v>355.2050684370156</v>
      </c>
      <c r="N21" s="1719">
        <v>316.84479710014892</v>
      </c>
      <c r="O21" s="1306">
        <v>347.39994442960761</v>
      </c>
      <c r="P21" s="1306">
        <v>272.73925061425064</v>
      </c>
      <c r="Q21" s="1306">
        <v>30</v>
      </c>
      <c r="R21" s="831">
        <f t="shared" si="0"/>
        <v>3990.6299702708097</v>
      </c>
      <c r="S21" s="863">
        <f t="shared" si="5"/>
        <v>332.55249752256748</v>
      </c>
      <c r="T21" s="831">
        <f t="shared" si="1"/>
        <v>12.790480673944902</v>
      </c>
      <c r="U21" s="924">
        <f>QC!W20</f>
        <v>0</v>
      </c>
      <c r="V21" s="935">
        <f t="shared" si="2"/>
        <v>0</v>
      </c>
      <c r="W21" s="894"/>
      <c r="X21" s="504"/>
      <c r="Y21" s="924">
        <v>0</v>
      </c>
      <c r="Z21" s="924">
        <v>3</v>
      </c>
      <c r="AA21" s="1693">
        <v>2</v>
      </c>
      <c r="AB21" s="924">
        <v>1.5</v>
      </c>
      <c r="AC21" s="1693"/>
      <c r="AD21" s="924">
        <v>0</v>
      </c>
      <c r="AE21" s="924">
        <v>2</v>
      </c>
      <c r="AF21" s="924">
        <v>1</v>
      </c>
      <c r="AG21" s="924">
        <v>1</v>
      </c>
      <c r="AH21" s="1693"/>
      <c r="AI21" s="1693"/>
      <c r="AJ21" s="1693"/>
      <c r="AK21" s="1705">
        <f t="shared" si="3"/>
        <v>10.5</v>
      </c>
    </row>
    <row r="22" spans="1:37" s="1849" customFormat="1" ht="42" customHeight="1">
      <c r="A22" s="862">
        <v>15</v>
      </c>
      <c r="B22" s="702" t="s">
        <v>2383</v>
      </c>
      <c r="C22" s="581" t="s">
        <v>2384</v>
      </c>
      <c r="D22" s="1476">
        <v>42980</v>
      </c>
      <c r="E22" s="557" t="s">
        <v>355</v>
      </c>
      <c r="F22" s="1719">
        <v>268.92307692307691</v>
      </c>
      <c r="G22" s="1719">
        <v>288.03849762247893</v>
      </c>
      <c r="H22" s="1719">
        <v>299.53503414925228</v>
      </c>
      <c r="I22" s="1719">
        <v>337.98763594742968</v>
      </c>
      <c r="J22" s="1719">
        <v>366.73952779893369</v>
      </c>
      <c r="K22" s="1719">
        <v>447.20219642875293</v>
      </c>
      <c r="L22" s="1097" t="s">
        <v>1918</v>
      </c>
      <c r="M22" s="1097" t="s">
        <v>1918</v>
      </c>
      <c r="N22" s="1097" t="s">
        <v>1918</v>
      </c>
      <c r="O22" s="1306">
        <v>309.71877631778733</v>
      </c>
      <c r="P22" s="1306">
        <v>207.71106512950757</v>
      </c>
      <c r="Q22" s="1306">
        <v>30</v>
      </c>
      <c r="R22" s="831">
        <f>SUM(F22:Q22)</f>
        <v>2555.855810317219</v>
      </c>
      <c r="S22" s="863">
        <f>R22/9</f>
        <v>283.98397892413544</v>
      </c>
      <c r="T22" s="831">
        <f t="shared" ref="T22" si="7">S22/26</f>
        <v>10.922460727851362</v>
      </c>
      <c r="U22" s="924">
        <f>QC!W21</f>
        <v>1</v>
      </c>
      <c r="V22" s="935">
        <f t="shared" si="2"/>
        <v>10.922460727851362</v>
      </c>
      <c r="W22" s="894"/>
      <c r="X22" s="504"/>
      <c r="Y22" s="924">
        <v>0</v>
      </c>
      <c r="Z22" s="924">
        <v>3</v>
      </c>
      <c r="AA22" s="1693">
        <v>2</v>
      </c>
      <c r="AB22" s="924">
        <v>1.5</v>
      </c>
      <c r="AC22" s="1693"/>
      <c r="AD22" s="1693">
        <v>0.5</v>
      </c>
      <c r="AE22" s="1900" t="s">
        <v>1918</v>
      </c>
      <c r="AF22" s="1900" t="s">
        <v>1918</v>
      </c>
      <c r="AG22" s="1900" t="s">
        <v>1918</v>
      </c>
      <c r="AH22" s="1693"/>
      <c r="AI22" s="1693"/>
      <c r="AJ22" s="1693"/>
      <c r="AK22" s="1705">
        <f>SUM(Y22:AJ22)</f>
        <v>7</v>
      </c>
    </row>
    <row r="23" spans="1:37" s="1799" customFormat="1" ht="45" customHeight="1">
      <c r="A23" s="862">
        <v>16</v>
      </c>
      <c r="B23" s="1508" t="s">
        <v>2306</v>
      </c>
      <c r="C23" s="578" t="s">
        <v>1830</v>
      </c>
      <c r="D23" s="1474">
        <v>43626</v>
      </c>
      <c r="E23" s="557" t="s">
        <v>355</v>
      </c>
      <c r="F23" s="1719">
        <v>235.98646723646721</v>
      </c>
      <c r="G23" s="1719">
        <v>293.8904635078253</v>
      </c>
      <c r="H23" s="1719">
        <v>248.83998084071578</v>
      </c>
      <c r="I23" s="1719">
        <v>292.20601143792862</v>
      </c>
      <c r="J23" s="1719">
        <v>405.66869763899467</v>
      </c>
      <c r="K23" s="1719">
        <v>448.84244097486669</v>
      </c>
      <c r="L23" s="1719">
        <v>501.9353981429241</v>
      </c>
      <c r="M23" s="1719">
        <v>356.81084821850914</v>
      </c>
      <c r="N23" s="1719">
        <v>318.92981320790523</v>
      </c>
      <c r="O23" s="1306">
        <v>306.78734492428623</v>
      </c>
      <c r="P23" s="1306">
        <v>231.53208444624966</v>
      </c>
      <c r="Q23" s="1306">
        <v>30</v>
      </c>
      <c r="R23" s="831">
        <f t="shared" si="0"/>
        <v>3671.4295505766731</v>
      </c>
      <c r="S23" s="831">
        <f>R23/12</f>
        <v>305.95246254805608</v>
      </c>
      <c r="T23" s="831">
        <f t="shared" ref="T23" si="8">S23/26</f>
        <v>11.767402405694465</v>
      </c>
      <c r="U23" s="924">
        <f>QC!W22</f>
        <v>0</v>
      </c>
      <c r="V23" s="935">
        <f t="shared" si="2"/>
        <v>0</v>
      </c>
      <c r="W23" s="894"/>
      <c r="X23" s="504"/>
      <c r="Y23" s="1692">
        <v>0</v>
      </c>
      <c r="Z23" s="914">
        <v>3</v>
      </c>
      <c r="AA23" s="1694">
        <v>2</v>
      </c>
      <c r="AB23" s="914">
        <v>1.5</v>
      </c>
      <c r="AC23" s="1694"/>
      <c r="AD23" s="914">
        <v>0</v>
      </c>
      <c r="AE23" s="914">
        <v>2</v>
      </c>
      <c r="AF23" s="924">
        <v>1</v>
      </c>
      <c r="AG23" s="924">
        <v>1</v>
      </c>
      <c r="AH23" s="1693"/>
      <c r="AI23" s="1693"/>
      <c r="AJ23" s="1693"/>
      <c r="AK23" s="1705">
        <f t="shared" ref="AK23" si="9">SUM(Y23:AJ23)</f>
        <v>10.5</v>
      </c>
    </row>
    <row r="24" spans="1:37" s="982" customFormat="1" ht="45" customHeight="1">
      <c r="A24" s="862">
        <v>17</v>
      </c>
      <c r="B24" s="1082" t="s">
        <v>1407</v>
      </c>
      <c r="C24" s="798" t="s">
        <v>1361</v>
      </c>
      <c r="D24" s="1446">
        <v>44593</v>
      </c>
      <c r="E24" s="1637" t="s">
        <v>355</v>
      </c>
      <c r="F24" s="1719">
        <v>268.92307692307691</v>
      </c>
      <c r="G24" s="1719">
        <v>273.00639468431041</v>
      </c>
      <c r="H24" s="1719">
        <v>277.73026565290121</v>
      </c>
      <c r="I24" s="1719">
        <v>322.40533750320026</v>
      </c>
      <c r="J24" s="1719">
        <v>424.33082635186594</v>
      </c>
      <c r="K24" s="1719">
        <v>524.80945354150799</v>
      </c>
      <c r="L24" s="1719">
        <v>501.70414417925093</v>
      </c>
      <c r="M24" s="1719">
        <v>342.26317996076392</v>
      </c>
      <c r="N24" s="1719">
        <v>298.41076715543073</v>
      </c>
      <c r="O24" s="1306">
        <v>190.71517997067565</v>
      </c>
      <c r="P24" s="1306">
        <v>215.47255875773828</v>
      </c>
      <c r="Q24" s="1306">
        <v>30</v>
      </c>
      <c r="R24" s="831">
        <f t="shared" si="0"/>
        <v>3669.7711846807215</v>
      </c>
      <c r="S24" s="831">
        <f>R24/12</f>
        <v>305.81426539006014</v>
      </c>
      <c r="T24" s="831">
        <f t="shared" si="1"/>
        <v>11.762087130386929</v>
      </c>
      <c r="U24" s="924">
        <f>QC!W23</f>
        <v>0</v>
      </c>
      <c r="V24" s="935">
        <f t="shared" si="2"/>
        <v>0</v>
      </c>
      <c r="W24" s="894"/>
      <c r="X24" s="504"/>
      <c r="Y24" s="924">
        <v>0</v>
      </c>
      <c r="Z24" s="924">
        <v>3</v>
      </c>
      <c r="AA24" s="1693">
        <v>2</v>
      </c>
      <c r="AB24" s="924">
        <v>1.5</v>
      </c>
      <c r="AC24" s="1693"/>
      <c r="AD24" s="924">
        <v>0</v>
      </c>
      <c r="AE24" s="924">
        <v>2</v>
      </c>
      <c r="AF24" s="924">
        <v>3</v>
      </c>
      <c r="AG24" s="924">
        <v>1</v>
      </c>
      <c r="AH24" s="1693"/>
      <c r="AI24" s="1693"/>
      <c r="AJ24" s="1693"/>
      <c r="AK24" s="1705">
        <f t="shared" si="3"/>
        <v>12.5</v>
      </c>
    </row>
    <row r="25" spans="1:37" s="1080" customFormat="1" ht="42" customHeight="1">
      <c r="A25" s="862">
        <v>18</v>
      </c>
      <c r="B25" s="1497" t="s">
        <v>1298</v>
      </c>
      <c r="C25" s="1499" t="s">
        <v>513</v>
      </c>
      <c r="D25" s="1496">
        <v>41557</v>
      </c>
      <c r="E25" s="1637" t="s">
        <v>355</v>
      </c>
      <c r="F25" s="1719">
        <v>329.01127730294394</v>
      </c>
      <c r="G25" s="1719">
        <v>356.71691392280144</v>
      </c>
      <c r="H25" s="1719">
        <v>314.31181651596006</v>
      </c>
      <c r="I25" s="1719">
        <v>371.63791985407761</v>
      </c>
      <c r="J25" s="1719">
        <v>461.54308212416811</v>
      </c>
      <c r="K25" s="1719">
        <v>565.16103389185071</v>
      </c>
      <c r="L25" s="1719">
        <v>538.557710955179</v>
      </c>
      <c r="M25" s="1719">
        <v>404.13758948423185</v>
      </c>
      <c r="N25" s="1719">
        <v>325.76260662893623</v>
      </c>
      <c r="O25" s="1306">
        <v>366.01643826897515</v>
      </c>
      <c r="P25" s="1306">
        <v>273.53732753732754</v>
      </c>
      <c r="Q25" s="1306">
        <v>30</v>
      </c>
      <c r="R25" s="831">
        <f t="shared" si="0"/>
        <v>4336.3937164864519</v>
      </c>
      <c r="S25" s="831">
        <f>R25/12</f>
        <v>361.36614304053768</v>
      </c>
      <c r="T25" s="831">
        <f t="shared" si="1"/>
        <v>13.898697809251448</v>
      </c>
      <c r="U25" s="924">
        <f>QC!W24</f>
        <v>0</v>
      </c>
      <c r="V25" s="935">
        <f t="shared" si="2"/>
        <v>0</v>
      </c>
      <c r="W25" s="894"/>
      <c r="X25" s="504"/>
      <c r="Y25" s="924">
        <v>0</v>
      </c>
      <c r="Z25" s="924">
        <v>0.5</v>
      </c>
      <c r="AA25" s="1693">
        <v>2</v>
      </c>
      <c r="AB25" s="924">
        <v>3</v>
      </c>
      <c r="AC25" s="924">
        <v>1</v>
      </c>
      <c r="AD25" s="924">
        <v>0</v>
      </c>
      <c r="AE25" s="924">
        <v>1</v>
      </c>
      <c r="AF25" s="924">
        <v>1.5</v>
      </c>
      <c r="AG25" s="924">
        <v>2</v>
      </c>
      <c r="AH25" s="1693"/>
      <c r="AI25" s="1693"/>
      <c r="AJ25" s="1693"/>
      <c r="AK25" s="1705">
        <f t="shared" si="3"/>
        <v>11</v>
      </c>
    </row>
    <row r="26" spans="1:37" s="871" customFormat="1" ht="42" customHeight="1">
      <c r="A26" s="862">
        <v>19</v>
      </c>
      <c r="B26" s="517" t="s">
        <v>1537</v>
      </c>
      <c r="C26" s="731" t="s">
        <v>1318</v>
      </c>
      <c r="D26" s="1446">
        <v>42221</v>
      </c>
      <c r="E26" s="1637" t="s">
        <v>355</v>
      </c>
      <c r="F26" s="1719">
        <v>231.03846153846152</v>
      </c>
      <c r="G26" s="1719">
        <v>321.78075751892879</v>
      </c>
      <c r="H26" s="1719">
        <v>249.61862519803302</v>
      </c>
      <c r="I26" s="1719">
        <v>273.59302760171744</v>
      </c>
      <c r="J26" s="1719">
        <v>352.98410129474496</v>
      </c>
      <c r="K26" s="1719">
        <v>306.03301160664438</v>
      </c>
      <c r="L26" s="1719">
        <v>397.96704227681073</v>
      </c>
      <c r="M26" s="1719">
        <v>315.28530788922041</v>
      </c>
      <c r="N26" s="1719">
        <v>295.70638613918391</v>
      </c>
      <c r="O26" s="1306">
        <v>256.31859395456416</v>
      </c>
      <c r="P26" s="1306">
        <v>245.30769230769232</v>
      </c>
      <c r="Q26" s="1306">
        <v>30</v>
      </c>
      <c r="R26" s="831">
        <f t="shared" si="0"/>
        <v>3275.6330073260015</v>
      </c>
      <c r="S26" s="831">
        <f t="shared" si="5"/>
        <v>272.96941727716677</v>
      </c>
      <c r="T26" s="831">
        <f t="shared" si="1"/>
        <v>10.498823741429492</v>
      </c>
      <c r="U26" s="924">
        <f>QC!W25</f>
        <v>1</v>
      </c>
      <c r="V26" s="935">
        <f t="shared" si="2"/>
        <v>10.498823741429492</v>
      </c>
      <c r="W26" s="894"/>
      <c r="X26" s="504"/>
      <c r="Y26" s="924">
        <v>0</v>
      </c>
      <c r="Z26" s="924">
        <v>4</v>
      </c>
      <c r="AA26" s="1693">
        <v>2</v>
      </c>
      <c r="AB26" s="924">
        <v>2.5</v>
      </c>
      <c r="AC26" s="1693"/>
      <c r="AD26" s="924">
        <v>1</v>
      </c>
      <c r="AE26" s="924">
        <v>1.5</v>
      </c>
      <c r="AF26" s="924">
        <v>1</v>
      </c>
      <c r="AG26" s="924">
        <v>1.5</v>
      </c>
      <c r="AH26" s="1693"/>
      <c r="AI26" s="1693"/>
      <c r="AJ26" s="1693"/>
      <c r="AK26" s="1705">
        <f t="shared" si="3"/>
        <v>13.5</v>
      </c>
    </row>
    <row r="27" spans="1:37" s="871" customFormat="1" ht="31.5" customHeight="1">
      <c r="A27" s="2141" t="s">
        <v>214</v>
      </c>
      <c r="B27" s="2142"/>
      <c r="C27" s="2142"/>
      <c r="D27" s="2142"/>
      <c r="E27" s="2142"/>
      <c r="F27" s="2142"/>
      <c r="G27" s="2142"/>
      <c r="H27" s="2142"/>
      <c r="I27" s="2142"/>
      <c r="J27" s="2142"/>
      <c r="K27" s="2141"/>
      <c r="L27" s="2141"/>
      <c r="M27" s="2141"/>
      <c r="N27" s="2141"/>
      <c r="O27" s="2141"/>
      <c r="P27" s="2141"/>
      <c r="Q27" s="2141"/>
      <c r="R27" s="2141"/>
      <c r="S27" s="835"/>
      <c r="T27" s="835"/>
      <c r="U27" s="915"/>
      <c r="V27" s="954">
        <f>SUM(V8:V26)</f>
        <v>60.166515185362513</v>
      </c>
      <c r="W27" s="910"/>
      <c r="X27" s="504"/>
    </row>
    <row r="28" spans="1:37" s="871" customFormat="1" ht="15.75">
      <c r="A28" s="842"/>
      <c r="B28" s="842"/>
      <c r="C28" s="842"/>
      <c r="D28" s="567"/>
      <c r="E28" s="842"/>
      <c r="F28" s="842"/>
      <c r="G28" s="842"/>
      <c r="H28" s="842"/>
      <c r="I28" s="842"/>
      <c r="J28" s="842"/>
      <c r="K28" s="842"/>
      <c r="L28" s="842"/>
      <c r="M28" s="842"/>
      <c r="N28" s="842"/>
      <c r="O28" s="842"/>
      <c r="P28" s="842"/>
      <c r="Q28" s="842"/>
      <c r="R28" s="870"/>
      <c r="S28" s="870"/>
      <c r="T28" s="870"/>
      <c r="U28" s="896"/>
      <c r="V28" s="896"/>
      <c r="W28" s="896"/>
      <c r="X28" s="842"/>
    </row>
    <row r="29" spans="1:37" s="871" customFormat="1" ht="27" customHeight="1">
      <c r="A29" s="2132" t="s">
        <v>1155</v>
      </c>
      <c r="B29" s="2132"/>
      <c r="C29" s="2132"/>
      <c r="D29" s="872"/>
      <c r="H29" s="2132" t="s">
        <v>1156</v>
      </c>
      <c r="I29" s="2132"/>
      <c r="J29" s="2132"/>
      <c r="K29" s="2132"/>
      <c r="R29" s="2133" t="s">
        <v>1157</v>
      </c>
      <c r="S29" s="2133"/>
      <c r="T29" s="2133"/>
      <c r="U29" s="898"/>
      <c r="V29" s="898"/>
      <c r="W29" s="898"/>
      <c r="X29" s="843"/>
    </row>
  </sheetData>
  <mergeCells count="11">
    <mergeCell ref="A27:R27"/>
    <mergeCell ref="A29:C29"/>
    <mergeCell ref="H29:K29"/>
    <mergeCell ref="R29:T29"/>
    <mergeCell ref="F6:Q6"/>
    <mergeCell ref="A5:C5"/>
    <mergeCell ref="L5:R5"/>
    <mergeCell ref="A1:T1"/>
    <mergeCell ref="A2:T2"/>
    <mergeCell ref="A3:T3"/>
    <mergeCell ref="A4:T4"/>
  </mergeCells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BM33"/>
  <sheetViews>
    <sheetView view="pageBreakPreview" topLeftCell="A3" zoomScale="80" zoomScaleNormal="100" zoomScaleSheetLayoutView="80" workbookViewId="0">
      <pane xSplit="7" ySplit="4" topLeftCell="H24" activePane="bottomRight" state="frozen"/>
      <selection activeCell="A3" sqref="A3"/>
      <selection pane="topRight" activeCell="H3" sqref="H3"/>
      <selection pane="bottomLeft" activeCell="A7" sqref="A7"/>
      <selection pane="bottomRight" activeCell="Q25" sqref="Q25"/>
    </sheetView>
  </sheetViews>
  <sheetFormatPr defaultRowHeight="15.75"/>
  <cols>
    <col min="1" max="1" width="5.375" style="544" customWidth="1"/>
    <col min="2" max="2" width="12.75" style="544" customWidth="1"/>
    <col min="3" max="3" width="12" style="555" customWidth="1"/>
    <col min="4" max="4" width="10.625" style="555" customWidth="1"/>
    <col min="5" max="5" width="5.5" style="544" customWidth="1"/>
    <col min="6" max="6" width="8.375" style="556" customWidth="1"/>
    <col min="7" max="7" width="6.25" style="610" customWidth="1"/>
    <col min="8" max="8" width="5" style="544" customWidth="1"/>
    <col min="9" max="10" width="8.625" style="544" customWidth="1"/>
    <col min="11" max="11" width="5" style="544" customWidth="1"/>
    <col min="12" max="12" width="6.125" style="544" customWidth="1"/>
    <col min="13" max="13" width="8.375" style="544" customWidth="1"/>
    <col min="14" max="14" width="5.5" style="544" customWidth="1"/>
    <col min="15" max="15" width="6.75" style="544" customWidth="1"/>
    <col min="16" max="16" width="7.875" style="544" customWidth="1"/>
    <col min="17" max="17" width="5.625" style="544" customWidth="1"/>
    <col min="18" max="18" width="5.875" style="544" customWidth="1"/>
    <col min="19" max="19" width="8.5" style="544" customWidth="1"/>
    <col min="20" max="20" width="5.125" style="544" customWidth="1"/>
    <col min="21" max="21" width="5.75" style="544" customWidth="1"/>
    <col min="22" max="22" width="8.375" style="544" customWidth="1"/>
    <col min="23" max="23" width="5.875" style="544" customWidth="1"/>
    <col min="24" max="24" width="8.5" style="544" customWidth="1"/>
    <col min="25" max="25" width="5.75" style="544" customWidth="1"/>
    <col min="26" max="26" width="6.875" style="544" customWidth="1"/>
    <col min="27" max="27" width="8.625" style="544" customWidth="1"/>
    <col min="28" max="28" width="5.125" style="544" customWidth="1"/>
    <col min="29" max="29" width="6" style="544" customWidth="1"/>
    <col min="30" max="30" width="8.125" style="544" customWidth="1"/>
    <col min="31" max="32" width="7.625" style="544" customWidth="1"/>
    <col min="33" max="33" width="6.375" style="544" customWidth="1"/>
    <col min="34" max="35" width="7.125" style="544" customWidth="1"/>
    <col min="36" max="36" width="10.125" style="544" customWidth="1"/>
    <col min="37" max="37" width="9.875" style="544" customWidth="1"/>
    <col min="38" max="38" width="12.375" style="544" customWidth="1"/>
    <col min="39" max="39" width="7.625" style="544" customWidth="1"/>
    <col min="40" max="40" width="11" style="544" customWidth="1"/>
    <col min="41" max="41" width="8" style="544" customWidth="1"/>
    <col min="42" max="42" width="8.875" style="544" customWidth="1"/>
    <col min="43" max="43" width="10.625" style="544" customWidth="1"/>
    <col min="44" max="44" width="14.625" style="544" customWidth="1"/>
    <col min="45" max="45" width="11.375" style="544" customWidth="1"/>
    <col min="46" max="46" width="18.5" style="544" customWidth="1"/>
    <col min="47" max="47" width="8.5" style="544" customWidth="1"/>
    <col min="48" max="48" width="7.25" style="544" customWidth="1"/>
    <col min="49" max="49" width="10.5" style="544" hidden="1" customWidth="1"/>
    <col min="50" max="51" width="9" style="544"/>
    <col min="52" max="54" width="8.875" style="544" customWidth="1"/>
    <col min="55" max="55" width="8.75" style="544" customWidth="1"/>
    <col min="56" max="60" width="9" style="544"/>
    <col min="61" max="61" width="16.625" style="544" customWidth="1"/>
    <col min="62" max="62" width="9" style="544"/>
    <col min="63" max="65" width="14.5" style="544" customWidth="1"/>
    <col min="66" max="16384" width="9" style="544"/>
  </cols>
  <sheetData>
    <row r="1" spans="1:65" s="541" customFormat="1" ht="29.25" customHeight="1">
      <c r="A1" s="2110" t="s">
        <v>222</v>
      </c>
      <c r="B1" s="2110"/>
      <c r="C1" s="2110"/>
      <c r="D1" s="2110"/>
      <c r="E1" s="2110"/>
      <c r="F1" s="2110"/>
      <c r="G1" s="2110"/>
      <c r="H1" s="2110"/>
      <c r="I1" s="2110"/>
      <c r="J1" s="2110"/>
      <c r="K1" s="2110"/>
      <c r="L1" s="2110"/>
      <c r="M1" s="2110"/>
      <c r="N1" s="2110"/>
      <c r="O1" s="2110"/>
      <c r="P1" s="2110"/>
      <c r="Q1" s="2110"/>
      <c r="R1" s="2110"/>
      <c r="S1" s="2110"/>
      <c r="T1" s="2110"/>
      <c r="U1" s="2110"/>
      <c r="V1" s="2110"/>
      <c r="W1" s="2110"/>
      <c r="X1" s="2110"/>
      <c r="Y1" s="2110"/>
      <c r="Z1" s="2110"/>
      <c r="AA1" s="2110"/>
      <c r="AB1" s="2110"/>
      <c r="AC1" s="2110"/>
      <c r="AD1" s="2110"/>
      <c r="AE1" s="2110"/>
      <c r="AF1" s="2110"/>
      <c r="AG1" s="2110"/>
      <c r="AH1" s="2110"/>
      <c r="AI1" s="2110"/>
      <c r="AJ1" s="2110"/>
      <c r="AK1" s="2110"/>
      <c r="AL1" s="2110"/>
      <c r="AM1" s="2110"/>
      <c r="AN1" s="2110"/>
      <c r="AO1" s="2110"/>
      <c r="AP1" s="2110"/>
      <c r="AQ1" s="2110"/>
      <c r="AR1" s="2110"/>
      <c r="AS1" s="2110"/>
      <c r="AT1" s="2110"/>
      <c r="AU1" s="751"/>
      <c r="AV1" s="751"/>
    </row>
    <row r="2" spans="1:65" s="541" customFormat="1" ht="20.25" customHeight="1">
      <c r="A2" s="2110" t="s">
        <v>221</v>
      </c>
      <c r="B2" s="2110"/>
      <c r="C2" s="2110"/>
      <c r="D2" s="2110"/>
      <c r="E2" s="2110"/>
      <c r="F2" s="2110"/>
      <c r="G2" s="2110"/>
      <c r="H2" s="2110"/>
      <c r="I2" s="2110"/>
      <c r="J2" s="2110"/>
      <c r="K2" s="2110"/>
      <c r="L2" s="2110"/>
      <c r="M2" s="2110"/>
      <c r="N2" s="2110"/>
      <c r="O2" s="2110"/>
      <c r="P2" s="2110"/>
      <c r="Q2" s="2110"/>
      <c r="R2" s="2110"/>
      <c r="S2" s="2110"/>
      <c r="T2" s="2110"/>
      <c r="U2" s="2110"/>
      <c r="V2" s="2110"/>
      <c r="W2" s="2110"/>
      <c r="X2" s="2110"/>
      <c r="Y2" s="2110"/>
      <c r="Z2" s="2110"/>
      <c r="AA2" s="2110"/>
      <c r="AB2" s="2110"/>
      <c r="AC2" s="2110"/>
      <c r="AD2" s="2110"/>
      <c r="AE2" s="2110"/>
      <c r="AF2" s="2110"/>
      <c r="AG2" s="2110"/>
      <c r="AH2" s="2110"/>
      <c r="AI2" s="2110"/>
      <c r="AJ2" s="2110"/>
      <c r="AK2" s="2110"/>
      <c r="AL2" s="2110"/>
      <c r="AM2" s="2110"/>
      <c r="AN2" s="2110"/>
      <c r="AO2" s="2110"/>
      <c r="AP2" s="2110"/>
      <c r="AQ2" s="2110"/>
      <c r="AR2" s="2110"/>
      <c r="AS2" s="2110"/>
      <c r="AT2" s="2110"/>
      <c r="AU2" s="751"/>
      <c r="AV2" s="751"/>
    </row>
    <row r="3" spans="1:65" s="541" customFormat="1" ht="19.5" customHeight="1">
      <c r="A3" s="2111" t="s">
        <v>2342</v>
      </c>
      <c r="B3" s="2111"/>
      <c r="C3" s="2111"/>
      <c r="D3" s="2111"/>
      <c r="E3" s="2111"/>
      <c r="F3" s="2111"/>
      <c r="G3" s="2111"/>
      <c r="H3" s="2111"/>
      <c r="I3" s="2111"/>
      <c r="J3" s="2111"/>
      <c r="K3" s="2111"/>
      <c r="L3" s="2111"/>
      <c r="M3" s="2111"/>
      <c r="N3" s="2111"/>
      <c r="O3" s="2111"/>
      <c r="P3" s="2111"/>
      <c r="Q3" s="2111"/>
      <c r="R3" s="2111"/>
      <c r="S3" s="2111"/>
      <c r="T3" s="2111"/>
      <c r="U3" s="2111"/>
      <c r="V3" s="2111"/>
      <c r="W3" s="2111"/>
      <c r="X3" s="2111"/>
      <c r="Y3" s="2111"/>
      <c r="Z3" s="2111"/>
      <c r="AA3" s="2111"/>
      <c r="AB3" s="2111"/>
      <c r="AC3" s="2111"/>
      <c r="AD3" s="2111"/>
      <c r="AE3" s="2111"/>
      <c r="AF3" s="2111"/>
      <c r="AG3" s="2111"/>
      <c r="AH3" s="2111"/>
      <c r="AI3" s="2111"/>
      <c r="AJ3" s="2111"/>
      <c r="AK3" s="2111"/>
      <c r="AL3" s="2111"/>
      <c r="AM3" s="2111"/>
      <c r="AN3" s="2111"/>
      <c r="AO3" s="2111"/>
      <c r="AP3" s="2111"/>
      <c r="AQ3" s="2111"/>
      <c r="AR3" s="2111"/>
      <c r="AS3" s="2111"/>
      <c r="AT3" s="2111"/>
      <c r="AU3" s="752"/>
      <c r="AV3" s="752"/>
    </row>
    <row r="4" spans="1:65" s="1040" customFormat="1" ht="20.25" customHeight="1">
      <c r="A4" s="1373" t="s">
        <v>738</v>
      </c>
      <c r="B4" s="1373"/>
      <c r="C4" s="2091" t="s">
        <v>2341</v>
      </c>
      <c r="D4" s="2092"/>
      <c r="E4" s="2092"/>
      <c r="F4" s="2092"/>
      <c r="G4" s="1373"/>
      <c r="H4" s="1373"/>
      <c r="I4" s="1373"/>
      <c r="J4" s="1373"/>
      <c r="K4" s="1373"/>
      <c r="L4" s="1373"/>
      <c r="M4" s="1373"/>
      <c r="N4" s="1373"/>
      <c r="O4" s="1373"/>
      <c r="P4" s="1373"/>
      <c r="Q4" s="1373"/>
      <c r="R4" s="1373"/>
      <c r="S4" s="1373"/>
      <c r="T4" s="1373"/>
      <c r="U4" s="1373"/>
      <c r="V4" s="1373"/>
      <c r="W4" s="1373"/>
      <c r="X4" s="1373"/>
      <c r="Y4" s="1373"/>
      <c r="Z4" s="1373"/>
      <c r="AA4" s="1373"/>
      <c r="AB4" s="1373"/>
      <c r="AC4" s="1373"/>
      <c r="AD4" s="1373"/>
      <c r="AE4" s="1373"/>
      <c r="AF4" s="1373"/>
      <c r="AG4" s="1373"/>
      <c r="AH4" s="1373"/>
      <c r="AI4" s="1373"/>
      <c r="AJ4" s="1373"/>
      <c r="AK4" s="1373"/>
      <c r="AL4" s="1373"/>
      <c r="AM4" s="1373"/>
      <c r="AN4" s="1373"/>
      <c r="AO4" s="1373"/>
      <c r="AP4" s="1373"/>
      <c r="AQ4" s="1373"/>
      <c r="AR4" s="1373"/>
      <c r="AS4" s="1373"/>
      <c r="AT4" s="1373"/>
      <c r="AU4" s="1372"/>
      <c r="AV4" s="1372"/>
      <c r="AX4" s="2075" t="s">
        <v>472</v>
      </c>
      <c r="AY4" s="2075"/>
      <c r="AZ4" s="2075"/>
      <c r="BA4" s="2075"/>
      <c r="BB4" s="2075"/>
      <c r="BC4" s="2075"/>
      <c r="BD4" s="2075"/>
      <c r="BE4" s="2075"/>
      <c r="BF4" s="2075"/>
      <c r="BG4" s="2075"/>
    </row>
    <row r="5" spans="1:65" ht="69.95" customHeight="1">
      <c r="A5" s="722" t="s">
        <v>252</v>
      </c>
      <c r="B5" s="722" t="s">
        <v>253</v>
      </c>
      <c r="C5" s="722" t="s">
        <v>911</v>
      </c>
      <c r="D5" s="1123" t="s">
        <v>254</v>
      </c>
      <c r="E5" s="723" t="s">
        <v>227</v>
      </c>
      <c r="F5" s="724" t="s">
        <v>255</v>
      </c>
      <c r="G5" s="643" t="s">
        <v>256</v>
      </c>
      <c r="H5" s="2120" t="s">
        <v>1748</v>
      </c>
      <c r="I5" s="2094"/>
      <c r="J5" s="2095"/>
      <c r="K5" s="2120" t="s">
        <v>1744</v>
      </c>
      <c r="L5" s="2094"/>
      <c r="M5" s="2095"/>
      <c r="N5" s="2120" t="s">
        <v>1749</v>
      </c>
      <c r="O5" s="2094"/>
      <c r="P5" s="2095"/>
      <c r="Q5" s="2120" t="s">
        <v>1762</v>
      </c>
      <c r="R5" s="2094"/>
      <c r="S5" s="2095"/>
      <c r="T5" s="2117" t="s">
        <v>1761</v>
      </c>
      <c r="U5" s="2118"/>
      <c r="V5" s="2119"/>
      <c r="W5" s="2102" t="s">
        <v>1674</v>
      </c>
      <c r="X5" s="2103"/>
      <c r="Y5" s="2093" t="s">
        <v>1675</v>
      </c>
      <c r="Z5" s="2094"/>
      <c r="AA5" s="2095"/>
      <c r="AB5" s="2096" t="s">
        <v>1664</v>
      </c>
      <c r="AC5" s="1126" t="s">
        <v>258</v>
      </c>
      <c r="AD5" s="2098" t="s">
        <v>220</v>
      </c>
      <c r="AE5" s="1117" t="s">
        <v>1835</v>
      </c>
      <c r="AF5" s="2100" t="s">
        <v>1840</v>
      </c>
      <c r="AG5" s="1268" t="s">
        <v>1832</v>
      </c>
      <c r="AH5" s="2080" t="s">
        <v>1666</v>
      </c>
      <c r="AI5" s="2080" t="s">
        <v>1665</v>
      </c>
      <c r="AJ5" s="2076" t="s">
        <v>1653</v>
      </c>
      <c r="AK5" s="2078" t="s">
        <v>1727</v>
      </c>
      <c r="AL5" s="2114" t="s">
        <v>1742</v>
      </c>
      <c r="AM5" s="2084" t="s">
        <v>1668</v>
      </c>
      <c r="AN5" s="2121" t="s">
        <v>1669</v>
      </c>
      <c r="AO5" s="2116" t="s">
        <v>1670</v>
      </c>
      <c r="AP5" s="2089" t="s">
        <v>1805</v>
      </c>
      <c r="AQ5" s="2146" t="s">
        <v>1764</v>
      </c>
      <c r="AR5" s="2146"/>
      <c r="AS5" s="2147"/>
      <c r="AT5" s="2088" t="s">
        <v>1763</v>
      </c>
      <c r="AU5" s="543"/>
      <c r="AV5" s="543"/>
      <c r="AW5" s="501"/>
      <c r="AX5" s="2081" t="s">
        <v>219</v>
      </c>
      <c r="AY5" s="2082"/>
      <c r="AZ5" s="2083"/>
      <c r="BA5" s="750"/>
      <c r="BB5" s="750"/>
      <c r="BC5" s="2086"/>
      <c r="BD5" s="2086"/>
      <c r="BE5" s="2086"/>
      <c r="BF5" s="2086"/>
      <c r="BG5" s="2087"/>
      <c r="BI5" s="690" t="s">
        <v>789</v>
      </c>
      <c r="BJ5" s="2156" t="s">
        <v>568</v>
      </c>
      <c r="BK5" s="2156" t="s">
        <v>569</v>
      </c>
      <c r="BL5" s="2156" t="s">
        <v>570</v>
      </c>
      <c r="BM5" s="2158" t="s">
        <v>713</v>
      </c>
    </row>
    <row r="6" spans="1:65" ht="99.95" customHeight="1">
      <c r="A6" s="725" t="s">
        <v>111</v>
      </c>
      <c r="B6" s="725" t="s">
        <v>1732</v>
      </c>
      <c r="C6" s="725" t="s">
        <v>1708</v>
      </c>
      <c r="D6" s="725" t="s">
        <v>1698</v>
      </c>
      <c r="E6" s="607" t="s">
        <v>1655</v>
      </c>
      <c r="F6" s="1124" t="s">
        <v>1641</v>
      </c>
      <c r="G6" s="607" t="s">
        <v>1656</v>
      </c>
      <c r="H6" s="545" t="s">
        <v>1657</v>
      </c>
      <c r="I6" s="546" t="s">
        <v>1658</v>
      </c>
      <c r="J6" s="546" t="s">
        <v>1644</v>
      </c>
      <c r="K6" s="1131" t="s">
        <v>1645</v>
      </c>
      <c r="L6" s="546" t="s">
        <v>1659</v>
      </c>
      <c r="M6" s="546" t="s">
        <v>1662</v>
      </c>
      <c r="N6" s="547" t="s">
        <v>1660</v>
      </c>
      <c r="O6" s="546" t="s">
        <v>1659</v>
      </c>
      <c r="P6" s="546" t="s">
        <v>1662</v>
      </c>
      <c r="Q6" s="1131" t="s">
        <v>1660</v>
      </c>
      <c r="R6" s="546" t="s">
        <v>1659</v>
      </c>
      <c r="S6" s="546" t="s">
        <v>1662</v>
      </c>
      <c r="T6" s="1132" t="s">
        <v>257</v>
      </c>
      <c r="U6" s="546" t="s">
        <v>1661</v>
      </c>
      <c r="V6" s="546" t="s">
        <v>1662</v>
      </c>
      <c r="W6" s="546" t="s">
        <v>1683</v>
      </c>
      <c r="X6" s="546" t="s">
        <v>1663</v>
      </c>
      <c r="Y6" s="546" t="s">
        <v>1649</v>
      </c>
      <c r="Z6" s="546" t="s">
        <v>1661</v>
      </c>
      <c r="AA6" s="546" t="s">
        <v>1650</v>
      </c>
      <c r="AB6" s="2097"/>
      <c r="AC6" s="1127" t="s">
        <v>1651</v>
      </c>
      <c r="AD6" s="2099"/>
      <c r="AE6" s="1118" t="s">
        <v>1678</v>
      </c>
      <c r="AF6" s="2101"/>
      <c r="AG6" s="1269" t="s">
        <v>1833</v>
      </c>
      <c r="AH6" s="2077"/>
      <c r="AI6" s="2077"/>
      <c r="AJ6" s="2077"/>
      <c r="AK6" s="2079"/>
      <c r="AL6" s="2115"/>
      <c r="AM6" s="2085"/>
      <c r="AN6" s="2122"/>
      <c r="AO6" s="2116"/>
      <c r="AP6" s="2090"/>
      <c r="AQ6" s="1135" t="s">
        <v>1671</v>
      </c>
      <c r="AR6" s="1134" t="s">
        <v>1707</v>
      </c>
      <c r="AS6" s="1136" t="s">
        <v>1702</v>
      </c>
      <c r="AT6" s="2088"/>
      <c r="AU6" s="543"/>
      <c r="AV6" s="543"/>
      <c r="AW6" s="501"/>
      <c r="AX6" s="539" t="s">
        <v>215</v>
      </c>
      <c r="AY6" s="539" t="s">
        <v>217</v>
      </c>
      <c r="AZ6" s="573" t="s">
        <v>125</v>
      </c>
      <c r="BA6" s="502" t="s">
        <v>728</v>
      </c>
      <c r="BB6" s="502" t="s">
        <v>729</v>
      </c>
      <c r="BC6" s="548" t="s">
        <v>723</v>
      </c>
      <c r="BD6" s="548" t="s">
        <v>216</v>
      </c>
      <c r="BE6" s="548" t="s">
        <v>731</v>
      </c>
      <c r="BF6" s="548" t="s">
        <v>215</v>
      </c>
      <c r="BG6" s="549" t="s">
        <v>125</v>
      </c>
      <c r="BI6" s="730" t="s">
        <v>761</v>
      </c>
      <c r="BJ6" s="2157"/>
      <c r="BK6" s="2157"/>
      <c r="BL6" s="2157"/>
      <c r="BM6" s="2173"/>
    </row>
    <row r="7" spans="1:65" s="755" customFormat="1" ht="60" customHeight="1">
      <c r="A7" s="1369">
        <v>1</v>
      </c>
      <c r="B7" s="1335" t="s">
        <v>2076</v>
      </c>
      <c r="C7" s="1876" t="s">
        <v>1824</v>
      </c>
      <c r="D7" s="1562">
        <v>41681</v>
      </c>
      <c r="E7" s="557" t="s">
        <v>355</v>
      </c>
      <c r="F7" s="617">
        <f>154+13+17+12+8+2+16</f>
        <v>222</v>
      </c>
      <c r="G7" s="630">
        <v>27</v>
      </c>
      <c r="H7" s="1001">
        <v>22</v>
      </c>
      <c r="I7" s="1408">
        <f t="shared" ref="I7:I25" si="0">F7/26*H7</f>
        <v>187.84615384615384</v>
      </c>
      <c r="J7" s="618">
        <f t="shared" ref="J7:J25" si="1">F7/26*H7</f>
        <v>187.84615384615384</v>
      </c>
      <c r="K7" s="1001">
        <v>68</v>
      </c>
      <c r="L7" s="510">
        <f t="shared" ref="L7:L25" si="2">F7/26/8*1.5</f>
        <v>1.6009615384615383</v>
      </c>
      <c r="M7" s="618">
        <f t="shared" ref="M7:M25" si="3">K7*L7</f>
        <v>108.86538461538461</v>
      </c>
      <c r="N7" s="1001">
        <v>0</v>
      </c>
      <c r="O7" s="510">
        <f t="shared" ref="O7:O25" si="4">F7/26/8*2</f>
        <v>2.1346153846153846</v>
      </c>
      <c r="P7" s="503">
        <f t="shared" ref="P7:P25" si="5">N7*O7</f>
        <v>0</v>
      </c>
      <c r="Q7" s="1001">
        <v>24</v>
      </c>
      <c r="R7" s="510">
        <f t="shared" ref="R7:R25" si="6">F7/26/8*2</f>
        <v>2.1346153846153846</v>
      </c>
      <c r="S7" s="618">
        <f t="shared" ref="S7:S25" si="7">R7*Q7</f>
        <v>51.230769230769226</v>
      </c>
      <c r="T7" s="1001">
        <v>5</v>
      </c>
      <c r="U7" s="510">
        <f t="shared" ref="U7:U25" si="8">F7/26</f>
        <v>8.5384615384615383</v>
      </c>
      <c r="V7" s="618">
        <f t="shared" ref="V7:V25" si="9">U7*T7</f>
        <v>42.692307692307693</v>
      </c>
      <c r="W7" s="1001">
        <v>0</v>
      </c>
      <c r="X7" s="618">
        <f>'QC Salary'!T8*QC!W7</f>
        <v>0</v>
      </c>
      <c r="Y7" s="1001">
        <v>0</v>
      </c>
      <c r="Z7" s="510">
        <f t="shared" ref="Z7:Z25" si="10">F7/26/2</f>
        <v>4.2692307692307692</v>
      </c>
      <c r="AA7" s="618">
        <f t="shared" ref="AA7:AA25" si="11">Y7*Z7</f>
        <v>0</v>
      </c>
      <c r="AB7" s="1001">
        <v>0</v>
      </c>
      <c r="AC7" s="1467">
        <f t="shared" ref="AC7:AC25" si="12">H7+T7+Y7+AB7+W7</f>
        <v>27</v>
      </c>
      <c r="AD7" s="1724">
        <v>0</v>
      </c>
      <c r="AE7" s="1121">
        <v>0</v>
      </c>
      <c r="AF7" s="511">
        <v>0</v>
      </c>
      <c r="AG7" s="511">
        <v>5</v>
      </c>
      <c r="AH7" s="618">
        <v>10</v>
      </c>
      <c r="AI7" s="618">
        <v>11</v>
      </c>
      <c r="AJ7" s="618">
        <v>10</v>
      </c>
      <c r="AK7" s="618">
        <v>10</v>
      </c>
      <c r="AL7" s="1148">
        <f t="shared" ref="AL7:AL25" si="13">G7+J7+M7+P7+S7+V7+AA7+AD7+AF7+AH7+AI7+AJ7+AK7+X7+AE7+AG7</f>
        <v>463.63461538461536</v>
      </c>
      <c r="AM7" s="1632">
        <v>0</v>
      </c>
      <c r="AN7" s="1018">
        <v>102</v>
      </c>
      <c r="AO7" s="1096">
        <f>'Tax Calulation           '!P7</f>
        <v>0</v>
      </c>
      <c r="AP7" s="1148">
        <f>'Tax Calulation           '!W7</f>
        <v>5.9084194977843429</v>
      </c>
      <c r="AQ7" s="1686">
        <f t="shared" ref="AQ7:AQ25" si="14">AL7-AO7-AN7-AP7-AM7</f>
        <v>355.72619588683102</v>
      </c>
      <c r="AR7" s="1682">
        <f>ROUND((AQ7-AS7)*4040,-2)</f>
        <v>225100</v>
      </c>
      <c r="AS7" s="1683">
        <f t="shared" ref="AS7" si="15">CEILING(AQ7,(100))-100</f>
        <v>300</v>
      </c>
      <c r="AT7" s="509"/>
      <c r="AU7" s="504"/>
      <c r="AV7" s="504"/>
      <c r="AW7" s="505"/>
      <c r="AX7" s="502">
        <f t="shared" ref="AX7" si="16">INT(AS7/100)</f>
        <v>3</v>
      </c>
      <c r="AY7" s="502">
        <f t="shared" ref="AY7" si="17">INT((AS7-AX7*100)/50)</f>
        <v>0</v>
      </c>
      <c r="AZ7" s="1113">
        <f t="shared" ref="AZ7" si="18">AX7*100+AY7*50</f>
        <v>300</v>
      </c>
      <c r="BA7" s="1113">
        <f t="shared" ref="BA7" si="19">INT((AR7/50000))</f>
        <v>4</v>
      </c>
      <c r="BB7" s="548">
        <f t="shared" ref="BB7" si="20">INT((AR7-BA7*50000)/10000)</f>
        <v>2</v>
      </c>
      <c r="BC7" s="548">
        <f t="shared" ref="BC7" si="21">INT((AR7-BA7*50000-BB7*10000)/5000)</f>
        <v>1</v>
      </c>
      <c r="BD7" s="548">
        <f t="shared" ref="BD7" si="22">INT((AR7-BA7*50000-BB7*10000-BC7*5000)/1000)</f>
        <v>0</v>
      </c>
      <c r="BE7" s="548">
        <f t="shared" ref="BE7" si="23">INT((AR7-BA7*50000-BB7*10000-BC7*5000-BD7*1000)/500)</f>
        <v>0</v>
      </c>
      <c r="BF7" s="548">
        <f t="shared" ref="BF7" si="24">INT((AR7-BA7*50000-BB7*10000-BC7*5000-BD7*1000-BE7*500)/100)</f>
        <v>1</v>
      </c>
      <c r="BG7" s="549">
        <f t="shared" ref="BG7" si="25">BA7*50000+BB7*10000+BC7*5000+BD7*1000+BE7*500+BF7*100</f>
        <v>225100</v>
      </c>
      <c r="BI7" s="582" t="s">
        <v>1826</v>
      </c>
      <c r="BJ7" s="582" t="s">
        <v>1827</v>
      </c>
      <c r="BK7" s="581">
        <v>29503</v>
      </c>
      <c r="BL7" s="582" t="s">
        <v>1825</v>
      </c>
      <c r="BM7" s="531">
        <v>50255831</v>
      </c>
    </row>
    <row r="8" spans="1:65" s="755" customFormat="1" ht="60" customHeight="1">
      <c r="A8" s="1369">
        <v>2</v>
      </c>
      <c r="B8" s="1333" t="s">
        <v>2169</v>
      </c>
      <c r="C8" s="1390" t="s">
        <v>293</v>
      </c>
      <c r="D8" s="1474">
        <v>42543</v>
      </c>
      <c r="E8" s="557" t="s">
        <v>355</v>
      </c>
      <c r="F8" s="617">
        <v>222</v>
      </c>
      <c r="G8" s="630">
        <f>2</f>
        <v>2</v>
      </c>
      <c r="H8" s="1001">
        <v>22</v>
      </c>
      <c r="I8" s="1408">
        <f t="shared" ref="I8" si="26">F8/26*H8</f>
        <v>187.84615384615384</v>
      </c>
      <c r="J8" s="618">
        <f t="shared" si="1"/>
        <v>187.84615384615384</v>
      </c>
      <c r="K8" s="1001">
        <v>68</v>
      </c>
      <c r="L8" s="510">
        <f t="shared" ref="L8" si="27">F8/26/8*1.5</f>
        <v>1.6009615384615383</v>
      </c>
      <c r="M8" s="618">
        <f t="shared" si="3"/>
        <v>108.86538461538461</v>
      </c>
      <c r="N8" s="1001">
        <v>0</v>
      </c>
      <c r="O8" s="510">
        <f t="shared" ref="O8" si="28">F8/26/8*2</f>
        <v>2.1346153846153846</v>
      </c>
      <c r="P8" s="503">
        <f t="shared" ref="P8" si="29">N8*O8</f>
        <v>0</v>
      </c>
      <c r="Q8" s="1001">
        <v>24</v>
      </c>
      <c r="R8" s="510">
        <f t="shared" ref="R8" si="30">F8/26/8*2</f>
        <v>2.1346153846153846</v>
      </c>
      <c r="S8" s="618">
        <f t="shared" si="7"/>
        <v>51.230769230769226</v>
      </c>
      <c r="T8" s="1001">
        <v>5</v>
      </c>
      <c r="U8" s="510">
        <f t="shared" ref="U8" si="31">F8/26</f>
        <v>8.5384615384615383</v>
      </c>
      <c r="V8" s="618">
        <f t="shared" si="9"/>
        <v>42.692307692307693</v>
      </c>
      <c r="W8" s="1001">
        <v>0</v>
      </c>
      <c r="X8" s="618">
        <f>'QC Salary'!T9*QC!W8</f>
        <v>0</v>
      </c>
      <c r="Y8" s="1001">
        <v>0</v>
      </c>
      <c r="Z8" s="510">
        <f t="shared" ref="Z8" si="32">F8/26/2</f>
        <v>4.2692307692307692</v>
      </c>
      <c r="AA8" s="618">
        <f t="shared" si="11"/>
        <v>0</v>
      </c>
      <c r="AB8" s="1001">
        <v>0</v>
      </c>
      <c r="AC8" s="1467">
        <f t="shared" si="12"/>
        <v>27</v>
      </c>
      <c r="AD8" s="1724">
        <v>0</v>
      </c>
      <c r="AE8" s="1121">
        <v>0</v>
      </c>
      <c r="AF8" s="1412">
        <v>25</v>
      </c>
      <c r="AG8" s="511">
        <v>0</v>
      </c>
      <c r="AH8" s="618">
        <v>10</v>
      </c>
      <c r="AI8" s="618">
        <v>9</v>
      </c>
      <c r="AJ8" s="618">
        <v>10</v>
      </c>
      <c r="AK8" s="618">
        <v>10</v>
      </c>
      <c r="AL8" s="1148">
        <f t="shared" si="13"/>
        <v>456.63461538461536</v>
      </c>
      <c r="AM8" s="1632">
        <v>0</v>
      </c>
      <c r="AN8" s="1018">
        <v>102</v>
      </c>
      <c r="AO8" s="1096">
        <f>'Tax Calulation           '!P8</f>
        <v>3.0724988637654791</v>
      </c>
      <c r="AP8" s="1148">
        <f>'Tax Calulation           '!W8</f>
        <v>5.9084194977843429</v>
      </c>
      <c r="AQ8" s="1686">
        <f t="shared" si="14"/>
        <v>345.65369702306555</v>
      </c>
      <c r="AR8" s="1682">
        <f t="shared" ref="AR8:AR25" si="33">ROUND((AQ8-AS8)*4040,-2)</f>
        <v>184400</v>
      </c>
      <c r="AS8" s="1683">
        <f t="shared" ref="AS8" si="34">CEILING(AQ8,(100))-100</f>
        <v>300</v>
      </c>
      <c r="AT8" s="509"/>
      <c r="AU8" s="504"/>
      <c r="AV8" s="504"/>
      <c r="AW8" s="505"/>
      <c r="AX8" s="502">
        <f t="shared" ref="AX8" si="35">INT(AS8/100)</f>
        <v>3</v>
      </c>
      <c r="AY8" s="502">
        <f t="shared" ref="AY8" si="36">INT((AS8-AX8*100)/50)</f>
        <v>0</v>
      </c>
      <c r="AZ8" s="1113">
        <f t="shared" ref="AZ8" si="37">AX8*100+AY8*50</f>
        <v>300</v>
      </c>
      <c r="BA8" s="1113">
        <f t="shared" ref="BA8" si="38">INT((AR8/50000))</f>
        <v>3</v>
      </c>
      <c r="BB8" s="548">
        <f t="shared" ref="BB8" si="39">INT((AR8-BA8*50000)/10000)</f>
        <v>3</v>
      </c>
      <c r="BC8" s="548">
        <f t="shared" ref="BC8" si="40">INT((AR8-BA8*50000-BB8*10000)/5000)</f>
        <v>0</v>
      </c>
      <c r="BD8" s="548">
        <f t="shared" ref="BD8" si="41">INT((AR8-BA8*50000-BB8*10000-BC8*5000)/1000)</f>
        <v>4</v>
      </c>
      <c r="BE8" s="548">
        <f t="shared" ref="BE8" si="42">INT((AR8-BA8*50000-BB8*10000-BC8*5000-BD8*1000)/500)</f>
        <v>0</v>
      </c>
      <c r="BF8" s="548">
        <f t="shared" ref="BF8" si="43">INT((AR8-BA8*50000-BB8*10000-BC8*5000-BD8*1000-BE8*500)/100)</f>
        <v>4</v>
      </c>
      <c r="BG8" s="549">
        <f t="shared" ref="BG8" si="44">BA8*50000+BB8*10000+BC8*5000+BD8*1000+BE8*500+BF8*100</f>
        <v>184400</v>
      </c>
      <c r="BI8" s="1390" t="s">
        <v>801</v>
      </c>
      <c r="BJ8" s="1390" t="s">
        <v>573</v>
      </c>
      <c r="BK8" s="1163">
        <v>29955</v>
      </c>
      <c r="BL8" s="1673" t="s">
        <v>617</v>
      </c>
      <c r="BM8" s="1673">
        <v>30684044</v>
      </c>
    </row>
    <row r="9" spans="1:65" s="755" customFormat="1" ht="60" customHeight="1">
      <c r="A9" s="1369">
        <v>3</v>
      </c>
      <c r="B9" s="1328" t="s">
        <v>2199</v>
      </c>
      <c r="C9" s="1103" t="s">
        <v>2105</v>
      </c>
      <c r="D9" s="1798">
        <v>42507</v>
      </c>
      <c r="E9" s="557" t="s">
        <v>355</v>
      </c>
      <c r="F9" s="758">
        <f>13+154+17+12+8+2+16</f>
        <v>222</v>
      </c>
      <c r="G9" s="769">
        <f>2</f>
        <v>2</v>
      </c>
      <c r="H9" s="1001">
        <v>21.5</v>
      </c>
      <c r="I9" s="1408">
        <f t="shared" si="0"/>
        <v>183.57692307692307</v>
      </c>
      <c r="J9" s="618">
        <f t="shared" si="1"/>
        <v>183.57692307692307</v>
      </c>
      <c r="K9" s="1001">
        <v>68</v>
      </c>
      <c r="L9" s="510">
        <f t="shared" si="2"/>
        <v>1.6009615384615383</v>
      </c>
      <c r="M9" s="618">
        <f t="shared" si="3"/>
        <v>108.86538461538461</v>
      </c>
      <c r="N9" s="1001">
        <v>0</v>
      </c>
      <c r="O9" s="510">
        <f t="shared" si="4"/>
        <v>2.1346153846153846</v>
      </c>
      <c r="P9" s="503">
        <f t="shared" si="5"/>
        <v>0</v>
      </c>
      <c r="Q9" s="1001">
        <v>24</v>
      </c>
      <c r="R9" s="510">
        <f t="shared" si="6"/>
        <v>2.1346153846153846</v>
      </c>
      <c r="S9" s="618">
        <f t="shared" si="7"/>
        <v>51.230769230769226</v>
      </c>
      <c r="T9" s="1001">
        <v>5</v>
      </c>
      <c r="U9" s="510">
        <f t="shared" si="8"/>
        <v>8.5384615384615383</v>
      </c>
      <c r="V9" s="618">
        <f t="shared" si="9"/>
        <v>42.692307692307693</v>
      </c>
      <c r="W9" s="1001">
        <v>0.5</v>
      </c>
      <c r="X9" s="618">
        <f>'QC Salary'!T10*QC!W9</f>
        <v>6.378176564305476</v>
      </c>
      <c r="Y9" s="1001">
        <v>0</v>
      </c>
      <c r="Z9" s="510">
        <f t="shared" si="10"/>
        <v>4.2692307692307692</v>
      </c>
      <c r="AA9" s="618">
        <f t="shared" si="11"/>
        <v>0</v>
      </c>
      <c r="AB9" s="1001">
        <v>0</v>
      </c>
      <c r="AC9" s="1467">
        <f t="shared" si="12"/>
        <v>27</v>
      </c>
      <c r="AD9" s="1724">
        <v>0</v>
      </c>
      <c r="AE9" s="1121">
        <v>0</v>
      </c>
      <c r="AF9" s="511">
        <v>25</v>
      </c>
      <c r="AG9" s="511">
        <v>0</v>
      </c>
      <c r="AH9" s="618">
        <v>10</v>
      </c>
      <c r="AI9" s="618">
        <v>9</v>
      </c>
      <c r="AJ9" s="618">
        <v>10</v>
      </c>
      <c r="AK9" s="618">
        <v>10</v>
      </c>
      <c r="AL9" s="1148">
        <f t="shared" si="13"/>
        <v>458.74356117969006</v>
      </c>
      <c r="AM9" s="1632">
        <v>0</v>
      </c>
      <c r="AN9" s="1018">
        <v>102</v>
      </c>
      <c r="AO9" s="1096">
        <f>'Tax Calulation           '!P9</f>
        <v>0</v>
      </c>
      <c r="AP9" s="1148">
        <f>'Tax Calulation           '!W9</f>
        <v>5.9084194977843429</v>
      </c>
      <c r="AQ9" s="1686">
        <f t="shared" si="14"/>
        <v>350.83514168190572</v>
      </c>
      <c r="AR9" s="1682">
        <f t="shared" si="33"/>
        <v>205400</v>
      </c>
      <c r="AS9" s="1683">
        <f t="shared" ref="AS9:AS25" si="45">CEILING(AQ9,(100))-100</f>
        <v>300</v>
      </c>
      <c r="AT9" s="509"/>
      <c r="AU9" s="504"/>
      <c r="AV9" s="504"/>
      <c r="AW9" s="505">
        <f>(J9+M9+P9+S9+V9+AA9+AH9+AI9+AJ9+AK9)*4000</f>
        <v>1701461.5384615383</v>
      </c>
      <c r="AX9" s="502">
        <f t="shared" ref="AX9:AX25" si="46">INT(AS9/100)</f>
        <v>3</v>
      </c>
      <c r="AY9" s="502">
        <f t="shared" ref="AY9:AY25" si="47">INT((AS9-AX9*100)/50)</f>
        <v>0</v>
      </c>
      <c r="AZ9" s="573">
        <f t="shared" ref="AZ9:AZ25" si="48">AX9*100+AY9*50</f>
        <v>300</v>
      </c>
      <c r="BA9" s="573">
        <f t="shared" ref="BA9:BA25" si="49">INT((AR9/50000))</f>
        <v>4</v>
      </c>
      <c r="BB9" s="548">
        <f t="shared" ref="BB9:BB25" si="50">INT((AR9-BA9*50000)/10000)</f>
        <v>0</v>
      </c>
      <c r="BC9" s="548">
        <f t="shared" ref="BC9:BC25" si="51">INT((AR9-BA9*50000-BB9*10000)/5000)</f>
        <v>1</v>
      </c>
      <c r="BD9" s="548">
        <f t="shared" ref="BD9:BD25" si="52">INT((AR9-BA9*50000-BB9*10000-BC9*5000)/1000)</f>
        <v>0</v>
      </c>
      <c r="BE9" s="548">
        <f t="shared" ref="BE9:BE25" si="53">INT((AR9-BA9*50000-BB9*10000-BC9*5000-BD9*1000)/500)</f>
        <v>0</v>
      </c>
      <c r="BF9" s="548">
        <f t="shared" ref="BF9:BF25" si="54">INT((AR9-BA9*50000-BB9*10000-BC9*5000-BD9*1000-BE9*500)/100)</f>
        <v>4</v>
      </c>
      <c r="BG9" s="549">
        <f t="shared" ref="BG9:BG25" si="55">BA9*50000+BB9*10000+BC9*5000+BD9*1000+BE9*500+BF9*100</f>
        <v>205400</v>
      </c>
      <c r="BI9" s="628" t="s">
        <v>2197</v>
      </c>
      <c r="BJ9" s="628" t="s">
        <v>572</v>
      </c>
      <c r="BK9" s="1155">
        <v>35098</v>
      </c>
      <c r="BL9" s="628" t="s">
        <v>2198</v>
      </c>
      <c r="BM9" s="787">
        <v>110448527</v>
      </c>
    </row>
    <row r="10" spans="1:65" s="755" customFormat="1" ht="60" customHeight="1">
      <c r="A10" s="1369">
        <v>4</v>
      </c>
      <c r="B10" s="1334" t="s">
        <v>2200</v>
      </c>
      <c r="C10" s="1390" t="s">
        <v>549</v>
      </c>
      <c r="D10" s="1474">
        <v>43845</v>
      </c>
      <c r="E10" s="557" t="s">
        <v>355</v>
      </c>
      <c r="F10" s="619">
        <f>204+2+16</f>
        <v>222</v>
      </c>
      <c r="G10" s="630">
        <f>2</f>
        <v>2</v>
      </c>
      <c r="H10" s="1001">
        <v>22</v>
      </c>
      <c r="I10" s="1408">
        <f t="shared" ref="I10" si="56">F10/26*H10</f>
        <v>187.84615384615384</v>
      </c>
      <c r="J10" s="618">
        <f t="shared" si="1"/>
        <v>187.84615384615384</v>
      </c>
      <c r="K10" s="1001">
        <v>68</v>
      </c>
      <c r="L10" s="510">
        <f t="shared" ref="L10" si="57">F10/26/8*1.5</f>
        <v>1.6009615384615383</v>
      </c>
      <c r="M10" s="618">
        <f t="shared" si="3"/>
        <v>108.86538461538461</v>
      </c>
      <c r="N10" s="1001">
        <v>0</v>
      </c>
      <c r="O10" s="510">
        <f t="shared" ref="O10" si="58">F10/26/8*2</f>
        <v>2.1346153846153846</v>
      </c>
      <c r="P10" s="503">
        <f t="shared" ref="P10" si="59">N10*O10</f>
        <v>0</v>
      </c>
      <c r="Q10" s="1001">
        <v>24</v>
      </c>
      <c r="R10" s="510">
        <f t="shared" ref="R10" si="60">F10/26/8*2</f>
        <v>2.1346153846153846</v>
      </c>
      <c r="S10" s="618">
        <f t="shared" si="7"/>
        <v>51.230769230769226</v>
      </c>
      <c r="T10" s="1001">
        <v>5</v>
      </c>
      <c r="U10" s="510">
        <f t="shared" ref="U10" si="61">F10/26</f>
        <v>8.5384615384615383</v>
      </c>
      <c r="V10" s="618">
        <f t="shared" si="9"/>
        <v>42.692307692307693</v>
      </c>
      <c r="W10" s="1001">
        <v>0</v>
      </c>
      <c r="X10" s="618">
        <f>'QC Salary'!T11*QC!W10</f>
        <v>0</v>
      </c>
      <c r="Y10" s="1001">
        <v>0</v>
      </c>
      <c r="Z10" s="510">
        <f t="shared" ref="Z10" si="62">F10/26/2</f>
        <v>4.2692307692307692</v>
      </c>
      <c r="AA10" s="618">
        <f t="shared" si="11"/>
        <v>0</v>
      </c>
      <c r="AB10" s="1001">
        <v>0</v>
      </c>
      <c r="AC10" s="1467">
        <f t="shared" ref="AC10" si="63">H10+T10+Y10+AB10+W10</f>
        <v>27</v>
      </c>
      <c r="AD10" s="1724">
        <v>0</v>
      </c>
      <c r="AE10" s="1121">
        <v>0</v>
      </c>
      <c r="AF10" s="511">
        <v>25</v>
      </c>
      <c r="AG10" s="511">
        <v>0</v>
      </c>
      <c r="AH10" s="618">
        <v>10</v>
      </c>
      <c r="AI10" s="618">
        <v>5</v>
      </c>
      <c r="AJ10" s="618">
        <v>10</v>
      </c>
      <c r="AK10" s="618">
        <v>10</v>
      </c>
      <c r="AL10" s="1148">
        <f t="shared" si="13"/>
        <v>452.63461538461536</v>
      </c>
      <c r="AM10" s="1632">
        <v>0</v>
      </c>
      <c r="AN10" s="1018">
        <v>102</v>
      </c>
      <c r="AO10" s="1096">
        <f>'Tax Calulation           '!P10</f>
        <v>0</v>
      </c>
      <c r="AP10" s="1148">
        <f>'Tax Calulation           '!W10</f>
        <v>5.9084194977843429</v>
      </c>
      <c r="AQ10" s="1686">
        <f t="shared" si="14"/>
        <v>344.72619588683102</v>
      </c>
      <c r="AR10" s="1682">
        <f t="shared" si="33"/>
        <v>180700</v>
      </c>
      <c r="AS10" s="1683">
        <f t="shared" ref="AS10" si="64">CEILING(AQ10,(100))-100</f>
        <v>300</v>
      </c>
      <c r="AT10" s="509"/>
      <c r="AU10" s="504"/>
      <c r="AV10" s="504"/>
      <c r="AW10" s="505"/>
      <c r="AX10" s="502">
        <f t="shared" ref="AX10" si="65">INT(AS10/100)</f>
        <v>3</v>
      </c>
      <c r="AY10" s="502">
        <f t="shared" ref="AY10" si="66">INT((AS10-AX10*100)/50)</f>
        <v>0</v>
      </c>
      <c r="AZ10" s="1113">
        <f t="shared" ref="AZ10" si="67">AX10*100+AY10*50</f>
        <v>300</v>
      </c>
      <c r="BA10" s="1113">
        <f t="shared" ref="BA10" si="68">INT((AR10/50000))</f>
        <v>3</v>
      </c>
      <c r="BB10" s="548">
        <f t="shared" ref="BB10" si="69">INT((AR10-BA10*50000)/10000)</f>
        <v>3</v>
      </c>
      <c r="BC10" s="548">
        <f t="shared" ref="BC10" si="70">INT((AR10-BA10*50000-BB10*10000)/5000)</f>
        <v>0</v>
      </c>
      <c r="BD10" s="548">
        <f t="shared" ref="BD10" si="71">INT((AR10-BA10*50000-BB10*10000-BC10*5000)/1000)</f>
        <v>0</v>
      </c>
      <c r="BE10" s="548">
        <f t="shared" ref="BE10" si="72">INT((AR10-BA10*50000-BB10*10000-BC10*5000-BD10*1000)/500)</f>
        <v>1</v>
      </c>
      <c r="BF10" s="548">
        <f t="shared" ref="BF10" si="73">INT((AR10-BA10*50000-BB10*10000-BC10*5000-BD10*1000-BE10*500)/100)</f>
        <v>2</v>
      </c>
      <c r="BG10" s="549">
        <f t="shared" ref="BG10" si="74">BA10*50000+BB10*10000+BC10*5000+BD10*1000+BE10*500+BF10*100</f>
        <v>180700</v>
      </c>
      <c r="BI10" s="1390" t="s">
        <v>805</v>
      </c>
      <c r="BJ10" s="1390" t="s">
        <v>571</v>
      </c>
      <c r="BK10" s="1163">
        <v>33730</v>
      </c>
      <c r="BL10" s="1673" t="s">
        <v>625</v>
      </c>
      <c r="BM10" s="1673">
        <v>20798432</v>
      </c>
    </row>
    <row r="11" spans="1:65" s="755" customFormat="1" ht="60" customHeight="1">
      <c r="A11" s="1369">
        <v>5</v>
      </c>
      <c r="B11" s="1333" t="s">
        <v>1265</v>
      </c>
      <c r="C11" s="1390" t="s">
        <v>823</v>
      </c>
      <c r="D11" s="1474">
        <v>43299</v>
      </c>
      <c r="E11" s="557" t="s">
        <v>355</v>
      </c>
      <c r="F11" s="617">
        <f>222</f>
        <v>222</v>
      </c>
      <c r="G11" s="630">
        <f t="shared" ref="G11:G25" si="75">25+2</f>
        <v>27</v>
      </c>
      <c r="H11" s="1001">
        <v>22</v>
      </c>
      <c r="I11" s="1408">
        <f t="shared" si="0"/>
        <v>187.84615384615384</v>
      </c>
      <c r="J11" s="618">
        <f t="shared" si="1"/>
        <v>187.84615384615384</v>
      </c>
      <c r="K11" s="1001">
        <v>68</v>
      </c>
      <c r="L11" s="510">
        <f t="shared" si="2"/>
        <v>1.6009615384615383</v>
      </c>
      <c r="M11" s="618">
        <f t="shared" si="3"/>
        <v>108.86538461538461</v>
      </c>
      <c r="N11" s="1001">
        <v>0</v>
      </c>
      <c r="O11" s="510">
        <f t="shared" si="4"/>
        <v>2.1346153846153846</v>
      </c>
      <c r="P11" s="503">
        <f t="shared" si="5"/>
        <v>0</v>
      </c>
      <c r="Q11" s="1001">
        <v>24</v>
      </c>
      <c r="R11" s="510">
        <f t="shared" si="6"/>
        <v>2.1346153846153846</v>
      </c>
      <c r="S11" s="618">
        <f t="shared" si="7"/>
        <v>51.230769230769226</v>
      </c>
      <c r="T11" s="1001">
        <v>5</v>
      </c>
      <c r="U11" s="510">
        <f t="shared" si="8"/>
        <v>8.5384615384615383</v>
      </c>
      <c r="V11" s="618">
        <f t="shared" si="9"/>
        <v>42.692307692307693</v>
      </c>
      <c r="W11" s="1001">
        <v>0</v>
      </c>
      <c r="X11" s="618">
        <f>'QC Salary'!T12*QC!W11</f>
        <v>0</v>
      </c>
      <c r="Y11" s="1001">
        <v>0</v>
      </c>
      <c r="Z11" s="510">
        <f t="shared" si="10"/>
        <v>4.2692307692307692</v>
      </c>
      <c r="AA11" s="618">
        <f t="shared" si="11"/>
        <v>0</v>
      </c>
      <c r="AB11" s="1001">
        <v>0</v>
      </c>
      <c r="AC11" s="1467">
        <f t="shared" si="12"/>
        <v>27</v>
      </c>
      <c r="AD11" s="1724">
        <v>0</v>
      </c>
      <c r="AE11" s="1121">
        <v>0</v>
      </c>
      <c r="AF11" s="511">
        <v>0</v>
      </c>
      <c r="AG11" s="511">
        <v>0</v>
      </c>
      <c r="AH11" s="618">
        <v>10</v>
      </c>
      <c r="AI11" s="618">
        <v>7</v>
      </c>
      <c r="AJ11" s="618">
        <v>10</v>
      </c>
      <c r="AK11" s="618">
        <v>10</v>
      </c>
      <c r="AL11" s="1148">
        <f t="shared" si="13"/>
        <v>454.63461538461536</v>
      </c>
      <c r="AM11" s="1632">
        <v>0</v>
      </c>
      <c r="AN11" s="1018">
        <v>102</v>
      </c>
      <c r="AO11" s="1096">
        <f>'Tax Calulation           '!P11</f>
        <v>0</v>
      </c>
      <c r="AP11" s="1148">
        <f>'Tax Calulation           '!W11</f>
        <v>5.9084194977843429</v>
      </c>
      <c r="AQ11" s="1686">
        <f t="shared" si="14"/>
        <v>346.72619588683102</v>
      </c>
      <c r="AR11" s="1682">
        <f t="shared" si="33"/>
        <v>188800</v>
      </c>
      <c r="AS11" s="1683">
        <f t="shared" ref="AS11" si="76">CEILING(AQ11,(100))-100</f>
        <v>300</v>
      </c>
      <c r="AT11" s="509"/>
      <c r="AU11" s="504"/>
      <c r="AV11" s="504"/>
      <c r="AW11" s="505"/>
      <c r="AX11" s="502">
        <f t="shared" si="46"/>
        <v>3</v>
      </c>
      <c r="AY11" s="502">
        <f t="shared" si="47"/>
        <v>0</v>
      </c>
      <c r="AZ11" s="573">
        <f t="shared" ref="AZ11" si="77">AX11*100+AY11*50</f>
        <v>300</v>
      </c>
      <c r="BA11" s="573">
        <f t="shared" si="49"/>
        <v>3</v>
      </c>
      <c r="BB11" s="548">
        <f t="shared" si="50"/>
        <v>3</v>
      </c>
      <c r="BC11" s="548">
        <f t="shared" si="51"/>
        <v>1</v>
      </c>
      <c r="BD11" s="548">
        <f t="shared" si="52"/>
        <v>3</v>
      </c>
      <c r="BE11" s="548">
        <f t="shared" si="53"/>
        <v>1</v>
      </c>
      <c r="BF11" s="548">
        <f t="shared" si="54"/>
        <v>3</v>
      </c>
      <c r="BG11" s="549">
        <f t="shared" ref="BG11" si="78">BA11*50000+BB11*10000+BC11*5000+BD11*1000+BE11*500+BF11*100</f>
        <v>188800</v>
      </c>
      <c r="BI11" s="578" t="s">
        <v>824</v>
      </c>
      <c r="BJ11" s="578" t="s">
        <v>574</v>
      </c>
      <c r="BK11" s="1163">
        <v>30870</v>
      </c>
      <c r="BL11" s="578" t="s">
        <v>636</v>
      </c>
      <c r="BM11" s="531">
        <v>110257330</v>
      </c>
    </row>
    <row r="12" spans="1:65" s="755" customFormat="1" ht="60" customHeight="1">
      <c r="A12" s="1369">
        <v>6</v>
      </c>
      <c r="B12" s="1333" t="s">
        <v>1291</v>
      </c>
      <c r="C12" s="1390" t="s">
        <v>318</v>
      </c>
      <c r="D12" s="1474">
        <v>42006</v>
      </c>
      <c r="E12" s="557" t="s">
        <v>355</v>
      </c>
      <c r="F12" s="617">
        <f>183+17+12+8+2</f>
        <v>222</v>
      </c>
      <c r="G12" s="630">
        <f t="shared" si="75"/>
        <v>27</v>
      </c>
      <c r="H12" s="1001">
        <v>22</v>
      </c>
      <c r="I12" s="1408">
        <f t="shared" si="0"/>
        <v>187.84615384615384</v>
      </c>
      <c r="J12" s="618">
        <f t="shared" si="1"/>
        <v>187.84615384615384</v>
      </c>
      <c r="K12" s="1001">
        <v>62</v>
      </c>
      <c r="L12" s="510">
        <f t="shared" si="2"/>
        <v>1.6009615384615383</v>
      </c>
      <c r="M12" s="618">
        <f t="shared" si="3"/>
        <v>99.259615384615373</v>
      </c>
      <c r="N12" s="1001">
        <v>0</v>
      </c>
      <c r="O12" s="510">
        <f t="shared" si="4"/>
        <v>2.1346153846153846</v>
      </c>
      <c r="P12" s="503">
        <f t="shared" si="5"/>
        <v>0</v>
      </c>
      <c r="Q12" s="1001">
        <v>24</v>
      </c>
      <c r="R12" s="510">
        <f t="shared" si="6"/>
        <v>2.1346153846153846</v>
      </c>
      <c r="S12" s="618">
        <f t="shared" si="7"/>
        <v>51.230769230769226</v>
      </c>
      <c r="T12" s="1001">
        <v>5</v>
      </c>
      <c r="U12" s="510">
        <f t="shared" si="8"/>
        <v>8.5384615384615383</v>
      </c>
      <c r="V12" s="618">
        <f t="shared" si="9"/>
        <v>42.692307692307693</v>
      </c>
      <c r="W12" s="1001">
        <v>0</v>
      </c>
      <c r="X12" s="618">
        <f>'QC Salary'!T13*QC!W12</f>
        <v>0</v>
      </c>
      <c r="Y12" s="1001">
        <v>0</v>
      </c>
      <c r="Z12" s="510">
        <f t="shared" si="10"/>
        <v>4.2692307692307692</v>
      </c>
      <c r="AA12" s="618">
        <f t="shared" si="11"/>
        <v>0</v>
      </c>
      <c r="AB12" s="1001">
        <v>0</v>
      </c>
      <c r="AC12" s="1467">
        <f t="shared" si="12"/>
        <v>27</v>
      </c>
      <c r="AD12" s="1724">
        <v>0</v>
      </c>
      <c r="AE12" s="1121">
        <v>0</v>
      </c>
      <c r="AF12" s="511">
        <v>0</v>
      </c>
      <c r="AG12" s="511">
        <v>0</v>
      </c>
      <c r="AH12" s="618">
        <v>10</v>
      </c>
      <c r="AI12" s="618">
        <v>10</v>
      </c>
      <c r="AJ12" s="618">
        <v>10</v>
      </c>
      <c r="AK12" s="618">
        <v>10</v>
      </c>
      <c r="AL12" s="1148">
        <f t="shared" si="13"/>
        <v>448.02884615384613</v>
      </c>
      <c r="AM12" s="1632">
        <v>0.5</v>
      </c>
      <c r="AN12" s="1018">
        <v>102</v>
      </c>
      <c r="AO12" s="1096">
        <f>'Tax Calulation           '!P12</f>
        <v>0</v>
      </c>
      <c r="AP12" s="1148">
        <f>'Tax Calulation           '!W12</f>
        <v>5.9084194977843429</v>
      </c>
      <c r="AQ12" s="1686">
        <f t="shared" si="14"/>
        <v>339.6204266560618</v>
      </c>
      <c r="AR12" s="1682">
        <f t="shared" si="33"/>
        <v>160100</v>
      </c>
      <c r="AS12" s="1683">
        <f t="shared" si="45"/>
        <v>300</v>
      </c>
      <c r="AT12" s="509"/>
      <c r="AU12" s="504"/>
      <c r="AV12" s="504"/>
      <c r="AW12" s="505">
        <f>(J12+M12+P12+S12+V12+AA12+AH12+AI12+AJ12+AK12)*4000</f>
        <v>1684115.3846153845</v>
      </c>
      <c r="AX12" s="502">
        <f t="shared" si="46"/>
        <v>3</v>
      </c>
      <c r="AY12" s="502">
        <f t="shared" si="47"/>
        <v>0</v>
      </c>
      <c r="AZ12" s="573">
        <f t="shared" si="48"/>
        <v>300</v>
      </c>
      <c r="BA12" s="573">
        <f t="shared" si="49"/>
        <v>3</v>
      </c>
      <c r="BB12" s="548">
        <f t="shared" si="50"/>
        <v>1</v>
      </c>
      <c r="BC12" s="548">
        <f t="shared" si="51"/>
        <v>0</v>
      </c>
      <c r="BD12" s="548">
        <f t="shared" si="52"/>
        <v>0</v>
      </c>
      <c r="BE12" s="548">
        <f t="shared" si="53"/>
        <v>0</v>
      </c>
      <c r="BF12" s="548">
        <f t="shared" si="54"/>
        <v>1</v>
      </c>
      <c r="BG12" s="549">
        <f t="shared" si="55"/>
        <v>160100</v>
      </c>
      <c r="BI12" s="578" t="s">
        <v>878</v>
      </c>
      <c r="BJ12" s="578" t="s">
        <v>571</v>
      </c>
      <c r="BK12" s="1163">
        <v>30001</v>
      </c>
      <c r="BL12" s="578" t="s">
        <v>662</v>
      </c>
      <c r="BM12" s="531">
        <v>51313561</v>
      </c>
    </row>
    <row r="13" spans="1:65" s="755" customFormat="1" ht="60" customHeight="1">
      <c r="A13" s="1369">
        <v>7</v>
      </c>
      <c r="B13" s="1445" t="s">
        <v>1980</v>
      </c>
      <c r="C13" s="1384" t="s">
        <v>1984</v>
      </c>
      <c r="D13" s="1474">
        <v>45119</v>
      </c>
      <c r="E13" s="557" t="s">
        <v>355</v>
      </c>
      <c r="F13" s="617">
        <v>222</v>
      </c>
      <c r="G13" s="630">
        <v>0</v>
      </c>
      <c r="H13" s="1001">
        <v>22</v>
      </c>
      <c r="I13" s="1408">
        <f t="shared" si="0"/>
        <v>187.84615384615384</v>
      </c>
      <c r="J13" s="618">
        <f t="shared" si="1"/>
        <v>187.84615384615384</v>
      </c>
      <c r="K13" s="1001">
        <v>68</v>
      </c>
      <c r="L13" s="510">
        <f t="shared" si="2"/>
        <v>1.6009615384615383</v>
      </c>
      <c r="M13" s="618">
        <f t="shared" si="3"/>
        <v>108.86538461538461</v>
      </c>
      <c r="N13" s="1001">
        <v>0</v>
      </c>
      <c r="O13" s="510">
        <f t="shared" ref="O13" si="79">F13/26/8*2</f>
        <v>2.1346153846153846</v>
      </c>
      <c r="P13" s="503">
        <f t="shared" ref="P13" si="80">N13*O13</f>
        <v>0</v>
      </c>
      <c r="Q13" s="1001">
        <v>24</v>
      </c>
      <c r="R13" s="510">
        <f t="shared" si="6"/>
        <v>2.1346153846153846</v>
      </c>
      <c r="S13" s="618">
        <f t="shared" si="7"/>
        <v>51.230769230769226</v>
      </c>
      <c r="T13" s="1001">
        <v>5</v>
      </c>
      <c r="U13" s="510">
        <f t="shared" si="8"/>
        <v>8.5384615384615383</v>
      </c>
      <c r="V13" s="618">
        <f t="shared" si="9"/>
        <v>42.692307692307693</v>
      </c>
      <c r="W13" s="1001">
        <v>0</v>
      </c>
      <c r="X13" s="618">
        <f>'QC Salary'!T14*QC!W13</f>
        <v>0</v>
      </c>
      <c r="Y13" s="1001">
        <v>0</v>
      </c>
      <c r="Z13" s="510">
        <f t="shared" ref="Z13" si="81">F13/26/2</f>
        <v>4.2692307692307692</v>
      </c>
      <c r="AA13" s="618">
        <f t="shared" si="11"/>
        <v>0</v>
      </c>
      <c r="AB13" s="1001">
        <v>0</v>
      </c>
      <c r="AC13" s="1467">
        <f t="shared" si="12"/>
        <v>27</v>
      </c>
      <c r="AD13" s="1724">
        <v>0</v>
      </c>
      <c r="AE13" s="1121">
        <v>0</v>
      </c>
      <c r="AF13" s="1412">
        <v>27</v>
      </c>
      <c r="AG13" s="511">
        <v>5</v>
      </c>
      <c r="AH13" s="618">
        <v>10</v>
      </c>
      <c r="AI13" s="618">
        <v>2</v>
      </c>
      <c r="AJ13" s="618">
        <v>10</v>
      </c>
      <c r="AK13" s="618">
        <v>10</v>
      </c>
      <c r="AL13" s="1148">
        <f t="shared" si="13"/>
        <v>454.63461538461536</v>
      </c>
      <c r="AM13" s="1632">
        <v>0</v>
      </c>
      <c r="AN13" s="1018">
        <v>102</v>
      </c>
      <c r="AO13" s="1096">
        <f>'Tax Calulation           '!P13</f>
        <v>0</v>
      </c>
      <c r="AP13" s="1148">
        <f>'Tax Calulation           '!W13</f>
        <v>5.9084194977843429</v>
      </c>
      <c r="AQ13" s="1686">
        <f t="shared" si="14"/>
        <v>346.72619588683102</v>
      </c>
      <c r="AR13" s="1682">
        <f t="shared" si="33"/>
        <v>188800</v>
      </c>
      <c r="AS13" s="1683">
        <f t="shared" ref="AS13" si="82">CEILING(AQ13,(100))-100</f>
        <v>300</v>
      </c>
      <c r="AT13" s="509"/>
      <c r="AU13" s="504"/>
      <c r="AV13" s="504"/>
      <c r="AW13" s="505"/>
      <c r="AX13" s="502">
        <f t="shared" ref="AX13" si="83">INT(AS13/100)</f>
        <v>3</v>
      </c>
      <c r="AY13" s="502">
        <f t="shared" ref="AY13" si="84">INT((AS13-AX13*100)/50)</f>
        <v>0</v>
      </c>
      <c r="AZ13" s="1113">
        <f t="shared" ref="AZ13" si="85">AX13*100+AY13*50</f>
        <v>300</v>
      </c>
      <c r="BA13" s="1113">
        <f t="shared" ref="BA13" si="86">INT((AR13/50000))</f>
        <v>3</v>
      </c>
      <c r="BB13" s="548">
        <f t="shared" ref="BB13" si="87">INT((AR13-BA13*50000)/10000)</f>
        <v>3</v>
      </c>
      <c r="BC13" s="548">
        <f t="shared" ref="BC13" si="88">INT((AR13-BA13*50000-BB13*10000)/5000)</f>
        <v>1</v>
      </c>
      <c r="BD13" s="548">
        <f t="shared" ref="BD13" si="89">INT((AR13-BA13*50000-BB13*10000-BC13*5000)/1000)</f>
        <v>3</v>
      </c>
      <c r="BE13" s="548">
        <f t="shared" ref="BE13" si="90">INT((AR13-BA13*50000-BB13*10000-BC13*5000-BD13*1000)/500)</f>
        <v>1</v>
      </c>
      <c r="BF13" s="548">
        <f t="shared" ref="BF13" si="91">INT((AR13-BA13*50000-BB13*10000-BC13*5000-BD13*1000-BE13*500)/100)</f>
        <v>3</v>
      </c>
      <c r="BG13" s="549">
        <f t="shared" ref="BG13" si="92">BA13*50000+BB13*10000+BC13*5000+BD13*1000+BE13*500+BF13*100</f>
        <v>188800</v>
      </c>
      <c r="BI13" s="1386" t="s">
        <v>1981</v>
      </c>
      <c r="BJ13" s="578" t="s">
        <v>573</v>
      </c>
      <c r="BK13" s="1382">
        <v>32210</v>
      </c>
      <c r="BL13" s="1451" t="s">
        <v>1982</v>
      </c>
      <c r="BM13" s="1452" t="s">
        <v>1983</v>
      </c>
    </row>
    <row r="14" spans="1:65" s="755" customFormat="1" ht="60" customHeight="1">
      <c r="A14" s="1369">
        <v>8</v>
      </c>
      <c r="B14" s="1328" t="s">
        <v>2189</v>
      </c>
      <c r="C14" s="1103" t="s">
        <v>1488</v>
      </c>
      <c r="D14" s="1473">
        <v>44635</v>
      </c>
      <c r="E14" s="557" t="s">
        <v>355</v>
      </c>
      <c r="F14" s="617">
        <v>222</v>
      </c>
      <c r="G14" s="630">
        <v>2</v>
      </c>
      <c r="H14" s="1001">
        <v>22</v>
      </c>
      <c r="I14" s="1408">
        <f t="shared" ref="I14" si="93">F14/26*H14</f>
        <v>187.84615384615384</v>
      </c>
      <c r="J14" s="618">
        <f t="shared" si="1"/>
        <v>187.84615384615384</v>
      </c>
      <c r="K14" s="1001">
        <v>67</v>
      </c>
      <c r="L14" s="510">
        <f t="shared" ref="L14" si="94">F14/26/8*1.5</f>
        <v>1.6009615384615383</v>
      </c>
      <c r="M14" s="618">
        <f t="shared" si="3"/>
        <v>107.26442307692307</v>
      </c>
      <c r="N14" s="1001">
        <v>0</v>
      </c>
      <c r="O14" s="510">
        <f t="shared" ref="O14" si="95">F14/26/8*2</f>
        <v>2.1346153846153846</v>
      </c>
      <c r="P14" s="503">
        <f t="shared" ref="P14" si="96">N14*O14</f>
        <v>0</v>
      </c>
      <c r="Q14" s="1001">
        <v>24</v>
      </c>
      <c r="R14" s="510">
        <f t="shared" ref="R14" si="97">F14/26/8*2</f>
        <v>2.1346153846153846</v>
      </c>
      <c r="S14" s="618">
        <f t="shared" si="7"/>
        <v>51.230769230769226</v>
      </c>
      <c r="T14" s="1001">
        <v>5</v>
      </c>
      <c r="U14" s="510">
        <f t="shared" ref="U14" si="98">F14/26</f>
        <v>8.5384615384615383</v>
      </c>
      <c r="V14" s="618">
        <f t="shared" si="9"/>
        <v>42.692307692307693</v>
      </c>
      <c r="W14" s="1001">
        <v>0</v>
      </c>
      <c r="X14" s="618">
        <f>'QC Salary'!T15*QC!W14</f>
        <v>0</v>
      </c>
      <c r="Y14" s="1001">
        <v>0</v>
      </c>
      <c r="Z14" s="510">
        <f t="shared" ref="Z14" si="99">F14/26/2</f>
        <v>4.2692307692307692</v>
      </c>
      <c r="AA14" s="618">
        <f t="shared" si="11"/>
        <v>0</v>
      </c>
      <c r="AB14" s="1001">
        <v>0</v>
      </c>
      <c r="AC14" s="1467">
        <f t="shared" si="12"/>
        <v>27</v>
      </c>
      <c r="AD14" s="1724">
        <v>0</v>
      </c>
      <c r="AE14" s="1121">
        <v>0</v>
      </c>
      <c r="AF14" s="1912">
        <v>23</v>
      </c>
      <c r="AG14" s="511">
        <v>0</v>
      </c>
      <c r="AH14" s="618">
        <v>10</v>
      </c>
      <c r="AI14" s="618">
        <v>2</v>
      </c>
      <c r="AJ14" s="618">
        <v>10</v>
      </c>
      <c r="AK14" s="618">
        <v>10</v>
      </c>
      <c r="AL14" s="1148">
        <f t="shared" si="13"/>
        <v>446.03365384615381</v>
      </c>
      <c r="AM14" s="1632">
        <v>0</v>
      </c>
      <c r="AN14" s="1018">
        <v>102</v>
      </c>
      <c r="AO14" s="1096">
        <f>'Tax Calulation           '!P14</f>
        <v>0</v>
      </c>
      <c r="AP14" s="1148">
        <f>'Tax Calulation           '!W14</f>
        <v>5.9084194977843429</v>
      </c>
      <c r="AQ14" s="1686">
        <f t="shared" si="14"/>
        <v>338.12523434836947</v>
      </c>
      <c r="AR14" s="1682">
        <f t="shared" si="33"/>
        <v>154000</v>
      </c>
      <c r="AS14" s="1683">
        <f t="shared" ref="AS14" si="100">CEILING(AQ14,(100))-100</f>
        <v>300</v>
      </c>
      <c r="AT14" s="509"/>
      <c r="AU14" s="504"/>
      <c r="AV14" s="504"/>
      <c r="AW14" s="505"/>
      <c r="AX14" s="502">
        <f t="shared" ref="AX14" si="101">INT(AS14/100)</f>
        <v>3</v>
      </c>
      <c r="AY14" s="502">
        <f t="shared" ref="AY14" si="102">INT((AS14-AX14*100)/50)</f>
        <v>0</v>
      </c>
      <c r="AZ14" s="1113">
        <f t="shared" ref="AZ14" si="103">AX14*100+AY14*50</f>
        <v>300</v>
      </c>
      <c r="BA14" s="1113">
        <f t="shared" ref="BA14" si="104">INT((AR14/50000))</f>
        <v>3</v>
      </c>
      <c r="BB14" s="548">
        <f t="shared" ref="BB14" si="105">INT((AR14-BA14*50000)/10000)</f>
        <v>0</v>
      </c>
      <c r="BC14" s="548">
        <f t="shared" ref="BC14" si="106">INT((AR14-BA14*50000-BB14*10000)/5000)</f>
        <v>0</v>
      </c>
      <c r="BD14" s="548">
        <f t="shared" ref="BD14" si="107">INT((AR14-BA14*50000-BB14*10000-BC14*5000)/1000)</f>
        <v>4</v>
      </c>
      <c r="BE14" s="548">
        <f t="shared" ref="BE14" si="108">INT((AR14-BA14*50000-BB14*10000-BC14*5000-BD14*1000)/500)</f>
        <v>0</v>
      </c>
      <c r="BF14" s="548">
        <f t="shared" ref="BF14" si="109">INT((AR14-BA14*50000-BB14*10000-BC14*5000-BD14*1000-BE14*500)/100)</f>
        <v>0</v>
      </c>
      <c r="BG14" s="549">
        <f t="shared" ref="BG14" si="110">BA14*50000+BB14*10000+BC14*5000+BD14*1000+BE14*500+BF14*100</f>
        <v>154000</v>
      </c>
      <c r="BI14" s="624" t="s">
        <v>1490</v>
      </c>
      <c r="BJ14" s="624" t="s">
        <v>572</v>
      </c>
      <c r="BK14" s="1427">
        <v>37691</v>
      </c>
      <c r="BL14" s="1428" t="s">
        <v>1492</v>
      </c>
      <c r="BM14" s="1429" t="s">
        <v>1502</v>
      </c>
    </row>
    <row r="15" spans="1:65" s="755" customFormat="1" ht="60" customHeight="1">
      <c r="A15" s="1369">
        <v>9</v>
      </c>
      <c r="B15" s="1333" t="s">
        <v>1292</v>
      </c>
      <c r="C15" s="1390" t="s">
        <v>707</v>
      </c>
      <c r="D15" s="1474">
        <v>41730</v>
      </c>
      <c r="E15" s="557" t="s">
        <v>355</v>
      </c>
      <c r="F15" s="617">
        <f>13+170+17+12+8+2</f>
        <v>222</v>
      </c>
      <c r="G15" s="630">
        <f t="shared" si="75"/>
        <v>27</v>
      </c>
      <c r="H15" s="1001">
        <v>21.5</v>
      </c>
      <c r="I15" s="1408">
        <f t="shared" si="0"/>
        <v>183.57692307692307</v>
      </c>
      <c r="J15" s="618">
        <f t="shared" si="1"/>
        <v>183.57692307692307</v>
      </c>
      <c r="K15" s="1001">
        <v>61</v>
      </c>
      <c r="L15" s="510">
        <f t="shared" si="2"/>
        <v>1.6009615384615383</v>
      </c>
      <c r="M15" s="618">
        <f t="shared" si="3"/>
        <v>97.65865384615384</v>
      </c>
      <c r="N15" s="1001">
        <v>0</v>
      </c>
      <c r="O15" s="510">
        <f t="shared" si="4"/>
        <v>2.1346153846153846</v>
      </c>
      <c r="P15" s="503">
        <f t="shared" si="5"/>
        <v>0</v>
      </c>
      <c r="Q15" s="1001">
        <v>16</v>
      </c>
      <c r="R15" s="510">
        <f t="shared" si="6"/>
        <v>2.1346153846153846</v>
      </c>
      <c r="S15" s="618">
        <f t="shared" si="7"/>
        <v>34.153846153846153</v>
      </c>
      <c r="T15" s="1001">
        <v>5.5</v>
      </c>
      <c r="U15" s="510">
        <f t="shared" si="8"/>
        <v>8.5384615384615383</v>
      </c>
      <c r="V15" s="618">
        <f t="shared" si="9"/>
        <v>46.96153846153846</v>
      </c>
      <c r="W15" s="1001">
        <v>0</v>
      </c>
      <c r="X15" s="618">
        <f>'QC Salary'!T16*QC!W15</f>
        <v>0</v>
      </c>
      <c r="Y15" s="1001">
        <v>0</v>
      </c>
      <c r="Z15" s="510">
        <f t="shared" si="10"/>
        <v>4.2692307692307692</v>
      </c>
      <c r="AA15" s="618">
        <f t="shared" si="11"/>
        <v>0</v>
      </c>
      <c r="AB15" s="1001">
        <v>0</v>
      </c>
      <c r="AC15" s="1467">
        <f t="shared" si="12"/>
        <v>27</v>
      </c>
      <c r="AD15" s="1724">
        <v>0</v>
      </c>
      <c r="AE15" s="1121">
        <v>0</v>
      </c>
      <c r="AF15" s="1735">
        <v>17.5</v>
      </c>
      <c r="AG15" s="511">
        <v>0</v>
      </c>
      <c r="AH15" s="618">
        <v>10</v>
      </c>
      <c r="AI15" s="618">
        <v>11</v>
      </c>
      <c r="AJ15" s="618">
        <v>10</v>
      </c>
      <c r="AK15" s="618">
        <v>10</v>
      </c>
      <c r="AL15" s="1148">
        <f t="shared" si="13"/>
        <v>447.85096153846149</v>
      </c>
      <c r="AM15" s="1632">
        <v>0</v>
      </c>
      <c r="AN15" s="1018">
        <v>102</v>
      </c>
      <c r="AO15" s="1096">
        <f>'Tax Calulation           '!P15</f>
        <v>0.78693507840017796</v>
      </c>
      <c r="AP15" s="1148">
        <f>'Tax Calulation           '!W15</f>
        <v>5.9084194977843429</v>
      </c>
      <c r="AQ15" s="1686">
        <f t="shared" si="14"/>
        <v>339.15560696227698</v>
      </c>
      <c r="AR15" s="1682">
        <f t="shared" si="33"/>
        <v>158200</v>
      </c>
      <c r="AS15" s="1683">
        <f t="shared" si="45"/>
        <v>300</v>
      </c>
      <c r="AT15" s="509"/>
      <c r="AU15" s="504"/>
      <c r="AV15" s="504"/>
      <c r="AW15" s="505">
        <f>(J15+M15+P15+S15+V15+AA15+AH15+AI15+AJ15+AK15)*4000</f>
        <v>1613403.846153846</v>
      </c>
      <c r="AX15" s="502">
        <f t="shared" si="46"/>
        <v>3</v>
      </c>
      <c r="AY15" s="502">
        <f t="shared" si="47"/>
        <v>0</v>
      </c>
      <c r="AZ15" s="573">
        <f t="shared" si="48"/>
        <v>300</v>
      </c>
      <c r="BA15" s="573">
        <f t="shared" si="49"/>
        <v>3</v>
      </c>
      <c r="BB15" s="548">
        <f t="shared" si="50"/>
        <v>0</v>
      </c>
      <c r="BC15" s="548">
        <f t="shared" si="51"/>
        <v>1</v>
      </c>
      <c r="BD15" s="548">
        <f t="shared" si="52"/>
        <v>3</v>
      </c>
      <c r="BE15" s="548">
        <f t="shared" si="53"/>
        <v>0</v>
      </c>
      <c r="BF15" s="548">
        <f t="shared" si="54"/>
        <v>2</v>
      </c>
      <c r="BG15" s="549">
        <f t="shared" si="55"/>
        <v>158200</v>
      </c>
      <c r="BI15" s="578" t="s">
        <v>879</v>
      </c>
      <c r="BJ15" s="578" t="s">
        <v>574</v>
      </c>
      <c r="BK15" s="1163">
        <v>34803</v>
      </c>
      <c r="BL15" s="578" t="s">
        <v>663</v>
      </c>
      <c r="BM15" s="531">
        <v>101259140</v>
      </c>
    </row>
    <row r="16" spans="1:65" s="768" customFormat="1" ht="60" customHeight="1">
      <c r="A16" s="1369">
        <v>10</v>
      </c>
      <c r="B16" s="1331" t="s">
        <v>1293</v>
      </c>
      <c r="C16" s="1417" t="s">
        <v>1336</v>
      </c>
      <c r="D16" s="1473">
        <v>44543</v>
      </c>
      <c r="E16" s="557" t="s">
        <v>355</v>
      </c>
      <c r="F16" s="758">
        <f>183+17+12+8+2</f>
        <v>222</v>
      </c>
      <c r="G16" s="769">
        <f t="shared" si="75"/>
        <v>27</v>
      </c>
      <c r="H16" s="1001">
        <v>22</v>
      </c>
      <c r="I16" s="1408">
        <f t="shared" si="0"/>
        <v>187.84615384615384</v>
      </c>
      <c r="J16" s="618">
        <f t="shared" si="1"/>
        <v>187.84615384615384</v>
      </c>
      <c r="K16" s="1001">
        <v>63</v>
      </c>
      <c r="L16" s="510">
        <f t="shared" si="2"/>
        <v>1.6009615384615383</v>
      </c>
      <c r="M16" s="618">
        <f t="shared" si="3"/>
        <v>100.86057692307692</v>
      </c>
      <c r="N16" s="1001">
        <v>0</v>
      </c>
      <c r="O16" s="510">
        <f t="shared" si="4"/>
        <v>2.1346153846153846</v>
      </c>
      <c r="P16" s="503">
        <f t="shared" si="5"/>
        <v>0</v>
      </c>
      <c r="Q16" s="1001">
        <v>24</v>
      </c>
      <c r="R16" s="510">
        <f t="shared" si="6"/>
        <v>2.1346153846153846</v>
      </c>
      <c r="S16" s="618">
        <f t="shared" si="7"/>
        <v>51.230769230769226</v>
      </c>
      <c r="T16" s="1001">
        <v>5</v>
      </c>
      <c r="U16" s="510">
        <f t="shared" si="8"/>
        <v>8.5384615384615383</v>
      </c>
      <c r="V16" s="618">
        <f t="shared" si="9"/>
        <v>42.692307692307693</v>
      </c>
      <c r="W16" s="1001">
        <v>0</v>
      </c>
      <c r="X16" s="618">
        <f>'QC Salary'!T17*QC!W16</f>
        <v>0</v>
      </c>
      <c r="Y16" s="1001">
        <v>0</v>
      </c>
      <c r="Z16" s="510">
        <f t="shared" si="10"/>
        <v>4.2692307692307692</v>
      </c>
      <c r="AA16" s="618">
        <f t="shared" si="11"/>
        <v>0</v>
      </c>
      <c r="AB16" s="1001">
        <v>0</v>
      </c>
      <c r="AC16" s="1467">
        <f t="shared" si="12"/>
        <v>27</v>
      </c>
      <c r="AD16" s="1724">
        <v>0</v>
      </c>
      <c r="AE16" s="1121">
        <v>0</v>
      </c>
      <c r="AF16" s="1735">
        <v>18.5</v>
      </c>
      <c r="AG16" s="762">
        <v>0</v>
      </c>
      <c r="AH16" s="618">
        <v>10</v>
      </c>
      <c r="AI16" s="788">
        <v>3</v>
      </c>
      <c r="AJ16" s="618">
        <v>10</v>
      </c>
      <c r="AK16" s="618">
        <v>10</v>
      </c>
      <c r="AL16" s="1148">
        <f t="shared" si="13"/>
        <v>461.12980769230768</v>
      </c>
      <c r="AM16" s="1634">
        <v>0.5</v>
      </c>
      <c r="AN16" s="1018">
        <v>102</v>
      </c>
      <c r="AO16" s="1096">
        <f>'Tax Calulation           '!P16</f>
        <v>1.4508773860924884</v>
      </c>
      <c r="AP16" s="1148">
        <f>'Tax Calulation           '!W16</f>
        <v>5.9084194977843429</v>
      </c>
      <c r="AQ16" s="1686">
        <f t="shared" si="14"/>
        <v>351.27051080843086</v>
      </c>
      <c r="AR16" s="1682">
        <f t="shared" si="33"/>
        <v>207100</v>
      </c>
      <c r="AS16" s="1684">
        <f t="shared" ref="AS16" si="111">CEILING(AQ16,(100))-100</f>
        <v>300</v>
      </c>
      <c r="AT16" s="759"/>
      <c r="AU16" s="763"/>
      <c r="AV16" s="763"/>
      <c r="AW16" s="764"/>
      <c r="AX16" s="502">
        <f t="shared" si="46"/>
        <v>3</v>
      </c>
      <c r="AY16" s="502">
        <f t="shared" si="47"/>
        <v>0</v>
      </c>
      <c r="AZ16" s="573">
        <f>AX16*100+AY16*50</f>
        <v>300</v>
      </c>
      <c r="BA16" s="573">
        <f t="shared" si="49"/>
        <v>4</v>
      </c>
      <c r="BB16" s="548">
        <f t="shared" si="50"/>
        <v>0</v>
      </c>
      <c r="BC16" s="548">
        <f t="shared" si="51"/>
        <v>1</v>
      </c>
      <c r="BD16" s="548">
        <f t="shared" si="52"/>
        <v>2</v>
      </c>
      <c r="BE16" s="548">
        <f t="shared" si="53"/>
        <v>0</v>
      </c>
      <c r="BF16" s="548">
        <f t="shared" si="54"/>
        <v>1</v>
      </c>
      <c r="BG16" s="549">
        <f t="shared" ref="BG16" si="112">BA16*50000+BB16*10000+BC16*5000+BD16*1000+BE16*500+BF16*100</f>
        <v>207100</v>
      </c>
      <c r="BI16" s="625" t="s">
        <v>1030</v>
      </c>
      <c r="BJ16" s="625" t="s">
        <v>572</v>
      </c>
      <c r="BK16" s="1165">
        <v>33979</v>
      </c>
      <c r="BL16" s="625"/>
      <c r="BM16" s="787">
        <v>101006755</v>
      </c>
    </row>
    <row r="17" spans="1:65" s="768" customFormat="1" ht="60" customHeight="1">
      <c r="A17" s="1369">
        <v>11</v>
      </c>
      <c r="B17" s="1333" t="s">
        <v>1408</v>
      </c>
      <c r="C17" s="1349" t="s">
        <v>443</v>
      </c>
      <c r="D17" s="1474">
        <v>42128</v>
      </c>
      <c r="E17" s="557" t="s">
        <v>355</v>
      </c>
      <c r="F17" s="758">
        <f>183+17+12+8+2</f>
        <v>222</v>
      </c>
      <c r="G17" s="769">
        <f t="shared" si="75"/>
        <v>27</v>
      </c>
      <c r="H17" s="1001">
        <v>22</v>
      </c>
      <c r="I17" s="1408">
        <f t="shared" si="0"/>
        <v>187.84615384615384</v>
      </c>
      <c r="J17" s="618">
        <f t="shared" si="1"/>
        <v>187.84615384615384</v>
      </c>
      <c r="K17" s="1001">
        <v>62</v>
      </c>
      <c r="L17" s="510">
        <f t="shared" si="2"/>
        <v>1.6009615384615383</v>
      </c>
      <c r="M17" s="618">
        <f t="shared" si="3"/>
        <v>99.259615384615373</v>
      </c>
      <c r="N17" s="1001">
        <v>0</v>
      </c>
      <c r="O17" s="510">
        <f t="shared" si="4"/>
        <v>2.1346153846153846</v>
      </c>
      <c r="P17" s="503">
        <f t="shared" si="5"/>
        <v>0</v>
      </c>
      <c r="Q17" s="1001">
        <v>16</v>
      </c>
      <c r="R17" s="510">
        <f t="shared" si="6"/>
        <v>2.1346153846153846</v>
      </c>
      <c r="S17" s="618">
        <f t="shared" si="7"/>
        <v>34.153846153846153</v>
      </c>
      <c r="T17" s="1001">
        <v>5</v>
      </c>
      <c r="U17" s="510">
        <f t="shared" si="8"/>
        <v>8.5384615384615383</v>
      </c>
      <c r="V17" s="618">
        <f t="shared" si="9"/>
        <v>42.692307692307693</v>
      </c>
      <c r="W17" s="1001">
        <v>0</v>
      </c>
      <c r="X17" s="618">
        <f>'QC Salary'!T18*QC!W17</f>
        <v>0</v>
      </c>
      <c r="Y17" s="1001">
        <v>0</v>
      </c>
      <c r="Z17" s="510">
        <f t="shared" si="10"/>
        <v>4.2692307692307692</v>
      </c>
      <c r="AA17" s="618">
        <f t="shared" si="11"/>
        <v>0</v>
      </c>
      <c r="AB17" s="1001">
        <v>0</v>
      </c>
      <c r="AC17" s="1467">
        <f t="shared" si="12"/>
        <v>27</v>
      </c>
      <c r="AD17" s="1724">
        <v>0</v>
      </c>
      <c r="AE17" s="1121">
        <v>0</v>
      </c>
      <c r="AF17" s="1735">
        <v>18.5</v>
      </c>
      <c r="AG17" s="762">
        <v>0</v>
      </c>
      <c r="AH17" s="618">
        <v>10</v>
      </c>
      <c r="AI17" s="788">
        <v>10</v>
      </c>
      <c r="AJ17" s="618">
        <v>10</v>
      </c>
      <c r="AK17" s="618">
        <v>10</v>
      </c>
      <c r="AL17" s="1148">
        <f t="shared" si="13"/>
        <v>449.45192307692304</v>
      </c>
      <c r="AM17" s="1634">
        <v>0.5</v>
      </c>
      <c r="AN17" s="1018">
        <v>102</v>
      </c>
      <c r="AO17" s="1096">
        <f>'Tax Calulation           '!P17</f>
        <v>0.86698315532325831</v>
      </c>
      <c r="AP17" s="1148">
        <f>'Tax Calulation           '!W17</f>
        <v>5.9084194977843429</v>
      </c>
      <c r="AQ17" s="1686">
        <f t="shared" si="14"/>
        <v>340.17652042381542</v>
      </c>
      <c r="AR17" s="1682">
        <f t="shared" si="33"/>
        <v>162300</v>
      </c>
      <c r="AS17" s="1684">
        <f t="shared" ref="AS17" si="113">CEILING(AQ17,(100))-100</f>
        <v>300</v>
      </c>
      <c r="AT17" s="759"/>
      <c r="AU17" s="763"/>
      <c r="AV17" s="763"/>
      <c r="AW17" s="764"/>
      <c r="AX17" s="502">
        <f t="shared" si="46"/>
        <v>3</v>
      </c>
      <c r="AY17" s="502">
        <f t="shared" si="47"/>
        <v>0</v>
      </c>
      <c r="AZ17" s="983">
        <f>AX17*100+AY17*50</f>
        <v>300</v>
      </c>
      <c r="BA17" s="983">
        <f t="shared" si="49"/>
        <v>3</v>
      </c>
      <c r="BB17" s="548">
        <f t="shared" si="50"/>
        <v>1</v>
      </c>
      <c r="BC17" s="548">
        <f t="shared" si="51"/>
        <v>0</v>
      </c>
      <c r="BD17" s="548">
        <f t="shared" si="52"/>
        <v>2</v>
      </c>
      <c r="BE17" s="548">
        <f t="shared" si="53"/>
        <v>0</v>
      </c>
      <c r="BF17" s="548">
        <f t="shared" si="54"/>
        <v>3</v>
      </c>
      <c r="BG17" s="549">
        <f t="shared" ref="BG17" si="114">BA17*50000+BB17*10000+BC17*5000+BD17*1000+BE17*500+BF17*100</f>
        <v>162300</v>
      </c>
      <c r="BI17" s="581" t="s">
        <v>870</v>
      </c>
      <c r="BJ17" s="581" t="s">
        <v>573</v>
      </c>
      <c r="BK17" s="1163">
        <v>35688</v>
      </c>
      <c r="BL17" s="581" t="s">
        <v>684</v>
      </c>
      <c r="BM17" s="531">
        <v>100945029</v>
      </c>
    </row>
    <row r="18" spans="1:65" s="768" customFormat="1" ht="60" customHeight="1">
      <c r="A18" s="1369">
        <v>12</v>
      </c>
      <c r="B18" s="1331" t="s">
        <v>1893</v>
      </c>
      <c r="C18" s="1417" t="s">
        <v>1894</v>
      </c>
      <c r="D18" s="1473">
        <v>42523</v>
      </c>
      <c r="E18" s="557" t="s">
        <v>355</v>
      </c>
      <c r="F18" s="758">
        <f>222</f>
        <v>222</v>
      </c>
      <c r="G18" s="769">
        <f t="shared" si="75"/>
        <v>27</v>
      </c>
      <c r="H18" s="1001">
        <v>22</v>
      </c>
      <c r="I18" s="1408">
        <f t="shared" si="0"/>
        <v>187.84615384615384</v>
      </c>
      <c r="J18" s="618">
        <f t="shared" si="1"/>
        <v>187.84615384615384</v>
      </c>
      <c r="K18" s="1001">
        <v>62</v>
      </c>
      <c r="L18" s="510">
        <f t="shared" si="2"/>
        <v>1.6009615384615383</v>
      </c>
      <c r="M18" s="618">
        <f t="shared" si="3"/>
        <v>99.259615384615373</v>
      </c>
      <c r="N18" s="1001">
        <v>0</v>
      </c>
      <c r="O18" s="761">
        <f t="shared" ref="O18" si="115">F18/26/8*2</f>
        <v>2.1346153846153846</v>
      </c>
      <c r="P18" s="760">
        <f t="shared" ref="P18" si="116">N18*O18</f>
        <v>0</v>
      </c>
      <c r="Q18" s="1001">
        <v>24</v>
      </c>
      <c r="R18" s="510">
        <f t="shared" si="6"/>
        <v>2.1346153846153846</v>
      </c>
      <c r="S18" s="618">
        <f t="shared" si="7"/>
        <v>51.230769230769226</v>
      </c>
      <c r="T18" s="1001">
        <v>5</v>
      </c>
      <c r="U18" s="510">
        <f t="shared" si="8"/>
        <v>8.5384615384615383</v>
      </c>
      <c r="V18" s="618">
        <f t="shared" si="9"/>
        <v>42.692307692307693</v>
      </c>
      <c r="W18" s="1001">
        <v>0</v>
      </c>
      <c r="X18" s="618">
        <f>'QC Salary'!T19*QC!W18</f>
        <v>0</v>
      </c>
      <c r="Y18" s="1001">
        <v>0</v>
      </c>
      <c r="Z18" s="761">
        <f t="shared" ref="Z18" si="117">F18/26/2</f>
        <v>4.2692307692307692</v>
      </c>
      <c r="AA18" s="618">
        <f t="shared" si="11"/>
        <v>0</v>
      </c>
      <c r="AB18" s="1001">
        <v>0</v>
      </c>
      <c r="AC18" s="1467">
        <f t="shared" si="12"/>
        <v>27</v>
      </c>
      <c r="AD18" s="1724">
        <v>0</v>
      </c>
      <c r="AE18" s="1121">
        <v>0</v>
      </c>
      <c r="AF18" s="1735">
        <v>18.399999999999999</v>
      </c>
      <c r="AG18" s="762">
        <v>5</v>
      </c>
      <c r="AH18" s="618">
        <v>10</v>
      </c>
      <c r="AI18" s="788">
        <v>9</v>
      </c>
      <c r="AJ18" s="618">
        <v>10</v>
      </c>
      <c r="AK18" s="618">
        <v>10</v>
      </c>
      <c r="AL18" s="1148">
        <f t="shared" si="13"/>
        <v>470.42884615384611</v>
      </c>
      <c r="AM18" s="1634">
        <v>0.5</v>
      </c>
      <c r="AN18" s="1018">
        <v>102</v>
      </c>
      <c r="AO18" s="1096">
        <f>'Tax Calulation           '!P18</f>
        <v>0</v>
      </c>
      <c r="AP18" s="1148">
        <f>'Tax Calulation           '!W18</f>
        <v>5.9084194977843429</v>
      </c>
      <c r="AQ18" s="1686">
        <f t="shared" si="14"/>
        <v>362.02042665606177</v>
      </c>
      <c r="AR18" s="1682">
        <f t="shared" si="33"/>
        <v>250600</v>
      </c>
      <c r="AS18" s="1684">
        <f t="shared" ref="AS18" si="118">CEILING(AQ18,(100))-100</f>
        <v>300</v>
      </c>
      <c r="AT18" s="759"/>
      <c r="AU18" s="763"/>
      <c r="AV18" s="763"/>
      <c r="AW18" s="764"/>
      <c r="AX18" s="502">
        <f t="shared" ref="AX18" si="119">INT(AS18/100)</f>
        <v>3</v>
      </c>
      <c r="AY18" s="502">
        <f t="shared" ref="AY18" si="120">INT((AS18-AX18*100)/50)</f>
        <v>0</v>
      </c>
      <c r="AZ18" s="1113">
        <f>AX18*100+AY18*50</f>
        <v>300</v>
      </c>
      <c r="BA18" s="1113">
        <f t="shared" ref="BA18" si="121">INT((AR18/50000))</f>
        <v>5</v>
      </c>
      <c r="BB18" s="548">
        <f t="shared" ref="BB18" si="122">INT((AR18-BA18*50000)/10000)</f>
        <v>0</v>
      </c>
      <c r="BC18" s="548">
        <f t="shared" ref="BC18" si="123">INT((AR18-BA18*50000-BB18*10000)/5000)</f>
        <v>0</v>
      </c>
      <c r="BD18" s="548">
        <f t="shared" ref="BD18" si="124">INT((AR18-BA18*50000-BB18*10000-BC18*5000)/1000)</f>
        <v>0</v>
      </c>
      <c r="BE18" s="548">
        <f t="shared" ref="BE18" si="125">INT((AR18-BA18*50000-BB18*10000-BC18*5000-BD18*1000)/500)</f>
        <v>1</v>
      </c>
      <c r="BF18" s="548">
        <f t="shared" ref="BF18" si="126">INT((AR18-BA18*50000-BB18*10000-BC18*5000-BD18*1000-BE18*500)/100)</f>
        <v>1</v>
      </c>
      <c r="BG18" s="549">
        <f t="shared" ref="BG18" si="127">BA18*50000+BB18*10000+BC18*5000+BD18*1000+BE18*500+BF18*100</f>
        <v>250600</v>
      </c>
      <c r="BI18" s="625" t="s">
        <v>1907</v>
      </c>
      <c r="BJ18" s="625" t="s">
        <v>1908</v>
      </c>
      <c r="BK18" s="1165">
        <v>35620</v>
      </c>
      <c r="BL18" s="625" t="s">
        <v>1909</v>
      </c>
      <c r="BM18" s="787">
        <v>40357104</v>
      </c>
    </row>
    <row r="19" spans="1:65" s="755" customFormat="1" ht="60" customHeight="1">
      <c r="A19" s="1369">
        <v>13</v>
      </c>
      <c r="B19" s="1333" t="s">
        <v>1295</v>
      </c>
      <c r="C19" s="1349" t="s">
        <v>412</v>
      </c>
      <c r="D19" s="1474">
        <v>42829</v>
      </c>
      <c r="E19" s="557" t="s">
        <v>355</v>
      </c>
      <c r="F19" s="617">
        <f>200+12+8+2</f>
        <v>222</v>
      </c>
      <c r="G19" s="630">
        <f t="shared" si="75"/>
        <v>27</v>
      </c>
      <c r="H19" s="1001">
        <v>19.5</v>
      </c>
      <c r="I19" s="1408">
        <f t="shared" si="0"/>
        <v>166.5</v>
      </c>
      <c r="J19" s="618">
        <f t="shared" si="1"/>
        <v>166.5</v>
      </c>
      <c r="K19" s="1001">
        <v>58</v>
      </c>
      <c r="L19" s="510">
        <f t="shared" si="2"/>
        <v>1.6009615384615383</v>
      </c>
      <c r="M19" s="618">
        <f t="shared" si="3"/>
        <v>92.855769230769226</v>
      </c>
      <c r="N19" s="1001">
        <v>0</v>
      </c>
      <c r="O19" s="510">
        <f t="shared" si="4"/>
        <v>2.1346153846153846</v>
      </c>
      <c r="P19" s="503">
        <f t="shared" si="5"/>
        <v>0</v>
      </c>
      <c r="Q19" s="1001">
        <v>20</v>
      </c>
      <c r="R19" s="510">
        <f t="shared" si="6"/>
        <v>2.1346153846153846</v>
      </c>
      <c r="S19" s="618">
        <f t="shared" si="7"/>
        <v>42.692307692307693</v>
      </c>
      <c r="T19" s="1001">
        <v>5</v>
      </c>
      <c r="U19" s="510">
        <f t="shared" si="8"/>
        <v>8.5384615384615383</v>
      </c>
      <c r="V19" s="618">
        <f t="shared" si="9"/>
        <v>42.692307692307693</v>
      </c>
      <c r="W19" s="1001">
        <v>2.5</v>
      </c>
      <c r="X19" s="618">
        <f>'QC Salary'!T20*QC!W19</f>
        <v>32.367054151776181</v>
      </c>
      <c r="Y19" s="1001">
        <v>0</v>
      </c>
      <c r="Z19" s="510">
        <f t="shared" si="10"/>
        <v>4.2692307692307692</v>
      </c>
      <c r="AA19" s="618">
        <f t="shared" si="11"/>
        <v>0</v>
      </c>
      <c r="AB19" s="1001">
        <v>0</v>
      </c>
      <c r="AC19" s="1467">
        <f t="shared" si="12"/>
        <v>27</v>
      </c>
      <c r="AD19" s="1724">
        <v>0</v>
      </c>
      <c r="AE19" s="1121">
        <v>0</v>
      </c>
      <c r="AF19" s="1735">
        <v>15</v>
      </c>
      <c r="AG19" s="511">
        <v>0</v>
      </c>
      <c r="AH19" s="618">
        <v>10</v>
      </c>
      <c r="AI19" s="618">
        <v>8</v>
      </c>
      <c r="AJ19" s="618">
        <v>10</v>
      </c>
      <c r="AK19" s="618">
        <v>10</v>
      </c>
      <c r="AL19" s="1148">
        <f t="shared" si="13"/>
        <v>457.10743876716077</v>
      </c>
      <c r="AM19" s="1632">
        <v>0.5</v>
      </c>
      <c r="AN19" s="1018">
        <v>102</v>
      </c>
      <c r="AO19" s="1096">
        <f>'Tax Calulation           '!P19</f>
        <v>0</v>
      </c>
      <c r="AP19" s="1148">
        <f>'Tax Calulation           '!W19</f>
        <v>5.9084194977843429</v>
      </c>
      <c r="AQ19" s="1686">
        <f t="shared" si="14"/>
        <v>348.69901926937644</v>
      </c>
      <c r="AR19" s="1682">
        <f t="shared" si="33"/>
        <v>196700</v>
      </c>
      <c r="AS19" s="1683">
        <f t="shared" si="45"/>
        <v>300</v>
      </c>
      <c r="AT19" s="509"/>
      <c r="AU19" s="504"/>
      <c r="AV19" s="504"/>
      <c r="AW19" s="505">
        <f>(J19+M19+P19+S19+V19+AA19+AH19+AI19+AJ19+AK19)*4000</f>
        <v>1530961.5384615383</v>
      </c>
      <c r="AX19" s="502">
        <f t="shared" si="46"/>
        <v>3</v>
      </c>
      <c r="AY19" s="502">
        <f t="shared" si="47"/>
        <v>0</v>
      </c>
      <c r="AZ19" s="573">
        <f t="shared" si="48"/>
        <v>300</v>
      </c>
      <c r="BA19" s="573">
        <f t="shared" si="49"/>
        <v>3</v>
      </c>
      <c r="BB19" s="548">
        <f t="shared" si="50"/>
        <v>4</v>
      </c>
      <c r="BC19" s="548">
        <f t="shared" si="51"/>
        <v>1</v>
      </c>
      <c r="BD19" s="548">
        <f t="shared" si="52"/>
        <v>1</v>
      </c>
      <c r="BE19" s="548">
        <f t="shared" si="53"/>
        <v>1</v>
      </c>
      <c r="BF19" s="548">
        <f t="shared" si="54"/>
        <v>2</v>
      </c>
      <c r="BG19" s="549">
        <f t="shared" si="55"/>
        <v>196700</v>
      </c>
      <c r="BI19" s="581" t="s">
        <v>881</v>
      </c>
      <c r="BJ19" s="581" t="s">
        <v>571</v>
      </c>
      <c r="BK19" s="1163">
        <v>35043</v>
      </c>
      <c r="BL19" s="581" t="s">
        <v>664</v>
      </c>
      <c r="BM19" s="531">
        <v>51256143</v>
      </c>
    </row>
    <row r="20" spans="1:65" s="755" customFormat="1" ht="60" customHeight="1">
      <c r="A20" s="1369">
        <v>14</v>
      </c>
      <c r="B20" s="1333" t="s">
        <v>1297</v>
      </c>
      <c r="C20" s="1349" t="s">
        <v>413</v>
      </c>
      <c r="D20" s="1474">
        <v>42845</v>
      </c>
      <c r="E20" s="557" t="s">
        <v>355</v>
      </c>
      <c r="F20" s="617">
        <f>200+12+8+2</f>
        <v>222</v>
      </c>
      <c r="G20" s="630">
        <f t="shared" si="75"/>
        <v>27</v>
      </c>
      <c r="H20" s="1001">
        <v>22</v>
      </c>
      <c r="I20" s="1408">
        <f t="shared" si="0"/>
        <v>187.84615384615384</v>
      </c>
      <c r="J20" s="618">
        <f t="shared" si="1"/>
        <v>187.84615384615384</v>
      </c>
      <c r="K20" s="1001">
        <v>62</v>
      </c>
      <c r="L20" s="510">
        <f t="shared" si="2"/>
        <v>1.6009615384615383</v>
      </c>
      <c r="M20" s="618">
        <f t="shared" si="3"/>
        <v>99.259615384615373</v>
      </c>
      <c r="N20" s="1001">
        <v>0</v>
      </c>
      <c r="O20" s="510">
        <f t="shared" si="4"/>
        <v>2.1346153846153846</v>
      </c>
      <c r="P20" s="503">
        <f t="shared" si="5"/>
        <v>0</v>
      </c>
      <c r="Q20" s="1001">
        <v>24</v>
      </c>
      <c r="R20" s="510">
        <f t="shared" si="6"/>
        <v>2.1346153846153846</v>
      </c>
      <c r="S20" s="618">
        <f t="shared" si="7"/>
        <v>51.230769230769226</v>
      </c>
      <c r="T20" s="1001">
        <v>5</v>
      </c>
      <c r="U20" s="510">
        <f t="shared" si="8"/>
        <v>8.5384615384615383</v>
      </c>
      <c r="V20" s="618">
        <f t="shared" si="9"/>
        <v>42.692307692307693</v>
      </c>
      <c r="W20" s="1001">
        <v>0</v>
      </c>
      <c r="X20" s="618">
        <f>'QC Salary'!T21*QC!W20</f>
        <v>0</v>
      </c>
      <c r="Y20" s="1001">
        <v>0</v>
      </c>
      <c r="Z20" s="510">
        <f t="shared" si="10"/>
        <v>4.2692307692307692</v>
      </c>
      <c r="AA20" s="618">
        <f t="shared" si="11"/>
        <v>0</v>
      </c>
      <c r="AB20" s="1001">
        <v>0</v>
      </c>
      <c r="AC20" s="1467">
        <f t="shared" si="12"/>
        <v>27</v>
      </c>
      <c r="AD20" s="1724">
        <v>0</v>
      </c>
      <c r="AE20" s="1121">
        <v>0</v>
      </c>
      <c r="AF20" s="1735">
        <v>18.5</v>
      </c>
      <c r="AG20" s="511">
        <v>0</v>
      </c>
      <c r="AH20" s="618">
        <v>10</v>
      </c>
      <c r="AI20" s="618">
        <v>8</v>
      </c>
      <c r="AJ20" s="618">
        <v>10</v>
      </c>
      <c r="AK20" s="618">
        <v>10</v>
      </c>
      <c r="AL20" s="1148">
        <f t="shared" si="13"/>
        <v>464.52884615384613</v>
      </c>
      <c r="AM20" s="1632">
        <v>0.5</v>
      </c>
      <c r="AN20" s="1018">
        <v>102</v>
      </c>
      <c r="AO20" s="1096">
        <f>'Tax Calulation           '!P20</f>
        <v>0</v>
      </c>
      <c r="AP20" s="1148">
        <f>'Tax Calulation           '!W20</f>
        <v>5.9084194977843429</v>
      </c>
      <c r="AQ20" s="1686">
        <f t="shared" si="14"/>
        <v>356.1204266560618</v>
      </c>
      <c r="AR20" s="1682">
        <f t="shared" si="33"/>
        <v>226700</v>
      </c>
      <c r="AS20" s="1683">
        <f t="shared" ref="AS20" si="128">CEILING(AQ20,(100))-100</f>
        <v>300</v>
      </c>
      <c r="AT20" s="509"/>
      <c r="AU20" s="504"/>
      <c r="AV20" s="504"/>
      <c r="AW20" s="505">
        <f>(J20+M20+P20+S20+V20+AA20+AH20+AI20+AJ20+AK20)*4000</f>
        <v>1676115.3846153845</v>
      </c>
      <c r="AX20" s="502">
        <f t="shared" si="46"/>
        <v>3</v>
      </c>
      <c r="AY20" s="502">
        <f t="shared" si="47"/>
        <v>0</v>
      </c>
      <c r="AZ20" s="573">
        <f t="shared" ref="AZ20:AZ21" si="129">AX20*100+AY20*50</f>
        <v>300</v>
      </c>
      <c r="BA20" s="573">
        <f t="shared" si="49"/>
        <v>4</v>
      </c>
      <c r="BB20" s="548">
        <f t="shared" si="50"/>
        <v>2</v>
      </c>
      <c r="BC20" s="548">
        <f t="shared" si="51"/>
        <v>1</v>
      </c>
      <c r="BD20" s="548">
        <f t="shared" si="52"/>
        <v>1</v>
      </c>
      <c r="BE20" s="548">
        <f t="shared" si="53"/>
        <v>1</v>
      </c>
      <c r="BF20" s="548">
        <f t="shared" si="54"/>
        <v>2</v>
      </c>
      <c r="BG20" s="549">
        <f t="shared" ref="BG20:BG21" si="130">BA20*50000+BB20*10000+BC20*5000+BD20*1000+BE20*500+BF20*100</f>
        <v>226700</v>
      </c>
      <c r="BI20" s="581" t="s">
        <v>1337</v>
      </c>
      <c r="BJ20" s="581" t="s">
        <v>571</v>
      </c>
      <c r="BK20" s="1163">
        <v>33862</v>
      </c>
      <c r="BL20" s="581" t="s">
        <v>664</v>
      </c>
      <c r="BM20" s="531">
        <v>40548357</v>
      </c>
    </row>
    <row r="21" spans="1:65" s="755" customFormat="1" ht="60" customHeight="1">
      <c r="A21" s="1369">
        <v>15</v>
      </c>
      <c r="B21" s="1333" t="s">
        <v>2383</v>
      </c>
      <c r="C21" s="581" t="s">
        <v>2384</v>
      </c>
      <c r="D21" s="1476">
        <v>42980</v>
      </c>
      <c r="E21" s="557" t="s">
        <v>355</v>
      </c>
      <c r="F21" s="617">
        <f>220+2</f>
        <v>222</v>
      </c>
      <c r="G21" s="630">
        <f t="shared" si="75"/>
        <v>27</v>
      </c>
      <c r="H21" s="1001">
        <v>21</v>
      </c>
      <c r="I21" s="1408">
        <f t="shared" ref="I21" si="131">F21/26*H21</f>
        <v>179.30769230769229</v>
      </c>
      <c r="J21" s="618">
        <f t="shared" ref="J21" si="132">F21/26*H21</f>
        <v>179.30769230769229</v>
      </c>
      <c r="K21" s="1001">
        <v>54</v>
      </c>
      <c r="L21" s="510">
        <f t="shared" ref="L21" si="133">F21/26/8*1.5</f>
        <v>1.6009615384615383</v>
      </c>
      <c r="M21" s="618">
        <f t="shared" ref="M21" si="134">K21*L21</f>
        <v>86.451923076923066</v>
      </c>
      <c r="N21" s="1001">
        <v>0</v>
      </c>
      <c r="O21" s="510">
        <f t="shared" ref="O21" si="135">F21/26/8*2</f>
        <v>2.1346153846153846</v>
      </c>
      <c r="P21" s="503">
        <f t="shared" ref="P21" si="136">N21*O21</f>
        <v>0</v>
      </c>
      <c r="Q21" s="1001">
        <v>16</v>
      </c>
      <c r="R21" s="510">
        <f t="shared" ref="R21" si="137">F21/26/8*2</f>
        <v>2.1346153846153846</v>
      </c>
      <c r="S21" s="618">
        <f t="shared" ref="S21" si="138">R21*Q21</f>
        <v>34.153846153846153</v>
      </c>
      <c r="T21" s="1001">
        <v>5</v>
      </c>
      <c r="U21" s="510">
        <f t="shared" ref="U21" si="139">F21/26</f>
        <v>8.5384615384615383</v>
      </c>
      <c r="V21" s="618">
        <f t="shared" ref="V21" si="140">U21*T21</f>
        <v>42.692307692307693</v>
      </c>
      <c r="W21" s="1001">
        <v>1</v>
      </c>
      <c r="X21" s="618">
        <f>'QC Salary'!T22*QC!W21</f>
        <v>10.922460727851362</v>
      </c>
      <c r="Y21" s="1001">
        <v>0</v>
      </c>
      <c r="Z21" s="510">
        <f t="shared" ref="Z21" si="141">F21/26/2</f>
        <v>4.2692307692307692</v>
      </c>
      <c r="AA21" s="618">
        <f t="shared" ref="AA21" si="142">Y21*Z21</f>
        <v>0</v>
      </c>
      <c r="AB21" s="1001">
        <v>0</v>
      </c>
      <c r="AC21" s="1467">
        <f t="shared" ref="AC21" si="143">H21+T21+Y21+AB21+W21</f>
        <v>27</v>
      </c>
      <c r="AD21" s="1724">
        <v>0</v>
      </c>
      <c r="AE21" s="1121">
        <v>0</v>
      </c>
      <c r="AF21" s="1735">
        <v>20</v>
      </c>
      <c r="AG21" s="511">
        <v>0</v>
      </c>
      <c r="AH21" s="618">
        <v>10</v>
      </c>
      <c r="AI21" s="618">
        <v>8</v>
      </c>
      <c r="AJ21" s="618">
        <v>10</v>
      </c>
      <c r="AK21" s="618">
        <v>10</v>
      </c>
      <c r="AL21" s="1148">
        <f t="shared" ref="AL21" si="144">G21+J21+M21+P21+S21+V21+AA21+AD21+AF21+AH21+AI21+AJ21+AK21+X21+AE21+AG21</f>
        <v>438.52822995862056</v>
      </c>
      <c r="AM21" s="1632">
        <v>0</v>
      </c>
      <c r="AN21" s="1018">
        <v>102</v>
      </c>
      <c r="AO21" s="1096">
        <f>'Tax Calulation           '!P21</f>
        <v>0</v>
      </c>
      <c r="AP21" s="1148">
        <f>'Tax Calulation           '!W21</f>
        <v>5.9084194977843429</v>
      </c>
      <c r="AQ21" s="1686">
        <f t="shared" ref="AQ21" si="145">AL21-AO21-AN21-AP21-AM21</f>
        <v>330.61981046083622</v>
      </c>
      <c r="AR21" s="1682">
        <f t="shared" ref="AR21" si="146">ROUND((AQ21-AS21)*4040,-2)</f>
        <v>123700</v>
      </c>
      <c r="AS21" s="1683">
        <f t="shared" ref="AS21" si="147">CEILING(AQ21,(100))-100</f>
        <v>300</v>
      </c>
      <c r="AT21" s="509"/>
      <c r="AU21" s="504"/>
      <c r="AV21" s="504"/>
      <c r="AW21" s="505"/>
      <c r="AX21" s="502">
        <f t="shared" si="46"/>
        <v>3</v>
      </c>
      <c r="AY21" s="502">
        <f t="shared" si="47"/>
        <v>0</v>
      </c>
      <c r="AZ21" s="1113">
        <f t="shared" si="129"/>
        <v>300</v>
      </c>
      <c r="BA21" s="1113">
        <f t="shared" si="49"/>
        <v>2</v>
      </c>
      <c r="BB21" s="548">
        <f t="shared" si="50"/>
        <v>2</v>
      </c>
      <c r="BC21" s="548">
        <f t="shared" si="51"/>
        <v>0</v>
      </c>
      <c r="BD21" s="548">
        <f t="shared" si="52"/>
        <v>3</v>
      </c>
      <c r="BE21" s="548">
        <f t="shared" si="53"/>
        <v>1</v>
      </c>
      <c r="BF21" s="548">
        <f t="shared" si="54"/>
        <v>2</v>
      </c>
      <c r="BG21" s="549">
        <f t="shared" si="130"/>
        <v>123700</v>
      </c>
      <c r="BI21" s="581" t="s">
        <v>2385</v>
      </c>
      <c r="BJ21" s="581" t="s">
        <v>706</v>
      </c>
      <c r="BK21" s="1163">
        <v>36063</v>
      </c>
      <c r="BL21" s="581" t="s">
        <v>2386</v>
      </c>
      <c r="BM21" s="531">
        <v>40405538</v>
      </c>
    </row>
    <row r="22" spans="1:65" s="755" customFormat="1" ht="60" customHeight="1">
      <c r="A22" s="1369">
        <v>16</v>
      </c>
      <c r="B22" s="1333" t="s">
        <v>2306</v>
      </c>
      <c r="C22" s="1390" t="s">
        <v>1830</v>
      </c>
      <c r="D22" s="1474">
        <v>43626</v>
      </c>
      <c r="E22" s="557" t="s">
        <v>355</v>
      </c>
      <c r="F22" s="617">
        <f>191+8+2+3+18</f>
        <v>222</v>
      </c>
      <c r="G22" s="959">
        <f>2</f>
        <v>2</v>
      </c>
      <c r="H22" s="1001">
        <v>22</v>
      </c>
      <c r="I22" s="1408">
        <f t="shared" ref="I22" si="148">F22/26*H22</f>
        <v>187.84615384615384</v>
      </c>
      <c r="J22" s="618">
        <f t="shared" si="1"/>
        <v>187.84615384615384</v>
      </c>
      <c r="K22" s="1001">
        <v>63</v>
      </c>
      <c r="L22" s="510">
        <f t="shared" ref="L22" si="149">F22/26/8*1.5</f>
        <v>1.6009615384615383</v>
      </c>
      <c r="M22" s="618">
        <f t="shared" si="3"/>
        <v>100.86057692307692</v>
      </c>
      <c r="N22" s="1001">
        <v>0</v>
      </c>
      <c r="O22" s="510">
        <f t="shared" ref="O22" si="150">F22/26/8*2</f>
        <v>2.1346153846153846</v>
      </c>
      <c r="P22" s="503">
        <f t="shared" ref="P22" si="151">N22*O22</f>
        <v>0</v>
      </c>
      <c r="Q22" s="1001">
        <v>24</v>
      </c>
      <c r="R22" s="510">
        <f t="shared" ref="R22" si="152">F22/26/8*2</f>
        <v>2.1346153846153846</v>
      </c>
      <c r="S22" s="618">
        <f t="shared" si="7"/>
        <v>51.230769230769226</v>
      </c>
      <c r="T22" s="1001">
        <v>5</v>
      </c>
      <c r="U22" s="510">
        <f t="shared" ref="U22" si="153">F22/26</f>
        <v>8.5384615384615383</v>
      </c>
      <c r="V22" s="618">
        <f t="shared" si="9"/>
        <v>42.692307692307693</v>
      </c>
      <c r="W22" s="1001">
        <v>0</v>
      </c>
      <c r="X22" s="618">
        <f>'QC Salary'!T23*QC!W22</f>
        <v>0</v>
      </c>
      <c r="Y22" s="1001">
        <v>0</v>
      </c>
      <c r="Z22" s="510">
        <f t="shared" ref="Z22" si="154">F22/26/2</f>
        <v>4.2692307692307692</v>
      </c>
      <c r="AA22" s="618">
        <f t="shared" si="11"/>
        <v>0</v>
      </c>
      <c r="AB22" s="1001">
        <v>0</v>
      </c>
      <c r="AC22" s="1467">
        <f t="shared" ref="AC22" si="155">H22+T22+Y22+AB22+W22</f>
        <v>27</v>
      </c>
      <c r="AD22" s="1724">
        <v>0</v>
      </c>
      <c r="AE22" s="1121">
        <v>0</v>
      </c>
      <c r="AF22" s="1913">
        <f>25+18.5</f>
        <v>43.5</v>
      </c>
      <c r="AG22" s="511">
        <v>5</v>
      </c>
      <c r="AH22" s="618">
        <v>10</v>
      </c>
      <c r="AI22" s="618">
        <v>6</v>
      </c>
      <c r="AJ22" s="618">
        <v>10</v>
      </c>
      <c r="AK22" s="618">
        <v>10</v>
      </c>
      <c r="AL22" s="1148">
        <f t="shared" si="13"/>
        <v>469.12980769230768</v>
      </c>
      <c r="AM22" s="1632">
        <v>0.5</v>
      </c>
      <c r="AN22" s="1018">
        <v>102</v>
      </c>
      <c r="AO22" s="1096">
        <f>'Tax Calulation           '!P22</f>
        <v>1.6008773860924892</v>
      </c>
      <c r="AP22" s="1148">
        <f>'Tax Calulation           '!W22</f>
        <v>5.9084194977843429</v>
      </c>
      <c r="AQ22" s="1686">
        <f t="shared" si="14"/>
        <v>359.12051080843088</v>
      </c>
      <c r="AR22" s="1682">
        <f t="shared" si="33"/>
        <v>238800</v>
      </c>
      <c r="AS22" s="1683">
        <f t="shared" ref="AS22" si="156">CEILING(AQ22,(100))-100</f>
        <v>300</v>
      </c>
      <c r="AT22" s="509"/>
      <c r="AU22" s="504"/>
      <c r="AV22" s="504"/>
      <c r="AW22" s="505"/>
      <c r="AX22" s="502">
        <f t="shared" ref="AX22" si="157">INT(AS22/100)</f>
        <v>3</v>
      </c>
      <c r="AY22" s="502">
        <f t="shared" ref="AY22" si="158">INT((AS22-AX22*100)/50)</f>
        <v>0</v>
      </c>
      <c r="AZ22" s="1113">
        <f t="shared" ref="AZ22" si="159">AX22*100+AY22*50</f>
        <v>300</v>
      </c>
      <c r="BA22" s="1113">
        <f t="shared" ref="BA22" si="160">INT((AR22/50000))</f>
        <v>4</v>
      </c>
      <c r="BB22" s="548">
        <f t="shared" ref="BB22" si="161">INT((AR22-BA22*50000)/10000)</f>
        <v>3</v>
      </c>
      <c r="BC22" s="548">
        <f t="shared" ref="BC22" si="162">INT((AR22-BA22*50000-BB22*10000)/5000)</f>
        <v>1</v>
      </c>
      <c r="BD22" s="548">
        <f t="shared" ref="BD22" si="163">INT((AR22-BA22*50000-BB22*10000-BC22*5000)/1000)</f>
        <v>3</v>
      </c>
      <c r="BE22" s="548">
        <f t="shared" ref="BE22" si="164">INT((AR22-BA22*50000-BB22*10000-BC22*5000-BD22*1000)/500)</f>
        <v>1</v>
      </c>
      <c r="BF22" s="548">
        <f t="shared" ref="BF22" si="165">INT((AR22-BA22*50000-BB22*10000-BC22*5000-BD22*1000-BE22*500)/100)</f>
        <v>3</v>
      </c>
      <c r="BG22" s="549">
        <f t="shared" ref="BG22" si="166">BA22*50000+BB22*10000+BC22*5000+BD22*1000+BE22*500+BF22*100</f>
        <v>238800</v>
      </c>
      <c r="BI22" s="578" t="s">
        <v>1831</v>
      </c>
      <c r="BJ22" s="578" t="s">
        <v>1505</v>
      </c>
      <c r="BK22" s="1349">
        <v>36207</v>
      </c>
      <c r="BL22" s="1390">
        <v>70252850</v>
      </c>
      <c r="BM22" s="531">
        <v>40519401</v>
      </c>
    </row>
    <row r="23" spans="1:65" s="755" customFormat="1" ht="60" customHeight="1">
      <c r="A23" s="1369">
        <v>17</v>
      </c>
      <c r="B23" s="1333" t="s">
        <v>1407</v>
      </c>
      <c r="C23" s="1079" t="s">
        <v>1361</v>
      </c>
      <c r="D23" s="1474">
        <v>44593</v>
      </c>
      <c r="E23" s="557" t="s">
        <v>355</v>
      </c>
      <c r="F23" s="617">
        <f>220+2</f>
        <v>222</v>
      </c>
      <c r="G23" s="630">
        <f t="shared" si="75"/>
        <v>27</v>
      </c>
      <c r="H23" s="1001">
        <v>22</v>
      </c>
      <c r="I23" s="1408">
        <f t="shared" si="0"/>
        <v>187.84615384615384</v>
      </c>
      <c r="J23" s="618">
        <f t="shared" si="1"/>
        <v>187.84615384615384</v>
      </c>
      <c r="K23" s="1001">
        <v>54</v>
      </c>
      <c r="L23" s="510">
        <f t="shared" si="2"/>
        <v>1.6009615384615383</v>
      </c>
      <c r="M23" s="618">
        <f t="shared" si="3"/>
        <v>86.451923076923066</v>
      </c>
      <c r="N23" s="1001">
        <v>0</v>
      </c>
      <c r="O23" s="510">
        <f t="shared" si="4"/>
        <v>2.1346153846153846</v>
      </c>
      <c r="P23" s="503">
        <f t="shared" si="5"/>
        <v>0</v>
      </c>
      <c r="Q23" s="1001">
        <v>16</v>
      </c>
      <c r="R23" s="510">
        <f t="shared" si="6"/>
        <v>2.1346153846153846</v>
      </c>
      <c r="S23" s="618">
        <f t="shared" si="7"/>
        <v>34.153846153846153</v>
      </c>
      <c r="T23" s="1001">
        <v>5</v>
      </c>
      <c r="U23" s="510">
        <f t="shared" si="8"/>
        <v>8.5384615384615383</v>
      </c>
      <c r="V23" s="618">
        <f t="shared" si="9"/>
        <v>42.692307692307693</v>
      </c>
      <c r="W23" s="1001">
        <v>0</v>
      </c>
      <c r="X23" s="618">
        <f>'QC Salary'!T24*QC!W23</f>
        <v>0</v>
      </c>
      <c r="Y23" s="1001">
        <v>0</v>
      </c>
      <c r="Z23" s="510">
        <f t="shared" si="10"/>
        <v>4.2692307692307692</v>
      </c>
      <c r="AA23" s="618">
        <f t="shared" si="11"/>
        <v>0</v>
      </c>
      <c r="AB23" s="1001">
        <v>0</v>
      </c>
      <c r="AC23" s="1467">
        <f t="shared" si="12"/>
        <v>27</v>
      </c>
      <c r="AD23" s="1724">
        <v>0</v>
      </c>
      <c r="AE23" s="1121">
        <v>0</v>
      </c>
      <c r="AF23" s="1735">
        <v>16.7</v>
      </c>
      <c r="AG23" s="511">
        <v>0</v>
      </c>
      <c r="AH23" s="618">
        <v>10</v>
      </c>
      <c r="AI23" s="618">
        <v>3</v>
      </c>
      <c r="AJ23" s="618">
        <v>10</v>
      </c>
      <c r="AK23" s="618">
        <v>10</v>
      </c>
      <c r="AL23" s="1148">
        <f t="shared" si="13"/>
        <v>427.84423076923071</v>
      </c>
      <c r="AM23" s="1632">
        <v>0</v>
      </c>
      <c r="AN23" s="1018">
        <v>102</v>
      </c>
      <c r="AO23" s="1096">
        <f>'Tax Calulation           '!P23</f>
        <v>0</v>
      </c>
      <c r="AP23" s="1148">
        <f>'Tax Calulation           '!W23</f>
        <v>5.9084194977843429</v>
      </c>
      <c r="AQ23" s="1686">
        <f t="shared" si="14"/>
        <v>319.93581127144637</v>
      </c>
      <c r="AR23" s="1682">
        <f t="shared" si="33"/>
        <v>80500</v>
      </c>
      <c r="AS23" s="1683">
        <f t="shared" ref="AS23:AS24" si="167">CEILING(AQ23,(100))-100</f>
        <v>300</v>
      </c>
      <c r="AT23" s="509"/>
      <c r="AU23" s="504"/>
      <c r="AV23" s="504"/>
      <c r="AW23" s="505"/>
      <c r="AX23" s="502">
        <f t="shared" si="46"/>
        <v>3</v>
      </c>
      <c r="AY23" s="502">
        <f t="shared" si="47"/>
        <v>0</v>
      </c>
      <c r="AZ23" s="1048">
        <f t="shared" ref="AZ23:AZ24" si="168">AX23*100+AY23*50</f>
        <v>300</v>
      </c>
      <c r="BA23" s="1048">
        <f t="shared" si="49"/>
        <v>1</v>
      </c>
      <c r="BB23" s="548">
        <f t="shared" si="50"/>
        <v>3</v>
      </c>
      <c r="BC23" s="548">
        <f t="shared" si="51"/>
        <v>0</v>
      </c>
      <c r="BD23" s="548">
        <f t="shared" si="52"/>
        <v>0</v>
      </c>
      <c r="BE23" s="548">
        <f t="shared" si="53"/>
        <v>1</v>
      </c>
      <c r="BF23" s="548">
        <f t="shared" si="54"/>
        <v>0</v>
      </c>
      <c r="BG23" s="549">
        <f t="shared" ref="BG23:BG24" si="169">BA23*50000+BB23*10000+BC23*5000+BD23*1000+BE23*500+BF23*100</f>
        <v>80500</v>
      </c>
      <c r="BI23" s="628" t="s">
        <v>1370</v>
      </c>
      <c r="BJ23" s="628" t="s">
        <v>572</v>
      </c>
      <c r="BK23" s="1165">
        <v>35347</v>
      </c>
      <c r="BL23" s="786" t="s">
        <v>1371</v>
      </c>
      <c r="BM23" s="795" t="s">
        <v>1372</v>
      </c>
    </row>
    <row r="24" spans="1:65" s="755" customFormat="1" ht="60" customHeight="1">
      <c r="A24" s="1369">
        <v>18</v>
      </c>
      <c r="B24" s="1333" t="s">
        <v>1639</v>
      </c>
      <c r="C24" s="1390" t="s">
        <v>1792</v>
      </c>
      <c r="D24" s="1474">
        <v>41557</v>
      </c>
      <c r="E24" s="557" t="s">
        <v>355</v>
      </c>
      <c r="F24" s="617">
        <f>183+17+12+8+2</f>
        <v>222</v>
      </c>
      <c r="G24" s="630">
        <f t="shared" si="75"/>
        <v>27</v>
      </c>
      <c r="H24" s="1001">
        <v>22</v>
      </c>
      <c r="I24" s="1408">
        <f t="shared" si="0"/>
        <v>187.84615384615384</v>
      </c>
      <c r="J24" s="618">
        <f t="shared" si="1"/>
        <v>187.84615384615384</v>
      </c>
      <c r="K24" s="1001">
        <v>67</v>
      </c>
      <c r="L24" s="510">
        <f t="shared" si="2"/>
        <v>1.6009615384615383</v>
      </c>
      <c r="M24" s="618">
        <f t="shared" si="3"/>
        <v>107.26442307692307</v>
      </c>
      <c r="N24" s="1001">
        <v>0</v>
      </c>
      <c r="O24" s="510">
        <f t="shared" si="4"/>
        <v>2.1346153846153846</v>
      </c>
      <c r="P24" s="503">
        <f t="shared" si="5"/>
        <v>0</v>
      </c>
      <c r="Q24" s="1001">
        <v>24</v>
      </c>
      <c r="R24" s="510">
        <f t="shared" si="6"/>
        <v>2.1346153846153846</v>
      </c>
      <c r="S24" s="618">
        <f t="shared" si="7"/>
        <v>51.230769230769226</v>
      </c>
      <c r="T24" s="1001">
        <v>5</v>
      </c>
      <c r="U24" s="510">
        <f t="shared" si="8"/>
        <v>8.5384615384615383</v>
      </c>
      <c r="V24" s="618">
        <f t="shared" si="9"/>
        <v>42.692307692307693</v>
      </c>
      <c r="W24" s="1001">
        <v>0</v>
      </c>
      <c r="X24" s="618">
        <f>'QC Salary'!T25*QC!W24</f>
        <v>0</v>
      </c>
      <c r="Y24" s="1001">
        <v>0</v>
      </c>
      <c r="Z24" s="510">
        <f t="shared" si="10"/>
        <v>4.2692307692307692</v>
      </c>
      <c r="AA24" s="618">
        <f t="shared" si="11"/>
        <v>0</v>
      </c>
      <c r="AB24" s="1001">
        <v>0</v>
      </c>
      <c r="AC24" s="1467">
        <f t="shared" si="12"/>
        <v>27</v>
      </c>
      <c r="AD24" s="1724">
        <v>0</v>
      </c>
      <c r="AE24" s="1121">
        <v>0</v>
      </c>
      <c r="AF24" s="1801">
        <v>0</v>
      </c>
      <c r="AG24" s="511">
        <v>0</v>
      </c>
      <c r="AH24" s="618">
        <v>10</v>
      </c>
      <c r="AI24" s="618">
        <v>11</v>
      </c>
      <c r="AJ24" s="618">
        <v>10</v>
      </c>
      <c r="AK24" s="618">
        <v>10</v>
      </c>
      <c r="AL24" s="1148">
        <f t="shared" si="13"/>
        <v>457.03365384615381</v>
      </c>
      <c r="AM24" s="1632">
        <v>0.5</v>
      </c>
      <c r="AN24" s="1018">
        <v>102</v>
      </c>
      <c r="AO24" s="1096">
        <f>'Tax Calulation           '!P24</f>
        <v>0</v>
      </c>
      <c r="AP24" s="1148">
        <f>'Tax Calulation           '!W24</f>
        <v>5.9084194977843429</v>
      </c>
      <c r="AQ24" s="1686">
        <f t="shared" si="14"/>
        <v>348.62523434836947</v>
      </c>
      <c r="AR24" s="1682">
        <f t="shared" si="33"/>
        <v>196400</v>
      </c>
      <c r="AS24" s="1683">
        <f t="shared" si="167"/>
        <v>300</v>
      </c>
      <c r="AT24" s="509"/>
      <c r="AU24" s="504"/>
      <c r="AV24" s="504"/>
      <c r="AW24" s="505">
        <f>(J24+M24+P24+S24+V24+AA24+AH24+AI24+AJ24+AK24)*4000</f>
        <v>1720134.6153846153</v>
      </c>
      <c r="AX24" s="502">
        <f t="shared" si="46"/>
        <v>3</v>
      </c>
      <c r="AY24" s="502">
        <f t="shared" si="47"/>
        <v>0</v>
      </c>
      <c r="AZ24" s="1081">
        <f t="shared" si="168"/>
        <v>300</v>
      </c>
      <c r="BA24" s="1081">
        <f t="shared" si="49"/>
        <v>3</v>
      </c>
      <c r="BB24" s="548">
        <f t="shared" si="50"/>
        <v>4</v>
      </c>
      <c r="BC24" s="548">
        <f t="shared" si="51"/>
        <v>1</v>
      </c>
      <c r="BD24" s="548">
        <f t="shared" si="52"/>
        <v>1</v>
      </c>
      <c r="BE24" s="548">
        <f t="shared" si="53"/>
        <v>0</v>
      </c>
      <c r="BF24" s="548">
        <f t="shared" si="54"/>
        <v>4</v>
      </c>
      <c r="BG24" s="549">
        <f t="shared" si="169"/>
        <v>196400</v>
      </c>
      <c r="BI24" s="578" t="s">
        <v>2111</v>
      </c>
      <c r="BJ24" s="578" t="s">
        <v>571</v>
      </c>
      <c r="BK24" s="1163">
        <v>35382</v>
      </c>
      <c r="BL24" s="578" t="s">
        <v>665</v>
      </c>
      <c r="BM24" s="531">
        <v>20926827</v>
      </c>
    </row>
    <row r="25" spans="1:65" s="768" customFormat="1" ht="60" customHeight="1">
      <c r="A25" s="1369">
        <v>19</v>
      </c>
      <c r="B25" s="1328" t="s">
        <v>1595</v>
      </c>
      <c r="C25" s="1103" t="s">
        <v>1318</v>
      </c>
      <c r="D25" s="1473">
        <v>42221</v>
      </c>
      <c r="E25" s="557" t="s">
        <v>355</v>
      </c>
      <c r="F25" s="758">
        <f>183+17+12+8+2</f>
        <v>222</v>
      </c>
      <c r="G25" s="769">
        <f t="shared" si="75"/>
        <v>27</v>
      </c>
      <c r="H25" s="1001">
        <v>20</v>
      </c>
      <c r="I25" s="1408">
        <f t="shared" si="0"/>
        <v>170.76923076923077</v>
      </c>
      <c r="J25" s="618">
        <f t="shared" si="1"/>
        <v>170.76923076923077</v>
      </c>
      <c r="K25" s="1001">
        <v>12</v>
      </c>
      <c r="L25" s="510">
        <f t="shared" si="2"/>
        <v>1.6009615384615383</v>
      </c>
      <c r="M25" s="618">
        <f t="shared" si="3"/>
        <v>19.21153846153846</v>
      </c>
      <c r="N25" s="1001">
        <v>0</v>
      </c>
      <c r="O25" s="510">
        <f t="shared" si="4"/>
        <v>2.1346153846153846</v>
      </c>
      <c r="P25" s="503">
        <f t="shared" si="5"/>
        <v>0</v>
      </c>
      <c r="Q25" s="1001">
        <v>24</v>
      </c>
      <c r="R25" s="510">
        <f t="shared" si="6"/>
        <v>2.1346153846153846</v>
      </c>
      <c r="S25" s="618">
        <f t="shared" si="7"/>
        <v>51.230769230769226</v>
      </c>
      <c r="T25" s="1001">
        <v>6</v>
      </c>
      <c r="U25" s="510">
        <f t="shared" si="8"/>
        <v>8.5384615384615383</v>
      </c>
      <c r="V25" s="618">
        <f t="shared" si="9"/>
        <v>51.230769230769226</v>
      </c>
      <c r="W25" s="1001">
        <v>1</v>
      </c>
      <c r="X25" s="618">
        <f>'QC Salary'!T26*QC!W25</f>
        <v>10.498823741429492</v>
      </c>
      <c r="Y25" s="1001">
        <v>0</v>
      </c>
      <c r="Z25" s="510">
        <f t="shared" si="10"/>
        <v>4.2692307692307692</v>
      </c>
      <c r="AA25" s="618">
        <f t="shared" si="11"/>
        <v>0</v>
      </c>
      <c r="AB25" s="1001">
        <v>0</v>
      </c>
      <c r="AC25" s="1467">
        <f t="shared" si="12"/>
        <v>27</v>
      </c>
      <c r="AD25" s="1724">
        <v>0</v>
      </c>
      <c r="AE25" s="1121">
        <v>0</v>
      </c>
      <c r="AF25" s="1801">
        <v>0</v>
      </c>
      <c r="AG25" s="762">
        <v>0</v>
      </c>
      <c r="AH25" s="618">
        <v>10</v>
      </c>
      <c r="AI25" s="788">
        <v>10</v>
      </c>
      <c r="AJ25" s="618">
        <v>10</v>
      </c>
      <c r="AK25" s="618">
        <v>10</v>
      </c>
      <c r="AL25" s="1148">
        <f t="shared" si="13"/>
        <v>369.94113143373716</v>
      </c>
      <c r="AM25" s="1634">
        <v>0</v>
      </c>
      <c r="AN25" s="1018">
        <v>102</v>
      </c>
      <c r="AO25" s="1096">
        <f>'Tax Calulation           '!P25</f>
        <v>0</v>
      </c>
      <c r="AP25" s="1148">
        <f>'Tax Calulation           '!W25</f>
        <v>5.9084194977843429</v>
      </c>
      <c r="AQ25" s="1686">
        <f t="shared" si="14"/>
        <v>262.03271193595282</v>
      </c>
      <c r="AR25" s="1682">
        <f t="shared" si="33"/>
        <v>250600</v>
      </c>
      <c r="AS25" s="1684">
        <f t="shared" si="45"/>
        <v>200</v>
      </c>
      <c r="AT25" s="759"/>
      <c r="AU25" s="763"/>
      <c r="AV25" s="763"/>
      <c r="AW25" s="764">
        <f>(J25+M25+P25+S25+V25+AA25+AH25+AI25+AJ25+AK25)*4000</f>
        <v>1329769.2307692308</v>
      </c>
      <c r="AX25" s="612">
        <f t="shared" si="46"/>
        <v>2</v>
      </c>
      <c r="AY25" s="612">
        <f t="shared" si="47"/>
        <v>0</v>
      </c>
      <c r="AZ25" s="765">
        <f t="shared" si="48"/>
        <v>200</v>
      </c>
      <c r="BA25" s="765">
        <f t="shared" si="49"/>
        <v>5</v>
      </c>
      <c r="BB25" s="766">
        <f t="shared" si="50"/>
        <v>0</v>
      </c>
      <c r="BC25" s="766">
        <f t="shared" si="51"/>
        <v>0</v>
      </c>
      <c r="BD25" s="766">
        <f t="shared" si="52"/>
        <v>0</v>
      </c>
      <c r="BE25" s="766">
        <f t="shared" si="53"/>
        <v>1</v>
      </c>
      <c r="BF25" s="766">
        <f t="shared" si="54"/>
        <v>1</v>
      </c>
      <c r="BG25" s="767">
        <f t="shared" si="55"/>
        <v>250600</v>
      </c>
      <c r="BI25" s="805" t="s">
        <v>1559</v>
      </c>
      <c r="BJ25" s="628" t="s">
        <v>572</v>
      </c>
      <c r="BK25" s="1166">
        <v>30199</v>
      </c>
      <c r="BL25" s="905" t="s">
        <v>1593</v>
      </c>
      <c r="BM25" s="787">
        <v>120042675</v>
      </c>
    </row>
    <row r="26" spans="1:65" ht="60" customHeight="1">
      <c r="A26" s="535" t="s">
        <v>214</v>
      </c>
      <c r="B26" s="536"/>
      <c r="C26" s="536"/>
      <c r="D26" s="536"/>
      <c r="E26" s="536"/>
      <c r="F26" s="536"/>
      <c r="G26" s="608"/>
      <c r="H26" s="536"/>
      <c r="I26" s="536"/>
      <c r="J26" s="536"/>
      <c r="K26" s="536"/>
      <c r="L26" s="536"/>
      <c r="M26" s="536"/>
      <c r="N26" s="536"/>
      <c r="O26" s="536"/>
      <c r="P26" s="536"/>
      <c r="Q26" s="536"/>
      <c r="R26" s="536"/>
      <c r="S26" s="536"/>
      <c r="T26" s="536"/>
      <c r="U26" s="536"/>
      <c r="V26" s="536"/>
      <c r="W26" s="536"/>
      <c r="X26" s="950">
        <f>SUM(X7:X25)</f>
        <v>60.166515185362513</v>
      </c>
      <c r="Y26" s="536"/>
      <c r="Z26" s="536"/>
      <c r="AA26" s="536"/>
      <c r="AB26" s="536"/>
      <c r="AC26" s="536"/>
      <c r="AD26" s="558">
        <f>SUM(AD7:AD25)</f>
        <v>0</v>
      </c>
      <c r="AE26" s="1121">
        <f>SUM(AE7:AE25)</f>
        <v>0</v>
      </c>
      <c r="AF26" s="1405"/>
      <c r="AG26" s="1290">
        <f>SUM(AG7:AG25)</f>
        <v>20</v>
      </c>
      <c r="AH26" s="536"/>
      <c r="AI26" s="536"/>
      <c r="AJ26" s="558">
        <f t="shared" ref="AJ26:AS26" si="170">SUM(AJ7:AJ25)</f>
        <v>190</v>
      </c>
      <c r="AK26" s="558">
        <f t="shared" si="170"/>
        <v>190</v>
      </c>
      <c r="AL26" s="551">
        <f t="shared" si="170"/>
        <v>8547.9540151853616</v>
      </c>
      <c r="AM26" s="1277">
        <f t="shared" si="170"/>
        <v>4</v>
      </c>
      <c r="AN26" s="809">
        <f t="shared" si="170"/>
        <v>1938</v>
      </c>
      <c r="AO26" s="623">
        <f t="shared" si="170"/>
        <v>7.7781718696738933</v>
      </c>
      <c r="AP26" s="623">
        <f t="shared" si="170"/>
        <v>112.25997045790247</v>
      </c>
      <c r="AQ26" s="623">
        <f t="shared" si="170"/>
        <v>6485.915872857785</v>
      </c>
      <c r="AR26" s="1336">
        <f t="shared" si="170"/>
        <v>3578900</v>
      </c>
      <c r="AS26" s="736">
        <f t="shared" si="170"/>
        <v>5600</v>
      </c>
      <c r="AT26" s="606"/>
      <c r="AU26" s="501"/>
      <c r="AV26" s="501"/>
      <c r="AW26" s="552"/>
      <c r="AX26" s="573">
        <f t="shared" ref="AX26:BG26" si="171">SUM(AX7:AX25)</f>
        <v>56</v>
      </c>
      <c r="AY26" s="573">
        <f t="shared" si="171"/>
        <v>0</v>
      </c>
      <c r="AZ26" s="507">
        <f t="shared" si="171"/>
        <v>5600</v>
      </c>
      <c r="BA26" s="573">
        <f t="shared" si="171"/>
        <v>63</v>
      </c>
      <c r="BB26" s="573">
        <f t="shared" si="171"/>
        <v>34</v>
      </c>
      <c r="BC26" s="573">
        <f t="shared" si="171"/>
        <v>10</v>
      </c>
      <c r="BD26" s="573">
        <f t="shared" si="171"/>
        <v>30</v>
      </c>
      <c r="BE26" s="573">
        <f t="shared" si="171"/>
        <v>10</v>
      </c>
      <c r="BF26" s="573">
        <f t="shared" si="171"/>
        <v>39</v>
      </c>
      <c r="BG26" s="579">
        <f t="shared" si="171"/>
        <v>3578900</v>
      </c>
    </row>
    <row r="27" spans="1:65">
      <c r="A27" s="552"/>
      <c r="B27" s="552"/>
      <c r="C27" s="508"/>
      <c r="D27" s="508"/>
      <c r="E27" s="552"/>
      <c r="F27" s="554"/>
      <c r="G27" s="609"/>
      <c r="H27" s="552"/>
      <c r="I27" s="552"/>
      <c r="J27" s="552"/>
      <c r="K27" s="552"/>
      <c r="L27" s="552"/>
      <c r="M27" s="552"/>
      <c r="N27" s="552"/>
      <c r="O27" s="552"/>
      <c r="P27" s="552"/>
      <c r="Q27" s="552"/>
      <c r="R27" s="552"/>
      <c r="S27" s="552"/>
      <c r="T27" s="552"/>
      <c r="U27" s="552"/>
      <c r="V27" s="552"/>
      <c r="W27" s="552"/>
      <c r="X27" s="552"/>
      <c r="Y27" s="552"/>
      <c r="Z27" s="552"/>
      <c r="AA27" s="552"/>
      <c r="AB27" s="552"/>
      <c r="AC27" s="552"/>
      <c r="AD27" s="552"/>
      <c r="AE27" s="552"/>
      <c r="AF27" s="552"/>
      <c r="AG27" s="552"/>
      <c r="AH27" s="552"/>
      <c r="AI27" s="552"/>
      <c r="AJ27" s="552"/>
      <c r="AK27" s="552"/>
      <c r="AL27" s="552"/>
      <c r="AM27" s="552"/>
      <c r="AN27" s="552"/>
      <c r="AO27" s="552"/>
      <c r="AP27" s="552"/>
      <c r="AQ27" s="552"/>
      <c r="AR27" s="552"/>
      <c r="AS27" s="552"/>
      <c r="AT27" s="552"/>
      <c r="AU27" s="552"/>
      <c r="AV27" s="552"/>
      <c r="AW27" s="552"/>
      <c r="AX27" s="552"/>
      <c r="AY27" s="552"/>
      <c r="AZ27" s="552"/>
      <c r="BA27" s="552"/>
      <c r="BB27" s="552"/>
    </row>
    <row r="28" spans="1:65" s="1355" customFormat="1" ht="27" customHeight="1">
      <c r="A28" s="1355" t="s">
        <v>213</v>
      </c>
      <c r="F28" s="1359"/>
      <c r="L28" s="1355" t="s">
        <v>2168</v>
      </c>
      <c r="AF28" s="1357" t="s">
        <v>445</v>
      </c>
      <c r="AG28" s="1357"/>
      <c r="AS28" s="1355" t="s">
        <v>212</v>
      </c>
    </row>
    <row r="29" spans="1:65">
      <c r="A29" s="552"/>
      <c r="B29" s="552"/>
      <c r="C29" s="508"/>
      <c r="D29" s="508"/>
      <c r="E29" s="552"/>
      <c r="F29" s="554"/>
      <c r="G29" s="609"/>
      <c r="H29" s="552"/>
      <c r="I29" s="552"/>
      <c r="J29" s="552"/>
      <c r="K29" s="552"/>
      <c r="L29" s="552"/>
      <c r="M29" s="552"/>
      <c r="N29" s="552"/>
      <c r="O29" s="552"/>
      <c r="P29" s="552"/>
      <c r="Q29" s="552"/>
      <c r="R29" s="552"/>
      <c r="S29" s="552"/>
      <c r="T29" s="552"/>
      <c r="U29" s="552"/>
      <c r="V29" s="552"/>
      <c r="W29" s="552"/>
      <c r="X29" s="552"/>
      <c r="Y29" s="552"/>
      <c r="Z29" s="552"/>
      <c r="AA29" s="552"/>
      <c r="AB29" s="552"/>
      <c r="AC29" s="552"/>
      <c r="AD29" s="552"/>
      <c r="AE29" s="552"/>
      <c r="AF29" s="552"/>
      <c r="AG29" s="552"/>
      <c r="AH29" s="552"/>
      <c r="AI29" s="552"/>
      <c r="AJ29" s="552"/>
      <c r="AK29" s="552"/>
      <c r="AL29" s="552"/>
      <c r="AM29" s="552"/>
      <c r="AN29" s="552"/>
      <c r="AO29" s="552"/>
      <c r="AP29" s="552"/>
      <c r="AQ29" s="552"/>
      <c r="AR29" s="552"/>
      <c r="AS29" s="552"/>
      <c r="AT29" s="552"/>
      <c r="AU29" s="552"/>
      <c r="AV29" s="552"/>
      <c r="AW29" s="552"/>
      <c r="AX29" s="552"/>
      <c r="AY29" s="552"/>
      <c r="AZ29" s="552"/>
      <c r="BA29" s="552"/>
      <c r="BB29" s="552"/>
    </row>
    <row r="31" spans="1:65" ht="22.5" customHeight="1">
      <c r="AK31" s="555"/>
      <c r="AL31" s="555"/>
      <c r="AM31" s="555"/>
      <c r="AN31" s="555"/>
      <c r="AO31" s="555"/>
      <c r="AP31" s="555"/>
      <c r="AQ31" s="555"/>
      <c r="AR31" s="555"/>
    </row>
    <row r="32" spans="1:65" ht="22.5" customHeight="1">
      <c r="AK32" s="555"/>
      <c r="AL32" s="555"/>
      <c r="AM32" s="555"/>
      <c r="AN32" s="555"/>
      <c r="AO32" s="555"/>
      <c r="AP32" s="555"/>
      <c r="AQ32" s="555"/>
      <c r="AR32" s="555"/>
    </row>
    <row r="33" spans="37:44" ht="22.5" customHeight="1">
      <c r="AK33" s="555"/>
      <c r="AL33" s="555"/>
      <c r="AM33" s="555"/>
      <c r="AN33" s="555"/>
      <c r="AO33" s="555"/>
      <c r="AP33" s="555"/>
      <c r="AQ33" s="555"/>
      <c r="AR33" s="555"/>
    </row>
  </sheetData>
  <sortState ref="A1:AT24">
    <sortCondition ref="B7:B26"/>
  </sortState>
  <mergeCells count="32">
    <mergeCell ref="BM5:BM6"/>
    <mergeCell ref="AH5:AH6"/>
    <mergeCell ref="AI5:AI6"/>
    <mergeCell ref="AT5:AT6"/>
    <mergeCell ref="AX5:AZ5"/>
    <mergeCell ref="BC5:BG5"/>
    <mergeCell ref="AJ5:AJ6"/>
    <mergeCell ref="AK5:AK6"/>
    <mergeCell ref="AL5:AL6"/>
    <mergeCell ref="AM5:AM6"/>
    <mergeCell ref="AO5:AO6"/>
    <mergeCell ref="AQ5:AS5"/>
    <mergeCell ref="AN5:AN6"/>
    <mergeCell ref="AP5:AP6"/>
    <mergeCell ref="BJ5:BJ6"/>
    <mergeCell ref="BK5:BK6"/>
    <mergeCell ref="BL5:BL6"/>
    <mergeCell ref="AB5:AB6"/>
    <mergeCell ref="AD5:AD6"/>
    <mergeCell ref="AF5:AF6"/>
    <mergeCell ref="Y5:AA5"/>
    <mergeCell ref="W5:X5"/>
    <mergeCell ref="A1:AT1"/>
    <mergeCell ref="A2:AT2"/>
    <mergeCell ref="A3:AT3"/>
    <mergeCell ref="AX4:BG4"/>
    <mergeCell ref="C4:F4"/>
    <mergeCell ref="H5:J5"/>
    <mergeCell ref="K5:M5"/>
    <mergeCell ref="N5:P5"/>
    <mergeCell ref="Q5:S5"/>
    <mergeCell ref="T5:V5"/>
  </mergeCells>
  <phoneticPr fontId="171" type="noConversion"/>
  <pageMargins left="0" right="0" top="0" bottom="0" header="0" footer="0"/>
  <pageSetup paperSize="9" scale="36" orientation="landscape" horizontalDpi="4294967293" r:id="rId1"/>
  <colBreaks count="1" manualBreakCount="1">
    <brk id="47" max="1048575" man="1"/>
  </colBreaks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26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H8" sqref="H8"/>
    </sheetView>
  </sheetViews>
  <sheetFormatPr defaultRowHeight="15.75"/>
  <cols>
    <col min="1" max="1" width="4.375" style="474" customWidth="1"/>
    <col min="2" max="2" width="10.5" style="474" customWidth="1"/>
    <col min="3" max="3" width="11.625" style="476" customWidth="1"/>
    <col min="4" max="4" width="9.625" style="475" customWidth="1"/>
    <col min="5" max="5" width="6.375" style="500" customWidth="1"/>
    <col min="6" max="6" width="12.375" style="474" customWidth="1"/>
    <col min="7" max="7" width="9.125" style="474" bestFit="1" customWidth="1"/>
    <col min="8" max="8" width="13.75" style="474" bestFit="1" customWidth="1"/>
    <col min="9" max="10" width="7.375" style="474" customWidth="1"/>
    <col min="11" max="11" width="9" style="474"/>
    <col min="12" max="12" width="10.875" style="474" customWidth="1"/>
    <col min="13" max="13" width="9" style="474"/>
    <col min="14" max="14" width="11.875" style="474" customWidth="1"/>
    <col min="15" max="15" width="12.125" style="474" customWidth="1"/>
    <col min="16" max="16" width="15.125" style="474" customWidth="1"/>
    <col min="17" max="17" width="9" style="474"/>
    <col min="18" max="19" width="14.625" style="474" customWidth="1"/>
    <col min="20" max="20" width="12.25" style="474" customWidth="1"/>
    <col min="21" max="21" width="12" style="474" customWidth="1"/>
    <col min="22" max="23" width="14.625" style="474" customWidth="1"/>
    <col min="24" max="16384" width="9" style="474"/>
  </cols>
  <sheetData>
    <row r="1" spans="1:39" s="479" customFormat="1" ht="29.25" customHeight="1">
      <c r="A1" s="2127" t="s">
        <v>222</v>
      </c>
      <c r="B1" s="2127"/>
      <c r="C1" s="2127"/>
      <c r="D1" s="2127"/>
      <c r="E1" s="2127"/>
      <c r="F1" s="2127"/>
      <c r="G1" s="2127"/>
      <c r="H1" s="2127"/>
      <c r="I1" s="2127"/>
      <c r="J1" s="2127"/>
      <c r="K1" s="2127"/>
      <c r="L1" s="2127"/>
      <c r="M1" s="2127"/>
      <c r="N1" s="2127"/>
      <c r="O1" s="2127"/>
      <c r="P1" s="2127"/>
      <c r="R1" s="2169" t="s">
        <v>222</v>
      </c>
      <c r="S1" s="2169"/>
      <c r="T1" s="2169"/>
      <c r="U1" s="2169"/>
      <c r="V1" s="2169"/>
      <c r="W1" s="2169"/>
    </row>
    <row r="2" spans="1:39" s="479" customFormat="1" ht="20.25" customHeight="1">
      <c r="A2" s="2127" t="s">
        <v>221</v>
      </c>
      <c r="B2" s="2127"/>
      <c r="C2" s="2127"/>
      <c r="D2" s="2127"/>
      <c r="E2" s="2127"/>
      <c r="F2" s="2127"/>
      <c r="G2" s="2127"/>
      <c r="H2" s="2127"/>
      <c r="I2" s="2127"/>
      <c r="J2" s="2127"/>
      <c r="K2" s="2127"/>
      <c r="L2" s="2127"/>
      <c r="M2" s="2127"/>
      <c r="N2" s="2127"/>
      <c r="O2" s="2127"/>
      <c r="P2" s="2127"/>
      <c r="R2" s="2126" t="s">
        <v>1807</v>
      </c>
      <c r="S2" s="2126"/>
      <c r="T2" s="2126"/>
      <c r="U2" s="2126"/>
      <c r="V2" s="2126"/>
      <c r="W2" s="2126"/>
    </row>
    <row r="3" spans="1:39" s="479" customFormat="1" ht="19.5" customHeight="1">
      <c r="A3" s="2126" t="s">
        <v>2354</v>
      </c>
      <c r="B3" s="2126"/>
      <c r="C3" s="2126"/>
      <c r="D3" s="2126"/>
      <c r="E3" s="2126"/>
      <c r="F3" s="2126"/>
      <c r="G3" s="2126"/>
      <c r="H3" s="2126"/>
      <c r="I3" s="2126"/>
      <c r="J3" s="2126"/>
      <c r="K3" s="2126"/>
      <c r="L3" s="2126"/>
      <c r="M3" s="2126"/>
      <c r="N3" s="2126"/>
      <c r="O3" s="2126"/>
      <c r="P3" s="2126"/>
      <c r="R3" s="2126" t="s">
        <v>2353</v>
      </c>
      <c r="S3" s="2126"/>
      <c r="T3" s="2126"/>
      <c r="U3" s="2126"/>
      <c r="V3" s="2126"/>
      <c r="W3" s="2126"/>
    </row>
    <row r="4" spans="1:39" s="479" customFormat="1" ht="20.25" customHeight="1" thickBot="1">
      <c r="A4" s="2128" t="s">
        <v>354</v>
      </c>
      <c r="B4" s="2128"/>
      <c r="C4" s="2128"/>
      <c r="D4" s="2128"/>
      <c r="E4" s="2128"/>
    </row>
    <row r="5" spans="1:39" s="473" customFormat="1" ht="63" customHeight="1" thickTop="1">
      <c r="A5" s="482" t="s">
        <v>223</v>
      </c>
      <c r="B5" s="482" t="s">
        <v>224</v>
      </c>
      <c r="C5" s="482" t="s">
        <v>225</v>
      </c>
      <c r="D5" s="482" t="s">
        <v>226</v>
      </c>
      <c r="E5" s="498" t="s">
        <v>227</v>
      </c>
      <c r="F5" s="482" t="s">
        <v>228</v>
      </c>
      <c r="G5" s="482" t="s">
        <v>229</v>
      </c>
      <c r="H5" s="482" t="s">
        <v>230</v>
      </c>
      <c r="I5" s="482" t="s">
        <v>231</v>
      </c>
      <c r="J5" s="482" t="s">
        <v>232</v>
      </c>
      <c r="K5" s="482" t="s">
        <v>233</v>
      </c>
      <c r="L5" s="482" t="s">
        <v>234</v>
      </c>
      <c r="M5" s="482" t="s">
        <v>235</v>
      </c>
      <c r="N5" s="482" t="s">
        <v>236</v>
      </c>
      <c r="O5" s="482" t="s">
        <v>237</v>
      </c>
      <c r="P5" s="482" t="s">
        <v>238</v>
      </c>
      <c r="Q5" s="483"/>
      <c r="R5" s="1203" t="s">
        <v>1810</v>
      </c>
      <c r="S5" s="1203" t="s">
        <v>1811</v>
      </c>
      <c r="T5" s="498" t="s">
        <v>1812</v>
      </c>
      <c r="U5" s="498" t="s">
        <v>1809</v>
      </c>
      <c r="V5" s="498" t="s">
        <v>1813</v>
      </c>
      <c r="W5" s="498" t="s">
        <v>1814</v>
      </c>
      <c r="X5" s="483"/>
      <c r="Y5" s="483"/>
      <c r="Z5" s="483"/>
      <c r="AA5" s="484"/>
      <c r="AB5" s="484"/>
      <c r="AC5" s="484"/>
      <c r="AD5" s="484"/>
      <c r="AE5" s="484"/>
      <c r="AF5" s="484"/>
      <c r="AG5" s="484"/>
      <c r="AH5" s="484"/>
      <c r="AI5" s="484"/>
      <c r="AJ5" s="484"/>
      <c r="AK5" s="484"/>
      <c r="AL5" s="484"/>
      <c r="AM5" s="484"/>
    </row>
    <row r="6" spans="1:39" s="473" customFormat="1" ht="33" customHeight="1">
      <c r="A6" s="485" t="s">
        <v>111</v>
      </c>
      <c r="B6" s="485" t="s">
        <v>239</v>
      </c>
      <c r="C6" s="485" t="s">
        <v>87</v>
      </c>
      <c r="D6" s="486" t="s">
        <v>240</v>
      </c>
      <c r="E6" s="499" t="s">
        <v>218</v>
      </c>
      <c r="F6" s="492" t="s">
        <v>241</v>
      </c>
      <c r="G6" s="492" t="s">
        <v>242</v>
      </c>
      <c r="H6" s="492" t="s">
        <v>243</v>
      </c>
      <c r="I6" s="492" t="s">
        <v>244</v>
      </c>
      <c r="J6" s="493" t="s">
        <v>245</v>
      </c>
      <c r="K6" s="492" t="s">
        <v>246</v>
      </c>
      <c r="L6" s="493" t="s">
        <v>247</v>
      </c>
      <c r="M6" s="492" t="s">
        <v>248</v>
      </c>
      <c r="N6" s="492"/>
      <c r="O6" s="492" t="s">
        <v>249</v>
      </c>
      <c r="P6" s="492" t="s">
        <v>250</v>
      </c>
      <c r="Q6" s="487"/>
      <c r="R6" s="1154"/>
      <c r="S6" s="1169"/>
      <c r="T6" s="1169"/>
      <c r="U6" s="488">
        <v>4062</v>
      </c>
      <c r="V6" s="1183">
        <v>0.02</v>
      </c>
      <c r="W6" s="488">
        <v>4062</v>
      </c>
      <c r="X6" s="487"/>
      <c r="Y6" s="487"/>
      <c r="Z6" s="487"/>
      <c r="AA6" s="481"/>
      <c r="AB6" s="481"/>
      <c r="AC6" s="481"/>
      <c r="AD6" s="481"/>
      <c r="AE6" s="481"/>
      <c r="AF6" s="481"/>
      <c r="AG6" s="484"/>
      <c r="AH6" s="484"/>
      <c r="AI6" s="484"/>
      <c r="AJ6" s="484"/>
      <c r="AK6" s="484"/>
      <c r="AL6" s="484"/>
      <c r="AM6" s="484"/>
    </row>
    <row r="7" spans="1:39" s="477" customFormat="1" ht="31.5" customHeight="1">
      <c r="A7" s="612">
        <v>1</v>
      </c>
      <c r="B7" s="1571" t="s">
        <v>2023</v>
      </c>
      <c r="C7" s="582" t="s">
        <v>1824</v>
      </c>
      <c r="D7" s="1562">
        <v>41681</v>
      </c>
      <c r="E7" s="513" t="s">
        <v>355</v>
      </c>
      <c r="F7" s="494">
        <f>QC!AL7-QC!AD7-QC!AJ7-QC!AK7-QC!AE7-QC!AG7-W7</f>
        <v>432.72619588683102</v>
      </c>
      <c r="G7" s="495">
        <v>4062</v>
      </c>
      <c r="H7" s="488">
        <f t="shared" ref="H7" si="0">F7*G7</f>
        <v>1757733.8076923075</v>
      </c>
      <c r="I7" s="480"/>
      <c r="J7" s="525">
        <v>3</v>
      </c>
      <c r="K7" s="488">
        <f t="shared" ref="K7" si="1">150000*(J7+I7)</f>
        <v>450000</v>
      </c>
      <c r="L7" s="488">
        <f t="shared" ref="L7" si="2">H7-K7</f>
        <v>1307733.8076923075</v>
      </c>
      <c r="M7" s="489">
        <f t="shared" ref="M7:M25" si="3">IF(L7&gt;=12500000,20%,IF(L7&gt;=8500001,15%,IF(L7&gt;=2000001,10%,IF(L7&gt;=1500001,5%,0%))))</f>
        <v>0</v>
      </c>
      <c r="N7" s="488">
        <f t="shared" ref="N7:N25" si="4">IF(M7=5%,75000,IF(M7=10%,175000,0))</f>
        <v>0</v>
      </c>
      <c r="O7" s="490">
        <f t="shared" ref="O7" si="5">L7*M7-N7</f>
        <v>0</v>
      </c>
      <c r="P7" s="491">
        <f>O7/4062</f>
        <v>0</v>
      </c>
      <c r="R7" s="1186">
        <v>29503</v>
      </c>
      <c r="S7" s="1170">
        <v>44836</v>
      </c>
      <c r="T7" s="1174">
        <f>QC!AL7-QC!AE7</f>
        <v>463.63461538461536</v>
      </c>
      <c r="U7" s="1176">
        <f>T7*4062</f>
        <v>1883283.8076923075</v>
      </c>
      <c r="V7" s="1206">
        <f t="shared" ref="V7:V25" si="6">IF(YEARFRAC(R7,S7)&gt;=60,"0",IF(U7&lt;400000,400000*2%,IF(U7&gt;1200000,1200000*2%,U7*2%)))</f>
        <v>24000</v>
      </c>
      <c r="W7" s="1194">
        <f>V7/4062</f>
        <v>5.9084194977843429</v>
      </c>
    </row>
    <row r="8" spans="1:39" s="477" customFormat="1" ht="31.5" customHeight="1">
      <c r="A8" s="612">
        <v>2</v>
      </c>
      <c r="B8" s="518" t="s">
        <v>2169</v>
      </c>
      <c r="C8" s="578" t="s">
        <v>293</v>
      </c>
      <c r="D8" s="1476">
        <v>42543</v>
      </c>
      <c r="E8" s="513" t="s">
        <v>355</v>
      </c>
      <c r="F8" s="494">
        <f>QC!AL8-QC!AD8-QC!AJ8-QC!AK8-QC!AE8-QC!AG8-W8</f>
        <v>430.72619588683102</v>
      </c>
      <c r="G8" s="495">
        <v>4062</v>
      </c>
      <c r="H8" s="488">
        <f t="shared" ref="H8" si="7">F8*G8</f>
        <v>1749609.8076923075</v>
      </c>
      <c r="I8" s="480"/>
      <c r="J8" s="525">
        <v>0</v>
      </c>
      <c r="K8" s="488">
        <f t="shared" ref="K8" si="8">150000*(J8+I8)</f>
        <v>0</v>
      </c>
      <c r="L8" s="488">
        <f t="shared" ref="L8" si="9">H8-K8</f>
        <v>1749609.8076923075</v>
      </c>
      <c r="M8" s="489">
        <f t="shared" si="3"/>
        <v>0.05</v>
      </c>
      <c r="N8" s="488">
        <f t="shared" si="4"/>
        <v>75000</v>
      </c>
      <c r="O8" s="490">
        <f t="shared" ref="O8" si="10">L8*M8-N8</f>
        <v>12480.490384615376</v>
      </c>
      <c r="P8" s="491">
        <f t="shared" ref="P8:P25" si="11">O8/4062</f>
        <v>3.0724988637654791</v>
      </c>
      <c r="R8" s="1186">
        <v>29955</v>
      </c>
      <c r="S8" s="1170">
        <v>44835</v>
      </c>
      <c r="T8" s="1174">
        <f>QC!AL8-QC!AE8</f>
        <v>456.63461538461536</v>
      </c>
      <c r="U8" s="1176">
        <f t="shared" ref="U8:U25" si="12">T8*4062</f>
        <v>1854849.8076923075</v>
      </c>
      <c r="V8" s="1181">
        <f t="shared" si="6"/>
        <v>24000</v>
      </c>
      <c r="W8" s="1194">
        <f t="shared" ref="W8:W25" si="13">V8/4062</f>
        <v>5.9084194977843429</v>
      </c>
    </row>
    <row r="9" spans="1:39" s="477" customFormat="1" ht="31.5" customHeight="1">
      <c r="A9" s="612">
        <v>3</v>
      </c>
      <c r="B9" s="1328" t="s">
        <v>2199</v>
      </c>
      <c r="C9" s="628" t="s">
        <v>2105</v>
      </c>
      <c r="D9" s="1680">
        <v>42507</v>
      </c>
      <c r="E9" s="513" t="s">
        <v>355</v>
      </c>
      <c r="F9" s="494">
        <f>QC!AL9-QC!AD9-QC!AJ9-QC!AK9-QC!AE9-QC!AG9-W9</f>
        <v>432.83514168190572</v>
      </c>
      <c r="G9" s="495">
        <v>4062</v>
      </c>
      <c r="H9" s="488">
        <f t="shared" ref="H9:H25" si="14">F9*G9</f>
        <v>1758176.345511901</v>
      </c>
      <c r="I9" s="480"/>
      <c r="J9" s="1711">
        <v>3</v>
      </c>
      <c r="K9" s="488">
        <f t="shared" ref="K9:K25" si="15">150000*(J9+I9)</f>
        <v>450000</v>
      </c>
      <c r="L9" s="488">
        <f t="shared" ref="L9:L25" si="16">H9-K9</f>
        <v>1308176.345511901</v>
      </c>
      <c r="M9" s="489">
        <f t="shared" si="3"/>
        <v>0</v>
      </c>
      <c r="N9" s="488">
        <f t="shared" si="4"/>
        <v>0</v>
      </c>
      <c r="O9" s="490">
        <f t="shared" ref="O9:O25" si="17">L9*M9-N9</f>
        <v>0</v>
      </c>
      <c r="P9" s="491">
        <f t="shared" si="11"/>
        <v>0</v>
      </c>
      <c r="R9" s="1627">
        <v>35098</v>
      </c>
      <c r="S9" s="1191">
        <v>44835</v>
      </c>
      <c r="T9" s="1174">
        <f>QC!AL9-QC!AE9</f>
        <v>458.74356117969006</v>
      </c>
      <c r="U9" s="1176">
        <f t="shared" si="12"/>
        <v>1863416.345511901</v>
      </c>
      <c r="V9" s="1206">
        <f t="shared" si="6"/>
        <v>24000</v>
      </c>
      <c r="W9" s="1194">
        <f t="shared" si="13"/>
        <v>5.9084194977843429</v>
      </c>
    </row>
    <row r="10" spans="1:39" s="477" customFormat="1" ht="31.5" customHeight="1">
      <c r="A10" s="612">
        <v>4</v>
      </c>
      <c r="B10" s="572" t="s">
        <v>2200</v>
      </c>
      <c r="C10" s="578" t="s">
        <v>549</v>
      </c>
      <c r="D10" s="1476">
        <v>43845</v>
      </c>
      <c r="E10" s="557" t="s">
        <v>355</v>
      </c>
      <c r="F10" s="494">
        <f>QC!AL10-QC!AD10-QC!AJ10-QC!AK10-QC!AE10-QC!AG10-W10</f>
        <v>426.72619588683102</v>
      </c>
      <c r="G10" s="495">
        <v>4062</v>
      </c>
      <c r="H10" s="488">
        <f t="shared" ref="H10" si="18">F10*G10</f>
        <v>1733361.8076923075</v>
      </c>
      <c r="I10" s="480">
        <v>1</v>
      </c>
      <c r="J10" s="1711">
        <v>1</v>
      </c>
      <c r="K10" s="488">
        <f t="shared" ref="K10" si="19">150000*(J10+I10)</f>
        <v>300000</v>
      </c>
      <c r="L10" s="488">
        <f t="shared" ref="L10" si="20">H10-K10</f>
        <v>1433361.8076923075</v>
      </c>
      <c r="M10" s="489">
        <f t="shared" si="3"/>
        <v>0</v>
      </c>
      <c r="N10" s="488">
        <f t="shared" si="4"/>
        <v>0</v>
      </c>
      <c r="O10" s="490">
        <f t="shared" ref="O10" si="21">L10*M10-N10</f>
        <v>0</v>
      </c>
      <c r="P10" s="491">
        <f t="shared" si="11"/>
        <v>0</v>
      </c>
      <c r="R10" s="1186">
        <v>33730</v>
      </c>
      <c r="S10" s="1170">
        <v>44835</v>
      </c>
      <c r="T10" s="1174">
        <f>QC!AL10-QC!AE10</f>
        <v>452.63461538461536</v>
      </c>
      <c r="U10" s="1176">
        <f t="shared" si="12"/>
        <v>1838601.8076923075</v>
      </c>
      <c r="V10" s="1206">
        <f t="shared" ref="V10" si="22">IF(YEARFRAC(R10,S10)&gt;=60,"0",IF(U10&lt;400000,400000*2%,IF(U10&gt;1200000,1200000*2%,U10*2%)))</f>
        <v>24000</v>
      </c>
      <c r="W10" s="1194">
        <f t="shared" si="13"/>
        <v>5.9084194977843429</v>
      </c>
    </row>
    <row r="11" spans="1:39" s="477" customFormat="1" ht="31.5" customHeight="1">
      <c r="A11" s="612">
        <v>5</v>
      </c>
      <c r="B11" s="572" t="s">
        <v>2024</v>
      </c>
      <c r="C11" s="578" t="s">
        <v>823</v>
      </c>
      <c r="D11" s="1474">
        <v>43299</v>
      </c>
      <c r="E11" s="513" t="s">
        <v>355</v>
      </c>
      <c r="F11" s="494">
        <f>QC!AL11-QC!AD11-QC!AJ11-QC!AK11-QC!AE11-QC!AG11-W11</f>
        <v>428.72619588683102</v>
      </c>
      <c r="G11" s="495">
        <v>4062</v>
      </c>
      <c r="H11" s="488">
        <f t="shared" si="14"/>
        <v>1741485.8076923075</v>
      </c>
      <c r="I11" s="480"/>
      <c r="J11" s="1711">
        <v>2</v>
      </c>
      <c r="K11" s="488">
        <f t="shared" si="15"/>
        <v>300000</v>
      </c>
      <c r="L11" s="488">
        <f t="shared" si="16"/>
        <v>1441485.8076923075</v>
      </c>
      <c r="M11" s="489">
        <f t="shared" si="3"/>
        <v>0</v>
      </c>
      <c r="N11" s="488">
        <f t="shared" si="4"/>
        <v>0</v>
      </c>
      <c r="O11" s="490">
        <f t="shared" si="17"/>
        <v>0</v>
      </c>
      <c r="P11" s="491">
        <f t="shared" si="11"/>
        <v>0</v>
      </c>
      <c r="R11" s="1186">
        <v>30870</v>
      </c>
      <c r="S11" s="1170">
        <v>44835</v>
      </c>
      <c r="T11" s="1174">
        <f>QC!AL11-QC!AE11</f>
        <v>454.63461538461536</v>
      </c>
      <c r="U11" s="1176">
        <f t="shared" si="12"/>
        <v>1846725.8076923075</v>
      </c>
      <c r="V11" s="1206">
        <f t="shared" si="6"/>
        <v>24000</v>
      </c>
      <c r="W11" s="1194">
        <f t="shared" si="13"/>
        <v>5.9084194977843429</v>
      </c>
    </row>
    <row r="12" spans="1:39" s="477" customFormat="1" ht="31.5" customHeight="1">
      <c r="A12" s="612">
        <v>6</v>
      </c>
      <c r="B12" s="518" t="s">
        <v>475</v>
      </c>
      <c r="C12" s="578" t="s">
        <v>318</v>
      </c>
      <c r="D12" s="1474">
        <v>42006</v>
      </c>
      <c r="E12" s="513" t="s">
        <v>355</v>
      </c>
      <c r="F12" s="494">
        <f>QC!AL12-QC!AD12-QC!AJ12-QC!AK12-QC!AE12-QC!AG12-W12</f>
        <v>422.1204266560618</v>
      </c>
      <c r="G12" s="495">
        <v>4062</v>
      </c>
      <c r="H12" s="488">
        <f t="shared" si="14"/>
        <v>1714653.173076923</v>
      </c>
      <c r="I12" s="480">
        <v>1</v>
      </c>
      <c r="J12" s="525">
        <v>2</v>
      </c>
      <c r="K12" s="488">
        <f t="shared" si="15"/>
        <v>450000</v>
      </c>
      <c r="L12" s="488">
        <f t="shared" si="16"/>
        <v>1264653.173076923</v>
      </c>
      <c r="M12" s="489">
        <f t="shared" si="3"/>
        <v>0</v>
      </c>
      <c r="N12" s="488">
        <f t="shared" si="4"/>
        <v>0</v>
      </c>
      <c r="O12" s="490">
        <f t="shared" si="17"/>
        <v>0</v>
      </c>
      <c r="P12" s="491">
        <f t="shared" si="11"/>
        <v>0</v>
      </c>
      <c r="R12" s="1186">
        <v>30001</v>
      </c>
      <c r="S12" s="1170">
        <v>44835</v>
      </c>
      <c r="T12" s="1174">
        <f>QC!AL12-QC!AE12</f>
        <v>448.02884615384613</v>
      </c>
      <c r="U12" s="1176">
        <f t="shared" si="12"/>
        <v>1819893.173076923</v>
      </c>
      <c r="V12" s="1206">
        <f t="shared" si="6"/>
        <v>24000</v>
      </c>
      <c r="W12" s="1194">
        <f t="shared" si="13"/>
        <v>5.9084194977843429</v>
      </c>
    </row>
    <row r="13" spans="1:39" s="477" customFormat="1" ht="31.5" customHeight="1">
      <c r="A13" s="612">
        <v>7</v>
      </c>
      <c r="B13" s="1381" t="s">
        <v>2025</v>
      </c>
      <c r="C13" s="1384" t="s">
        <v>1984</v>
      </c>
      <c r="D13" s="1474">
        <v>45119</v>
      </c>
      <c r="E13" s="513" t="s">
        <v>355</v>
      </c>
      <c r="F13" s="494">
        <f>QC!AL13-QC!AD13-QC!AJ13-QC!AK13-QC!AE13-QC!AG13-W13</f>
        <v>423.72619588683102</v>
      </c>
      <c r="G13" s="495">
        <v>4062</v>
      </c>
      <c r="H13" s="488">
        <f t="shared" ref="H13" si="23">F13*G13</f>
        <v>1721175.8076923075</v>
      </c>
      <c r="I13" s="480">
        <v>0</v>
      </c>
      <c r="J13" s="525">
        <v>2</v>
      </c>
      <c r="K13" s="488">
        <f t="shared" ref="K13" si="24">150000*(J13+I13)</f>
        <v>300000</v>
      </c>
      <c r="L13" s="488">
        <f t="shared" ref="L13" si="25">H13-K13</f>
        <v>1421175.8076923075</v>
      </c>
      <c r="M13" s="489">
        <f t="shared" si="3"/>
        <v>0</v>
      </c>
      <c r="N13" s="488">
        <f t="shared" si="4"/>
        <v>0</v>
      </c>
      <c r="O13" s="490">
        <f t="shared" ref="O13" si="26">L13*M13-N13</f>
        <v>0</v>
      </c>
      <c r="P13" s="491">
        <f t="shared" si="11"/>
        <v>0</v>
      </c>
      <c r="R13" s="1558">
        <v>32210</v>
      </c>
      <c r="S13" s="1170">
        <v>44836</v>
      </c>
      <c r="T13" s="1174">
        <f>QC!AL13-QC!AE13</f>
        <v>454.63461538461536</v>
      </c>
      <c r="U13" s="1176">
        <f t="shared" si="12"/>
        <v>1846725.8076923075</v>
      </c>
      <c r="V13" s="1206">
        <f t="shared" si="6"/>
        <v>24000</v>
      </c>
      <c r="W13" s="1194">
        <f t="shared" si="13"/>
        <v>5.9084194977843429</v>
      </c>
    </row>
    <row r="14" spans="1:39" s="477" customFormat="1" ht="31.5" customHeight="1">
      <c r="A14" s="612">
        <v>8</v>
      </c>
      <c r="B14" s="688" t="s">
        <v>2189</v>
      </c>
      <c r="C14" s="1103" t="s">
        <v>1488</v>
      </c>
      <c r="D14" s="1477">
        <v>44635</v>
      </c>
      <c r="E14" s="557" t="s">
        <v>355</v>
      </c>
      <c r="F14" s="494">
        <f>QC!AL14-QC!AD14-QC!AJ14-QC!AK14-QC!AE14-QC!AG14-W14</f>
        <v>420.12523434836947</v>
      </c>
      <c r="G14" s="495">
        <v>4062</v>
      </c>
      <c r="H14" s="488">
        <f t="shared" ref="H14" si="27">F14*G14</f>
        <v>1706548.7019230768</v>
      </c>
      <c r="I14" s="480">
        <v>0</v>
      </c>
      <c r="J14" s="525">
        <v>2</v>
      </c>
      <c r="K14" s="488">
        <f t="shared" ref="K14" si="28">150000*(J14+I14)</f>
        <v>300000</v>
      </c>
      <c r="L14" s="488">
        <f t="shared" ref="L14" si="29">H14-K14</f>
        <v>1406548.7019230768</v>
      </c>
      <c r="M14" s="489">
        <f t="shared" si="3"/>
        <v>0</v>
      </c>
      <c r="N14" s="488">
        <f t="shared" si="4"/>
        <v>0</v>
      </c>
      <c r="O14" s="490">
        <f t="shared" ref="O14" si="30">L14*M14-N14</f>
        <v>0</v>
      </c>
      <c r="P14" s="491">
        <f t="shared" si="11"/>
        <v>0</v>
      </c>
      <c r="R14" s="1186">
        <v>37691</v>
      </c>
      <c r="S14" s="1170">
        <v>44835</v>
      </c>
      <c r="T14" s="1174">
        <f>QC!AL14-QC!AE14</f>
        <v>446.03365384615381</v>
      </c>
      <c r="U14" s="1176">
        <f t="shared" si="12"/>
        <v>1811788.7019230768</v>
      </c>
      <c r="V14" s="1206">
        <f t="shared" ref="V14" si="31">IF(YEARFRAC(R14,S14)&gt;=60,"0",IF(U14&lt;400000,400000*2%,IF(U14&gt;1200000,1200000*2%,U14*2%)))</f>
        <v>24000</v>
      </c>
      <c r="W14" s="1194">
        <f t="shared" si="13"/>
        <v>5.9084194977843429</v>
      </c>
    </row>
    <row r="15" spans="1:39" s="477" customFormat="1" ht="31.5" customHeight="1">
      <c r="A15" s="612">
        <v>9</v>
      </c>
      <c r="B15" s="518" t="s">
        <v>538</v>
      </c>
      <c r="C15" s="578" t="s">
        <v>539</v>
      </c>
      <c r="D15" s="1474">
        <v>41730</v>
      </c>
      <c r="E15" s="513" t="s">
        <v>355</v>
      </c>
      <c r="F15" s="494">
        <f>QC!AL15-QC!AD15-QC!AJ15-QC!AK15-QC!AE15-QC!AG15-W15</f>
        <v>421.94254204067715</v>
      </c>
      <c r="G15" s="495">
        <v>4062</v>
      </c>
      <c r="H15" s="488">
        <f t="shared" si="14"/>
        <v>1713930.6057692305</v>
      </c>
      <c r="I15" s="480">
        <v>0</v>
      </c>
      <c r="J15" s="525">
        <v>1</v>
      </c>
      <c r="K15" s="488">
        <f t="shared" si="15"/>
        <v>150000</v>
      </c>
      <c r="L15" s="488">
        <f t="shared" si="16"/>
        <v>1563930.6057692305</v>
      </c>
      <c r="M15" s="489">
        <f t="shared" si="3"/>
        <v>0.05</v>
      </c>
      <c r="N15" s="488">
        <f t="shared" si="4"/>
        <v>75000</v>
      </c>
      <c r="O15" s="490">
        <f t="shared" si="17"/>
        <v>3196.530288461523</v>
      </c>
      <c r="P15" s="491">
        <f t="shared" si="11"/>
        <v>0.78693507840017796</v>
      </c>
      <c r="R15" s="1186">
        <v>34803</v>
      </c>
      <c r="S15" s="1170">
        <v>44835</v>
      </c>
      <c r="T15" s="1174">
        <f>QC!AL15-QC!AE15</f>
        <v>447.85096153846149</v>
      </c>
      <c r="U15" s="1176">
        <f t="shared" si="12"/>
        <v>1819170.6057692305</v>
      </c>
      <c r="V15" s="1206">
        <f t="shared" si="6"/>
        <v>24000</v>
      </c>
      <c r="W15" s="1194">
        <f t="shared" si="13"/>
        <v>5.9084194977843429</v>
      </c>
    </row>
    <row r="16" spans="1:39" s="477" customFormat="1" ht="31.5" customHeight="1">
      <c r="A16" s="612">
        <v>10</v>
      </c>
      <c r="B16" s="518" t="s">
        <v>1028</v>
      </c>
      <c r="C16" s="581" t="s">
        <v>1029</v>
      </c>
      <c r="D16" s="1474">
        <v>44543</v>
      </c>
      <c r="E16" s="557" t="s">
        <v>355</v>
      </c>
      <c r="F16" s="494">
        <f>QC!AL16-QC!AD16-QC!AJ16-QC!AK16-QC!AE16-QC!AG16-W16</f>
        <v>435.22138819452334</v>
      </c>
      <c r="G16" s="495">
        <v>4062</v>
      </c>
      <c r="H16" s="488">
        <f t="shared" si="14"/>
        <v>1767869.2788461538</v>
      </c>
      <c r="I16" s="480"/>
      <c r="J16" s="525">
        <v>1</v>
      </c>
      <c r="K16" s="488">
        <f t="shared" si="15"/>
        <v>150000</v>
      </c>
      <c r="L16" s="488">
        <f t="shared" si="16"/>
        <v>1617869.2788461538</v>
      </c>
      <c r="M16" s="489">
        <f t="shared" si="3"/>
        <v>0.05</v>
      </c>
      <c r="N16" s="488">
        <f t="shared" si="4"/>
        <v>75000</v>
      </c>
      <c r="O16" s="490">
        <f t="shared" si="17"/>
        <v>5893.4639423076878</v>
      </c>
      <c r="P16" s="491">
        <f t="shared" si="11"/>
        <v>1.4508773860924884</v>
      </c>
      <c r="R16" s="1212">
        <v>33979</v>
      </c>
      <c r="S16" s="1170">
        <v>44835</v>
      </c>
      <c r="T16" s="1174">
        <f>QC!AL16-QC!AE16</f>
        <v>461.12980769230768</v>
      </c>
      <c r="U16" s="1176">
        <f t="shared" si="12"/>
        <v>1873109.2788461538</v>
      </c>
      <c r="V16" s="1206">
        <f t="shared" si="6"/>
        <v>24000</v>
      </c>
      <c r="W16" s="1194">
        <f t="shared" si="13"/>
        <v>5.9084194977843429</v>
      </c>
    </row>
    <row r="17" spans="1:23" s="477" customFormat="1" ht="31.5" customHeight="1">
      <c r="A17" s="612">
        <v>11</v>
      </c>
      <c r="B17" s="518" t="s">
        <v>2026</v>
      </c>
      <c r="C17" s="581" t="s">
        <v>443</v>
      </c>
      <c r="D17" s="1474">
        <v>42128</v>
      </c>
      <c r="E17" s="557" t="s">
        <v>355</v>
      </c>
      <c r="F17" s="494">
        <f>QC!AL17-QC!AD17-QC!AJ17-QC!AK17-QC!AE17-QC!AG17-W17</f>
        <v>423.5435035791387</v>
      </c>
      <c r="G17" s="495">
        <v>4062</v>
      </c>
      <c r="H17" s="488">
        <f t="shared" si="14"/>
        <v>1720433.7115384615</v>
      </c>
      <c r="I17" s="480"/>
      <c r="J17" s="525">
        <v>1</v>
      </c>
      <c r="K17" s="488">
        <f t="shared" si="15"/>
        <v>150000</v>
      </c>
      <c r="L17" s="488">
        <f t="shared" si="16"/>
        <v>1570433.7115384615</v>
      </c>
      <c r="M17" s="489">
        <f t="shared" si="3"/>
        <v>0.05</v>
      </c>
      <c r="N17" s="488">
        <f t="shared" si="4"/>
        <v>75000</v>
      </c>
      <c r="O17" s="490">
        <f t="shared" si="17"/>
        <v>3521.6855769230751</v>
      </c>
      <c r="P17" s="491">
        <f t="shared" si="11"/>
        <v>0.86698315532325831</v>
      </c>
      <c r="R17" s="1186">
        <v>35688</v>
      </c>
      <c r="S17" s="1170">
        <v>44835</v>
      </c>
      <c r="T17" s="1174">
        <f>QC!AL17-QC!AE17</f>
        <v>449.45192307692304</v>
      </c>
      <c r="U17" s="1176">
        <f t="shared" si="12"/>
        <v>1825673.7115384613</v>
      </c>
      <c r="V17" s="1206">
        <f t="shared" si="6"/>
        <v>24000</v>
      </c>
      <c r="W17" s="1194">
        <f t="shared" si="13"/>
        <v>5.9084194977843429</v>
      </c>
    </row>
    <row r="18" spans="1:23" s="477" customFormat="1" ht="31.5" customHeight="1">
      <c r="A18" s="612">
        <v>12</v>
      </c>
      <c r="B18" s="1570" t="s">
        <v>2027</v>
      </c>
      <c r="C18" s="625" t="s">
        <v>1894</v>
      </c>
      <c r="D18" s="1473">
        <v>42523</v>
      </c>
      <c r="E18" s="557" t="s">
        <v>355</v>
      </c>
      <c r="F18" s="494">
        <f>QC!AL18-QC!AD18-QC!AJ18-QC!AK18-QC!AE18-QC!AG18-W18</f>
        <v>439.52042665606177</v>
      </c>
      <c r="G18" s="495">
        <v>4062</v>
      </c>
      <c r="H18" s="488">
        <f t="shared" ref="H18" si="32">F18*G18</f>
        <v>1785331.9730769228</v>
      </c>
      <c r="I18" s="480"/>
      <c r="J18" s="525">
        <v>2</v>
      </c>
      <c r="K18" s="488">
        <f t="shared" ref="K18" si="33">150000*(J18+I18)</f>
        <v>300000</v>
      </c>
      <c r="L18" s="488">
        <f t="shared" ref="L18" si="34">H18-K18</f>
        <v>1485331.9730769228</v>
      </c>
      <c r="M18" s="489">
        <f t="shared" si="3"/>
        <v>0</v>
      </c>
      <c r="N18" s="488">
        <f t="shared" si="4"/>
        <v>0</v>
      </c>
      <c r="O18" s="490">
        <f t="shared" ref="O18" si="35">L18*M18-N18</f>
        <v>0</v>
      </c>
      <c r="P18" s="491">
        <f t="shared" si="11"/>
        <v>0</v>
      </c>
      <c r="R18" s="1212">
        <v>35620</v>
      </c>
      <c r="S18" s="1170">
        <v>44835</v>
      </c>
      <c r="T18" s="1174">
        <f>QC!AL18-QC!AE18</f>
        <v>470.42884615384611</v>
      </c>
      <c r="U18" s="1176">
        <f t="shared" si="12"/>
        <v>1910881.9730769228</v>
      </c>
      <c r="V18" s="1206">
        <f t="shared" si="6"/>
        <v>24000</v>
      </c>
      <c r="W18" s="1194">
        <f t="shared" si="13"/>
        <v>5.9084194977843429</v>
      </c>
    </row>
    <row r="19" spans="1:23" s="477" customFormat="1" ht="31.5" customHeight="1">
      <c r="A19" s="612">
        <v>13</v>
      </c>
      <c r="B19" s="518" t="s">
        <v>473</v>
      </c>
      <c r="C19" s="581" t="s">
        <v>412</v>
      </c>
      <c r="D19" s="1474">
        <v>42829</v>
      </c>
      <c r="E19" s="513" t="s">
        <v>355</v>
      </c>
      <c r="F19" s="494">
        <f>QC!AL19-QC!AD19-QC!AJ19-QC!AK19-QC!AE19-QC!AG19-W19</f>
        <v>431.19901926937644</v>
      </c>
      <c r="G19" s="495">
        <v>4062</v>
      </c>
      <c r="H19" s="488">
        <f t="shared" si="14"/>
        <v>1751530.4162722072</v>
      </c>
      <c r="I19" s="480">
        <v>1</v>
      </c>
      <c r="J19" s="525">
        <v>1</v>
      </c>
      <c r="K19" s="488">
        <f t="shared" si="15"/>
        <v>300000</v>
      </c>
      <c r="L19" s="488">
        <f t="shared" si="16"/>
        <v>1451530.4162722072</v>
      </c>
      <c r="M19" s="489">
        <f t="shared" si="3"/>
        <v>0</v>
      </c>
      <c r="N19" s="488">
        <f t="shared" si="4"/>
        <v>0</v>
      </c>
      <c r="O19" s="490">
        <f t="shared" si="17"/>
        <v>0</v>
      </c>
      <c r="P19" s="491">
        <f t="shared" si="11"/>
        <v>0</v>
      </c>
      <c r="R19" s="1186">
        <v>35043</v>
      </c>
      <c r="S19" s="1170">
        <v>44835</v>
      </c>
      <c r="T19" s="1174">
        <f>QC!AL19-QC!AE19</f>
        <v>457.10743876716077</v>
      </c>
      <c r="U19" s="1176">
        <f t="shared" si="12"/>
        <v>1856770.4162722072</v>
      </c>
      <c r="V19" s="1206">
        <f t="shared" si="6"/>
        <v>24000</v>
      </c>
      <c r="W19" s="1194">
        <f t="shared" si="13"/>
        <v>5.9084194977843429</v>
      </c>
    </row>
    <row r="20" spans="1:23" s="477" customFormat="1" ht="31.5" customHeight="1">
      <c r="A20" s="612">
        <v>14</v>
      </c>
      <c r="B20" s="518" t="s">
        <v>924</v>
      </c>
      <c r="C20" s="581" t="s">
        <v>413</v>
      </c>
      <c r="D20" s="1474">
        <v>42845</v>
      </c>
      <c r="E20" s="513" t="s">
        <v>355</v>
      </c>
      <c r="F20" s="494">
        <f>QC!AL20-QC!AD20-QC!AJ20-QC!AK20-QC!AE20-QC!AG20-W20</f>
        <v>438.6204266560618</v>
      </c>
      <c r="G20" s="495">
        <v>4062</v>
      </c>
      <c r="H20" s="488">
        <f t="shared" si="14"/>
        <v>1781676.173076923</v>
      </c>
      <c r="I20" s="480">
        <v>1</v>
      </c>
      <c r="J20" s="525">
        <v>1</v>
      </c>
      <c r="K20" s="488">
        <f t="shared" si="15"/>
        <v>300000</v>
      </c>
      <c r="L20" s="488">
        <f t="shared" si="16"/>
        <v>1481676.173076923</v>
      </c>
      <c r="M20" s="489">
        <f t="shared" si="3"/>
        <v>0</v>
      </c>
      <c r="N20" s="488">
        <f t="shared" si="4"/>
        <v>0</v>
      </c>
      <c r="O20" s="490">
        <f t="shared" si="17"/>
        <v>0</v>
      </c>
      <c r="P20" s="491">
        <f t="shared" si="11"/>
        <v>0</v>
      </c>
      <c r="R20" s="1186">
        <v>33862</v>
      </c>
      <c r="S20" s="1170">
        <v>44835</v>
      </c>
      <c r="T20" s="1174">
        <f>QC!AL20-QC!AE20</f>
        <v>464.52884615384613</v>
      </c>
      <c r="U20" s="1176">
        <f t="shared" si="12"/>
        <v>1886916.173076923</v>
      </c>
      <c r="V20" s="1206">
        <f t="shared" si="6"/>
        <v>24000</v>
      </c>
      <c r="W20" s="1194">
        <f t="shared" si="13"/>
        <v>5.9084194977843429</v>
      </c>
    </row>
    <row r="21" spans="1:23" s="477" customFormat="1" ht="31.5" customHeight="1">
      <c r="A21" s="612">
        <v>15</v>
      </c>
      <c r="B21" s="1333" t="s">
        <v>2383</v>
      </c>
      <c r="C21" s="581" t="s">
        <v>2384</v>
      </c>
      <c r="D21" s="1476">
        <v>42980</v>
      </c>
      <c r="E21" s="557" t="s">
        <v>355</v>
      </c>
      <c r="F21" s="494">
        <f>QC!AL21-QC!AD21-QC!AJ21-QC!AK21-QC!AE21-QC!AG21-W21</f>
        <v>412.61981046083622</v>
      </c>
      <c r="G21" s="495">
        <v>4062</v>
      </c>
      <c r="H21" s="488">
        <f t="shared" ref="H21" si="36">F21*G21</f>
        <v>1676061.6700919168</v>
      </c>
      <c r="I21" s="480">
        <v>0</v>
      </c>
      <c r="J21" s="525">
        <v>2</v>
      </c>
      <c r="K21" s="488">
        <f t="shared" ref="K21" si="37">150000*(J21+I21)</f>
        <v>300000</v>
      </c>
      <c r="L21" s="488">
        <f t="shared" ref="L21" si="38">H21-K21</f>
        <v>1376061.6700919168</v>
      </c>
      <c r="M21" s="489">
        <f t="shared" ref="M21" si="39">IF(L21&gt;=12500000,20%,IF(L21&gt;=8500001,15%,IF(L21&gt;=2000001,10%,IF(L21&gt;=1500001,5%,0%))))</f>
        <v>0</v>
      </c>
      <c r="N21" s="488">
        <f t="shared" si="4"/>
        <v>0</v>
      </c>
      <c r="O21" s="490">
        <f t="shared" ref="O21" si="40">L21*M21-N21</f>
        <v>0</v>
      </c>
      <c r="P21" s="491">
        <f t="shared" si="11"/>
        <v>0</v>
      </c>
      <c r="R21" s="1186">
        <v>36063</v>
      </c>
      <c r="S21" s="1170">
        <v>44835</v>
      </c>
      <c r="T21" s="1174">
        <f>QC!AL21-QC!AE21</f>
        <v>438.52822995862056</v>
      </c>
      <c r="U21" s="1176">
        <f t="shared" si="12"/>
        <v>1781301.6700919168</v>
      </c>
      <c r="V21" s="1206">
        <f t="shared" ref="V21" si="41">IF(YEARFRAC(R21,S21)&gt;=60,"0",IF(U21&lt;400000,400000*2%,IF(U21&gt;1200000,1200000*2%,U21*2%)))</f>
        <v>24000</v>
      </c>
      <c r="W21" s="1194">
        <f t="shared" si="13"/>
        <v>5.9084194977843429</v>
      </c>
    </row>
    <row r="22" spans="1:23" s="477" customFormat="1" ht="31.5" customHeight="1">
      <c r="A22" s="612">
        <v>16</v>
      </c>
      <c r="B22" s="518" t="s">
        <v>2305</v>
      </c>
      <c r="C22" s="578" t="s">
        <v>1830</v>
      </c>
      <c r="D22" s="1474">
        <v>43626</v>
      </c>
      <c r="E22" s="557" t="s">
        <v>355</v>
      </c>
      <c r="F22" s="494">
        <f>QC!AL22-QC!AD22-QC!AJ22-QC!AK22-QC!AE22-QC!AG22-W22</f>
        <v>438.22138819452334</v>
      </c>
      <c r="G22" s="495">
        <v>4062</v>
      </c>
      <c r="H22" s="488">
        <f t="shared" ref="H22" si="42">F22*G22</f>
        <v>1780055.2788461538</v>
      </c>
      <c r="I22" s="480">
        <v>0</v>
      </c>
      <c r="J22" s="525">
        <v>1</v>
      </c>
      <c r="K22" s="488">
        <f t="shared" ref="K22" si="43">150000*(J22+I22)</f>
        <v>150000</v>
      </c>
      <c r="L22" s="488">
        <f t="shared" ref="L22" si="44">H22-K22</f>
        <v>1630055.2788461538</v>
      </c>
      <c r="M22" s="489">
        <f t="shared" ref="M22" si="45">IF(L22&gt;=12500000,20%,IF(L22&gt;=8500001,15%,IF(L22&gt;=2000001,10%,IF(L22&gt;=1500001,5%,0%))))</f>
        <v>0.05</v>
      </c>
      <c r="N22" s="488">
        <f t="shared" si="4"/>
        <v>75000</v>
      </c>
      <c r="O22" s="490">
        <f t="shared" ref="O22" si="46">L22*M22-N22</f>
        <v>6502.7639423076907</v>
      </c>
      <c r="P22" s="491">
        <f t="shared" si="11"/>
        <v>1.6008773860924892</v>
      </c>
      <c r="R22" s="1186">
        <v>36207</v>
      </c>
      <c r="S22" s="1170">
        <v>44835</v>
      </c>
      <c r="T22" s="1174">
        <f>QC!AL22-QC!AE22</f>
        <v>469.12980769230768</v>
      </c>
      <c r="U22" s="1176">
        <f t="shared" si="12"/>
        <v>1905605.2788461538</v>
      </c>
      <c r="V22" s="1206">
        <f t="shared" ref="V22" si="47">IF(YEARFRAC(R22,S22)&gt;=60,"0",IF(U22&lt;400000,400000*2%,IF(U22&gt;1200000,1200000*2%,U22*2%)))</f>
        <v>24000</v>
      </c>
      <c r="W22" s="1194">
        <f t="shared" si="13"/>
        <v>5.9084194977843429</v>
      </c>
    </row>
    <row r="23" spans="1:23" s="477" customFormat="1" ht="31.5" customHeight="1">
      <c r="A23" s="612">
        <v>17</v>
      </c>
      <c r="B23" s="572" t="s">
        <v>2028</v>
      </c>
      <c r="C23" s="956" t="s">
        <v>1361</v>
      </c>
      <c r="D23" s="1474">
        <v>44593</v>
      </c>
      <c r="E23" s="513" t="s">
        <v>355</v>
      </c>
      <c r="F23" s="494">
        <f>QC!AL23-QC!AD23-QC!AJ23-QC!AK23-QC!AE23-QC!AG23-W23</f>
        <v>401.93581127144637</v>
      </c>
      <c r="G23" s="495">
        <v>4062</v>
      </c>
      <c r="H23" s="488">
        <f t="shared" si="14"/>
        <v>1632663.2653846152</v>
      </c>
      <c r="I23" s="480">
        <v>0</v>
      </c>
      <c r="J23" s="525">
        <v>2</v>
      </c>
      <c r="K23" s="488">
        <f t="shared" si="15"/>
        <v>300000</v>
      </c>
      <c r="L23" s="488">
        <f t="shared" si="16"/>
        <v>1332663.2653846152</v>
      </c>
      <c r="M23" s="489">
        <f t="shared" si="3"/>
        <v>0</v>
      </c>
      <c r="N23" s="488">
        <f t="shared" si="4"/>
        <v>0</v>
      </c>
      <c r="O23" s="490">
        <f t="shared" si="17"/>
        <v>0</v>
      </c>
      <c r="P23" s="491">
        <f t="shared" si="11"/>
        <v>0</v>
      </c>
      <c r="R23" s="1212">
        <v>35347</v>
      </c>
      <c r="S23" s="1170">
        <v>44835</v>
      </c>
      <c r="T23" s="1174">
        <f>QC!AL23-QC!AE23</f>
        <v>427.84423076923071</v>
      </c>
      <c r="U23" s="1176">
        <f t="shared" si="12"/>
        <v>1737903.2653846152</v>
      </c>
      <c r="V23" s="1206">
        <f t="shared" si="6"/>
        <v>24000</v>
      </c>
      <c r="W23" s="1194">
        <f t="shared" si="13"/>
        <v>5.9084194977843429</v>
      </c>
    </row>
    <row r="24" spans="1:23" s="477" customFormat="1" ht="31.5" customHeight="1">
      <c r="A24" s="612">
        <v>18</v>
      </c>
      <c r="B24" s="518" t="s">
        <v>474</v>
      </c>
      <c r="C24" s="578" t="s">
        <v>513</v>
      </c>
      <c r="D24" s="1474">
        <v>41557</v>
      </c>
      <c r="E24" s="513" t="s">
        <v>355</v>
      </c>
      <c r="F24" s="494">
        <f>QC!AL24-QC!AD24-QC!AJ24-QC!AK24-QC!AE24-QC!AG24-W24</f>
        <v>431.12523434836947</v>
      </c>
      <c r="G24" s="495">
        <v>4062</v>
      </c>
      <c r="H24" s="488">
        <f t="shared" ref="H24" si="48">F24*G24</f>
        <v>1751230.7019230768</v>
      </c>
      <c r="I24" s="480">
        <v>1</v>
      </c>
      <c r="J24" s="525">
        <v>1</v>
      </c>
      <c r="K24" s="488">
        <f t="shared" ref="K24" si="49">150000*(J24+I24)</f>
        <v>300000</v>
      </c>
      <c r="L24" s="488">
        <f t="shared" ref="L24" si="50">H24-K24</f>
        <v>1451230.7019230768</v>
      </c>
      <c r="M24" s="489">
        <f t="shared" si="3"/>
        <v>0</v>
      </c>
      <c r="N24" s="488">
        <f t="shared" si="4"/>
        <v>0</v>
      </c>
      <c r="O24" s="490">
        <f t="shared" ref="O24" si="51">L24*M24-N24</f>
        <v>0</v>
      </c>
      <c r="P24" s="491">
        <f t="shared" si="11"/>
        <v>0</v>
      </c>
      <c r="R24" s="1186">
        <v>35382</v>
      </c>
      <c r="S24" s="1170">
        <v>44835</v>
      </c>
      <c r="T24" s="1174">
        <f>QC!AL24-QC!AE24</f>
        <v>457.03365384615381</v>
      </c>
      <c r="U24" s="1176">
        <f t="shared" si="12"/>
        <v>1856470.7019230768</v>
      </c>
      <c r="V24" s="1206">
        <f t="shared" si="6"/>
        <v>24000</v>
      </c>
      <c r="W24" s="1194">
        <f t="shared" si="13"/>
        <v>5.9084194977843429</v>
      </c>
    </row>
    <row r="25" spans="1:23" s="477" customFormat="1" ht="31.5" customHeight="1">
      <c r="A25" s="612">
        <v>19</v>
      </c>
      <c r="B25" s="515" t="s">
        <v>1537</v>
      </c>
      <c r="C25" s="578" t="s">
        <v>1318</v>
      </c>
      <c r="D25" s="1474">
        <v>42221</v>
      </c>
      <c r="E25" s="513" t="s">
        <v>355</v>
      </c>
      <c r="F25" s="494">
        <f>QC!AL25-QC!AD25-QC!AJ25-QC!AK25-QC!AE25-QC!AG25-W25</f>
        <v>344.03271193595282</v>
      </c>
      <c r="G25" s="495">
        <v>4062</v>
      </c>
      <c r="H25" s="488">
        <f t="shared" si="14"/>
        <v>1397460.8758838403</v>
      </c>
      <c r="I25" s="480">
        <v>0</v>
      </c>
      <c r="J25" s="525">
        <v>3</v>
      </c>
      <c r="K25" s="488">
        <f t="shared" si="15"/>
        <v>450000</v>
      </c>
      <c r="L25" s="488">
        <f t="shared" si="16"/>
        <v>947460.87588384026</v>
      </c>
      <c r="M25" s="489">
        <f t="shared" si="3"/>
        <v>0</v>
      </c>
      <c r="N25" s="488">
        <f t="shared" si="4"/>
        <v>0</v>
      </c>
      <c r="O25" s="490">
        <f t="shared" si="17"/>
        <v>0</v>
      </c>
      <c r="P25" s="491">
        <f t="shared" si="11"/>
        <v>0</v>
      </c>
      <c r="R25" s="1213">
        <v>30199</v>
      </c>
      <c r="S25" s="1179">
        <v>44835</v>
      </c>
      <c r="T25" s="1174">
        <f>QC!AL25-QC!AE25</f>
        <v>369.94113143373716</v>
      </c>
      <c r="U25" s="1176">
        <f t="shared" si="12"/>
        <v>1502700.8758838403</v>
      </c>
      <c r="V25" s="1206">
        <f t="shared" si="6"/>
        <v>24000</v>
      </c>
      <c r="W25" s="1194">
        <f t="shared" si="13"/>
        <v>5.9084194977843429</v>
      </c>
    </row>
    <row r="26" spans="1:23" ht="38.25" customHeight="1">
      <c r="A26" s="1338"/>
      <c r="B26" s="1339"/>
      <c r="C26" s="1339"/>
      <c r="D26" s="1339"/>
      <c r="E26" s="1339"/>
      <c r="F26" s="1340">
        <f>SUM(F7:F25)</f>
        <v>8035.6940447274592</v>
      </c>
      <c r="G26" s="1339"/>
      <c r="H26" s="1339"/>
      <c r="I26" s="1339"/>
      <c r="J26" s="1339"/>
      <c r="K26" s="1339"/>
      <c r="L26" s="2129" t="s">
        <v>251</v>
      </c>
      <c r="M26" s="2130"/>
      <c r="N26" s="2131"/>
      <c r="O26" s="496">
        <f>SUM(O7:O25)</f>
        <v>31594.934134615352</v>
      </c>
      <c r="P26" s="1182">
        <f>SUM(P7:P25)</f>
        <v>7.7781718696738933</v>
      </c>
      <c r="R26" s="1178"/>
      <c r="S26" s="2187" t="s">
        <v>251</v>
      </c>
      <c r="T26" s="2188"/>
      <c r="U26" s="2189"/>
      <c r="V26" s="1215">
        <f>SUM(V7:V25)</f>
        <v>456000</v>
      </c>
      <c r="W26" s="1204">
        <f>SUM(W7:W25)</f>
        <v>112.25997045790247</v>
      </c>
    </row>
  </sheetData>
  <sortState ref="A7:AM26">
    <sortCondition ref="B7:B26"/>
  </sortState>
  <mergeCells count="9">
    <mergeCell ref="R1:W1"/>
    <mergeCell ref="R2:W2"/>
    <mergeCell ref="R3:W3"/>
    <mergeCell ref="S26:U26"/>
    <mergeCell ref="A1:P1"/>
    <mergeCell ref="A2:P2"/>
    <mergeCell ref="A3:P3"/>
    <mergeCell ref="A4:E4"/>
    <mergeCell ref="L26:N26"/>
  </mergeCells>
  <phoneticPr fontId="171" type="noConversion"/>
  <conditionalFormatting sqref="M23:M25 M7:M20">
    <cfRule type="cellIs" dxfId="15" priority="17" stopIfTrue="1" operator="equal">
      <formula>0</formula>
    </cfRule>
  </conditionalFormatting>
  <conditionalFormatting sqref="M22">
    <cfRule type="cellIs" dxfId="14" priority="2" stopIfTrue="1" operator="equal">
      <formula>0</formula>
    </cfRule>
  </conditionalFormatting>
  <conditionalFormatting sqref="M21">
    <cfRule type="cellIs" dxfId="13" priority="1" stopIfTrue="1" operator="equal">
      <formula>0</formula>
    </cfRule>
  </conditionalFormatting>
  <printOptions horizontalCentered="1"/>
  <pageMargins left="0.2" right="0.19" top="0.2" bottom="0.2" header="0.3" footer="0.31"/>
  <pageSetup paperSize="9" scale="7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25"/>
  <sheetViews>
    <sheetView topLeftCell="A5" workbookViewId="0">
      <pane xSplit="4" ySplit="3" topLeftCell="N17" activePane="bottomRight" state="frozen"/>
      <selection activeCell="A5" sqref="A5"/>
      <selection pane="topRight" activeCell="E5" sqref="E5"/>
      <selection pane="bottomLeft" activeCell="A8" sqref="A8"/>
      <selection pane="bottomRight" activeCell="U20" sqref="U20"/>
    </sheetView>
  </sheetViews>
  <sheetFormatPr defaultRowHeight="14.25"/>
  <cols>
    <col min="1" max="1" width="4.75" customWidth="1"/>
    <col min="6" max="17" width="8.375" customWidth="1"/>
  </cols>
  <sheetData>
    <row r="1" spans="1:37" s="839" customFormat="1" ht="42" hidden="1" customHeight="1">
      <c r="A1" s="2134" t="s">
        <v>222</v>
      </c>
      <c r="B1" s="2134"/>
      <c r="C1" s="2134"/>
      <c r="D1" s="2134"/>
      <c r="E1" s="2134"/>
      <c r="F1" s="2134"/>
      <c r="G1" s="2134"/>
      <c r="H1" s="2134"/>
      <c r="I1" s="2134"/>
      <c r="J1" s="2134"/>
      <c r="K1" s="2134"/>
      <c r="L1" s="2134"/>
      <c r="M1" s="2134"/>
      <c r="N1" s="2134"/>
      <c r="O1" s="2134"/>
      <c r="P1" s="2134"/>
      <c r="Q1" s="2134"/>
      <c r="R1" s="2134"/>
      <c r="S1" s="2134"/>
      <c r="T1" s="2134"/>
      <c r="U1" s="844"/>
      <c r="V1" s="844"/>
    </row>
    <row r="2" spans="1:37" s="871" customFormat="1" ht="42.75" hidden="1" customHeight="1">
      <c r="A2" s="2134" t="s">
        <v>221</v>
      </c>
      <c r="B2" s="2134"/>
      <c r="C2" s="2134"/>
      <c r="D2" s="2134"/>
      <c r="E2" s="2134"/>
      <c r="F2" s="2134"/>
      <c r="G2" s="2134"/>
      <c r="H2" s="2134"/>
      <c r="I2" s="2134"/>
      <c r="J2" s="2134"/>
      <c r="K2" s="2134"/>
      <c r="L2" s="2134"/>
      <c r="M2" s="2134"/>
      <c r="N2" s="2134"/>
      <c r="O2" s="2134"/>
      <c r="P2" s="2134"/>
      <c r="Q2" s="2134"/>
      <c r="R2" s="2134"/>
      <c r="S2" s="2134"/>
      <c r="T2" s="2134"/>
      <c r="U2" s="844"/>
      <c r="V2" s="844"/>
    </row>
    <row r="3" spans="1:37" s="871" customFormat="1" ht="42.75" hidden="1" customHeight="1">
      <c r="A3" s="2135" t="s">
        <v>1070</v>
      </c>
      <c r="B3" s="2135"/>
      <c r="C3" s="2135"/>
      <c r="D3" s="2135"/>
      <c r="E3" s="2135"/>
      <c r="F3" s="2135"/>
      <c r="G3" s="2135"/>
      <c r="H3" s="2135"/>
      <c r="I3" s="2135"/>
      <c r="J3" s="2135"/>
      <c r="K3" s="2135"/>
      <c r="L3" s="2135"/>
      <c r="M3" s="2135"/>
      <c r="N3" s="2135"/>
      <c r="O3" s="2135"/>
      <c r="P3" s="2135"/>
      <c r="Q3" s="2135"/>
      <c r="R3" s="2135"/>
      <c r="S3" s="2135"/>
      <c r="T3" s="2135"/>
      <c r="U3" s="845"/>
      <c r="V3" s="845"/>
    </row>
    <row r="4" spans="1:37" s="871" customFormat="1" ht="42.75" hidden="1" customHeight="1">
      <c r="A4" s="2135" t="s">
        <v>1071</v>
      </c>
      <c r="B4" s="2135"/>
      <c r="C4" s="2135"/>
      <c r="D4" s="2135"/>
      <c r="E4" s="2135"/>
      <c r="F4" s="2135"/>
      <c r="G4" s="2135"/>
      <c r="H4" s="2135"/>
      <c r="I4" s="2135"/>
      <c r="J4" s="2135"/>
      <c r="K4" s="2135"/>
      <c r="L4" s="2135"/>
      <c r="M4" s="2135"/>
      <c r="N4" s="2135"/>
      <c r="O4" s="2135"/>
      <c r="P4" s="2135"/>
      <c r="Q4" s="2135"/>
      <c r="R4" s="2135"/>
      <c r="S4" s="2135"/>
      <c r="T4" s="2135"/>
      <c r="U4" s="845"/>
      <c r="V4" s="845"/>
    </row>
    <row r="5" spans="1:37" s="856" customFormat="1" ht="20.25" customHeight="1">
      <c r="A5" s="2136" t="s">
        <v>1304</v>
      </c>
      <c r="B5" s="2136"/>
      <c r="C5" s="2136"/>
      <c r="D5" s="817"/>
      <c r="E5" s="817"/>
      <c r="F5" s="817"/>
      <c r="G5" s="817"/>
      <c r="H5" s="817"/>
      <c r="I5" s="817"/>
      <c r="J5" s="817"/>
      <c r="K5" s="817"/>
      <c r="L5" s="2136" t="s">
        <v>2347</v>
      </c>
      <c r="M5" s="2136"/>
      <c r="N5" s="2136"/>
      <c r="O5" s="2136"/>
      <c r="P5" s="2136"/>
      <c r="Q5" s="2136"/>
      <c r="R5" s="2136"/>
      <c r="S5" s="817"/>
      <c r="T5" s="817"/>
      <c r="U5" s="817"/>
      <c r="V5" s="817"/>
      <c r="W5" s="819"/>
      <c r="X5" s="855"/>
    </row>
    <row r="6" spans="1:37" s="871" customFormat="1" ht="39" customHeight="1">
      <c r="A6" s="820" t="s">
        <v>252</v>
      </c>
      <c r="B6" s="820" t="s">
        <v>1072</v>
      </c>
      <c r="C6" s="820" t="s">
        <v>1073</v>
      </c>
      <c r="D6" s="820" t="s">
        <v>254</v>
      </c>
      <c r="E6" s="821" t="s">
        <v>227</v>
      </c>
      <c r="F6" s="2138" t="s">
        <v>1074</v>
      </c>
      <c r="G6" s="2139"/>
      <c r="H6" s="2139"/>
      <c r="I6" s="2139"/>
      <c r="J6" s="2139"/>
      <c r="K6" s="2139"/>
      <c r="L6" s="2139"/>
      <c r="M6" s="2139"/>
      <c r="N6" s="2139"/>
      <c r="O6" s="2139"/>
      <c r="P6" s="2139"/>
      <c r="Q6" s="2140"/>
      <c r="R6" s="822" t="s">
        <v>1075</v>
      </c>
      <c r="S6" s="900" t="s">
        <v>1076</v>
      </c>
      <c r="T6" s="822" t="s">
        <v>1077</v>
      </c>
      <c r="U6" s="822" t="s">
        <v>1126</v>
      </c>
      <c r="V6" s="850" t="s">
        <v>1128</v>
      </c>
      <c r="W6" s="823" t="s">
        <v>1078</v>
      </c>
      <c r="X6" s="857"/>
    </row>
    <row r="7" spans="1:37" s="839" customFormat="1" ht="31.5" customHeight="1">
      <c r="A7" s="824" t="s">
        <v>41</v>
      </c>
      <c r="B7" s="858" t="s">
        <v>42</v>
      </c>
      <c r="C7" s="858" t="s">
        <v>1079</v>
      </c>
      <c r="D7" s="858" t="s">
        <v>1080</v>
      </c>
      <c r="E7" s="859" t="s">
        <v>1081</v>
      </c>
      <c r="F7" s="859" t="s">
        <v>1082</v>
      </c>
      <c r="G7" s="859" t="s">
        <v>1083</v>
      </c>
      <c r="H7" s="859" t="s">
        <v>1084</v>
      </c>
      <c r="I7" s="859" t="s">
        <v>1085</v>
      </c>
      <c r="J7" s="859" t="s">
        <v>1086</v>
      </c>
      <c r="K7" s="825" t="s">
        <v>1087</v>
      </c>
      <c r="L7" s="825" t="s">
        <v>1088</v>
      </c>
      <c r="M7" s="825" t="s">
        <v>1089</v>
      </c>
      <c r="N7" s="825" t="s">
        <v>1090</v>
      </c>
      <c r="O7" s="825" t="s">
        <v>1091</v>
      </c>
      <c r="P7" s="825" t="s">
        <v>1092</v>
      </c>
      <c r="Q7" s="825" t="s">
        <v>1093</v>
      </c>
      <c r="R7" s="826" t="s">
        <v>1094</v>
      </c>
      <c r="S7" s="901" t="s">
        <v>1095</v>
      </c>
      <c r="T7" s="827" t="s">
        <v>1096</v>
      </c>
      <c r="U7" s="852" t="s">
        <v>1125</v>
      </c>
      <c r="V7" s="908" t="s">
        <v>1127</v>
      </c>
      <c r="W7" s="861" t="s">
        <v>1097</v>
      </c>
      <c r="X7" s="837"/>
      <c r="Y7" s="1701">
        <v>1</v>
      </c>
      <c r="Z7" s="1701">
        <v>2</v>
      </c>
      <c r="AA7" s="1701">
        <v>3</v>
      </c>
      <c r="AB7" s="1701">
        <v>4</v>
      </c>
      <c r="AC7" s="1701">
        <v>5</v>
      </c>
      <c r="AD7" s="1701">
        <v>6</v>
      </c>
      <c r="AE7" s="1701">
        <v>7</v>
      </c>
      <c r="AF7" s="1701">
        <v>8</v>
      </c>
      <c r="AG7" s="1701">
        <v>9</v>
      </c>
      <c r="AH7" s="1701">
        <v>10</v>
      </c>
      <c r="AI7" s="1701">
        <v>11</v>
      </c>
      <c r="AJ7" s="1701">
        <v>12</v>
      </c>
      <c r="AK7" s="1701" t="s">
        <v>74</v>
      </c>
    </row>
    <row r="8" spans="1:37" s="871" customFormat="1" ht="58.5" customHeight="1">
      <c r="A8" s="862">
        <v>1</v>
      </c>
      <c r="B8" s="1498" t="s">
        <v>2010</v>
      </c>
      <c r="C8" s="1499" t="s">
        <v>514</v>
      </c>
      <c r="D8" s="1496">
        <v>41682</v>
      </c>
      <c r="E8" s="830" t="s">
        <v>477</v>
      </c>
      <c r="F8" s="1718">
        <v>385.13461538461536</v>
      </c>
      <c r="G8" s="1718">
        <v>457.44042805300251</v>
      </c>
      <c r="H8" s="1719">
        <v>383.76127040954515</v>
      </c>
      <c r="I8" s="1718">
        <v>383.58661439082931</v>
      </c>
      <c r="J8" s="1718">
        <v>599.81792075340081</v>
      </c>
      <c r="K8" s="1718">
        <v>650.78689070830148</v>
      </c>
      <c r="L8" s="1718">
        <v>692.24588258361086</v>
      </c>
      <c r="M8" s="1718">
        <v>505.00733625780657</v>
      </c>
      <c r="N8" s="1718">
        <v>443.19546906163703</v>
      </c>
      <c r="O8" s="1306">
        <v>438.12615931698656</v>
      </c>
      <c r="P8" s="1306">
        <v>357.19230769230774</v>
      </c>
      <c r="Q8" s="1306">
        <v>30</v>
      </c>
      <c r="R8" s="831">
        <f>SUM(F8:Q8)</f>
        <v>5326.2948946120432</v>
      </c>
      <c r="S8" s="831">
        <f>R8/12</f>
        <v>443.85790788433695</v>
      </c>
      <c r="T8" s="831">
        <f>S8/26</f>
        <v>17.07145799555142</v>
      </c>
      <c r="U8" s="851">
        <f>PP!X7</f>
        <v>0</v>
      </c>
      <c r="V8" s="831">
        <f>T8*U8</f>
        <v>0</v>
      </c>
      <c r="W8" s="832"/>
      <c r="X8" s="504"/>
      <c r="Y8" s="1695"/>
      <c r="Z8" s="851">
        <v>3</v>
      </c>
      <c r="AA8" s="1694">
        <v>1.5</v>
      </c>
      <c r="AB8" s="851">
        <v>2</v>
      </c>
      <c r="AC8" s="851">
        <v>1</v>
      </c>
      <c r="AD8" s="851">
        <v>0</v>
      </c>
      <c r="AE8" s="851">
        <v>2</v>
      </c>
      <c r="AF8" s="851">
        <v>1.5</v>
      </c>
      <c r="AG8" s="851">
        <v>2</v>
      </c>
      <c r="AH8" s="1694"/>
      <c r="AI8" s="1694"/>
      <c r="AJ8" s="1694"/>
      <c r="AK8" s="1705">
        <f>SUM(Y8:AJ8)</f>
        <v>13</v>
      </c>
    </row>
    <row r="9" spans="1:37" s="871" customFormat="1" ht="58.5" customHeight="1">
      <c r="A9" s="862">
        <v>2</v>
      </c>
      <c r="B9" s="1498" t="s">
        <v>522</v>
      </c>
      <c r="C9" s="1499" t="s">
        <v>362</v>
      </c>
      <c r="D9" s="1496">
        <v>41682</v>
      </c>
      <c r="E9" s="830" t="s">
        <v>477</v>
      </c>
      <c r="F9" s="1718">
        <v>194.42307692307693</v>
      </c>
      <c r="G9" s="1718">
        <v>206.51732220586592</v>
      </c>
      <c r="H9" s="1719">
        <v>216.49311560891829</v>
      </c>
      <c r="I9" s="1718">
        <v>206.42334963486996</v>
      </c>
      <c r="J9" s="1718">
        <v>309.55207539984769</v>
      </c>
      <c r="K9" s="1718">
        <v>386.04036557501905</v>
      </c>
      <c r="L9" s="1718">
        <v>389.89003884046991</v>
      </c>
      <c r="M9" s="1718">
        <v>261.20933501473843</v>
      </c>
      <c r="N9" s="1718">
        <v>228.3696099517403</v>
      </c>
      <c r="O9" s="1306">
        <v>208.23138231240455</v>
      </c>
      <c r="P9" s="1306">
        <v>205.44843488889884</v>
      </c>
      <c r="Q9" s="1306">
        <v>30</v>
      </c>
      <c r="R9" s="831">
        <f t="shared" ref="R9:R20" si="0">SUM(F9:Q9)</f>
        <v>2842.5981063558497</v>
      </c>
      <c r="S9" s="831">
        <f t="shared" ref="S9:S10" si="1">R9/12</f>
        <v>236.88317552965415</v>
      </c>
      <c r="T9" s="831">
        <f t="shared" ref="T9:T20" si="2">S9/26</f>
        <v>9.1108913665251592</v>
      </c>
      <c r="U9" s="851">
        <f>PP!X8</f>
        <v>0</v>
      </c>
      <c r="V9" s="831">
        <f t="shared" ref="V9:V20" si="3">T9*U9</f>
        <v>0</v>
      </c>
      <c r="W9" s="832"/>
      <c r="X9" s="504"/>
      <c r="Y9" s="1695"/>
      <c r="Z9" s="851">
        <v>3</v>
      </c>
      <c r="AA9" s="1694">
        <v>1</v>
      </c>
      <c r="AB9" s="851">
        <v>1.5</v>
      </c>
      <c r="AC9" s="851">
        <v>0</v>
      </c>
      <c r="AD9" s="851">
        <v>0</v>
      </c>
      <c r="AE9" s="851">
        <v>0</v>
      </c>
      <c r="AF9" s="851">
        <v>1.5</v>
      </c>
      <c r="AG9" s="851">
        <v>1</v>
      </c>
      <c r="AH9" s="1694"/>
      <c r="AI9" s="1694"/>
      <c r="AJ9" s="1694"/>
      <c r="AK9" s="1705">
        <f t="shared" ref="AK9:AK20" si="4">SUM(Y9:AJ9)</f>
        <v>8</v>
      </c>
    </row>
    <row r="10" spans="1:37" s="871" customFormat="1" ht="58.5" customHeight="1">
      <c r="A10" s="862">
        <v>3</v>
      </c>
      <c r="B10" s="1498" t="s">
        <v>2011</v>
      </c>
      <c r="C10" s="1499" t="s">
        <v>363</v>
      </c>
      <c r="D10" s="1496">
        <v>42480</v>
      </c>
      <c r="E10" s="830" t="s">
        <v>477</v>
      </c>
      <c r="F10" s="1718">
        <v>257.11538461538464</v>
      </c>
      <c r="G10" s="1718">
        <v>302.39688400239459</v>
      </c>
      <c r="H10" s="1719">
        <v>258.63834915812697</v>
      </c>
      <c r="I10" s="1718">
        <v>257.76564147863184</v>
      </c>
      <c r="J10" s="1718">
        <v>433.68183549124143</v>
      </c>
      <c r="K10" s="1718">
        <v>460.70515993907088</v>
      </c>
      <c r="L10" s="1718">
        <v>492.30766862447899</v>
      </c>
      <c r="M10" s="1718">
        <v>326.31759208663169</v>
      </c>
      <c r="N10" s="1718">
        <v>296.0008926284213</v>
      </c>
      <c r="O10" s="1306">
        <v>279.99403885350614</v>
      </c>
      <c r="P10" s="1306">
        <v>261.38461538461536</v>
      </c>
      <c r="Q10" s="1306">
        <v>30</v>
      </c>
      <c r="R10" s="831">
        <f t="shared" si="0"/>
        <v>3656.3080622625034</v>
      </c>
      <c r="S10" s="831">
        <f t="shared" si="1"/>
        <v>304.69233852187529</v>
      </c>
      <c r="T10" s="831">
        <f t="shared" si="2"/>
        <v>11.718936096995204</v>
      </c>
      <c r="U10" s="851">
        <f>PP!X9</f>
        <v>0</v>
      </c>
      <c r="V10" s="831">
        <f t="shared" si="3"/>
        <v>0</v>
      </c>
      <c r="W10" s="832"/>
      <c r="X10" s="504"/>
      <c r="Y10" s="1695"/>
      <c r="Z10" s="851">
        <v>4</v>
      </c>
      <c r="AA10" s="1694">
        <v>2</v>
      </c>
      <c r="AB10" s="851">
        <v>1.5</v>
      </c>
      <c r="AC10" s="851">
        <v>0</v>
      </c>
      <c r="AD10" s="851">
        <v>0</v>
      </c>
      <c r="AE10" s="851">
        <v>0</v>
      </c>
      <c r="AF10" s="851">
        <v>0.5</v>
      </c>
      <c r="AG10" s="851">
        <v>2</v>
      </c>
      <c r="AH10" s="1694"/>
      <c r="AI10" s="1694"/>
      <c r="AJ10" s="1694"/>
      <c r="AK10" s="1705">
        <f t="shared" si="4"/>
        <v>10</v>
      </c>
    </row>
    <row r="11" spans="1:37" s="1760" customFormat="1" ht="58.5" customHeight="1">
      <c r="A11" s="862">
        <v>4</v>
      </c>
      <c r="B11" s="1498" t="s">
        <v>2012</v>
      </c>
      <c r="C11" s="1499" t="s">
        <v>1306</v>
      </c>
      <c r="D11" s="1496">
        <v>43214</v>
      </c>
      <c r="E11" s="830" t="s">
        <v>477</v>
      </c>
      <c r="F11" s="1718">
        <v>267.92307692307691</v>
      </c>
      <c r="G11" s="1718">
        <v>274.4664944037367</v>
      </c>
      <c r="H11" s="1719">
        <v>255.95788656154789</v>
      </c>
      <c r="I11" s="1718">
        <v>259.54032450766829</v>
      </c>
      <c r="J11" s="1718">
        <v>435.50257044935262</v>
      </c>
      <c r="K11" s="1718">
        <v>455.50323686214779</v>
      </c>
      <c r="L11" s="1718">
        <v>503.73112447896926</v>
      </c>
      <c r="M11" s="1718">
        <v>330.44087966488956</v>
      </c>
      <c r="N11" s="1718">
        <v>289.17025644529667</v>
      </c>
      <c r="O11" s="1306">
        <v>292.58284518085242</v>
      </c>
      <c r="P11" s="1306">
        <v>255.11538461538461</v>
      </c>
      <c r="Q11" s="1306">
        <v>30</v>
      </c>
      <c r="R11" s="831">
        <f t="shared" si="0"/>
        <v>3649.9340800929226</v>
      </c>
      <c r="S11" s="831">
        <f t="shared" ref="S11:S13" si="5">R11/12</f>
        <v>304.1611733410769</v>
      </c>
      <c r="T11" s="831">
        <f t="shared" si="2"/>
        <v>11.698506666964496</v>
      </c>
      <c r="U11" s="851">
        <f>PP!X10</f>
        <v>0.5</v>
      </c>
      <c r="V11" s="831">
        <f t="shared" ref="V11:V15" si="6">T11*U11</f>
        <v>5.8492533334822481</v>
      </c>
      <c r="W11" s="832"/>
      <c r="X11" s="504"/>
      <c r="Y11" s="1695"/>
      <c r="Z11" s="851">
        <v>5</v>
      </c>
      <c r="AA11" s="1694">
        <v>2</v>
      </c>
      <c r="AB11" s="851">
        <v>1.5</v>
      </c>
      <c r="AC11" s="851">
        <v>0</v>
      </c>
      <c r="AD11" s="851">
        <v>0</v>
      </c>
      <c r="AE11" s="851">
        <v>0</v>
      </c>
      <c r="AF11" s="1694"/>
      <c r="AG11" s="851">
        <v>1</v>
      </c>
      <c r="AH11" s="1694"/>
      <c r="AI11" s="1694"/>
      <c r="AJ11" s="1694"/>
      <c r="AK11" s="1705">
        <f t="shared" ref="AK11:AK15" si="7">SUM(Y11:AJ11)</f>
        <v>9.5</v>
      </c>
    </row>
    <row r="12" spans="1:37" s="1760" customFormat="1" ht="58.5" customHeight="1">
      <c r="A12" s="862">
        <v>5</v>
      </c>
      <c r="B12" s="1498" t="s">
        <v>2013</v>
      </c>
      <c r="C12" s="1499" t="s">
        <v>464</v>
      </c>
      <c r="D12" s="1496">
        <v>43622</v>
      </c>
      <c r="E12" s="830" t="s">
        <v>477</v>
      </c>
      <c r="F12" s="1718">
        <v>197.34615384615387</v>
      </c>
      <c r="G12" s="1718">
        <v>244.24200915121787</v>
      </c>
      <c r="H12" s="1719">
        <v>190.89211115564456</v>
      </c>
      <c r="I12" s="1718">
        <v>207.65828413177425</v>
      </c>
      <c r="J12" s="1718">
        <v>340.45378063349443</v>
      </c>
      <c r="K12" s="1718">
        <v>328.60254266628345</v>
      </c>
      <c r="L12" s="1718">
        <v>420.75921276998866</v>
      </c>
      <c r="M12" s="1718">
        <v>252.978674790556</v>
      </c>
      <c r="N12" s="1718">
        <v>212.65891681270043</v>
      </c>
      <c r="O12" s="1306">
        <v>241.08781228007794</v>
      </c>
      <c r="P12" s="1306">
        <v>215.26923076923077</v>
      </c>
      <c r="Q12" s="1306">
        <v>30</v>
      </c>
      <c r="R12" s="831">
        <f t="shared" si="0"/>
        <v>2881.948729007122</v>
      </c>
      <c r="S12" s="831">
        <f t="shared" si="5"/>
        <v>240.16239408392684</v>
      </c>
      <c r="T12" s="831">
        <f t="shared" si="2"/>
        <v>9.2370151570741097</v>
      </c>
      <c r="U12" s="851">
        <f>PP!X11</f>
        <v>0</v>
      </c>
      <c r="V12" s="831">
        <f t="shared" si="6"/>
        <v>0</v>
      </c>
      <c r="W12" s="832"/>
      <c r="X12" s="504"/>
      <c r="Y12" s="1695"/>
      <c r="Z12" s="851">
        <v>4</v>
      </c>
      <c r="AA12" s="1694">
        <v>1</v>
      </c>
      <c r="AB12" s="851">
        <v>1.5</v>
      </c>
      <c r="AC12" s="851">
        <v>1</v>
      </c>
      <c r="AD12" s="851">
        <v>6</v>
      </c>
      <c r="AE12" s="851">
        <v>0</v>
      </c>
      <c r="AF12" s="1694"/>
      <c r="AG12" s="851">
        <v>1</v>
      </c>
      <c r="AH12" s="1694"/>
      <c r="AI12" s="1694"/>
      <c r="AJ12" s="1694"/>
      <c r="AK12" s="1705">
        <f t="shared" si="7"/>
        <v>14.5</v>
      </c>
    </row>
    <row r="13" spans="1:37" s="1760" customFormat="1" ht="58.5" customHeight="1">
      <c r="A13" s="862">
        <v>6</v>
      </c>
      <c r="B13" s="559" t="s">
        <v>2014</v>
      </c>
      <c r="C13" s="798" t="s">
        <v>1364</v>
      </c>
      <c r="D13" s="1446">
        <v>44600</v>
      </c>
      <c r="E13" s="830" t="s">
        <v>477</v>
      </c>
      <c r="F13" s="1718">
        <v>174.53846153846155</v>
      </c>
      <c r="G13" s="1718">
        <v>236.37283276993793</v>
      </c>
      <c r="H13" s="1719">
        <v>205.45248638863725</v>
      </c>
      <c r="I13" s="1718">
        <v>196.5383712954513</v>
      </c>
      <c r="J13" s="1718">
        <v>314.06511805026656</v>
      </c>
      <c r="K13" s="1718">
        <v>374.68250190403654</v>
      </c>
      <c r="L13" s="1718">
        <v>406.59650909435391</v>
      </c>
      <c r="M13" s="1718">
        <v>156.34958111195735</v>
      </c>
      <c r="N13" s="1718">
        <v>221.68167792282094</v>
      </c>
      <c r="O13" s="1306">
        <v>231.36963732928641</v>
      </c>
      <c r="P13" s="1306">
        <v>216.23076923076925</v>
      </c>
      <c r="Q13" s="1306">
        <v>30</v>
      </c>
      <c r="R13" s="831">
        <f t="shared" si="0"/>
        <v>2763.8779466359788</v>
      </c>
      <c r="S13" s="831">
        <f t="shared" si="5"/>
        <v>230.32316221966491</v>
      </c>
      <c r="T13" s="831">
        <f t="shared" si="2"/>
        <v>8.8585831622948046</v>
      </c>
      <c r="U13" s="851">
        <f>PP!X12</f>
        <v>0</v>
      </c>
      <c r="V13" s="831">
        <f t="shared" si="6"/>
        <v>0</v>
      </c>
      <c r="W13" s="832"/>
      <c r="X13" s="504"/>
      <c r="Y13" s="1695"/>
      <c r="Z13" s="851">
        <v>5</v>
      </c>
      <c r="AA13" s="1694">
        <v>1.5</v>
      </c>
      <c r="AB13" s="851">
        <v>1.5</v>
      </c>
      <c r="AC13" s="851">
        <v>0</v>
      </c>
      <c r="AD13" s="851">
        <v>0</v>
      </c>
      <c r="AE13" s="851">
        <v>0</v>
      </c>
      <c r="AF13" s="1694"/>
      <c r="AG13" s="851">
        <v>1</v>
      </c>
      <c r="AH13" s="1694"/>
      <c r="AI13" s="1694"/>
      <c r="AJ13" s="1694"/>
      <c r="AK13" s="1705">
        <f t="shared" si="7"/>
        <v>9</v>
      </c>
    </row>
    <row r="14" spans="1:37" s="1760" customFormat="1" ht="58.5" customHeight="1">
      <c r="A14" s="862">
        <v>7</v>
      </c>
      <c r="B14" s="559" t="s">
        <v>2015</v>
      </c>
      <c r="C14" s="798" t="s">
        <v>1637</v>
      </c>
      <c r="D14" s="1446">
        <v>44774</v>
      </c>
      <c r="E14" s="787" t="s">
        <v>477</v>
      </c>
      <c r="F14" s="1718">
        <v>215.83707264957269</v>
      </c>
      <c r="G14" s="1718">
        <v>258.00483667531978</v>
      </c>
      <c r="H14" s="1719">
        <v>210.26923076923077</v>
      </c>
      <c r="I14" s="1718">
        <v>212.85575524813783</v>
      </c>
      <c r="J14" s="1718">
        <v>370.70725437928411</v>
      </c>
      <c r="K14" s="1718">
        <v>399.19897182025898</v>
      </c>
      <c r="L14" s="1718">
        <v>453.2187474262671</v>
      </c>
      <c r="M14" s="1718">
        <v>294.8509139375476</v>
      </c>
      <c r="N14" s="1718">
        <v>243.23106823063853</v>
      </c>
      <c r="O14" s="1306">
        <v>244.17257496207591</v>
      </c>
      <c r="P14" s="1306">
        <v>233.44584803844637</v>
      </c>
      <c r="Q14" s="1306">
        <v>30</v>
      </c>
      <c r="R14" s="831">
        <f t="shared" si="0"/>
        <v>3165.7922741367793</v>
      </c>
      <c r="S14" s="831">
        <f>R14/12</f>
        <v>263.81602284473161</v>
      </c>
      <c r="T14" s="831">
        <f t="shared" si="2"/>
        <v>10.146770109412754</v>
      </c>
      <c r="U14" s="851">
        <f>PP!X13</f>
        <v>2</v>
      </c>
      <c r="V14" s="831">
        <f t="shared" si="6"/>
        <v>20.293540218825509</v>
      </c>
      <c r="W14" s="832"/>
      <c r="X14" s="504"/>
      <c r="Y14" s="1695"/>
      <c r="Z14" s="851">
        <v>5</v>
      </c>
      <c r="AA14" s="1694">
        <v>0</v>
      </c>
      <c r="AB14" s="851">
        <v>1.5</v>
      </c>
      <c r="AC14" s="851">
        <v>0</v>
      </c>
      <c r="AD14" s="851">
        <v>0</v>
      </c>
      <c r="AE14" s="851">
        <v>1.5</v>
      </c>
      <c r="AF14" s="1694"/>
      <c r="AG14" s="851">
        <v>1</v>
      </c>
      <c r="AH14" s="1694"/>
      <c r="AI14" s="1694"/>
      <c r="AJ14" s="1694"/>
      <c r="AK14" s="1705">
        <f t="shared" si="7"/>
        <v>9</v>
      </c>
    </row>
    <row r="15" spans="1:37" s="1760" customFormat="1" ht="58.5" customHeight="1">
      <c r="A15" s="862">
        <v>8</v>
      </c>
      <c r="B15" s="559" t="s">
        <v>2016</v>
      </c>
      <c r="C15" s="798" t="s">
        <v>1947</v>
      </c>
      <c r="D15" s="1479">
        <v>45089</v>
      </c>
      <c r="E15" s="787" t="s">
        <v>477</v>
      </c>
      <c r="F15" s="1718">
        <v>201.21688034188034</v>
      </c>
      <c r="G15" s="1718">
        <v>237.82037539463107</v>
      </c>
      <c r="H15" s="1719">
        <v>187.68627957889109</v>
      </c>
      <c r="I15" s="1718">
        <v>201.84219802101433</v>
      </c>
      <c r="J15" s="1718">
        <v>327.7642802741812</v>
      </c>
      <c r="K15" s="1718">
        <v>396.77589489718201</v>
      </c>
      <c r="L15" s="1718">
        <v>446.27451221844979</v>
      </c>
      <c r="M15" s="1718">
        <v>231.08563448920427</v>
      </c>
      <c r="N15" s="1718">
        <v>241.53850791355185</v>
      </c>
      <c r="O15" s="1306">
        <v>179.04577944393321</v>
      </c>
      <c r="P15" s="1306">
        <v>181.53846153846155</v>
      </c>
      <c r="Q15" s="1306">
        <v>30</v>
      </c>
      <c r="R15" s="831">
        <f t="shared" si="0"/>
        <v>2862.5888041113799</v>
      </c>
      <c r="S15" s="831">
        <f>R15/12</f>
        <v>238.54906700928166</v>
      </c>
      <c r="T15" s="831">
        <f t="shared" si="2"/>
        <v>9.1749641157416022</v>
      </c>
      <c r="U15" s="851">
        <f>PP!X14</f>
        <v>0</v>
      </c>
      <c r="V15" s="831">
        <f t="shared" si="6"/>
        <v>0</v>
      </c>
      <c r="W15" s="832"/>
      <c r="X15" s="504"/>
      <c r="Y15" s="1695"/>
      <c r="Z15" s="851">
        <v>4</v>
      </c>
      <c r="AA15" s="1694">
        <v>2</v>
      </c>
      <c r="AB15" s="851">
        <v>1.5</v>
      </c>
      <c r="AC15" s="851">
        <v>0</v>
      </c>
      <c r="AD15" s="851">
        <v>0</v>
      </c>
      <c r="AE15" s="851">
        <v>1</v>
      </c>
      <c r="AF15" s="851">
        <v>2</v>
      </c>
      <c r="AG15" s="851">
        <v>3</v>
      </c>
      <c r="AH15" s="1694"/>
      <c r="AI15" s="1694"/>
      <c r="AJ15" s="1694"/>
      <c r="AK15" s="1705">
        <f t="shared" si="7"/>
        <v>13.5</v>
      </c>
    </row>
    <row r="16" spans="1:37" s="871" customFormat="1" ht="58.5" customHeight="1">
      <c r="A16" s="862">
        <v>9</v>
      </c>
      <c r="B16" s="1381" t="s">
        <v>2239</v>
      </c>
      <c r="C16" s="1384" t="s">
        <v>2237</v>
      </c>
      <c r="D16" s="1382">
        <v>45485</v>
      </c>
      <c r="E16" s="830" t="s">
        <v>477</v>
      </c>
      <c r="F16" s="1325">
        <v>0</v>
      </c>
      <c r="G16" s="1325">
        <v>0</v>
      </c>
      <c r="H16" s="1325">
        <v>0</v>
      </c>
      <c r="I16" s="1325">
        <v>0</v>
      </c>
      <c r="J16" s="1325">
        <v>0</v>
      </c>
      <c r="K16" s="1325">
        <v>0</v>
      </c>
      <c r="L16" s="1718">
        <v>264.08200170519132</v>
      </c>
      <c r="M16" s="1718">
        <v>260.49629855293222</v>
      </c>
      <c r="N16" s="1718">
        <v>236.24189038957928</v>
      </c>
      <c r="O16" s="1325">
        <v>0</v>
      </c>
      <c r="P16" s="1325">
        <v>0</v>
      </c>
      <c r="Q16" s="1325">
        <v>0</v>
      </c>
      <c r="R16" s="831">
        <f t="shared" si="0"/>
        <v>760.82019064770293</v>
      </c>
      <c r="S16" s="831">
        <f>R16/3</f>
        <v>253.60673021590097</v>
      </c>
      <c r="T16" s="831">
        <f t="shared" si="2"/>
        <v>9.7541050083038829</v>
      </c>
      <c r="U16" s="851">
        <f>PP!X15</f>
        <v>0</v>
      </c>
      <c r="V16" s="831">
        <f t="shared" si="3"/>
        <v>0</v>
      </c>
      <c r="W16" s="832"/>
      <c r="X16" s="504"/>
      <c r="Y16" s="1695"/>
      <c r="Z16" s="851"/>
      <c r="AA16" s="1694"/>
      <c r="AB16" s="851"/>
      <c r="AC16" s="851"/>
      <c r="AD16" s="851"/>
      <c r="AE16" s="851">
        <v>0</v>
      </c>
      <c r="AF16" s="1694"/>
      <c r="AG16" s="851">
        <v>1</v>
      </c>
      <c r="AH16" s="1694"/>
      <c r="AI16" s="1694"/>
      <c r="AJ16" s="1694"/>
      <c r="AK16" s="1705">
        <f t="shared" si="4"/>
        <v>1</v>
      </c>
    </row>
    <row r="17" spans="1:37" s="871" customFormat="1" ht="58.5" customHeight="1">
      <c r="A17" s="862">
        <v>10</v>
      </c>
      <c r="B17" s="1381" t="s">
        <v>2240</v>
      </c>
      <c r="C17" s="1384" t="s">
        <v>2238</v>
      </c>
      <c r="D17" s="1382">
        <v>45495</v>
      </c>
      <c r="E17" s="830" t="s">
        <v>477</v>
      </c>
      <c r="F17" s="1325">
        <v>0</v>
      </c>
      <c r="G17" s="1325">
        <v>0</v>
      </c>
      <c r="H17" s="1325">
        <v>0</v>
      </c>
      <c r="I17" s="1325">
        <v>0</v>
      </c>
      <c r="J17" s="1325">
        <v>0</v>
      </c>
      <c r="K17" s="1325">
        <v>0</v>
      </c>
      <c r="L17" s="1718">
        <v>107.38861974232661</v>
      </c>
      <c r="M17" s="1718">
        <v>234.41668316831684</v>
      </c>
      <c r="N17" s="1718">
        <v>220.60789626579398</v>
      </c>
      <c r="O17" s="1325">
        <v>0</v>
      </c>
      <c r="P17" s="1325">
        <v>0</v>
      </c>
      <c r="Q17" s="1325">
        <v>0</v>
      </c>
      <c r="R17" s="831">
        <f t="shared" si="0"/>
        <v>562.41319917643739</v>
      </c>
      <c r="S17" s="831">
        <f>R17/3</f>
        <v>187.47106639214579</v>
      </c>
      <c r="T17" s="831">
        <f t="shared" si="2"/>
        <v>7.2104256304671459</v>
      </c>
      <c r="U17" s="851">
        <f>PP!X16</f>
        <v>0</v>
      </c>
      <c r="V17" s="831">
        <f t="shared" si="3"/>
        <v>0</v>
      </c>
      <c r="W17" s="832"/>
      <c r="X17" s="504"/>
      <c r="Y17" s="1695"/>
      <c r="Z17" s="851"/>
      <c r="AA17" s="1694"/>
      <c r="AB17" s="851"/>
      <c r="AC17" s="851"/>
      <c r="AD17" s="851"/>
      <c r="AE17" s="851">
        <v>0</v>
      </c>
      <c r="AF17" s="1694"/>
      <c r="AG17" s="851">
        <v>2</v>
      </c>
      <c r="AH17" s="1694"/>
      <c r="AI17" s="1694"/>
      <c r="AJ17" s="1694"/>
      <c r="AK17" s="1705">
        <f t="shared" si="4"/>
        <v>2</v>
      </c>
    </row>
    <row r="18" spans="1:37" s="963" customFormat="1" ht="58.5" customHeight="1">
      <c r="A18" s="862">
        <v>11</v>
      </c>
      <c r="B18" s="1381" t="s">
        <v>2241</v>
      </c>
      <c r="C18" s="1384" t="s">
        <v>2247</v>
      </c>
      <c r="D18" s="1382">
        <v>45495</v>
      </c>
      <c r="E18" s="830" t="s">
        <v>477</v>
      </c>
      <c r="F18" s="1325">
        <v>0</v>
      </c>
      <c r="G18" s="1325">
        <v>0</v>
      </c>
      <c r="H18" s="1325">
        <v>0</v>
      </c>
      <c r="I18" s="1325">
        <v>0</v>
      </c>
      <c r="J18" s="1325">
        <v>0</v>
      </c>
      <c r="K18" s="1325">
        <v>0</v>
      </c>
      <c r="L18" s="1718">
        <v>110.91784482758619</v>
      </c>
      <c r="M18" s="1718">
        <v>260.72437547600913</v>
      </c>
      <c r="N18" s="1718">
        <v>224.42086143386575</v>
      </c>
      <c r="O18" s="1325">
        <v>0</v>
      </c>
      <c r="P18" s="1325">
        <v>0</v>
      </c>
      <c r="Q18" s="1325">
        <v>0</v>
      </c>
      <c r="R18" s="831">
        <f t="shared" si="0"/>
        <v>596.06308173746106</v>
      </c>
      <c r="S18" s="831">
        <f>R18/3</f>
        <v>198.68769391248702</v>
      </c>
      <c r="T18" s="831">
        <f t="shared" si="2"/>
        <v>7.6418343812495007</v>
      </c>
      <c r="U18" s="851">
        <f>PP!X17</f>
        <v>0</v>
      </c>
      <c r="V18" s="831">
        <f t="shared" si="3"/>
        <v>0</v>
      </c>
      <c r="W18" s="832"/>
      <c r="X18" s="504"/>
      <c r="Y18" s="1695"/>
      <c r="Z18" s="851"/>
      <c r="AA18" s="1694"/>
      <c r="AB18" s="851"/>
      <c r="AC18" s="851"/>
      <c r="AD18" s="851"/>
      <c r="AE18" s="851">
        <v>0</v>
      </c>
      <c r="AF18" s="1694"/>
      <c r="AG18" s="851">
        <v>1</v>
      </c>
      <c r="AH18" s="1694"/>
      <c r="AI18" s="1694"/>
      <c r="AJ18" s="1694"/>
      <c r="AK18" s="1705">
        <f t="shared" si="4"/>
        <v>1</v>
      </c>
    </row>
    <row r="19" spans="1:37" s="1819" customFormat="1" ht="58.5" customHeight="1">
      <c r="A19" s="862">
        <v>12</v>
      </c>
      <c r="B19" s="1381" t="s">
        <v>2242</v>
      </c>
      <c r="C19" s="1384" t="s">
        <v>2248</v>
      </c>
      <c r="D19" s="1382">
        <v>45497</v>
      </c>
      <c r="E19" s="787" t="s">
        <v>477</v>
      </c>
      <c r="F19" s="1325">
        <v>0</v>
      </c>
      <c r="G19" s="1325">
        <v>0</v>
      </c>
      <c r="H19" s="1325">
        <v>0</v>
      </c>
      <c r="I19" s="1325">
        <v>0</v>
      </c>
      <c r="J19" s="1325">
        <v>0</v>
      </c>
      <c r="K19" s="1325">
        <v>0</v>
      </c>
      <c r="L19" s="1718">
        <v>70.808642478211439</v>
      </c>
      <c r="M19" s="1718">
        <v>269.04710205635945</v>
      </c>
      <c r="N19" s="1718">
        <v>234.16068739489558</v>
      </c>
      <c r="O19" s="1325">
        <v>0</v>
      </c>
      <c r="P19" s="1325">
        <v>0</v>
      </c>
      <c r="Q19" s="1325">
        <v>0</v>
      </c>
      <c r="R19" s="831">
        <f t="shared" si="0"/>
        <v>574.01643192946642</v>
      </c>
      <c r="S19" s="831">
        <f>R19/3</f>
        <v>191.33881064315548</v>
      </c>
      <c r="T19" s="831">
        <f t="shared" ref="T19" si="8">S19/26</f>
        <v>7.3591850247367496</v>
      </c>
      <c r="U19" s="851">
        <f>PP!X18</f>
        <v>0</v>
      </c>
      <c r="V19" s="831">
        <f t="shared" ref="V19" si="9">T19*U19</f>
        <v>0</v>
      </c>
      <c r="W19" s="832"/>
      <c r="X19" s="504"/>
      <c r="Y19" s="1695"/>
      <c r="Z19" s="851"/>
      <c r="AA19" s="1694"/>
      <c r="AB19" s="851"/>
      <c r="AC19" s="851"/>
      <c r="AD19" s="851"/>
      <c r="AE19" s="851">
        <v>0</v>
      </c>
      <c r="AF19" s="1694"/>
      <c r="AG19" s="851">
        <v>1</v>
      </c>
      <c r="AH19" s="1694"/>
      <c r="AI19" s="1694"/>
      <c r="AJ19" s="1694"/>
      <c r="AK19" s="1705">
        <f t="shared" ref="AK19" si="10">SUM(Y19:AJ19)</f>
        <v>1</v>
      </c>
    </row>
    <row r="20" spans="1:37" s="1071" customFormat="1" ht="58.5" customHeight="1">
      <c r="A20" s="862">
        <v>13</v>
      </c>
      <c r="B20" s="1381" t="s">
        <v>2336</v>
      </c>
      <c r="C20" s="1384" t="s">
        <v>2337</v>
      </c>
      <c r="D20" s="1382">
        <v>45549</v>
      </c>
      <c r="E20" s="787" t="s">
        <v>477</v>
      </c>
      <c r="F20" s="1325">
        <v>0</v>
      </c>
      <c r="G20" s="1325">
        <v>0</v>
      </c>
      <c r="H20" s="1325">
        <v>0</v>
      </c>
      <c r="I20" s="1325">
        <v>0</v>
      </c>
      <c r="J20" s="1325">
        <v>0</v>
      </c>
      <c r="K20" s="1325">
        <v>0</v>
      </c>
      <c r="L20" s="1325">
        <v>0</v>
      </c>
      <c r="M20" s="1325">
        <v>0</v>
      </c>
      <c r="N20" s="1718">
        <v>109.10581873571974</v>
      </c>
      <c r="O20" s="1325">
        <v>0</v>
      </c>
      <c r="P20" s="1325">
        <v>0</v>
      </c>
      <c r="Q20" s="1325">
        <v>0</v>
      </c>
      <c r="R20" s="831">
        <f t="shared" si="0"/>
        <v>109.10581873571974</v>
      </c>
      <c r="S20" s="831">
        <f>R20/1</f>
        <v>109.10581873571974</v>
      </c>
      <c r="T20" s="831">
        <f t="shared" si="2"/>
        <v>4.1963776436815285</v>
      </c>
      <c r="U20" s="851">
        <f>PP!X19</f>
        <v>0.5</v>
      </c>
      <c r="V20" s="831">
        <f t="shared" si="3"/>
        <v>2.0981888218407643</v>
      </c>
      <c r="W20" s="832"/>
      <c r="X20" s="504"/>
      <c r="Y20" s="1695"/>
      <c r="Z20" s="851"/>
      <c r="AA20" s="1694"/>
      <c r="AB20" s="851"/>
      <c r="AC20" s="851"/>
      <c r="AD20" s="851"/>
      <c r="AE20" s="851">
        <v>0</v>
      </c>
      <c r="AF20" s="1694"/>
      <c r="AG20" s="851">
        <v>0</v>
      </c>
      <c r="AH20" s="1694"/>
      <c r="AI20" s="1694"/>
      <c r="AJ20" s="1694"/>
      <c r="AK20" s="1705">
        <f t="shared" si="4"/>
        <v>0</v>
      </c>
    </row>
    <row r="21" spans="1:37" s="871" customFormat="1" ht="38.25" customHeight="1">
      <c r="A21" s="2141" t="s">
        <v>214</v>
      </c>
      <c r="B21" s="2142"/>
      <c r="C21" s="2142"/>
      <c r="D21" s="2142"/>
      <c r="E21" s="2142"/>
      <c r="F21" s="2142"/>
      <c r="G21" s="2142"/>
      <c r="H21" s="2142"/>
      <c r="I21" s="2142"/>
      <c r="J21" s="2142"/>
      <c r="K21" s="2141"/>
      <c r="L21" s="2141"/>
      <c r="M21" s="2141"/>
      <c r="N21" s="2141"/>
      <c r="O21" s="2141"/>
      <c r="P21" s="2141"/>
      <c r="Q21" s="2141"/>
      <c r="R21" s="2141"/>
      <c r="S21" s="867"/>
      <c r="T21" s="835"/>
      <c r="U21" s="915"/>
      <c r="V21" s="951">
        <f>SUM(V8:V20)</f>
        <v>28.240982374148523</v>
      </c>
      <c r="W21" s="836"/>
      <c r="X21" s="504"/>
    </row>
    <row r="22" spans="1:37" s="871" customFormat="1" ht="15.75">
      <c r="A22" s="842"/>
      <c r="B22" s="842"/>
      <c r="C22" s="842"/>
      <c r="D22" s="567"/>
      <c r="E22" s="842"/>
      <c r="F22" s="842"/>
      <c r="G22" s="842"/>
      <c r="H22" s="842"/>
      <c r="I22" s="842"/>
      <c r="J22" s="842"/>
      <c r="K22" s="842"/>
      <c r="L22" s="842"/>
      <c r="M22" s="842"/>
      <c r="N22" s="842"/>
      <c r="O22" s="842"/>
      <c r="P22" s="842"/>
      <c r="Q22" s="842"/>
      <c r="R22" s="870"/>
      <c r="S22" s="897"/>
      <c r="T22" s="870"/>
      <c r="U22" s="896"/>
      <c r="V22" s="896"/>
      <c r="W22" s="842"/>
      <c r="X22" s="842"/>
    </row>
    <row r="23" spans="1:37" s="871" customFormat="1" ht="27" customHeight="1">
      <c r="A23" s="2132" t="s">
        <v>1155</v>
      </c>
      <c r="B23" s="2132"/>
      <c r="C23" s="2132"/>
      <c r="D23" s="872"/>
      <c r="H23" s="2132" t="s">
        <v>1156</v>
      </c>
      <c r="I23" s="2132"/>
      <c r="J23" s="2132"/>
      <c r="K23" s="2132"/>
      <c r="R23" s="2133" t="s">
        <v>1157</v>
      </c>
      <c r="S23" s="2133"/>
      <c r="T23" s="2133"/>
      <c r="U23" s="898"/>
      <c r="V23" s="898"/>
      <c r="X23" s="843"/>
    </row>
    <row r="24" spans="1:37" s="871" customFormat="1" ht="15.75">
      <c r="A24" s="842"/>
      <c r="B24" s="842"/>
      <c r="C24" s="842"/>
      <c r="D24" s="567"/>
      <c r="E24" s="842"/>
      <c r="F24" s="842"/>
      <c r="G24" s="842"/>
      <c r="H24" s="842"/>
      <c r="I24" s="842"/>
      <c r="J24" s="842"/>
      <c r="K24" s="842"/>
      <c r="L24" s="842"/>
      <c r="M24" s="842"/>
      <c r="N24" s="842"/>
      <c r="O24" s="842"/>
      <c r="P24" s="842"/>
      <c r="Q24" s="842"/>
      <c r="R24" s="870"/>
      <c r="S24" s="897"/>
      <c r="T24" s="870"/>
      <c r="U24" s="896"/>
      <c r="V24" s="896"/>
      <c r="W24" s="842"/>
      <c r="X24" s="842"/>
    </row>
    <row r="25" spans="1:37" s="871" customFormat="1" ht="15.75">
      <c r="D25" s="872"/>
      <c r="R25" s="873"/>
      <c r="S25" s="899"/>
      <c r="T25" s="873"/>
      <c r="U25" s="898"/>
      <c r="V25" s="898"/>
    </row>
  </sheetData>
  <mergeCells count="11">
    <mergeCell ref="A1:T1"/>
    <mergeCell ref="A2:T2"/>
    <mergeCell ref="A3:T3"/>
    <mergeCell ref="A4:T4"/>
    <mergeCell ref="A5:C5"/>
    <mergeCell ref="L5:R5"/>
    <mergeCell ref="F6:Q6"/>
    <mergeCell ref="A21:R21"/>
    <mergeCell ref="A23:C23"/>
    <mergeCell ref="H23:K23"/>
    <mergeCell ref="R23:T2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BN40"/>
  <sheetViews>
    <sheetView view="pageBreakPreview" zoomScale="80" zoomScaleNormal="100" zoomScaleSheetLayoutView="80" workbookViewId="0">
      <pane xSplit="7" ySplit="5" topLeftCell="H34" activePane="bottomRight" state="frozen"/>
      <selection pane="topRight" activeCell="H1" sqref="H1"/>
      <selection pane="bottomLeft" activeCell="A6" sqref="A6"/>
      <selection pane="bottomRight" activeCell="C35" sqref="C35"/>
    </sheetView>
  </sheetViews>
  <sheetFormatPr defaultRowHeight="15.75"/>
  <cols>
    <col min="1" max="1" width="5.25" style="544" customWidth="1"/>
    <col min="2" max="2" width="12.25" style="544" customWidth="1"/>
    <col min="3" max="3" width="11.625" style="555" customWidth="1"/>
    <col min="4" max="4" width="11.25" style="555" customWidth="1"/>
    <col min="5" max="5" width="7.75" style="544" customWidth="1"/>
    <col min="6" max="6" width="7.75" style="571" customWidth="1"/>
    <col min="7" max="7" width="6.625" style="544" customWidth="1"/>
    <col min="8" max="8" width="5.625" style="544" customWidth="1"/>
    <col min="9" max="10" width="8.125" style="544" customWidth="1"/>
    <col min="11" max="11" width="5.625" style="544" customWidth="1"/>
    <col min="12" max="12" width="6.125" style="544" customWidth="1"/>
    <col min="13" max="13" width="10.5" style="544" customWidth="1"/>
    <col min="14" max="14" width="5.625" style="544" customWidth="1"/>
    <col min="15" max="15" width="6.125" style="544" customWidth="1"/>
    <col min="16" max="16" width="7.625" style="544" customWidth="1"/>
    <col min="17" max="17" width="5.625" style="544" customWidth="1"/>
    <col min="18" max="18" width="6.125" style="544" customWidth="1"/>
    <col min="19" max="19" width="7.875" style="544" customWidth="1"/>
    <col min="20" max="20" width="5.625" style="544" customWidth="1"/>
    <col min="21" max="21" width="6.125" style="544" customWidth="1"/>
    <col min="22" max="22" width="8.375" style="544" customWidth="1"/>
    <col min="23" max="23" width="5.25" style="544" customWidth="1"/>
    <col min="24" max="24" width="9.5" style="544" customWidth="1"/>
    <col min="25" max="25" width="5.625" style="544" customWidth="1"/>
    <col min="26" max="26" width="6.125" style="544" customWidth="1"/>
    <col min="27" max="27" width="8.875" style="544" customWidth="1"/>
    <col min="28" max="28" width="5.625" style="544" customWidth="1"/>
    <col min="29" max="29" width="6" style="544" customWidth="1"/>
    <col min="30" max="30" width="9.125" style="544" customWidth="1"/>
    <col min="31" max="31" width="7.875" style="544" customWidth="1"/>
    <col min="32" max="33" width="5.625" style="544" customWidth="1"/>
    <col min="34" max="35" width="7.625" style="544" customWidth="1"/>
    <col min="36" max="36" width="10.5" style="544" customWidth="1"/>
    <col min="37" max="37" width="9.375" style="544" customWidth="1"/>
    <col min="38" max="38" width="11.625" style="544" customWidth="1"/>
    <col min="39" max="39" width="8" style="544" customWidth="1"/>
    <col min="40" max="40" width="11.375" style="544" customWidth="1"/>
    <col min="41" max="41" width="7.625" style="544" customWidth="1"/>
    <col min="42" max="42" width="8.375" style="544" customWidth="1"/>
    <col min="43" max="43" width="11" style="544" customWidth="1"/>
    <col min="44" max="44" width="14.375" style="544" customWidth="1"/>
    <col min="45" max="45" width="11.625" style="544" customWidth="1"/>
    <col min="46" max="46" width="16" style="544" customWidth="1"/>
    <col min="47" max="47" width="15.25" style="544" hidden="1" customWidth="1"/>
    <col min="48" max="48" width="8.5" style="544" hidden="1" customWidth="1"/>
    <col min="49" max="49" width="7.25" style="544" customWidth="1"/>
    <col min="50" max="50" width="10.5" style="544" hidden="1" customWidth="1"/>
    <col min="51" max="52" width="9" style="544"/>
    <col min="53" max="55" width="8.875" style="544" customWidth="1"/>
    <col min="56" max="56" width="8.75" style="544" customWidth="1"/>
    <col min="57" max="59" width="9" style="544"/>
    <col min="60" max="60" width="10.25" style="544" customWidth="1"/>
    <col min="61" max="61" width="9" style="544"/>
    <col min="62" max="62" width="16.875" style="544" customWidth="1"/>
    <col min="63" max="63" width="9" style="544"/>
    <col min="64" max="64" width="14" style="544" customWidth="1"/>
    <col min="65" max="65" width="14.125" style="544" customWidth="1"/>
    <col min="66" max="66" width="14.25" style="544" customWidth="1"/>
    <col min="67" max="16384" width="9" style="544"/>
  </cols>
  <sheetData>
    <row r="1" spans="1:66" s="541" customFormat="1" ht="29.25" customHeight="1">
      <c r="A1" s="2110" t="s">
        <v>222</v>
      </c>
      <c r="B1" s="2110"/>
      <c r="C1" s="2110"/>
      <c r="D1" s="2110"/>
      <c r="E1" s="2110"/>
      <c r="F1" s="2110"/>
      <c r="G1" s="2110"/>
      <c r="H1" s="2110"/>
      <c r="I1" s="2110"/>
      <c r="J1" s="2110"/>
      <c r="K1" s="2110"/>
      <c r="L1" s="2110"/>
      <c r="M1" s="2110"/>
      <c r="N1" s="2110"/>
      <c r="O1" s="2110"/>
      <c r="P1" s="2110"/>
      <c r="Q1" s="2110"/>
      <c r="R1" s="2110"/>
      <c r="S1" s="2110"/>
      <c r="T1" s="2110"/>
      <c r="U1" s="2110"/>
      <c r="V1" s="2110"/>
      <c r="W1" s="2110"/>
      <c r="X1" s="2110"/>
      <c r="Y1" s="2110"/>
      <c r="Z1" s="2110"/>
      <c r="AA1" s="2110"/>
      <c r="AB1" s="2110"/>
      <c r="AC1" s="2110"/>
      <c r="AD1" s="2110"/>
      <c r="AE1" s="2110"/>
      <c r="AF1" s="2110"/>
      <c r="AG1" s="2110"/>
      <c r="AH1" s="2110"/>
      <c r="AI1" s="2110"/>
      <c r="AJ1" s="2110"/>
      <c r="AK1" s="2110"/>
      <c r="AL1" s="2110"/>
      <c r="AM1" s="2110"/>
      <c r="AN1" s="2110"/>
      <c r="AO1" s="2110"/>
      <c r="AP1" s="2110"/>
      <c r="AQ1" s="2110"/>
      <c r="AR1" s="2110"/>
      <c r="AS1" s="2110"/>
      <c r="AT1" s="2110"/>
      <c r="AU1" s="751"/>
      <c r="AV1" s="751"/>
      <c r="AW1" s="751"/>
    </row>
    <row r="2" spans="1:66" s="541" customFormat="1" ht="20.25" customHeight="1">
      <c r="A2" s="2110" t="s">
        <v>221</v>
      </c>
      <c r="B2" s="2110"/>
      <c r="C2" s="2110"/>
      <c r="D2" s="2110"/>
      <c r="E2" s="2110"/>
      <c r="F2" s="2110"/>
      <c r="G2" s="2110"/>
      <c r="H2" s="2110"/>
      <c r="I2" s="2110"/>
      <c r="J2" s="2110"/>
      <c r="K2" s="2110"/>
      <c r="L2" s="2110"/>
      <c r="M2" s="2110"/>
      <c r="N2" s="2110"/>
      <c r="O2" s="2110"/>
      <c r="P2" s="2110"/>
      <c r="Q2" s="2110"/>
      <c r="R2" s="2110"/>
      <c r="S2" s="2110"/>
      <c r="T2" s="2110"/>
      <c r="U2" s="2110"/>
      <c r="V2" s="2110"/>
      <c r="W2" s="2110"/>
      <c r="X2" s="2110"/>
      <c r="Y2" s="2110"/>
      <c r="Z2" s="2110"/>
      <c r="AA2" s="2110"/>
      <c r="AB2" s="2110"/>
      <c r="AC2" s="2110"/>
      <c r="AD2" s="2110"/>
      <c r="AE2" s="2110"/>
      <c r="AF2" s="2110"/>
      <c r="AG2" s="2110"/>
      <c r="AH2" s="2110"/>
      <c r="AI2" s="2110"/>
      <c r="AJ2" s="2110"/>
      <c r="AK2" s="2110"/>
      <c r="AL2" s="2110"/>
      <c r="AM2" s="2110"/>
      <c r="AN2" s="2110"/>
      <c r="AO2" s="2110"/>
      <c r="AP2" s="2110"/>
      <c r="AQ2" s="2110"/>
      <c r="AR2" s="2110"/>
      <c r="AS2" s="2110"/>
      <c r="AT2" s="2110"/>
      <c r="AU2" s="751"/>
      <c r="AV2" s="751"/>
      <c r="AW2" s="751"/>
    </row>
    <row r="3" spans="1:66" s="541" customFormat="1" ht="19.5" customHeight="1">
      <c r="A3" s="2111" t="s">
        <v>2342</v>
      </c>
      <c r="B3" s="2111"/>
      <c r="C3" s="2111"/>
      <c r="D3" s="2111"/>
      <c r="E3" s="2111"/>
      <c r="F3" s="2111"/>
      <c r="G3" s="2111"/>
      <c r="H3" s="2111"/>
      <c r="I3" s="2111"/>
      <c r="J3" s="2111"/>
      <c r="K3" s="2111"/>
      <c r="L3" s="2111"/>
      <c r="M3" s="2111"/>
      <c r="N3" s="2111"/>
      <c r="O3" s="2111"/>
      <c r="P3" s="2111"/>
      <c r="Q3" s="2111"/>
      <c r="R3" s="2111"/>
      <c r="S3" s="2111"/>
      <c r="T3" s="2111"/>
      <c r="U3" s="2111"/>
      <c r="V3" s="2111"/>
      <c r="W3" s="2111"/>
      <c r="X3" s="2111"/>
      <c r="Y3" s="2111"/>
      <c r="Z3" s="2111"/>
      <c r="AA3" s="2111"/>
      <c r="AB3" s="2111"/>
      <c r="AC3" s="2111"/>
      <c r="AD3" s="2111"/>
      <c r="AE3" s="2111"/>
      <c r="AF3" s="2111"/>
      <c r="AG3" s="2111"/>
      <c r="AH3" s="2111"/>
      <c r="AI3" s="2111"/>
      <c r="AJ3" s="2111"/>
      <c r="AK3" s="2111"/>
      <c r="AL3" s="2111"/>
      <c r="AM3" s="2111"/>
      <c r="AN3" s="2111"/>
      <c r="AO3" s="2111"/>
      <c r="AP3" s="2111"/>
      <c r="AQ3" s="2111"/>
      <c r="AR3" s="2111"/>
      <c r="AS3" s="2111"/>
      <c r="AT3" s="2111"/>
      <c r="AU3" s="752"/>
      <c r="AV3" s="752"/>
      <c r="AW3" s="752"/>
    </row>
    <row r="4" spans="1:66" s="1040" customFormat="1" ht="20.25" customHeight="1">
      <c r="A4" s="1371" t="s">
        <v>259</v>
      </c>
      <c r="B4" s="1371"/>
      <c r="C4" s="2091" t="s">
        <v>2341</v>
      </c>
      <c r="D4" s="2092"/>
      <c r="E4" s="2092"/>
      <c r="F4" s="2092"/>
      <c r="G4" s="1371"/>
      <c r="H4" s="1371"/>
      <c r="I4" s="1371"/>
      <c r="J4" s="1371"/>
      <c r="K4" s="1371"/>
      <c r="L4" s="1371"/>
      <c r="M4" s="1371"/>
      <c r="N4" s="1371"/>
      <c r="O4" s="1371"/>
      <c r="P4" s="1371"/>
      <c r="Q4" s="1371"/>
      <c r="R4" s="1371"/>
      <c r="S4" s="1371"/>
      <c r="T4" s="1371"/>
      <c r="U4" s="1371"/>
      <c r="V4" s="1371"/>
      <c r="W4" s="1371"/>
      <c r="X4" s="1371"/>
      <c r="Y4" s="1371"/>
      <c r="Z4" s="1371"/>
      <c r="AA4" s="1371"/>
      <c r="AB4" s="1371"/>
      <c r="AC4" s="1371"/>
      <c r="AD4" s="1371"/>
      <c r="AE4" s="1371"/>
      <c r="AF4" s="1371"/>
      <c r="AG4" s="1371"/>
      <c r="AH4" s="1371"/>
      <c r="AI4" s="1371"/>
      <c r="AJ4" s="1371"/>
      <c r="AK4" s="1371"/>
      <c r="AL4" s="1371"/>
      <c r="AM4" s="1371"/>
      <c r="AN4" s="1371"/>
      <c r="AO4" s="1371"/>
      <c r="AP4" s="1371"/>
      <c r="AQ4" s="1371"/>
      <c r="AR4" s="1371"/>
      <c r="AS4" s="1371"/>
      <c r="AT4" s="1371"/>
      <c r="AU4" s="1372"/>
      <c r="AV4" s="1372"/>
      <c r="AW4" s="1372"/>
      <c r="AY4" s="2075" t="s">
        <v>472</v>
      </c>
      <c r="AZ4" s="2075"/>
      <c r="BA4" s="2075"/>
      <c r="BB4" s="2075"/>
      <c r="BC4" s="2075"/>
      <c r="BD4" s="2075"/>
      <c r="BE4" s="2075"/>
      <c r="BF4" s="2075"/>
      <c r="BG4" s="2075"/>
      <c r="BH4" s="2075"/>
    </row>
    <row r="5" spans="1:66" ht="69.95" customHeight="1">
      <c r="A5" s="722" t="s">
        <v>252</v>
      </c>
      <c r="B5" s="722" t="s">
        <v>253</v>
      </c>
      <c r="C5" s="722" t="s">
        <v>911</v>
      </c>
      <c r="D5" s="722" t="s">
        <v>254</v>
      </c>
      <c r="E5" s="643" t="s">
        <v>227</v>
      </c>
      <c r="F5" s="724" t="s">
        <v>255</v>
      </c>
      <c r="G5" s="643" t="s">
        <v>256</v>
      </c>
      <c r="H5" s="2120" t="s">
        <v>1743</v>
      </c>
      <c r="I5" s="2094"/>
      <c r="J5" s="2095"/>
      <c r="K5" s="2120" t="s">
        <v>1744</v>
      </c>
      <c r="L5" s="2094"/>
      <c r="M5" s="2095"/>
      <c r="N5" s="2120" t="s">
        <v>1689</v>
      </c>
      <c r="O5" s="2094"/>
      <c r="P5" s="2095"/>
      <c r="Q5" s="2120" t="s">
        <v>1776</v>
      </c>
      <c r="R5" s="2094"/>
      <c r="S5" s="2095"/>
      <c r="T5" s="2117" t="s">
        <v>1647</v>
      </c>
      <c r="U5" s="2118"/>
      <c r="V5" s="2119"/>
      <c r="W5" s="2102" t="s">
        <v>1674</v>
      </c>
      <c r="X5" s="2103"/>
      <c r="Y5" s="2093" t="s">
        <v>1675</v>
      </c>
      <c r="Z5" s="2094"/>
      <c r="AA5" s="2095"/>
      <c r="AB5" s="2096" t="s">
        <v>1664</v>
      </c>
      <c r="AC5" s="753" t="s">
        <v>258</v>
      </c>
      <c r="AD5" s="2098" t="s">
        <v>220</v>
      </c>
      <c r="AE5" s="1117" t="s">
        <v>1835</v>
      </c>
      <c r="AF5" s="2100" t="s">
        <v>1839</v>
      </c>
      <c r="AG5" s="1268" t="s">
        <v>1832</v>
      </c>
      <c r="AH5" s="2080" t="s">
        <v>1666</v>
      </c>
      <c r="AI5" s="2080" t="s">
        <v>1665</v>
      </c>
      <c r="AJ5" s="2076" t="s">
        <v>1653</v>
      </c>
      <c r="AK5" s="2078" t="s">
        <v>1654</v>
      </c>
      <c r="AL5" s="2114" t="s">
        <v>1667</v>
      </c>
      <c r="AM5" s="2084" t="s">
        <v>1668</v>
      </c>
      <c r="AN5" s="2121" t="s">
        <v>1669</v>
      </c>
      <c r="AO5" s="2116" t="s">
        <v>1713</v>
      </c>
      <c r="AP5" s="2089" t="s">
        <v>1805</v>
      </c>
      <c r="AQ5" s="2112" t="s">
        <v>1933</v>
      </c>
      <c r="AR5" s="2112"/>
      <c r="AS5" s="2113"/>
      <c r="AT5" s="2088" t="s">
        <v>1672</v>
      </c>
      <c r="AU5" s="543"/>
      <c r="AV5" s="543"/>
      <c r="AW5" s="543"/>
      <c r="AX5" s="501"/>
      <c r="AY5" s="2081" t="s">
        <v>219</v>
      </c>
      <c r="AZ5" s="2082"/>
      <c r="BA5" s="2083"/>
      <c r="BB5" s="750"/>
      <c r="BC5" s="750"/>
      <c r="BD5" s="2086"/>
      <c r="BE5" s="2086"/>
      <c r="BF5" s="2086"/>
      <c r="BG5" s="2086"/>
      <c r="BH5" s="2087"/>
      <c r="BJ5" s="722" t="s">
        <v>762</v>
      </c>
      <c r="BK5" s="2104" t="s">
        <v>568</v>
      </c>
      <c r="BL5" s="2104" t="s">
        <v>569</v>
      </c>
      <c r="BM5" s="2106" t="s">
        <v>570</v>
      </c>
      <c r="BN5" s="2108" t="s">
        <v>713</v>
      </c>
    </row>
    <row r="6" spans="1:66" ht="99.95" customHeight="1">
      <c r="A6" s="725" t="s">
        <v>111</v>
      </c>
      <c r="B6" s="725" t="s">
        <v>1640</v>
      </c>
      <c r="C6" s="1122" t="s">
        <v>1643</v>
      </c>
      <c r="D6" s="725" t="s">
        <v>2017</v>
      </c>
      <c r="E6" s="607" t="s">
        <v>1655</v>
      </c>
      <c r="F6" s="1124" t="s">
        <v>1641</v>
      </c>
      <c r="G6" s="607" t="s">
        <v>1656</v>
      </c>
      <c r="H6" s="1128" t="s">
        <v>1657</v>
      </c>
      <c r="I6" s="1129" t="s">
        <v>1658</v>
      </c>
      <c r="J6" s="1129" t="s">
        <v>1644</v>
      </c>
      <c r="K6" s="1142" t="s">
        <v>1679</v>
      </c>
      <c r="L6" s="546" t="s">
        <v>1659</v>
      </c>
      <c r="M6" s="1129" t="s">
        <v>1662</v>
      </c>
      <c r="N6" s="547" t="s">
        <v>1660</v>
      </c>
      <c r="O6" s="546" t="s">
        <v>1659</v>
      </c>
      <c r="P6" s="546" t="s">
        <v>1646</v>
      </c>
      <c r="Q6" s="547" t="s">
        <v>1660</v>
      </c>
      <c r="R6" s="546" t="s">
        <v>1659</v>
      </c>
      <c r="S6" s="546" t="s">
        <v>1662</v>
      </c>
      <c r="T6" s="546" t="s">
        <v>1677</v>
      </c>
      <c r="U6" s="546" t="s">
        <v>1661</v>
      </c>
      <c r="V6" s="546" t="s">
        <v>1662</v>
      </c>
      <c r="W6" s="546" t="s">
        <v>1648</v>
      </c>
      <c r="X6" s="546" t="s">
        <v>1663</v>
      </c>
      <c r="Y6" s="546" t="s">
        <v>1649</v>
      </c>
      <c r="Z6" s="546" t="s">
        <v>1661</v>
      </c>
      <c r="AA6" s="546" t="s">
        <v>1712</v>
      </c>
      <c r="AB6" s="2097"/>
      <c r="AC6" s="754" t="s">
        <v>1651</v>
      </c>
      <c r="AD6" s="2099"/>
      <c r="AE6" s="1118" t="s">
        <v>1678</v>
      </c>
      <c r="AF6" s="2101"/>
      <c r="AG6" s="1269" t="s">
        <v>1833</v>
      </c>
      <c r="AH6" s="2077"/>
      <c r="AI6" s="2077"/>
      <c r="AJ6" s="2077"/>
      <c r="AK6" s="2079"/>
      <c r="AL6" s="2115"/>
      <c r="AM6" s="2085"/>
      <c r="AN6" s="2122"/>
      <c r="AO6" s="2116"/>
      <c r="AP6" s="2090"/>
      <c r="AQ6" s="1144" t="s">
        <v>1714</v>
      </c>
      <c r="AR6" s="1134" t="s">
        <v>1715</v>
      </c>
      <c r="AS6" s="1136" t="s">
        <v>1716</v>
      </c>
      <c r="AT6" s="2088"/>
      <c r="AU6" s="543"/>
      <c r="AV6" s="543"/>
      <c r="AW6" s="543"/>
      <c r="AX6" s="501"/>
      <c r="AY6" s="539" t="s">
        <v>215</v>
      </c>
      <c r="AZ6" s="539" t="s">
        <v>217</v>
      </c>
      <c r="BA6" s="573" t="s">
        <v>125</v>
      </c>
      <c r="BB6" s="502" t="s">
        <v>721</v>
      </c>
      <c r="BC6" s="502" t="s">
        <v>722</v>
      </c>
      <c r="BD6" s="548" t="s">
        <v>723</v>
      </c>
      <c r="BE6" s="548" t="s">
        <v>724</v>
      </c>
      <c r="BF6" s="548" t="s">
        <v>725</v>
      </c>
      <c r="BG6" s="548" t="s">
        <v>215</v>
      </c>
      <c r="BH6" s="549" t="s">
        <v>125</v>
      </c>
      <c r="BJ6" s="726" t="s">
        <v>761</v>
      </c>
      <c r="BK6" s="2105"/>
      <c r="BL6" s="2105"/>
      <c r="BM6" s="2107"/>
      <c r="BN6" s="2109"/>
    </row>
    <row r="7" spans="1:66" s="755" customFormat="1" ht="56.25" customHeight="1">
      <c r="A7" s="1594">
        <v>1</v>
      </c>
      <c r="B7" s="1576" t="s">
        <v>1099</v>
      </c>
      <c r="C7" s="1327" t="s">
        <v>922</v>
      </c>
      <c r="D7" s="1841">
        <v>44382</v>
      </c>
      <c r="E7" s="1637" t="s">
        <v>260</v>
      </c>
      <c r="F7" s="617">
        <f>206</f>
        <v>206</v>
      </c>
      <c r="G7" s="617">
        <f>2</f>
        <v>2</v>
      </c>
      <c r="H7" s="1001">
        <v>20</v>
      </c>
      <c r="I7" s="1408">
        <f>F7/26*H7</f>
        <v>158.46153846153845</v>
      </c>
      <c r="J7" s="618">
        <f t="shared" ref="J7:J36" si="0">F7/26*H7</f>
        <v>158.46153846153845</v>
      </c>
      <c r="K7" s="1001">
        <v>59</v>
      </c>
      <c r="L7" s="510">
        <f t="shared" ref="L7:L36" si="1">F7/26/8*1.5</f>
        <v>1.4855769230769231</v>
      </c>
      <c r="M7" s="503">
        <f t="shared" ref="M7:M36" si="2">K7*L7</f>
        <v>87.649038461538467</v>
      </c>
      <c r="N7" s="1001">
        <v>0</v>
      </c>
      <c r="O7" s="510">
        <f t="shared" ref="O7:O36" si="3">F7/26/8*2</f>
        <v>1.9807692307692308</v>
      </c>
      <c r="P7" s="503">
        <f t="shared" ref="P7:P36" si="4">N7*O7</f>
        <v>0</v>
      </c>
      <c r="Q7" s="1001">
        <v>20</v>
      </c>
      <c r="R7" s="510">
        <f t="shared" ref="R7:R36" si="5">F7/26/8*2</f>
        <v>1.9807692307692308</v>
      </c>
      <c r="S7" s="618">
        <f t="shared" ref="S7:S36" si="6">R7*Q7</f>
        <v>39.615384615384613</v>
      </c>
      <c r="T7" s="1001">
        <v>5</v>
      </c>
      <c r="U7" s="510">
        <f t="shared" ref="U7:U36" si="7">F7/26</f>
        <v>7.9230769230769234</v>
      </c>
      <c r="V7" s="618">
        <f t="shared" ref="V7:V36" si="8">U7*T7</f>
        <v>39.615384615384613</v>
      </c>
      <c r="W7" s="1001">
        <v>0</v>
      </c>
      <c r="X7" s="618">
        <f>'S1 Salary'!T8*'S1'!W7</f>
        <v>0</v>
      </c>
      <c r="Y7" s="1001">
        <v>0</v>
      </c>
      <c r="Z7" s="510">
        <f t="shared" ref="Z7:Z36" si="9">F7/26/2</f>
        <v>3.9615384615384617</v>
      </c>
      <c r="AA7" s="618">
        <f t="shared" ref="AA7:AA36" si="10">Y7*Z7</f>
        <v>0</v>
      </c>
      <c r="AB7" s="1001">
        <v>2</v>
      </c>
      <c r="AC7" s="1467">
        <f t="shared" ref="AC7:AC36" si="11">H7+T7+Y7+AB7+W7</f>
        <v>27</v>
      </c>
      <c r="AD7" s="1096">
        <v>0</v>
      </c>
      <c r="AE7" s="1121">
        <v>0</v>
      </c>
      <c r="AF7" s="1412">
        <f>4+4</f>
        <v>8</v>
      </c>
      <c r="AG7" s="511">
        <v>0</v>
      </c>
      <c r="AH7" s="618">
        <v>0</v>
      </c>
      <c r="AI7" s="1410">
        <v>4</v>
      </c>
      <c r="AJ7" s="1410">
        <v>10</v>
      </c>
      <c r="AK7" s="1410">
        <v>10</v>
      </c>
      <c r="AL7" s="1148">
        <f t="shared" ref="AL7:AL36" si="12">G7+J7+M7+P7+S7+V7+AA7+AD7+AF7+AH7+AI7+AJ7+AK7+X7+AE7+AG7</f>
        <v>359.34134615384619</v>
      </c>
      <c r="AM7" s="1282">
        <v>0</v>
      </c>
      <c r="AN7" s="1815">
        <v>102</v>
      </c>
      <c r="AO7" s="503">
        <f>'Tax Calulation '!P7</f>
        <v>0</v>
      </c>
      <c r="AP7" s="1096">
        <f>'Tax Calulation '!W7</f>
        <v>5.9084194977843429</v>
      </c>
      <c r="AQ7" s="1686">
        <f t="shared" ref="AQ7:AQ36" si="13">AL7-AO7-AN7-AP7-AM7</f>
        <v>251.43292665606185</v>
      </c>
      <c r="AR7" s="1682">
        <f>ROUND((AQ7-AS7)*4040,-2)</f>
        <v>207800</v>
      </c>
      <c r="AS7" s="1683">
        <f t="shared" ref="AS7:AS36" si="14">CEILING(AQ7,(100))-100</f>
        <v>200</v>
      </c>
      <c r="AT7" s="502"/>
      <c r="AU7" s="504"/>
      <c r="AV7" s="504"/>
      <c r="AW7" s="504"/>
      <c r="AX7" s="505"/>
      <c r="AY7" s="502">
        <f t="shared" ref="AY7" si="15">INT(AS7/100)</f>
        <v>2</v>
      </c>
      <c r="AZ7" s="502">
        <f t="shared" ref="AZ7" si="16">INT((AS7-AY7*100)/50)</f>
        <v>0</v>
      </c>
      <c r="BA7" s="573">
        <f t="shared" ref="BA7" si="17">AY7*100+AZ7*50</f>
        <v>200</v>
      </c>
      <c r="BB7" s="573">
        <f t="shared" ref="BB7" si="18">INT((AR7/50000))</f>
        <v>4</v>
      </c>
      <c r="BC7" s="548">
        <f t="shared" ref="BC7" si="19">INT((AR7-BB7*50000)/10000)</f>
        <v>0</v>
      </c>
      <c r="BD7" s="548">
        <f t="shared" ref="BD7" si="20">INT((AR7-BB7*50000-BC7*10000)/5000)</f>
        <v>1</v>
      </c>
      <c r="BE7" s="548">
        <f t="shared" ref="BE7" si="21">INT((AR7-BB7*50000-BC7*10000-BD7*5000)/1000)</f>
        <v>2</v>
      </c>
      <c r="BF7" s="548">
        <f t="shared" ref="BF7" si="22">INT((AR7-BB7*50000-BC7*10000-BD7*5000-BE7*1000)/500)</f>
        <v>1</v>
      </c>
      <c r="BG7" s="548">
        <f t="shared" ref="BG7" si="23">INT((AR7-BB7*50000-BC7*10000-BD7*5000-BE7*1000-BF7*500)/100)</f>
        <v>3</v>
      </c>
      <c r="BH7" s="549">
        <f t="shared" ref="BH7" si="24">BB7*50000+BC7*10000+BD7*5000+BE7*1000+BF7*500+BG7*100</f>
        <v>207800</v>
      </c>
      <c r="BJ7" s="515" t="s">
        <v>1339</v>
      </c>
      <c r="BK7" s="516" t="s">
        <v>573</v>
      </c>
      <c r="BL7" s="1162">
        <v>35474</v>
      </c>
      <c r="BM7" s="746" t="s">
        <v>919</v>
      </c>
      <c r="BN7" s="1422">
        <v>50785426</v>
      </c>
    </row>
    <row r="8" spans="1:66" s="755" customFormat="1" ht="56.25" customHeight="1">
      <c r="A8" s="1594">
        <v>2</v>
      </c>
      <c r="B8" s="1576" t="s">
        <v>1100</v>
      </c>
      <c r="C8" s="1327" t="s">
        <v>955</v>
      </c>
      <c r="D8" s="1841">
        <v>44505</v>
      </c>
      <c r="E8" s="1637" t="s">
        <v>260</v>
      </c>
      <c r="F8" s="617">
        <f>206</f>
        <v>206</v>
      </c>
      <c r="G8" s="617">
        <f>2</f>
        <v>2</v>
      </c>
      <c r="H8" s="1001">
        <v>22</v>
      </c>
      <c r="I8" s="1408">
        <f t="shared" ref="I8:I36" si="25">F8/26*H8</f>
        <v>174.30769230769232</v>
      </c>
      <c r="J8" s="618">
        <f t="shared" si="0"/>
        <v>174.30769230769232</v>
      </c>
      <c r="K8" s="1001">
        <v>60</v>
      </c>
      <c r="L8" s="510">
        <f t="shared" si="1"/>
        <v>1.4855769230769231</v>
      </c>
      <c r="M8" s="503">
        <f t="shared" si="2"/>
        <v>89.134615384615387</v>
      </c>
      <c r="N8" s="1001">
        <v>0</v>
      </c>
      <c r="O8" s="510">
        <f t="shared" si="3"/>
        <v>1.9807692307692308</v>
      </c>
      <c r="P8" s="503">
        <f t="shared" si="4"/>
        <v>0</v>
      </c>
      <c r="Q8" s="1001">
        <v>16</v>
      </c>
      <c r="R8" s="510">
        <f t="shared" si="5"/>
        <v>1.9807692307692308</v>
      </c>
      <c r="S8" s="618">
        <f t="shared" si="6"/>
        <v>31.692307692307693</v>
      </c>
      <c r="T8" s="1001">
        <v>5</v>
      </c>
      <c r="U8" s="510">
        <f t="shared" si="7"/>
        <v>7.9230769230769234</v>
      </c>
      <c r="V8" s="618">
        <f t="shared" si="8"/>
        <v>39.615384615384613</v>
      </c>
      <c r="W8" s="1001">
        <v>0</v>
      </c>
      <c r="X8" s="618">
        <f>'S1 Salary'!T9*'S1'!W8</f>
        <v>0</v>
      </c>
      <c r="Y8" s="1001">
        <v>0</v>
      </c>
      <c r="Z8" s="510">
        <f t="shared" si="9"/>
        <v>3.9615384615384617</v>
      </c>
      <c r="AA8" s="618">
        <f t="shared" si="10"/>
        <v>0</v>
      </c>
      <c r="AB8" s="1001">
        <v>0</v>
      </c>
      <c r="AC8" s="1467">
        <f t="shared" si="11"/>
        <v>27</v>
      </c>
      <c r="AD8" s="1096">
        <v>0</v>
      </c>
      <c r="AE8" s="1121">
        <v>0</v>
      </c>
      <c r="AF8" s="1412">
        <f>4+4</f>
        <v>8</v>
      </c>
      <c r="AG8" s="511">
        <v>0</v>
      </c>
      <c r="AH8" s="618">
        <v>10</v>
      </c>
      <c r="AI8" s="1410">
        <v>3</v>
      </c>
      <c r="AJ8" s="1410">
        <v>10</v>
      </c>
      <c r="AK8" s="1410">
        <v>10</v>
      </c>
      <c r="AL8" s="1148">
        <f t="shared" si="12"/>
        <v>377.75</v>
      </c>
      <c r="AM8" s="1282">
        <v>0</v>
      </c>
      <c r="AN8" s="1815">
        <v>102</v>
      </c>
      <c r="AO8" s="503">
        <f>'Tax Calulation '!P8</f>
        <v>0</v>
      </c>
      <c r="AP8" s="1096">
        <f>'Tax Calulation '!W8</f>
        <v>5.9084194977843429</v>
      </c>
      <c r="AQ8" s="1686">
        <f t="shared" si="13"/>
        <v>269.84158050221566</v>
      </c>
      <c r="AR8" s="1682">
        <f t="shared" ref="AR8:AR36" si="26">ROUND((AQ8-AS8)*4040,-2)</f>
        <v>282200</v>
      </c>
      <c r="AS8" s="1683">
        <f t="shared" si="14"/>
        <v>200</v>
      </c>
      <c r="AT8" s="502"/>
      <c r="AU8" s="504"/>
      <c r="AV8" s="504"/>
      <c r="AW8" s="504"/>
      <c r="AX8" s="505"/>
      <c r="AY8" s="502">
        <f t="shared" ref="AY8" si="27">INT(AS8/100)</f>
        <v>2</v>
      </c>
      <c r="AZ8" s="502">
        <f t="shared" ref="AZ8" si="28">INT((AS8-AY8*100)/50)</f>
        <v>0</v>
      </c>
      <c r="BA8" s="573">
        <f t="shared" ref="BA8" si="29">AY8*100+AZ8*50</f>
        <v>200</v>
      </c>
      <c r="BB8" s="573">
        <f t="shared" ref="BB8" si="30">INT((AR8/50000))</f>
        <v>5</v>
      </c>
      <c r="BC8" s="548">
        <f t="shared" ref="BC8" si="31">INT((AR8-BB8*50000)/10000)</f>
        <v>3</v>
      </c>
      <c r="BD8" s="548">
        <f t="shared" ref="BD8" si="32">INT((AR8-BB8*50000-BC8*10000)/5000)</f>
        <v>0</v>
      </c>
      <c r="BE8" s="548">
        <f t="shared" ref="BE8" si="33">INT((AR8-BB8*50000-BC8*10000-BD8*5000)/1000)</f>
        <v>2</v>
      </c>
      <c r="BF8" s="548">
        <f t="shared" ref="BF8" si="34">INT((AR8-BB8*50000-BC8*10000-BD8*5000-BE8*1000)/500)</f>
        <v>0</v>
      </c>
      <c r="BG8" s="548">
        <f t="shared" ref="BG8" si="35">INT((AR8-BB8*50000-BC8*10000-BD8*5000-BE8*1000-BF8*500)/100)</f>
        <v>2</v>
      </c>
      <c r="BH8" s="549">
        <f t="shared" ref="BH8" si="36">BB8*50000+BC8*10000+BD8*5000+BE8*1000+BF8*500+BG8*100</f>
        <v>282200</v>
      </c>
      <c r="BJ8" s="515" t="s">
        <v>960</v>
      </c>
      <c r="BK8" s="516" t="s">
        <v>573</v>
      </c>
      <c r="BL8" s="1162">
        <v>30689</v>
      </c>
      <c r="BM8" s="746" t="s">
        <v>961</v>
      </c>
      <c r="BN8" s="1422" t="s">
        <v>962</v>
      </c>
    </row>
    <row r="9" spans="1:66" s="755" customFormat="1" ht="56.25" customHeight="1">
      <c r="A9" s="1594">
        <v>3</v>
      </c>
      <c r="B9" s="1576" t="s">
        <v>1101</v>
      </c>
      <c r="C9" s="1327" t="s">
        <v>956</v>
      </c>
      <c r="D9" s="1841">
        <v>44523</v>
      </c>
      <c r="E9" s="1637" t="s">
        <v>260</v>
      </c>
      <c r="F9" s="617">
        <f>206</f>
        <v>206</v>
      </c>
      <c r="G9" s="617">
        <v>2</v>
      </c>
      <c r="H9" s="1001">
        <v>21</v>
      </c>
      <c r="I9" s="1408">
        <f t="shared" si="25"/>
        <v>166.38461538461539</v>
      </c>
      <c r="J9" s="618">
        <f t="shared" si="0"/>
        <v>166.38461538461539</v>
      </c>
      <c r="K9" s="1001">
        <v>68</v>
      </c>
      <c r="L9" s="510">
        <f t="shared" si="1"/>
        <v>1.4855769230769231</v>
      </c>
      <c r="M9" s="503">
        <f t="shared" si="2"/>
        <v>101.01923076923077</v>
      </c>
      <c r="N9" s="1001">
        <v>0</v>
      </c>
      <c r="O9" s="510">
        <f t="shared" si="3"/>
        <v>1.9807692307692308</v>
      </c>
      <c r="P9" s="503">
        <f t="shared" si="4"/>
        <v>0</v>
      </c>
      <c r="Q9" s="1001">
        <v>24</v>
      </c>
      <c r="R9" s="510">
        <f t="shared" si="5"/>
        <v>1.9807692307692308</v>
      </c>
      <c r="S9" s="618">
        <f t="shared" si="6"/>
        <v>47.53846153846154</v>
      </c>
      <c r="T9" s="1001">
        <v>5.5</v>
      </c>
      <c r="U9" s="510">
        <f t="shared" si="7"/>
        <v>7.9230769230769234</v>
      </c>
      <c r="V9" s="618">
        <f t="shared" si="8"/>
        <v>43.57692307692308</v>
      </c>
      <c r="W9" s="1001">
        <v>0.5</v>
      </c>
      <c r="X9" s="618">
        <f>'S1 Salary'!T10*'S1'!W9</f>
        <v>6.0156337486115525</v>
      </c>
      <c r="Y9" s="1001">
        <v>0</v>
      </c>
      <c r="Z9" s="510">
        <f t="shared" si="9"/>
        <v>3.9615384615384617</v>
      </c>
      <c r="AA9" s="618">
        <f t="shared" si="10"/>
        <v>0</v>
      </c>
      <c r="AB9" s="1001">
        <v>0</v>
      </c>
      <c r="AC9" s="1467">
        <f t="shared" si="11"/>
        <v>27</v>
      </c>
      <c r="AD9" s="1096">
        <v>0</v>
      </c>
      <c r="AE9" s="1121">
        <v>0</v>
      </c>
      <c r="AF9" s="1412">
        <f>4+4</f>
        <v>8</v>
      </c>
      <c r="AG9" s="511">
        <v>0</v>
      </c>
      <c r="AH9" s="618">
        <v>10</v>
      </c>
      <c r="AI9" s="1410">
        <v>3</v>
      </c>
      <c r="AJ9" s="1410">
        <v>10</v>
      </c>
      <c r="AK9" s="1410">
        <v>10</v>
      </c>
      <c r="AL9" s="1148">
        <f t="shared" si="12"/>
        <v>407.53486451784238</v>
      </c>
      <c r="AM9" s="1282">
        <v>0</v>
      </c>
      <c r="AN9" s="1815">
        <v>102</v>
      </c>
      <c r="AO9" s="503">
        <f>'Tax Calulation '!P9</f>
        <v>0</v>
      </c>
      <c r="AP9" s="1096">
        <f>'Tax Calulation '!W9</f>
        <v>5.9084194977843429</v>
      </c>
      <c r="AQ9" s="1686">
        <f t="shared" si="13"/>
        <v>299.62644502005804</v>
      </c>
      <c r="AR9" s="1682">
        <f t="shared" si="26"/>
        <v>402500</v>
      </c>
      <c r="AS9" s="1683">
        <f t="shared" si="14"/>
        <v>200</v>
      </c>
      <c r="AT9" s="502"/>
      <c r="AU9" s="504"/>
      <c r="AV9" s="504"/>
      <c r="AW9" s="504"/>
      <c r="AX9" s="505"/>
      <c r="AY9" s="502">
        <f t="shared" ref="AY9:AY10" si="37">INT(AS9/100)</f>
        <v>2</v>
      </c>
      <c r="AZ9" s="502">
        <f t="shared" ref="AZ9:AZ10" si="38">INT((AS9-AY9*100)/50)</f>
        <v>0</v>
      </c>
      <c r="BA9" s="573">
        <f t="shared" ref="BA9:BA10" si="39">AY9*100+AZ9*50</f>
        <v>200</v>
      </c>
      <c r="BB9" s="573">
        <f t="shared" ref="BB9:BB10" si="40">INT((AR9/50000))</f>
        <v>8</v>
      </c>
      <c r="BC9" s="548">
        <f t="shared" ref="BC9:BC10" si="41">INT((AR9-BB9*50000)/10000)</f>
        <v>0</v>
      </c>
      <c r="BD9" s="548">
        <f t="shared" ref="BD9:BD10" si="42">INT((AR9-BB9*50000-BC9*10000)/5000)</f>
        <v>0</v>
      </c>
      <c r="BE9" s="548">
        <f t="shared" ref="BE9:BE10" si="43">INT((AR9-BB9*50000-BC9*10000-BD9*5000)/1000)</f>
        <v>2</v>
      </c>
      <c r="BF9" s="548">
        <f t="shared" ref="BF9:BF10" si="44">INT((AR9-BB9*50000-BC9*10000-BD9*5000-BE9*1000)/500)</f>
        <v>1</v>
      </c>
      <c r="BG9" s="548">
        <f t="shared" ref="BG9:BG10" si="45">INT((AR9-BB9*50000-BC9*10000-BD9*5000-BE9*1000-BF9*500)/100)</f>
        <v>0</v>
      </c>
      <c r="BH9" s="549">
        <f t="shared" ref="BH9:BH10" si="46">BB9*50000+BC9*10000+BD9*5000+BE9*1000+BF9*500+BG9*100</f>
        <v>402500</v>
      </c>
      <c r="BJ9" s="515" t="s">
        <v>963</v>
      </c>
      <c r="BK9" s="516" t="s">
        <v>573</v>
      </c>
      <c r="BL9" s="1162">
        <v>36201</v>
      </c>
      <c r="BM9" s="746" t="s">
        <v>964</v>
      </c>
      <c r="BN9" s="1422" t="s">
        <v>965</v>
      </c>
    </row>
    <row r="10" spans="1:66" s="755" customFormat="1" ht="56.25" customHeight="1">
      <c r="A10" s="1594">
        <v>4</v>
      </c>
      <c r="B10" s="1398" t="s">
        <v>1910</v>
      </c>
      <c r="C10" s="1399" t="s">
        <v>1911</v>
      </c>
      <c r="D10" s="1850">
        <v>45048</v>
      </c>
      <c r="E10" s="1637" t="s">
        <v>260</v>
      </c>
      <c r="F10" s="617">
        <f>200+4</f>
        <v>204</v>
      </c>
      <c r="G10" s="617">
        <v>0</v>
      </c>
      <c r="H10" s="1001">
        <v>22</v>
      </c>
      <c r="I10" s="1408">
        <f t="shared" si="25"/>
        <v>172.61538461538461</v>
      </c>
      <c r="J10" s="618">
        <f t="shared" si="0"/>
        <v>172.61538461538461</v>
      </c>
      <c r="K10" s="1001">
        <v>68</v>
      </c>
      <c r="L10" s="510">
        <f t="shared" si="1"/>
        <v>1.471153846153846</v>
      </c>
      <c r="M10" s="503">
        <f t="shared" si="2"/>
        <v>100.03846153846153</v>
      </c>
      <c r="N10" s="1001">
        <v>0</v>
      </c>
      <c r="O10" s="510">
        <f t="shared" si="3"/>
        <v>1.9615384615384615</v>
      </c>
      <c r="P10" s="503">
        <f t="shared" ref="P10:P11" si="47">N10*O10</f>
        <v>0</v>
      </c>
      <c r="Q10" s="1001">
        <v>24</v>
      </c>
      <c r="R10" s="510">
        <f t="shared" si="5"/>
        <v>1.9615384615384615</v>
      </c>
      <c r="S10" s="618">
        <f t="shared" si="6"/>
        <v>47.076923076923073</v>
      </c>
      <c r="T10" s="1001">
        <v>5</v>
      </c>
      <c r="U10" s="510">
        <f t="shared" si="7"/>
        <v>7.8461538461538458</v>
      </c>
      <c r="V10" s="618">
        <f t="shared" si="8"/>
        <v>39.230769230769226</v>
      </c>
      <c r="W10" s="1001">
        <v>0</v>
      </c>
      <c r="X10" s="618">
        <f>'S1 Salary'!T11*'S1'!W10</f>
        <v>0</v>
      </c>
      <c r="Y10" s="1001">
        <v>0</v>
      </c>
      <c r="Z10" s="510">
        <f t="shared" si="9"/>
        <v>3.9230769230769229</v>
      </c>
      <c r="AA10" s="618">
        <f t="shared" si="10"/>
        <v>0</v>
      </c>
      <c r="AB10" s="1001">
        <v>0</v>
      </c>
      <c r="AC10" s="1467">
        <f t="shared" si="11"/>
        <v>27</v>
      </c>
      <c r="AD10" s="1096">
        <v>0</v>
      </c>
      <c r="AE10" s="1121">
        <v>0</v>
      </c>
      <c r="AF10" s="1412">
        <v>10</v>
      </c>
      <c r="AG10" s="511">
        <v>0</v>
      </c>
      <c r="AH10" s="618">
        <v>10</v>
      </c>
      <c r="AI10" s="1410">
        <v>2</v>
      </c>
      <c r="AJ10" s="1410">
        <v>10</v>
      </c>
      <c r="AK10" s="1410">
        <v>10</v>
      </c>
      <c r="AL10" s="1148">
        <f t="shared" si="12"/>
        <v>400.96153846153845</v>
      </c>
      <c r="AM10" s="1282">
        <v>0</v>
      </c>
      <c r="AN10" s="1815">
        <v>102</v>
      </c>
      <c r="AO10" s="503">
        <f>'Tax Calulation '!P10</f>
        <v>0</v>
      </c>
      <c r="AP10" s="1096">
        <f>'Tax Calulation '!W10</f>
        <v>5.9084194977843429</v>
      </c>
      <c r="AQ10" s="1686">
        <f t="shared" si="13"/>
        <v>293.05311896375412</v>
      </c>
      <c r="AR10" s="1682">
        <f t="shared" si="26"/>
        <v>375900</v>
      </c>
      <c r="AS10" s="1683">
        <f t="shared" ref="AS10:AS11" si="48">CEILING(AQ10,(100))-100</f>
        <v>200</v>
      </c>
      <c r="AT10" s="502"/>
      <c r="AU10" s="504"/>
      <c r="AV10" s="504"/>
      <c r="AW10" s="504"/>
      <c r="AX10" s="505"/>
      <c r="AY10" s="502">
        <f t="shared" si="37"/>
        <v>2</v>
      </c>
      <c r="AZ10" s="502">
        <f t="shared" si="38"/>
        <v>0</v>
      </c>
      <c r="BA10" s="1113">
        <f t="shared" si="39"/>
        <v>200</v>
      </c>
      <c r="BB10" s="1113">
        <f t="shared" si="40"/>
        <v>7</v>
      </c>
      <c r="BC10" s="548">
        <f t="shared" si="41"/>
        <v>2</v>
      </c>
      <c r="BD10" s="548">
        <f t="shared" si="42"/>
        <v>1</v>
      </c>
      <c r="BE10" s="548">
        <f t="shared" si="43"/>
        <v>0</v>
      </c>
      <c r="BF10" s="548">
        <f t="shared" si="44"/>
        <v>1</v>
      </c>
      <c r="BG10" s="548">
        <f t="shared" si="45"/>
        <v>4</v>
      </c>
      <c r="BH10" s="549">
        <f t="shared" si="46"/>
        <v>375900</v>
      </c>
      <c r="BJ10" s="1424" t="s">
        <v>1914</v>
      </c>
      <c r="BK10" s="516" t="s">
        <v>573</v>
      </c>
      <c r="BL10" s="1425">
        <v>32273</v>
      </c>
      <c r="BM10" s="1426" t="s">
        <v>1916</v>
      </c>
      <c r="BN10" s="1422" t="s">
        <v>1937</v>
      </c>
    </row>
    <row r="11" spans="1:66" s="755" customFormat="1" ht="56.25" customHeight="1">
      <c r="A11" s="1594">
        <v>5</v>
      </c>
      <c r="B11" s="1398" t="s">
        <v>1912</v>
      </c>
      <c r="C11" s="1399" t="s">
        <v>1913</v>
      </c>
      <c r="D11" s="1850">
        <v>45048</v>
      </c>
      <c r="E11" s="1637" t="s">
        <v>260</v>
      </c>
      <c r="F11" s="617">
        <f>200+4</f>
        <v>204</v>
      </c>
      <c r="G11" s="617">
        <v>0</v>
      </c>
      <c r="H11" s="1001">
        <v>22</v>
      </c>
      <c r="I11" s="1408">
        <f t="shared" si="25"/>
        <v>172.61538461538461</v>
      </c>
      <c r="J11" s="618">
        <f t="shared" si="0"/>
        <v>172.61538461538461</v>
      </c>
      <c r="K11" s="1001">
        <v>56</v>
      </c>
      <c r="L11" s="510">
        <f t="shared" si="1"/>
        <v>1.471153846153846</v>
      </c>
      <c r="M11" s="503">
        <f t="shared" si="2"/>
        <v>82.384615384615373</v>
      </c>
      <c r="N11" s="1001">
        <v>0</v>
      </c>
      <c r="O11" s="510">
        <f t="shared" si="3"/>
        <v>1.9615384615384615</v>
      </c>
      <c r="P11" s="503">
        <f t="shared" si="47"/>
        <v>0</v>
      </c>
      <c r="Q11" s="1001">
        <v>24</v>
      </c>
      <c r="R11" s="510">
        <f t="shared" si="5"/>
        <v>1.9615384615384615</v>
      </c>
      <c r="S11" s="618">
        <f t="shared" si="6"/>
        <v>47.076923076923073</v>
      </c>
      <c r="T11" s="1001">
        <v>5</v>
      </c>
      <c r="U11" s="510">
        <f t="shared" si="7"/>
        <v>7.8461538461538458</v>
      </c>
      <c r="V11" s="618">
        <f t="shared" si="8"/>
        <v>39.230769230769226</v>
      </c>
      <c r="W11" s="1001">
        <v>0</v>
      </c>
      <c r="X11" s="618">
        <f>'S1 Salary'!T12*'S1'!W11</f>
        <v>0</v>
      </c>
      <c r="Y11" s="1001">
        <v>0</v>
      </c>
      <c r="Z11" s="510">
        <f t="shared" si="9"/>
        <v>3.9230769230769229</v>
      </c>
      <c r="AA11" s="618">
        <f t="shared" si="10"/>
        <v>0</v>
      </c>
      <c r="AB11" s="1001">
        <v>0</v>
      </c>
      <c r="AC11" s="1467">
        <f t="shared" si="11"/>
        <v>27</v>
      </c>
      <c r="AD11" s="1096">
        <v>0</v>
      </c>
      <c r="AE11" s="1121">
        <v>0</v>
      </c>
      <c r="AF11" s="1412">
        <v>10</v>
      </c>
      <c r="AG11" s="511">
        <v>0</v>
      </c>
      <c r="AH11" s="618">
        <v>10</v>
      </c>
      <c r="AI11" s="1410">
        <v>2</v>
      </c>
      <c r="AJ11" s="1410">
        <v>10</v>
      </c>
      <c r="AK11" s="1410">
        <v>10</v>
      </c>
      <c r="AL11" s="1148">
        <f t="shared" si="12"/>
        <v>383.30769230769232</v>
      </c>
      <c r="AM11" s="1282">
        <v>0</v>
      </c>
      <c r="AN11" s="1815">
        <v>102</v>
      </c>
      <c r="AO11" s="503">
        <f>'Tax Calulation '!P11</f>
        <v>0</v>
      </c>
      <c r="AP11" s="1096">
        <f>'Tax Calulation '!W11</f>
        <v>5.9084194977843429</v>
      </c>
      <c r="AQ11" s="1686">
        <f t="shared" si="13"/>
        <v>275.39927280990798</v>
      </c>
      <c r="AR11" s="1682">
        <f t="shared" si="26"/>
        <v>304600</v>
      </c>
      <c r="AS11" s="1683">
        <f t="shared" si="48"/>
        <v>200</v>
      </c>
      <c r="AT11" s="502"/>
      <c r="AU11" s="504"/>
      <c r="AV11" s="504"/>
      <c r="AW11" s="504"/>
      <c r="AX11" s="505"/>
      <c r="AY11" s="502">
        <f t="shared" ref="AY11" si="49">INT(AS11/100)</f>
        <v>2</v>
      </c>
      <c r="AZ11" s="502">
        <f t="shared" ref="AZ11" si="50">INT((AS11-AY11*100)/50)</f>
        <v>0</v>
      </c>
      <c r="BA11" s="1113">
        <f t="shared" ref="BA11" si="51">AY11*100+AZ11*50</f>
        <v>200</v>
      </c>
      <c r="BB11" s="1113">
        <f t="shared" ref="BB11" si="52">INT((AR11/50000))</f>
        <v>6</v>
      </c>
      <c r="BC11" s="548">
        <f t="shared" ref="BC11" si="53">INT((AR11-BB11*50000)/10000)</f>
        <v>0</v>
      </c>
      <c r="BD11" s="548">
        <f t="shared" ref="BD11" si="54">INT((AR11-BB11*50000-BC11*10000)/5000)</f>
        <v>0</v>
      </c>
      <c r="BE11" s="548">
        <f t="shared" ref="BE11" si="55">INT((AR11-BB11*50000-BC11*10000-BD11*5000)/1000)</f>
        <v>4</v>
      </c>
      <c r="BF11" s="548">
        <f t="shared" ref="BF11" si="56">INT((AR11-BB11*50000-BC11*10000-BD11*5000-BE11*1000)/500)</f>
        <v>1</v>
      </c>
      <c r="BG11" s="548">
        <f t="shared" ref="BG11" si="57">INT((AR11-BB11*50000-BC11*10000-BD11*5000-BE11*1000-BF11*500)/100)</f>
        <v>1</v>
      </c>
      <c r="BH11" s="549">
        <f t="shared" ref="BH11" si="58">BB11*50000+BC11*10000+BD11*5000+BE11*1000+BF11*500+BG11*100</f>
        <v>304600</v>
      </c>
      <c r="BJ11" s="1424" t="s">
        <v>1915</v>
      </c>
      <c r="BK11" s="516" t="s">
        <v>573</v>
      </c>
      <c r="BL11" s="1425">
        <v>30937</v>
      </c>
      <c r="BM11" s="1426" t="s">
        <v>1917</v>
      </c>
      <c r="BN11" s="1422" t="s">
        <v>1938</v>
      </c>
    </row>
    <row r="12" spans="1:66" s="768" customFormat="1" ht="56.25" customHeight="1">
      <c r="A12" s="1594">
        <v>6</v>
      </c>
      <c r="B12" s="1419" t="s">
        <v>1963</v>
      </c>
      <c r="C12" s="1448" t="s">
        <v>1964</v>
      </c>
      <c r="D12" s="1851">
        <v>45120</v>
      </c>
      <c r="E12" s="1151" t="s">
        <v>260</v>
      </c>
      <c r="F12" s="758">
        <f>200+4</f>
        <v>204</v>
      </c>
      <c r="G12" s="758">
        <v>0</v>
      </c>
      <c r="H12" s="1001">
        <v>22</v>
      </c>
      <c r="I12" s="1408">
        <f t="shared" si="25"/>
        <v>172.61538461538461</v>
      </c>
      <c r="J12" s="618">
        <f t="shared" si="0"/>
        <v>172.61538461538461</v>
      </c>
      <c r="K12" s="1001">
        <v>67</v>
      </c>
      <c r="L12" s="510">
        <f t="shared" si="1"/>
        <v>1.471153846153846</v>
      </c>
      <c r="M12" s="503">
        <f t="shared" si="2"/>
        <v>98.567307692307679</v>
      </c>
      <c r="N12" s="1001">
        <v>0</v>
      </c>
      <c r="O12" s="510">
        <f t="shared" si="3"/>
        <v>1.9615384615384615</v>
      </c>
      <c r="P12" s="760">
        <f t="shared" ref="P12" si="59">N12*O12</f>
        <v>0</v>
      </c>
      <c r="Q12" s="1001">
        <v>24</v>
      </c>
      <c r="R12" s="510">
        <f t="shared" si="5"/>
        <v>1.9615384615384615</v>
      </c>
      <c r="S12" s="618">
        <f t="shared" si="6"/>
        <v>47.076923076923073</v>
      </c>
      <c r="T12" s="1001">
        <v>5</v>
      </c>
      <c r="U12" s="510">
        <f t="shared" si="7"/>
        <v>7.8461538461538458</v>
      </c>
      <c r="V12" s="618">
        <f t="shared" si="8"/>
        <v>39.230769230769226</v>
      </c>
      <c r="W12" s="1001">
        <v>0</v>
      </c>
      <c r="X12" s="618">
        <f>'S1 Salary'!T13*'S1'!W12</f>
        <v>0</v>
      </c>
      <c r="Y12" s="1001">
        <v>0</v>
      </c>
      <c r="Z12" s="510">
        <f t="shared" si="9"/>
        <v>3.9230769230769229</v>
      </c>
      <c r="AA12" s="618">
        <f t="shared" si="10"/>
        <v>0</v>
      </c>
      <c r="AB12" s="1001">
        <v>0</v>
      </c>
      <c r="AC12" s="1467">
        <f t="shared" si="11"/>
        <v>27</v>
      </c>
      <c r="AD12" s="1096">
        <v>0</v>
      </c>
      <c r="AE12" s="1121">
        <v>0</v>
      </c>
      <c r="AF12" s="1413">
        <v>5</v>
      </c>
      <c r="AG12" s="762">
        <v>5</v>
      </c>
      <c r="AH12" s="618">
        <v>10</v>
      </c>
      <c r="AI12" s="1411">
        <v>2</v>
      </c>
      <c r="AJ12" s="1410">
        <v>10</v>
      </c>
      <c r="AK12" s="1410">
        <v>10</v>
      </c>
      <c r="AL12" s="1148">
        <f t="shared" si="12"/>
        <v>399.49038461538458</v>
      </c>
      <c r="AM12" s="1283">
        <v>0</v>
      </c>
      <c r="AN12" s="1815">
        <v>102</v>
      </c>
      <c r="AO12" s="503">
        <f>'Tax Calulation '!P12</f>
        <v>0</v>
      </c>
      <c r="AP12" s="1096">
        <f>'Tax Calulation '!W12</f>
        <v>5.9084194977843429</v>
      </c>
      <c r="AQ12" s="1686">
        <f t="shared" si="13"/>
        <v>291.58196511760025</v>
      </c>
      <c r="AR12" s="1682">
        <f t="shared" si="26"/>
        <v>370000</v>
      </c>
      <c r="AS12" s="1684">
        <f t="shared" ref="AS12" si="60">CEILING(AQ12,(100))-100</f>
        <v>200</v>
      </c>
      <c r="AT12" s="612"/>
      <c r="AU12" s="763"/>
      <c r="AV12" s="763"/>
      <c r="AW12" s="763"/>
      <c r="AX12" s="764"/>
      <c r="AY12" s="502">
        <f t="shared" ref="AY12:AY13" si="61">INT(AS12/100)</f>
        <v>2</v>
      </c>
      <c r="AZ12" s="502">
        <f t="shared" ref="AZ12:AZ13" si="62">INT((AS12-AY12*100)/50)</f>
        <v>0</v>
      </c>
      <c r="BA12" s="1113">
        <f t="shared" ref="BA12:BA13" si="63">AY12*100+AZ12*50</f>
        <v>200</v>
      </c>
      <c r="BB12" s="1113">
        <f t="shared" ref="BB12:BB13" si="64">INT((AR12/50000))</f>
        <v>7</v>
      </c>
      <c r="BC12" s="548">
        <f t="shared" ref="BC12:BC13" si="65">INT((AR12-BB12*50000)/10000)</f>
        <v>2</v>
      </c>
      <c r="BD12" s="548">
        <f t="shared" ref="BD12:BD13" si="66">INT((AR12-BB12*50000-BC12*10000)/5000)</f>
        <v>0</v>
      </c>
      <c r="BE12" s="548">
        <f t="shared" ref="BE12:BE13" si="67">INT((AR12-BB12*50000-BC12*10000-BD12*5000)/1000)</f>
        <v>0</v>
      </c>
      <c r="BF12" s="548">
        <f t="shared" ref="BF12:BF13" si="68">INT((AR12-BB12*50000-BC12*10000-BD12*5000-BE12*1000)/500)</f>
        <v>0</v>
      </c>
      <c r="BG12" s="548">
        <f t="shared" ref="BG12:BG13" si="69">INT((AR12-BB12*50000-BC12*10000-BD12*5000-BE12*1000-BF12*500)/100)</f>
        <v>0</v>
      </c>
      <c r="BH12" s="549">
        <f t="shared" ref="BH12:BH13" si="70">BB12*50000+BC12*10000+BD12*5000+BE12*1000+BF12*500+BG12*100</f>
        <v>370000</v>
      </c>
      <c r="BJ12" s="972" t="s">
        <v>1965</v>
      </c>
      <c r="BK12" s="624" t="s">
        <v>573</v>
      </c>
      <c r="BL12" s="1108">
        <v>36535</v>
      </c>
      <c r="BM12" s="1447" t="s">
        <v>1966</v>
      </c>
      <c r="BN12" s="1452" t="s">
        <v>1989</v>
      </c>
    </row>
    <row r="13" spans="1:66" s="768" customFormat="1" ht="56.25" customHeight="1">
      <c r="A13" s="1594">
        <v>7</v>
      </c>
      <c r="B13" s="1398" t="s">
        <v>2257</v>
      </c>
      <c r="C13" s="1399" t="s">
        <v>2258</v>
      </c>
      <c r="D13" s="1774">
        <v>45476</v>
      </c>
      <c r="E13" s="1151" t="s">
        <v>260</v>
      </c>
      <c r="F13" s="758">
        <f>202+2</f>
        <v>204</v>
      </c>
      <c r="G13" s="758">
        <v>0</v>
      </c>
      <c r="H13" s="1001">
        <v>22</v>
      </c>
      <c r="I13" s="1408">
        <f t="shared" si="25"/>
        <v>172.61538461538461</v>
      </c>
      <c r="J13" s="618">
        <f t="shared" si="0"/>
        <v>172.61538461538461</v>
      </c>
      <c r="K13" s="1001">
        <v>66</v>
      </c>
      <c r="L13" s="510">
        <f t="shared" si="1"/>
        <v>1.471153846153846</v>
      </c>
      <c r="M13" s="503">
        <f t="shared" si="2"/>
        <v>97.09615384615384</v>
      </c>
      <c r="N13" s="1001">
        <v>0</v>
      </c>
      <c r="O13" s="510">
        <f t="shared" ref="O13" si="71">F13/26/8*2</f>
        <v>1.9615384615384615</v>
      </c>
      <c r="P13" s="760">
        <f t="shared" ref="P13" si="72">N13*O13</f>
        <v>0</v>
      </c>
      <c r="Q13" s="1001">
        <v>24</v>
      </c>
      <c r="R13" s="510">
        <f t="shared" ref="R13" si="73">F13/26/8*2</f>
        <v>1.9615384615384615</v>
      </c>
      <c r="S13" s="618">
        <f t="shared" si="6"/>
        <v>47.076923076923073</v>
      </c>
      <c r="T13" s="1001">
        <v>5</v>
      </c>
      <c r="U13" s="510">
        <f t="shared" si="7"/>
        <v>7.8461538461538458</v>
      </c>
      <c r="V13" s="618">
        <f t="shared" si="8"/>
        <v>39.230769230769226</v>
      </c>
      <c r="W13" s="1001">
        <v>0</v>
      </c>
      <c r="X13" s="618">
        <f>'S1 Salary'!T14*'S1'!W13</f>
        <v>0</v>
      </c>
      <c r="Y13" s="1001">
        <v>0</v>
      </c>
      <c r="Z13" s="510">
        <f t="shared" ref="Z13" si="74">F13/26/2</f>
        <v>3.9230769230769229</v>
      </c>
      <c r="AA13" s="618">
        <f t="shared" si="10"/>
        <v>0</v>
      </c>
      <c r="AB13" s="1001">
        <v>0</v>
      </c>
      <c r="AC13" s="1468">
        <f t="shared" ref="AC13" si="75">H13+T13+Y13+AB13+W13</f>
        <v>27</v>
      </c>
      <c r="AD13" s="1096">
        <v>0</v>
      </c>
      <c r="AE13" s="1121">
        <v>0</v>
      </c>
      <c r="AF13" s="1413">
        <v>10</v>
      </c>
      <c r="AG13" s="762">
        <v>0</v>
      </c>
      <c r="AH13" s="618">
        <v>10</v>
      </c>
      <c r="AI13" s="1411">
        <v>0</v>
      </c>
      <c r="AJ13" s="1410">
        <v>10</v>
      </c>
      <c r="AK13" s="1410">
        <v>10</v>
      </c>
      <c r="AL13" s="1148">
        <f t="shared" si="12"/>
        <v>396.01923076923077</v>
      </c>
      <c r="AM13" s="1283">
        <v>0</v>
      </c>
      <c r="AN13" s="1815">
        <v>102</v>
      </c>
      <c r="AO13" s="503">
        <f>'Tax Calulation '!P13</f>
        <v>0</v>
      </c>
      <c r="AP13" s="1096">
        <f>'Tax Calulation '!W13</f>
        <v>5.9084194977843429</v>
      </c>
      <c r="AQ13" s="1686">
        <f t="shared" si="13"/>
        <v>288.11081127144644</v>
      </c>
      <c r="AR13" s="1682">
        <f t="shared" si="26"/>
        <v>356000</v>
      </c>
      <c r="AS13" s="1684">
        <f t="shared" ref="AS13" si="76">CEILING(AQ13,(100))-100</f>
        <v>200</v>
      </c>
      <c r="AT13" s="612"/>
      <c r="AU13" s="763"/>
      <c r="AV13" s="763"/>
      <c r="AW13" s="763"/>
      <c r="AX13" s="764"/>
      <c r="AY13" s="502">
        <f t="shared" si="61"/>
        <v>2</v>
      </c>
      <c r="AZ13" s="502">
        <f t="shared" si="62"/>
        <v>0</v>
      </c>
      <c r="BA13" s="1113">
        <f t="shared" si="63"/>
        <v>200</v>
      </c>
      <c r="BB13" s="1113">
        <f t="shared" si="64"/>
        <v>7</v>
      </c>
      <c r="BC13" s="548">
        <f t="shared" si="65"/>
        <v>0</v>
      </c>
      <c r="BD13" s="548">
        <f t="shared" si="66"/>
        <v>1</v>
      </c>
      <c r="BE13" s="548">
        <f t="shared" si="67"/>
        <v>1</v>
      </c>
      <c r="BF13" s="548">
        <f t="shared" si="68"/>
        <v>0</v>
      </c>
      <c r="BG13" s="548">
        <f t="shared" si="69"/>
        <v>0</v>
      </c>
      <c r="BH13" s="549">
        <f t="shared" si="70"/>
        <v>356000</v>
      </c>
      <c r="BJ13" s="1332" t="s">
        <v>2259</v>
      </c>
      <c r="BK13" s="624" t="s">
        <v>573</v>
      </c>
      <c r="BL13" s="1774">
        <v>33763</v>
      </c>
      <c r="BM13" s="1386" t="s">
        <v>2260</v>
      </c>
      <c r="BN13" s="1452" t="s">
        <v>2261</v>
      </c>
    </row>
    <row r="14" spans="1:66" s="768" customFormat="1" ht="56.25" customHeight="1">
      <c r="A14" s="1594">
        <v>8</v>
      </c>
      <c r="B14" s="1878" t="s">
        <v>2366</v>
      </c>
      <c r="C14" s="1879" t="s">
        <v>2367</v>
      </c>
      <c r="D14" s="1880">
        <v>45574</v>
      </c>
      <c r="E14" s="1151" t="s">
        <v>260</v>
      </c>
      <c r="F14" s="758">
        <f>202</f>
        <v>202</v>
      </c>
      <c r="G14" s="758">
        <v>0</v>
      </c>
      <c r="H14" s="1001">
        <v>18</v>
      </c>
      <c r="I14" s="1408">
        <f t="shared" ref="I14:I18" si="77">F14/26*H14</f>
        <v>139.84615384615384</v>
      </c>
      <c r="J14" s="618">
        <f t="shared" ref="J14:J18" si="78">F14/26*H14</f>
        <v>139.84615384615384</v>
      </c>
      <c r="K14" s="1001">
        <v>64</v>
      </c>
      <c r="L14" s="510">
        <f t="shared" ref="L14:L18" si="79">F14/26/8*1.5</f>
        <v>1.4567307692307692</v>
      </c>
      <c r="M14" s="503">
        <f t="shared" ref="M14:M18" si="80">K14*L14</f>
        <v>93.230769230769226</v>
      </c>
      <c r="N14" s="1001">
        <v>0</v>
      </c>
      <c r="O14" s="510">
        <f t="shared" ref="O14:O18" si="81">F14/26/8*2</f>
        <v>1.9423076923076923</v>
      </c>
      <c r="P14" s="760">
        <f t="shared" ref="P14:P18" si="82">N14*O14</f>
        <v>0</v>
      </c>
      <c r="Q14" s="1001">
        <v>24</v>
      </c>
      <c r="R14" s="510">
        <f t="shared" ref="R14:R18" si="83">F14/26/8*2</f>
        <v>1.9423076923076923</v>
      </c>
      <c r="S14" s="618">
        <f t="shared" ref="S14:S18" si="84">R14*Q14</f>
        <v>46.615384615384613</v>
      </c>
      <c r="T14" s="1001">
        <v>2</v>
      </c>
      <c r="U14" s="510">
        <f t="shared" ref="U14:U18" si="85">F14/26</f>
        <v>7.7692307692307692</v>
      </c>
      <c r="V14" s="618">
        <f t="shared" si="8"/>
        <v>15.538461538461538</v>
      </c>
      <c r="W14" s="1001">
        <v>0</v>
      </c>
      <c r="X14" s="618">
        <f>'S1 Salary'!T15*'S1'!W14</f>
        <v>0</v>
      </c>
      <c r="Y14" s="1001">
        <v>0</v>
      </c>
      <c r="Z14" s="510">
        <f t="shared" ref="Z14:Z18" si="86">F14/26/2</f>
        <v>3.8846153846153846</v>
      </c>
      <c r="AA14" s="618">
        <f t="shared" ref="AA14:AA18" si="87">Y14*Z14</f>
        <v>0</v>
      </c>
      <c r="AB14" s="1001">
        <v>0</v>
      </c>
      <c r="AC14" s="1915">
        <f t="shared" ref="AC14:AC18" si="88">H14+T14+Y14+AB14+W14</f>
        <v>20</v>
      </c>
      <c r="AD14" s="1096">
        <v>0</v>
      </c>
      <c r="AE14" s="1121">
        <v>0</v>
      </c>
      <c r="AF14" s="1413">
        <v>0</v>
      </c>
      <c r="AG14" s="762">
        <v>0</v>
      </c>
      <c r="AH14" s="618">
        <v>7.69</v>
      </c>
      <c r="AI14" s="1411">
        <v>0</v>
      </c>
      <c r="AJ14" s="1410">
        <v>7.69</v>
      </c>
      <c r="AK14" s="1410">
        <v>10</v>
      </c>
      <c r="AL14" s="1148">
        <f t="shared" si="12"/>
        <v>320.61076923076922</v>
      </c>
      <c r="AM14" s="1283">
        <v>0</v>
      </c>
      <c r="AN14" s="1815">
        <v>50</v>
      </c>
      <c r="AO14" s="503">
        <f>'Tax Calulation '!P14</f>
        <v>0</v>
      </c>
      <c r="AP14" s="1096">
        <f>'Tax Calulation '!W14</f>
        <v>5.9084194977843429</v>
      </c>
      <c r="AQ14" s="1686">
        <f t="shared" ref="AQ14:AQ18" si="89">AL14-AO14-AN14-AP14-AM14</f>
        <v>264.70234973298489</v>
      </c>
      <c r="AR14" s="1682">
        <f t="shared" ref="AR14:AR18" si="90">ROUND((AQ14-AS14)*4040,-2)</f>
        <v>261400</v>
      </c>
      <c r="AS14" s="1684">
        <f t="shared" ref="AS14:AS18" si="91">CEILING(AQ14,(100))-100</f>
        <v>200</v>
      </c>
      <c r="AT14" s="612"/>
      <c r="AU14" s="763"/>
      <c r="AV14" s="763"/>
      <c r="AW14" s="763"/>
      <c r="AX14" s="764"/>
      <c r="AY14" s="502">
        <f t="shared" ref="AY14:AY18" si="92">INT(AS14/100)</f>
        <v>2</v>
      </c>
      <c r="AZ14" s="502">
        <f t="shared" ref="AZ14:AZ18" si="93">INT((AS14-AY14*100)/50)</f>
        <v>0</v>
      </c>
      <c r="BA14" s="1113">
        <f t="shared" ref="BA14:BA18" si="94">AY14*100+AZ14*50</f>
        <v>200</v>
      </c>
      <c r="BB14" s="1113">
        <f t="shared" ref="BB14:BB18" si="95">INT((AR14/50000))</f>
        <v>5</v>
      </c>
      <c r="BC14" s="548">
        <f t="shared" ref="BC14:BC18" si="96">INT((AR14-BB14*50000)/10000)</f>
        <v>1</v>
      </c>
      <c r="BD14" s="548">
        <f t="shared" ref="BD14:BD18" si="97">INT((AR14-BB14*50000-BC14*10000)/5000)</f>
        <v>0</v>
      </c>
      <c r="BE14" s="548">
        <f t="shared" ref="BE14:BE18" si="98">INT((AR14-BB14*50000-BC14*10000-BD14*5000)/1000)</f>
        <v>1</v>
      </c>
      <c r="BF14" s="548">
        <f t="shared" ref="BF14:BF18" si="99">INT((AR14-BB14*50000-BC14*10000-BD14*5000-BE14*1000)/500)</f>
        <v>0</v>
      </c>
      <c r="BG14" s="548">
        <f t="shared" ref="BG14:BG18" si="100">INT((AR14-BB14*50000-BC14*10000-BD14*5000-BE14*1000-BF14*500)/100)</f>
        <v>4</v>
      </c>
      <c r="BH14" s="549">
        <f t="shared" ref="BH14:BH18" si="101">BB14*50000+BC14*10000+BD14*5000+BE14*1000+BF14*500+BG14*100</f>
        <v>261400</v>
      </c>
      <c r="BJ14" s="1886" t="s">
        <v>2368</v>
      </c>
      <c r="BK14" s="1889" t="s">
        <v>573</v>
      </c>
      <c r="BL14" s="1897">
        <v>35227</v>
      </c>
      <c r="BM14" s="1890" t="s">
        <v>2373</v>
      </c>
      <c r="BN14" s="1901">
        <v>150658062</v>
      </c>
    </row>
    <row r="15" spans="1:66" s="768" customFormat="1" ht="56.25" customHeight="1">
      <c r="A15" s="1594">
        <v>9</v>
      </c>
      <c r="B15" s="1878" t="s">
        <v>2358</v>
      </c>
      <c r="C15" s="1879" t="s">
        <v>2359</v>
      </c>
      <c r="D15" s="1880">
        <v>45574</v>
      </c>
      <c r="E15" s="1151" t="s">
        <v>260</v>
      </c>
      <c r="F15" s="758">
        <f>202</f>
        <v>202</v>
      </c>
      <c r="G15" s="758">
        <v>0</v>
      </c>
      <c r="H15" s="1001">
        <v>18</v>
      </c>
      <c r="I15" s="1408">
        <f t="shared" si="77"/>
        <v>139.84615384615384</v>
      </c>
      <c r="J15" s="618">
        <f t="shared" si="78"/>
        <v>139.84615384615384</v>
      </c>
      <c r="K15" s="1001">
        <v>57</v>
      </c>
      <c r="L15" s="510">
        <f t="shared" si="79"/>
        <v>1.4567307692307692</v>
      </c>
      <c r="M15" s="503">
        <f t="shared" si="80"/>
        <v>83.03365384615384</v>
      </c>
      <c r="N15" s="1001">
        <v>0</v>
      </c>
      <c r="O15" s="510">
        <f t="shared" si="81"/>
        <v>1.9423076923076923</v>
      </c>
      <c r="P15" s="760">
        <f t="shared" si="82"/>
        <v>0</v>
      </c>
      <c r="Q15" s="1001">
        <v>24</v>
      </c>
      <c r="R15" s="510">
        <f t="shared" si="83"/>
        <v>1.9423076923076923</v>
      </c>
      <c r="S15" s="618">
        <f t="shared" si="84"/>
        <v>46.615384615384613</v>
      </c>
      <c r="T15" s="1001">
        <v>2</v>
      </c>
      <c r="U15" s="510">
        <f t="shared" si="85"/>
        <v>7.7692307692307692</v>
      </c>
      <c r="V15" s="618">
        <f t="shared" si="8"/>
        <v>15.538461538461538</v>
      </c>
      <c r="W15" s="1001">
        <v>0</v>
      </c>
      <c r="X15" s="618">
        <f>'S1 Salary'!T16*'S1'!W15</f>
        <v>0</v>
      </c>
      <c r="Y15" s="1001">
        <v>0</v>
      </c>
      <c r="Z15" s="510">
        <f t="shared" si="86"/>
        <v>3.8846153846153846</v>
      </c>
      <c r="AA15" s="618">
        <f t="shared" si="87"/>
        <v>0</v>
      </c>
      <c r="AB15" s="1001">
        <v>0</v>
      </c>
      <c r="AC15" s="1915">
        <f t="shared" si="88"/>
        <v>20</v>
      </c>
      <c r="AD15" s="1096">
        <v>0</v>
      </c>
      <c r="AE15" s="1121">
        <v>0</v>
      </c>
      <c r="AF15" s="1413">
        <v>0</v>
      </c>
      <c r="AG15" s="762">
        <v>5</v>
      </c>
      <c r="AH15" s="618">
        <v>7.69</v>
      </c>
      <c r="AI15" s="1411">
        <v>0</v>
      </c>
      <c r="AJ15" s="1410">
        <v>7.69</v>
      </c>
      <c r="AK15" s="1410">
        <v>10</v>
      </c>
      <c r="AL15" s="1148">
        <f t="shared" si="12"/>
        <v>315.41365384615381</v>
      </c>
      <c r="AM15" s="1283">
        <v>0</v>
      </c>
      <c r="AN15" s="1815">
        <v>50</v>
      </c>
      <c r="AO15" s="503">
        <f>'Tax Calulation '!P15</f>
        <v>0</v>
      </c>
      <c r="AP15" s="1096">
        <f>'Tax Calulation '!W15</f>
        <v>5.9084194977843429</v>
      </c>
      <c r="AQ15" s="1686">
        <f t="shared" si="89"/>
        <v>259.50523434836947</v>
      </c>
      <c r="AR15" s="1682">
        <f t="shared" si="90"/>
        <v>240400</v>
      </c>
      <c r="AS15" s="1684">
        <f t="shared" si="91"/>
        <v>200</v>
      </c>
      <c r="AT15" s="612"/>
      <c r="AU15" s="763"/>
      <c r="AV15" s="763"/>
      <c r="AW15" s="763"/>
      <c r="AX15" s="764"/>
      <c r="AY15" s="502">
        <f t="shared" si="92"/>
        <v>2</v>
      </c>
      <c r="AZ15" s="502">
        <f t="shared" si="93"/>
        <v>0</v>
      </c>
      <c r="BA15" s="1113">
        <f t="shared" si="94"/>
        <v>200</v>
      </c>
      <c r="BB15" s="1113">
        <f t="shared" si="95"/>
        <v>4</v>
      </c>
      <c r="BC15" s="548">
        <f t="shared" si="96"/>
        <v>4</v>
      </c>
      <c r="BD15" s="548">
        <f t="shared" si="97"/>
        <v>0</v>
      </c>
      <c r="BE15" s="548">
        <f t="shared" si="98"/>
        <v>0</v>
      </c>
      <c r="BF15" s="548">
        <f t="shared" si="99"/>
        <v>0</v>
      </c>
      <c r="BG15" s="548">
        <f t="shared" si="100"/>
        <v>4</v>
      </c>
      <c r="BH15" s="549">
        <f t="shared" si="101"/>
        <v>240400</v>
      </c>
      <c r="BJ15" s="1886" t="s">
        <v>2369</v>
      </c>
      <c r="BK15" s="1889" t="s">
        <v>573</v>
      </c>
      <c r="BL15" s="1897">
        <v>38513</v>
      </c>
      <c r="BM15" s="1890" t="s">
        <v>2374</v>
      </c>
      <c r="BN15" s="1901">
        <v>151031010</v>
      </c>
    </row>
    <row r="16" spans="1:66" s="768" customFormat="1" ht="56.25" customHeight="1">
      <c r="A16" s="1594">
        <v>10</v>
      </c>
      <c r="B16" s="1878" t="s">
        <v>2360</v>
      </c>
      <c r="C16" s="1879" t="s">
        <v>2361</v>
      </c>
      <c r="D16" s="1880">
        <v>45575</v>
      </c>
      <c r="E16" s="1151" t="s">
        <v>260</v>
      </c>
      <c r="F16" s="758">
        <f>202</f>
        <v>202</v>
      </c>
      <c r="G16" s="758">
        <v>0</v>
      </c>
      <c r="H16" s="1001">
        <v>17</v>
      </c>
      <c r="I16" s="1408">
        <f t="shared" si="77"/>
        <v>132.07692307692307</v>
      </c>
      <c r="J16" s="618">
        <f t="shared" si="78"/>
        <v>132.07692307692307</v>
      </c>
      <c r="K16" s="1001">
        <v>59</v>
      </c>
      <c r="L16" s="510">
        <f t="shared" si="79"/>
        <v>1.4567307692307692</v>
      </c>
      <c r="M16" s="503">
        <f t="shared" si="80"/>
        <v>85.947115384615387</v>
      </c>
      <c r="N16" s="1001">
        <v>0</v>
      </c>
      <c r="O16" s="510">
        <f t="shared" si="81"/>
        <v>1.9423076923076923</v>
      </c>
      <c r="P16" s="760">
        <f t="shared" si="82"/>
        <v>0</v>
      </c>
      <c r="Q16" s="1001">
        <v>24</v>
      </c>
      <c r="R16" s="510">
        <f t="shared" si="83"/>
        <v>1.9423076923076923</v>
      </c>
      <c r="S16" s="618">
        <f t="shared" si="84"/>
        <v>46.615384615384613</v>
      </c>
      <c r="T16" s="1001">
        <v>2</v>
      </c>
      <c r="U16" s="510">
        <f t="shared" si="85"/>
        <v>7.7692307692307692</v>
      </c>
      <c r="V16" s="618">
        <f t="shared" si="8"/>
        <v>15.538461538461538</v>
      </c>
      <c r="W16" s="1001">
        <v>0</v>
      </c>
      <c r="X16" s="618">
        <f>'S1 Salary'!T17*'S1'!W16</f>
        <v>0</v>
      </c>
      <c r="Y16" s="1001">
        <v>0</v>
      </c>
      <c r="Z16" s="510">
        <f t="shared" si="86"/>
        <v>3.8846153846153846</v>
      </c>
      <c r="AA16" s="618">
        <f t="shared" si="87"/>
        <v>0</v>
      </c>
      <c r="AB16" s="1001">
        <v>0</v>
      </c>
      <c r="AC16" s="1915">
        <f t="shared" si="88"/>
        <v>19</v>
      </c>
      <c r="AD16" s="1096">
        <v>0</v>
      </c>
      <c r="AE16" s="1121">
        <v>0</v>
      </c>
      <c r="AF16" s="1413">
        <v>0</v>
      </c>
      <c r="AG16" s="762">
        <v>0</v>
      </c>
      <c r="AH16" s="618">
        <v>7.3</v>
      </c>
      <c r="AI16" s="1411">
        <v>0</v>
      </c>
      <c r="AJ16" s="1410">
        <v>7.3</v>
      </c>
      <c r="AK16" s="1410">
        <v>10</v>
      </c>
      <c r="AL16" s="1148">
        <f t="shared" si="12"/>
        <v>304.77788461538466</v>
      </c>
      <c r="AM16" s="1283">
        <v>0</v>
      </c>
      <c r="AN16" s="1815">
        <v>40</v>
      </c>
      <c r="AO16" s="503">
        <f>'Tax Calulation '!P16</f>
        <v>0</v>
      </c>
      <c r="AP16" s="1096">
        <f>'Tax Calulation '!W16</f>
        <v>5.9084194977843429</v>
      </c>
      <c r="AQ16" s="1686">
        <f t="shared" si="89"/>
        <v>258.86946511760033</v>
      </c>
      <c r="AR16" s="1682">
        <f t="shared" si="90"/>
        <v>237800</v>
      </c>
      <c r="AS16" s="1684">
        <f t="shared" si="91"/>
        <v>200</v>
      </c>
      <c r="AT16" s="612"/>
      <c r="AU16" s="763"/>
      <c r="AV16" s="763"/>
      <c r="AW16" s="763"/>
      <c r="AX16" s="764"/>
      <c r="AY16" s="502">
        <f t="shared" si="92"/>
        <v>2</v>
      </c>
      <c r="AZ16" s="502">
        <f t="shared" si="93"/>
        <v>0</v>
      </c>
      <c r="BA16" s="1113">
        <f t="shared" si="94"/>
        <v>200</v>
      </c>
      <c r="BB16" s="1113">
        <f t="shared" si="95"/>
        <v>4</v>
      </c>
      <c r="BC16" s="548">
        <f t="shared" si="96"/>
        <v>3</v>
      </c>
      <c r="BD16" s="548">
        <f t="shared" si="97"/>
        <v>1</v>
      </c>
      <c r="BE16" s="548">
        <f t="shared" si="98"/>
        <v>2</v>
      </c>
      <c r="BF16" s="548">
        <f t="shared" si="99"/>
        <v>1</v>
      </c>
      <c r="BG16" s="548">
        <f t="shared" si="100"/>
        <v>3</v>
      </c>
      <c r="BH16" s="549">
        <f t="shared" si="101"/>
        <v>237800</v>
      </c>
      <c r="BJ16" s="1886" t="s">
        <v>2370</v>
      </c>
      <c r="BK16" s="1889" t="s">
        <v>573</v>
      </c>
      <c r="BL16" s="1897">
        <v>31964</v>
      </c>
      <c r="BM16" s="1890" t="s">
        <v>2375</v>
      </c>
      <c r="BN16" s="1901">
        <v>150703473</v>
      </c>
    </row>
    <row r="17" spans="1:66" s="768" customFormat="1" ht="56.25" customHeight="1">
      <c r="A17" s="1594">
        <v>11</v>
      </c>
      <c r="B17" s="1878" t="s">
        <v>2362</v>
      </c>
      <c r="C17" s="1879" t="s">
        <v>2363</v>
      </c>
      <c r="D17" s="1880">
        <v>45576</v>
      </c>
      <c r="E17" s="1151" t="s">
        <v>260</v>
      </c>
      <c r="F17" s="758">
        <f>202</f>
        <v>202</v>
      </c>
      <c r="G17" s="758">
        <v>0</v>
      </c>
      <c r="H17" s="1001">
        <v>16</v>
      </c>
      <c r="I17" s="1408">
        <f t="shared" si="77"/>
        <v>124.30769230769231</v>
      </c>
      <c r="J17" s="618">
        <f t="shared" si="78"/>
        <v>124.30769230769231</v>
      </c>
      <c r="K17" s="1001">
        <v>46</v>
      </c>
      <c r="L17" s="510">
        <f t="shared" si="79"/>
        <v>1.4567307692307692</v>
      </c>
      <c r="M17" s="503">
        <f t="shared" si="80"/>
        <v>67.009615384615387</v>
      </c>
      <c r="N17" s="1001">
        <v>0</v>
      </c>
      <c r="O17" s="510">
        <f t="shared" si="81"/>
        <v>1.9423076923076923</v>
      </c>
      <c r="P17" s="760">
        <f t="shared" si="82"/>
        <v>0</v>
      </c>
      <c r="Q17" s="1001">
        <v>8</v>
      </c>
      <c r="R17" s="510">
        <f t="shared" si="83"/>
        <v>1.9423076923076923</v>
      </c>
      <c r="S17" s="618">
        <f t="shared" si="84"/>
        <v>15.538461538461538</v>
      </c>
      <c r="T17" s="1001">
        <v>2</v>
      </c>
      <c r="U17" s="510">
        <f t="shared" si="85"/>
        <v>7.7692307692307692</v>
      </c>
      <c r="V17" s="618">
        <f t="shared" si="8"/>
        <v>15.538461538461538</v>
      </c>
      <c r="W17" s="1001">
        <v>0</v>
      </c>
      <c r="X17" s="618">
        <f>'S1 Salary'!T18*'S1'!W17</f>
        <v>0</v>
      </c>
      <c r="Y17" s="1001">
        <v>0</v>
      </c>
      <c r="Z17" s="510">
        <f t="shared" si="86"/>
        <v>3.8846153846153846</v>
      </c>
      <c r="AA17" s="618">
        <f t="shared" si="87"/>
        <v>0</v>
      </c>
      <c r="AB17" s="1001">
        <v>0</v>
      </c>
      <c r="AC17" s="1915">
        <f t="shared" si="88"/>
        <v>18</v>
      </c>
      <c r="AD17" s="1096">
        <v>0</v>
      </c>
      <c r="AE17" s="1121">
        <v>0</v>
      </c>
      <c r="AF17" s="1413">
        <v>0</v>
      </c>
      <c r="AG17" s="762">
        <v>0</v>
      </c>
      <c r="AH17" s="618">
        <v>6.92</v>
      </c>
      <c r="AI17" s="1411">
        <v>0</v>
      </c>
      <c r="AJ17" s="1410">
        <v>6.92</v>
      </c>
      <c r="AK17" s="1410">
        <v>10</v>
      </c>
      <c r="AL17" s="1148">
        <f t="shared" si="12"/>
        <v>246.23423076923075</v>
      </c>
      <c r="AM17" s="1283">
        <v>0</v>
      </c>
      <c r="AN17" s="1815">
        <v>32</v>
      </c>
      <c r="AO17" s="503">
        <f>'Tax Calulation '!P17</f>
        <v>0</v>
      </c>
      <c r="AP17" s="1096">
        <f>'Tax Calulation '!W17</f>
        <v>4.9246846153846153</v>
      </c>
      <c r="AQ17" s="1686">
        <f t="shared" si="89"/>
        <v>209.30954615384613</v>
      </c>
      <c r="AR17" s="1682">
        <f t="shared" si="90"/>
        <v>37600</v>
      </c>
      <c r="AS17" s="1684">
        <f t="shared" si="91"/>
        <v>200</v>
      </c>
      <c r="AT17" s="612"/>
      <c r="AU17" s="763"/>
      <c r="AV17" s="763"/>
      <c r="AW17" s="763"/>
      <c r="AX17" s="764"/>
      <c r="AY17" s="502">
        <f t="shared" si="92"/>
        <v>2</v>
      </c>
      <c r="AZ17" s="502">
        <f t="shared" si="93"/>
        <v>0</v>
      </c>
      <c r="BA17" s="1113">
        <f t="shared" si="94"/>
        <v>200</v>
      </c>
      <c r="BB17" s="1113">
        <f t="shared" si="95"/>
        <v>0</v>
      </c>
      <c r="BC17" s="548">
        <f t="shared" si="96"/>
        <v>3</v>
      </c>
      <c r="BD17" s="548">
        <f t="shared" si="97"/>
        <v>1</v>
      </c>
      <c r="BE17" s="548">
        <f t="shared" si="98"/>
        <v>2</v>
      </c>
      <c r="BF17" s="548">
        <f t="shared" si="99"/>
        <v>1</v>
      </c>
      <c r="BG17" s="548">
        <f t="shared" si="100"/>
        <v>1</v>
      </c>
      <c r="BH17" s="549">
        <f t="shared" si="101"/>
        <v>37600</v>
      </c>
      <c r="BJ17" s="1886" t="s">
        <v>2371</v>
      </c>
      <c r="BK17" s="1889" t="s">
        <v>573</v>
      </c>
      <c r="BL17" s="1897">
        <v>34439</v>
      </c>
      <c r="BM17" s="1890" t="s">
        <v>2376</v>
      </c>
      <c r="BN17" s="1901">
        <v>110753448</v>
      </c>
    </row>
    <row r="18" spans="1:66" s="768" customFormat="1" ht="56.25" customHeight="1">
      <c r="A18" s="1594">
        <v>12</v>
      </c>
      <c r="B18" s="1878" t="s">
        <v>2364</v>
      </c>
      <c r="C18" s="1879" t="s">
        <v>2365</v>
      </c>
      <c r="D18" s="1880">
        <v>45577</v>
      </c>
      <c r="E18" s="1151" t="s">
        <v>260</v>
      </c>
      <c r="F18" s="758">
        <f>202</f>
        <v>202</v>
      </c>
      <c r="G18" s="758">
        <v>0</v>
      </c>
      <c r="H18" s="1001">
        <v>15</v>
      </c>
      <c r="I18" s="1408">
        <f t="shared" si="77"/>
        <v>116.53846153846153</v>
      </c>
      <c r="J18" s="618">
        <f t="shared" si="78"/>
        <v>116.53846153846153</v>
      </c>
      <c r="K18" s="1001">
        <v>48</v>
      </c>
      <c r="L18" s="510">
        <f t="shared" si="79"/>
        <v>1.4567307692307692</v>
      </c>
      <c r="M18" s="503">
        <f t="shared" si="80"/>
        <v>69.92307692307692</v>
      </c>
      <c r="N18" s="1001">
        <v>0</v>
      </c>
      <c r="O18" s="510">
        <f t="shared" si="81"/>
        <v>1.9423076923076923</v>
      </c>
      <c r="P18" s="760">
        <f t="shared" si="82"/>
        <v>0</v>
      </c>
      <c r="Q18" s="1001">
        <v>24</v>
      </c>
      <c r="R18" s="510">
        <f t="shared" si="83"/>
        <v>1.9423076923076923</v>
      </c>
      <c r="S18" s="618">
        <f t="shared" si="84"/>
        <v>46.615384615384613</v>
      </c>
      <c r="T18" s="1001">
        <v>2</v>
      </c>
      <c r="U18" s="510">
        <f t="shared" si="85"/>
        <v>7.7692307692307692</v>
      </c>
      <c r="V18" s="618">
        <f t="shared" si="8"/>
        <v>15.538461538461538</v>
      </c>
      <c r="W18" s="1001">
        <v>0</v>
      </c>
      <c r="X18" s="618">
        <f>'S1 Salary'!T19*'S1'!W18</f>
        <v>0</v>
      </c>
      <c r="Y18" s="1001">
        <v>0</v>
      </c>
      <c r="Z18" s="510">
        <f t="shared" si="86"/>
        <v>3.8846153846153846</v>
      </c>
      <c r="AA18" s="618">
        <f t="shared" si="87"/>
        <v>0</v>
      </c>
      <c r="AB18" s="1001">
        <v>0</v>
      </c>
      <c r="AC18" s="1915">
        <f t="shared" si="88"/>
        <v>17</v>
      </c>
      <c r="AD18" s="1096">
        <v>0</v>
      </c>
      <c r="AE18" s="1121">
        <v>0</v>
      </c>
      <c r="AF18" s="1413">
        <v>0</v>
      </c>
      <c r="AG18" s="762">
        <v>0</v>
      </c>
      <c r="AH18" s="618">
        <v>6.53</v>
      </c>
      <c r="AI18" s="1411">
        <v>0</v>
      </c>
      <c r="AJ18" s="1410">
        <v>6.53</v>
      </c>
      <c r="AK18" s="1410">
        <v>10</v>
      </c>
      <c r="AL18" s="1148">
        <f t="shared" si="12"/>
        <v>271.67538461538459</v>
      </c>
      <c r="AM18" s="1283">
        <v>0</v>
      </c>
      <c r="AN18" s="1815">
        <v>25</v>
      </c>
      <c r="AO18" s="503">
        <f>'Tax Calulation '!P18</f>
        <v>0</v>
      </c>
      <c r="AP18" s="1096">
        <f>'Tax Calulation '!W18</f>
        <v>5.4335076923076926</v>
      </c>
      <c r="AQ18" s="1686">
        <f t="shared" si="89"/>
        <v>241.24187692307689</v>
      </c>
      <c r="AR18" s="1682">
        <f t="shared" si="90"/>
        <v>166600</v>
      </c>
      <c r="AS18" s="1684">
        <f t="shared" si="91"/>
        <v>200</v>
      </c>
      <c r="AT18" s="612"/>
      <c r="AU18" s="763"/>
      <c r="AV18" s="763"/>
      <c r="AW18" s="763"/>
      <c r="AX18" s="764"/>
      <c r="AY18" s="502">
        <f t="shared" si="92"/>
        <v>2</v>
      </c>
      <c r="AZ18" s="502">
        <f t="shared" si="93"/>
        <v>0</v>
      </c>
      <c r="BA18" s="1113">
        <f t="shared" si="94"/>
        <v>200</v>
      </c>
      <c r="BB18" s="1113">
        <f t="shared" si="95"/>
        <v>3</v>
      </c>
      <c r="BC18" s="548">
        <f t="shared" si="96"/>
        <v>1</v>
      </c>
      <c r="BD18" s="548">
        <f t="shared" si="97"/>
        <v>1</v>
      </c>
      <c r="BE18" s="548">
        <f t="shared" si="98"/>
        <v>1</v>
      </c>
      <c r="BF18" s="548">
        <f t="shared" si="99"/>
        <v>1</v>
      </c>
      <c r="BG18" s="548">
        <f t="shared" si="100"/>
        <v>1</v>
      </c>
      <c r="BH18" s="549">
        <f t="shared" si="101"/>
        <v>166600</v>
      </c>
      <c r="BJ18" s="1886" t="s">
        <v>2372</v>
      </c>
      <c r="BK18" s="1889" t="s">
        <v>573</v>
      </c>
      <c r="BL18" s="1897">
        <v>34313</v>
      </c>
      <c r="BM18" s="1890" t="s">
        <v>2377</v>
      </c>
      <c r="BN18" s="1901">
        <v>210070755</v>
      </c>
    </row>
    <row r="19" spans="1:66" s="755" customFormat="1" ht="56.25" customHeight="1">
      <c r="A19" s="1594">
        <v>13</v>
      </c>
      <c r="B19" s="1595" t="s">
        <v>1615</v>
      </c>
      <c r="C19" s="1330" t="s">
        <v>1340</v>
      </c>
      <c r="D19" s="1851">
        <v>44565</v>
      </c>
      <c r="E19" s="1637" t="s">
        <v>260</v>
      </c>
      <c r="F19" s="621">
        <v>206</v>
      </c>
      <c r="G19" s="617">
        <v>2</v>
      </c>
      <c r="H19" s="1001">
        <v>22</v>
      </c>
      <c r="I19" s="1408">
        <f t="shared" si="25"/>
        <v>174.30769230769232</v>
      </c>
      <c r="J19" s="618">
        <f t="shared" si="0"/>
        <v>174.30769230769232</v>
      </c>
      <c r="K19" s="1001">
        <v>68</v>
      </c>
      <c r="L19" s="510">
        <f t="shared" si="1"/>
        <v>1.4855769230769231</v>
      </c>
      <c r="M19" s="503">
        <f t="shared" si="2"/>
        <v>101.01923076923077</v>
      </c>
      <c r="N19" s="1001">
        <v>0</v>
      </c>
      <c r="O19" s="510">
        <f t="shared" si="3"/>
        <v>1.9807692307692308</v>
      </c>
      <c r="P19" s="503">
        <f t="shared" si="4"/>
        <v>0</v>
      </c>
      <c r="Q19" s="1001">
        <v>20</v>
      </c>
      <c r="R19" s="510">
        <f t="shared" si="5"/>
        <v>1.9807692307692308</v>
      </c>
      <c r="S19" s="618">
        <f t="shared" si="6"/>
        <v>39.615384615384613</v>
      </c>
      <c r="T19" s="1001">
        <v>5</v>
      </c>
      <c r="U19" s="510">
        <f t="shared" si="7"/>
        <v>7.9230769230769234</v>
      </c>
      <c r="V19" s="618">
        <f t="shared" si="8"/>
        <v>39.615384615384613</v>
      </c>
      <c r="W19" s="1001">
        <v>0</v>
      </c>
      <c r="X19" s="618">
        <f>'S1 Salary'!T20*'S1'!W19</f>
        <v>0</v>
      </c>
      <c r="Y19" s="1001">
        <v>0</v>
      </c>
      <c r="Z19" s="510">
        <f t="shared" si="9"/>
        <v>3.9615384615384617</v>
      </c>
      <c r="AA19" s="618">
        <f t="shared" si="10"/>
        <v>0</v>
      </c>
      <c r="AB19" s="1001">
        <v>0</v>
      </c>
      <c r="AC19" s="1467">
        <f t="shared" si="11"/>
        <v>27</v>
      </c>
      <c r="AD19" s="1096">
        <v>0</v>
      </c>
      <c r="AE19" s="1121">
        <v>0</v>
      </c>
      <c r="AF19" s="1412">
        <f>4+4</f>
        <v>8</v>
      </c>
      <c r="AG19" s="511">
        <v>0</v>
      </c>
      <c r="AH19" s="618">
        <v>10</v>
      </c>
      <c r="AI19" s="1410">
        <v>3</v>
      </c>
      <c r="AJ19" s="1410">
        <v>10</v>
      </c>
      <c r="AK19" s="1410">
        <v>10</v>
      </c>
      <c r="AL19" s="1148">
        <f t="shared" si="12"/>
        <v>397.55769230769238</v>
      </c>
      <c r="AM19" s="1282">
        <v>0</v>
      </c>
      <c r="AN19" s="1815">
        <v>102</v>
      </c>
      <c r="AO19" s="503">
        <f>'Tax Calulation '!P19</f>
        <v>0</v>
      </c>
      <c r="AP19" s="1096">
        <f>'Tax Calulation '!W19</f>
        <v>5.9084194977843429</v>
      </c>
      <c r="AQ19" s="1686">
        <f t="shared" si="13"/>
        <v>289.64927280990804</v>
      </c>
      <c r="AR19" s="1682">
        <f t="shared" si="26"/>
        <v>362200</v>
      </c>
      <c r="AS19" s="1683">
        <f t="shared" si="14"/>
        <v>200</v>
      </c>
      <c r="AT19" s="502"/>
      <c r="AU19" s="504"/>
      <c r="AV19" s="504"/>
      <c r="AW19" s="504"/>
      <c r="AX19" s="505"/>
      <c r="AY19" s="502">
        <f t="shared" ref="AY19" si="102">INT(AS19/100)</f>
        <v>2</v>
      </c>
      <c r="AZ19" s="502">
        <f t="shared" ref="AZ19" si="103">INT((AS19-AY19*100)/50)</f>
        <v>0</v>
      </c>
      <c r="BA19" s="942">
        <f t="shared" ref="BA19" si="104">AY19*100+AZ19*50</f>
        <v>200</v>
      </c>
      <c r="BB19" s="942">
        <f t="shared" ref="BB19" si="105">INT((AR19/50000))</f>
        <v>7</v>
      </c>
      <c r="BC19" s="548">
        <f t="shared" ref="BC19" si="106">INT((AR19-BB19*50000)/10000)</f>
        <v>1</v>
      </c>
      <c r="BD19" s="548">
        <f t="shared" ref="BD19" si="107">INT((AR19-BB19*50000-BC19*10000)/5000)</f>
        <v>0</v>
      </c>
      <c r="BE19" s="548">
        <f t="shared" ref="BE19" si="108">INT((AR19-BB19*50000-BC19*10000-BD19*5000)/1000)</f>
        <v>2</v>
      </c>
      <c r="BF19" s="548">
        <f t="shared" ref="BF19" si="109">INT((AR19-BB19*50000-BC19*10000-BD19*5000-BE19*1000)/500)</f>
        <v>0</v>
      </c>
      <c r="BG19" s="548">
        <f t="shared" ref="BG19" si="110">INT((AR19-BB19*50000-BC19*10000-BD19*5000-BE19*1000-BF19*500)/100)</f>
        <v>2</v>
      </c>
      <c r="BH19" s="549">
        <f t="shared" ref="BH19" si="111">BB19*50000+BC19*10000+BD19*5000+BE19*1000+BF19*500+BG19*100</f>
        <v>362200</v>
      </c>
      <c r="BJ19" s="516" t="s">
        <v>1050</v>
      </c>
      <c r="BK19" s="702" t="s">
        <v>572</v>
      </c>
      <c r="BL19" s="814">
        <v>33928</v>
      </c>
      <c r="BM19" s="807" t="s">
        <v>1051</v>
      </c>
      <c r="BN19" s="638">
        <v>110349312</v>
      </c>
    </row>
    <row r="20" spans="1:66" s="768" customFormat="1" ht="56.25" customHeight="1">
      <c r="A20" s="1594">
        <v>14</v>
      </c>
      <c r="B20" s="1418" t="s">
        <v>1616</v>
      </c>
      <c r="C20" s="1330" t="s">
        <v>1320</v>
      </c>
      <c r="D20" s="1851">
        <v>44579</v>
      </c>
      <c r="E20" s="1151" t="s">
        <v>260</v>
      </c>
      <c r="F20" s="955">
        <f>206</f>
        <v>206</v>
      </c>
      <c r="G20" s="758">
        <v>2</v>
      </c>
      <c r="H20" s="1001">
        <v>22</v>
      </c>
      <c r="I20" s="1408">
        <f t="shared" si="25"/>
        <v>174.30769230769232</v>
      </c>
      <c r="J20" s="618">
        <f t="shared" si="0"/>
        <v>174.30769230769232</v>
      </c>
      <c r="K20" s="1001">
        <v>68</v>
      </c>
      <c r="L20" s="510">
        <f t="shared" si="1"/>
        <v>1.4855769230769231</v>
      </c>
      <c r="M20" s="503">
        <f t="shared" si="2"/>
        <v>101.01923076923077</v>
      </c>
      <c r="N20" s="1001">
        <v>0</v>
      </c>
      <c r="O20" s="510">
        <f t="shared" si="3"/>
        <v>1.9807692307692308</v>
      </c>
      <c r="P20" s="503">
        <f t="shared" si="4"/>
        <v>0</v>
      </c>
      <c r="Q20" s="1001">
        <v>16</v>
      </c>
      <c r="R20" s="510">
        <f t="shared" si="5"/>
        <v>1.9807692307692308</v>
      </c>
      <c r="S20" s="618">
        <f t="shared" si="6"/>
        <v>31.692307692307693</v>
      </c>
      <c r="T20" s="1001">
        <v>5</v>
      </c>
      <c r="U20" s="510">
        <f t="shared" si="7"/>
        <v>7.9230769230769234</v>
      </c>
      <c r="V20" s="618">
        <f t="shared" si="8"/>
        <v>39.615384615384613</v>
      </c>
      <c r="W20" s="1001">
        <v>0</v>
      </c>
      <c r="X20" s="618">
        <f>'S1 Salary'!T21*'S1'!W20</f>
        <v>0</v>
      </c>
      <c r="Y20" s="1001">
        <v>0</v>
      </c>
      <c r="Z20" s="510">
        <f t="shared" si="9"/>
        <v>3.9615384615384617</v>
      </c>
      <c r="AA20" s="618">
        <f t="shared" si="10"/>
        <v>0</v>
      </c>
      <c r="AB20" s="1001">
        <v>0</v>
      </c>
      <c r="AC20" s="1467">
        <f t="shared" si="11"/>
        <v>27</v>
      </c>
      <c r="AD20" s="1096">
        <v>0</v>
      </c>
      <c r="AE20" s="1121">
        <v>0</v>
      </c>
      <c r="AF20" s="1412">
        <f>4+4</f>
        <v>8</v>
      </c>
      <c r="AG20" s="762">
        <v>0</v>
      </c>
      <c r="AH20" s="618">
        <v>10</v>
      </c>
      <c r="AI20" s="1411">
        <v>3</v>
      </c>
      <c r="AJ20" s="1410">
        <v>10</v>
      </c>
      <c r="AK20" s="1410">
        <v>10</v>
      </c>
      <c r="AL20" s="1148">
        <f t="shared" si="12"/>
        <v>389.63461538461536</v>
      </c>
      <c r="AM20" s="1284">
        <v>0.5</v>
      </c>
      <c r="AN20" s="1815">
        <v>102</v>
      </c>
      <c r="AO20" s="503">
        <f>'Tax Calulation '!P20</f>
        <v>0</v>
      </c>
      <c r="AP20" s="1096">
        <f>'Tax Calulation '!W20</f>
        <v>5.9084194977843429</v>
      </c>
      <c r="AQ20" s="1686">
        <f t="shared" si="13"/>
        <v>281.22619588683102</v>
      </c>
      <c r="AR20" s="1682">
        <f t="shared" si="26"/>
        <v>328200</v>
      </c>
      <c r="AS20" s="1683">
        <f t="shared" si="14"/>
        <v>200</v>
      </c>
      <c r="AT20" s="612"/>
      <c r="AU20" s="763"/>
      <c r="AV20" s="763"/>
      <c r="AW20" s="763"/>
      <c r="AX20" s="764">
        <f>(J20+M20+P20+S20+V20+AA20+AH20+AI20+AJ20+AK20)*4000</f>
        <v>1518538.4615384615</v>
      </c>
      <c r="AY20" s="612">
        <f t="shared" ref="AY20" si="112">INT(AS20/100)</f>
        <v>2</v>
      </c>
      <c r="AZ20" s="612">
        <f t="shared" ref="AZ20" si="113">INT((AS20-AY20*100)/50)</f>
        <v>0</v>
      </c>
      <c r="BA20" s="765">
        <f t="shared" ref="BA20" si="114">AY20*100+AZ20*50</f>
        <v>200</v>
      </c>
      <c r="BB20" s="765">
        <f t="shared" ref="BB20" si="115">INT((AR20/50000))</f>
        <v>6</v>
      </c>
      <c r="BC20" s="766">
        <f t="shared" ref="BC20" si="116">INT((AR20-BB20*50000)/10000)</f>
        <v>2</v>
      </c>
      <c r="BD20" s="766">
        <f t="shared" ref="BD20" si="117">INT((AR20-BB20*50000-BC20*10000)/5000)</f>
        <v>1</v>
      </c>
      <c r="BE20" s="766">
        <f t="shared" ref="BE20" si="118">INT((AR20-BB20*50000-BC20*10000-BD20*5000)/1000)</f>
        <v>3</v>
      </c>
      <c r="BF20" s="766">
        <f t="shared" ref="BF20" si="119">INT((AR20-BB20*50000-BC20*10000-BD20*5000-BE20*1000)/500)</f>
        <v>0</v>
      </c>
      <c r="BG20" s="766">
        <f t="shared" ref="BG20" si="120">INT((AR20-BB20*50000-BC20*10000-BD20*5000-BE20*1000-BF20*500)/100)</f>
        <v>2</v>
      </c>
      <c r="BH20" s="767">
        <f t="shared" ref="BH20" si="121">BB20*50000+BC20*10000+BD20*5000+BE20*1000+BF20*500+BG20*100</f>
        <v>328200</v>
      </c>
      <c r="BJ20" s="626" t="s">
        <v>1321</v>
      </c>
      <c r="BK20" s="626" t="s">
        <v>943</v>
      </c>
      <c r="BL20" s="1427">
        <v>33239</v>
      </c>
      <c r="BM20" s="789" t="s">
        <v>1322</v>
      </c>
      <c r="BN20" s="1287" t="s">
        <v>1795</v>
      </c>
    </row>
    <row r="21" spans="1:66" s="768" customFormat="1" ht="56.25" customHeight="1">
      <c r="A21" s="1594">
        <v>15</v>
      </c>
      <c r="B21" s="1596" t="s">
        <v>1365</v>
      </c>
      <c r="C21" s="1330" t="s">
        <v>1366</v>
      </c>
      <c r="D21" s="1851">
        <v>44607</v>
      </c>
      <c r="E21" s="1151" t="s">
        <v>260</v>
      </c>
      <c r="F21" s="955">
        <f>201+3</f>
        <v>204</v>
      </c>
      <c r="G21" s="758">
        <v>2</v>
      </c>
      <c r="H21" s="1001">
        <v>22</v>
      </c>
      <c r="I21" s="1408">
        <f t="shared" si="25"/>
        <v>172.61538461538461</v>
      </c>
      <c r="J21" s="618">
        <f t="shared" si="0"/>
        <v>172.61538461538461</v>
      </c>
      <c r="K21" s="1001">
        <v>68</v>
      </c>
      <c r="L21" s="510">
        <f t="shared" si="1"/>
        <v>1.471153846153846</v>
      </c>
      <c r="M21" s="503">
        <f t="shared" si="2"/>
        <v>100.03846153846153</v>
      </c>
      <c r="N21" s="1001">
        <v>0</v>
      </c>
      <c r="O21" s="510">
        <f t="shared" si="3"/>
        <v>1.9615384615384615</v>
      </c>
      <c r="P21" s="503">
        <f t="shared" si="4"/>
        <v>0</v>
      </c>
      <c r="Q21" s="1001">
        <v>24</v>
      </c>
      <c r="R21" s="510">
        <f t="shared" si="5"/>
        <v>1.9615384615384615</v>
      </c>
      <c r="S21" s="618">
        <f t="shared" si="6"/>
        <v>47.076923076923073</v>
      </c>
      <c r="T21" s="1001">
        <v>5</v>
      </c>
      <c r="U21" s="510">
        <f t="shared" si="7"/>
        <v>7.8461538461538458</v>
      </c>
      <c r="V21" s="618">
        <f t="shared" si="8"/>
        <v>39.230769230769226</v>
      </c>
      <c r="W21" s="1001">
        <v>0</v>
      </c>
      <c r="X21" s="618">
        <f>'S1 Salary'!T22*'S1'!W21</f>
        <v>0</v>
      </c>
      <c r="Y21" s="1001">
        <v>0</v>
      </c>
      <c r="Z21" s="510">
        <f t="shared" si="9"/>
        <v>3.9230769230769229</v>
      </c>
      <c r="AA21" s="618">
        <f t="shared" si="10"/>
        <v>0</v>
      </c>
      <c r="AB21" s="1001">
        <v>0</v>
      </c>
      <c r="AC21" s="1467">
        <f t="shared" si="11"/>
        <v>27</v>
      </c>
      <c r="AD21" s="1096">
        <v>0</v>
      </c>
      <c r="AE21" s="1121">
        <v>0</v>
      </c>
      <c r="AF21" s="1412">
        <f>4+1</f>
        <v>5</v>
      </c>
      <c r="AG21" s="762">
        <v>0</v>
      </c>
      <c r="AH21" s="618">
        <v>10</v>
      </c>
      <c r="AI21" s="1411">
        <v>3</v>
      </c>
      <c r="AJ21" s="1410">
        <v>10</v>
      </c>
      <c r="AK21" s="1410">
        <v>10</v>
      </c>
      <c r="AL21" s="1148">
        <f t="shared" si="12"/>
        <v>398.96153846153845</v>
      </c>
      <c r="AM21" s="1283">
        <v>0</v>
      </c>
      <c r="AN21" s="1815">
        <v>102</v>
      </c>
      <c r="AO21" s="503">
        <f>'Tax Calulation '!P21</f>
        <v>0</v>
      </c>
      <c r="AP21" s="1096">
        <f>'Tax Calulation '!W21</f>
        <v>5.9084194977843429</v>
      </c>
      <c r="AQ21" s="1686">
        <f t="shared" si="13"/>
        <v>291.05311896375412</v>
      </c>
      <c r="AR21" s="1682">
        <f t="shared" si="26"/>
        <v>367900</v>
      </c>
      <c r="AS21" s="1683">
        <f t="shared" si="14"/>
        <v>200</v>
      </c>
      <c r="AT21" s="612"/>
      <c r="AU21" s="763"/>
      <c r="AV21" s="763"/>
      <c r="AW21" s="763"/>
      <c r="AX21" s="764"/>
      <c r="AY21" s="612">
        <f t="shared" ref="AY21" si="122">INT(AS21/100)</f>
        <v>2</v>
      </c>
      <c r="AZ21" s="612">
        <f t="shared" ref="AZ21" si="123">INT((AS21-AY21*100)/50)</f>
        <v>0</v>
      </c>
      <c r="BA21" s="765">
        <f t="shared" ref="BA21" si="124">AY21*100+AZ21*50</f>
        <v>200</v>
      </c>
      <c r="BB21" s="765">
        <f t="shared" ref="BB21" si="125">INT((AR21/50000))</f>
        <v>7</v>
      </c>
      <c r="BC21" s="766">
        <f t="shared" ref="BC21" si="126">INT((AR21-BB21*50000)/10000)</f>
        <v>1</v>
      </c>
      <c r="BD21" s="766">
        <f t="shared" ref="BD21" si="127">INT((AR21-BB21*50000-BC21*10000)/5000)</f>
        <v>1</v>
      </c>
      <c r="BE21" s="766">
        <f t="shared" ref="BE21" si="128">INT((AR21-BB21*50000-BC21*10000-BD21*5000)/1000)</f>
        <v>2</v>
      </c>
      <c r="BF21" s="766">
        <f t="shared" ref="BF21" si="129">INT((AR21-BB21*50000-BC21*10000-BD21*5000-BE21*1000)/500)</f>
        <v>1</v>
      </c>
      <c r="BG21" s="766">
        <f t="shared" ref="BG21" si="130">INT((AR21-BB21*50000-BC21*10000-BD21*5000-BE21*1000-BF21*500)/100)</f>
        <v>4</v>
      </c>
      <c r="BH21" s="767">
        <f t="shared" ref="BH21" si="131">BB21*50000+BC21*10000+BD21*5000+BE21*1000+BF21*500+BG21*100</f>
        <v>367900</v>
      </c>
      <c r="BJ21" s="626" t="s">
        <v>1399</v>
      </c>
      <c r="BK21" s="626" t="s">
        <v>572</v>
      </c>
      <c r="BL21" s="1427">
        <v>31533</v>
      </c>
      <c r="BM21" s="1428" t="s">
        <v>1400</v>
      </c>
      <c r="BN21" s="1429" t="s">
        <v>1401</v>
      </c>
    </row>
    <row r="22" spans="1:66" s="768" customFormat="1" ht="56.25" customHeight="1">
      <c r="A22" s="1594">
        <v>16</v>
      </c>
      <c r="B22" s="1418" t="s">
        <v>1103</v>
      </c>
      <c r="C22" s="1330" t="s">
        <v>1104</v>
      </c>
      <c r="D22" s="1851">
        <v>43256</v>
      </c>
      <c r="E22" s="1151" t="s">
        <v>260</v>
      </c>
      <c r="F22" s="1648">
        <f>174+12+8+2+4+4</f>
        <v>204</v>
      </c>
      <c r="G22" s="758">
        <f>2</f>
        <v>2</v>
      </c>
      <c r="H22" s="1001">
        <v>22</v>
      </c>
      <c r="I22" s="1408">
        <f t="shared" si="25"/>
        <v>172.61538461538461</v>
      </c>
      <c r="J22" s="618">
        <f t="shared" si="0"/>
        <v>172.61538461538461</v>
      </c>
      <c r="K22" s="1001">
        <v>68</v>
      </c>
      <c r="L22" s="510">
        <f t="shared" si="1"/>
        <v>1.471153846153846</v>
      </c>
      <c r="M22" s="503">
        <f t="shared" si="2"/>
        <v>100.03846153846153</v>
      </c>
      <c r="N22" s="1001">
        <v>0</v>
      </c>
      <c r="O22" s="510">
        <f t="shared" si="3"/>
        <v>1.9615384615384615</v>
      </c>
      <c r="P22" s="503">
        <f t="shared" si="4"/>
        <v>0</v>
      </c>
      <c r="Q22" s="1001">
        <v>24</v>
      </c>
      <c r="R22" s="510">
        <f t="shared" si="5"/>
        <v>1.9615384615384615</v>
      </c>
      <c r="S22" s="618">
        <f t="shared" si="6"/>
        <v>47.076923076923073</v>
      </c>
      <c r="T22" s="1001">
        <v>5</v>
      </c>
      <c r="U22" s="510">
        <f t="shared" si="7"/>
        <v>7.8461538461538458</v>
      </c>
      <c r="V22" s="618">
        <f t="shared" si="8"/>
        <v>39.230769230769226</v>
      </c>
      <c r="W22" s="1001">
        <v>0</v>
      </c>
      <c r="X22" s="618">
        <f>'S1 Salary'!T23*'S1'!W22</f>
        <v>0</v>
      </c>
      <c r="Y22" s="1001">
        <v>0</v>
      </c>
      <c r="Z22" s="510">
        <f t="shared" si="9"/>
        <v>3.9230769230769229</v>
      </c>
      <c r="AA22" s="618">
        <f t="shared" si="10"/>
        <v>0</v>
      </c>
      <c r="AB22" s="1001">
        <v>0</v>
      </c>
      <c r="AC22" s="1467">
        <f t="shared" si="11"/>
        <v>27</v>
      </c>
      <c r="AD22" s="1096">
        <v>0</v>
      </c>
      <c r="AE22" s="1121">
        <v>0</v>
      </c>
      <c r="AF22" s="1412">
        <v>0</v>
      </c>
      <c r="AG22" s="762">
        <v>0</v>
      </c>
      <c r="AH22" s="618">
        <v>10</v>
      </c>
      <c r="AI22" s="1411">
        <v>6</v>
      </c>
      <c r="AJ22" s="1410">
        <v>10</v>
      </c>
      <c r="AK22" s="1410">
        <v>10</v>
      </c>
      <c r="AL22" s="1148">
        <f t="shared" si="12"/>
        <v>396.96153846153845</v>
      </c>
      <c r="AM22" s="1283">
        <v>0.5</v>
      </c>
      <c r="AN22" s="1815">
        <v>102</v>
      </c>
      <c r="AO22" s="503">
        <f>'Tax Calulation '!P22</f>
        <v>8.8845017611634547E-2</v>
      </c>
      <c r="AP22" s="1096">
        <f>'Tax Calulation '!W22</f>
        <v>5.9084194977843429</v>
      </c>
      <c r="AQ22" s="1686">
        <f t="shared" si="13"/>
        <v>288.4642739461425</v>
      </c>
      <c r="AR22" s="1682">
        <f t="shared" si="26"/>
        <v>357400</v>
      </c>
      <c r="AS22" s="1683">
        <f t="shared" si="14"/>
        <v>200</v>
      </c>
      <c r="AT22" s="612"/>
      <c r="AU22" s="763"/>
      <c r="AV22" s="763"/>
      <c r="AW22" s="763"/>
      <c r="AX22" s="764">
        <f>(J22+M22+P22+S22+V22+AA22+AH22+AI22+AJ22+AK22)*4000</f>
        <v>1579846.1538461538</v>
      </c>
      <c r="AY22" s="612">
        <f t="shared" ref="AY22:AY36" si="132">INT(AS22/100)</f>
        <v>2</v>
      </c>
      <c r="AZ22" s="612">
        <f t="shared" ref="AZ22:AZ36" si="133">INT((AS22-AY22*100)/50)</f>
        <v>0</v>
      </c>
      <c r="BA22" s="765">
        <f t="shared" ref="BA22:BA36" si="134">AY22*100+AZ22*50</f>
        <v>200</v>
      </c>
      <c r="BB22" s="765">
        <f t="shared" ref="BB22:BB36" si="135">INT((AR22/50000))</f>
        <v>7</v>
      </c>
      <c r="BC22" s="766">
        <f t="shared" ref="BC22:BC36" si="136">INT((AR22-BB22*50000)/10000)</f>
        <v>0</v>
      </c>
      <c r="BD22" s="766">
        <f t="shared" ref="BD22:BD36" si="137">INT((AR22-BB22*50000-BC22*10000)/5000)</f>
        <v>1</v>
      </c>
      <c r="BE22" s="766">
        <f t="shared" ref="BE22:BE36" si="138">INT((AR22-BB22*50000-BC22*10000-BD22*5000)/1000)</f>
        <v>2</v>
      </c>
      <c r="BF22" s="766">
        <f t="shared" ref="BF22:BF36" si="139">INT((AR22-BB22*50000-BC22*10000-BD22*5000-BE22*1000)/500)</f>
        <v>0</v>
      </c>
      <c r="BG22" s="766">
        <f t="shared" ref="BG22:BG36" si="140">INT((AR22-BB22*50000-BC22*10000-BD22*5000-BE22*1000-BF22*500)/100)</f>
        <v>4</v>
      </c>
      <c r="BH22" s="767">
        <f t="shared" ref="BH22:BH36" si="141">BB22*50000+BC22*10000+BD22*5000+BE22*1000+BF22*500+BG22*100</f>
        <v>357400</v>
      </c>
      <c r="BJ22" s="626" t="s">
        <v>751</v>
      </c>
      <c r="BK22" s="626" t="s">
        <v>573</v>
      </c>
      <c r="BL22" s="1427">
        <v>34472</v>
      </c>
      <c r="BM22" s="789" t="s">
        <v>575</v>
      </c>
      <c r="BN22" s="1287">
        <v>170712839</v>
      </c>
    </row>
    <row r="23" spans="1:66" s="755" customFormat="1" ht="56.25" customHeight="1">
      <c r="A23" s="1594">
        <v>17</v>
      </c>
      <c r="B23" s="1414" t="s">
        <v>1105</v>
      </c>
      <c r="C23" s="1329" t="s">
        <v>1106</v>
      </c>
      <c r="D23" s="1841">
        <v>43256</v>
      </c>
      <c r="E23" s="1637" t="s">
        <v>260</v>
      </c>
      <c r="F23" s="621">
        <f>179+12+8+2+3</f>
        <v>204</v>
      </c>
      <c r="G23" s="617">
        <f>2</f>
        <v>2</v>
      </c>
      <c r="H23" s="1001">
        <v>22</v>
      </c>
      <c r="I23" s="1408">
        <f t="shared" si="25"/>
        <v>172.61538461538461</v>
      </c>
      <c r="J23" s="618">
        <f t="shared" si="0"/>
        <v>172.61538461538461</v>
      </c>
      <c r="K23" s="1001">
        <v>62</v>
      </c>
      <c r="L23" s="510">
        <f t="shared" si="1"/>
        <v>1.471153846153846</v>
      </c>
      <c r="M23" s="503">
        <f t="shared" si="2"/>
        <v>91.211538461538453</v>
      </c>
      <c r="N23" s="1001">
        <v>0</v>
      </c>
      <c r="O23" s="510">
        <f t="shared" si="3"/>
        <v>1.9615384615384615</v>
      </c>
      <c r="P23" s="503">
        <f t="shared" si="4"/>
        <v>0</v>
      </c>
      <c r="Q23" s="1001">
        <v>24</v>
      </c>
      <c r="R23" s="510">
        <f t="shared" si="5"/>
        <v>1.9615384615384615</v>
      </c>
      <c r="S23" s="618">
        <f t="shared" si="6"/>
        <v>47.076923076923073</v>
      </c>
      <c r="T23" s="1001">
        <v>5</v>
      </c>
      <c r="U23" s="510">
        <f t="shared" si="7"/>
        <v>7.8461538461538458</v>
      </c>
      <c r="V23" s="618">
        <f t="shared" si="8"/>
        <v>39.230769230769226</v>
      </c>
      <c r="W23" s="1001">
        <v>0</v>
      </c>
      <c r="X23" s="618">
        <f>'S1 Salary'!T24*'S1'!W23</f>
        <v>0</v>
      </c>
      <c r="Y23" s="1001">
        <v>0</v>
      </c>
      <c r="Z23" s="510">
        <f t="shared" si="9"/>
        <v>3.9230769230769229</v>
      </c>
      <c r="AA23" s="618">
        <f t="shared" si="10"/>
        <v>0</v>
      </c>
      <c r="AB23" s="1001">
        <v>0</v>
      </c>
      <c r="AC23" s="1467">
        <f t="shared" si="11"/>
        <v>27</v>
      </c>
      <c r="AD23" s="1096">
        <v>0</v>
      </c>
      <c r="AE23" s="1121">
        <v>0</v>
      </c>
      <c r="AF23" s="1412">
        <f>4+1</f>
        <v>5</v>
      </c>
      <c r="AG23" s="511">
        <v>0</v>
      </c>
      <c r="AH23" s="618">
        <v>10</v>
      </c>
      <c r="AI23" s="1410">
        <v>7</v>
      </c>
      <c r="AJ23" s="1410">
        <v>10</v>
      </c>
      <c r="AK23" s="1410">
        <v>10</v>
      </c>
      <c r="AL23" s="1148">
        <f t="shared" si="12"/>
        <v>394.13461538461542</v>
      </c>
      <c r="AM23" s="1282">
        <v>0.5</v>
      </c>
      <c r="AN23" s="1815">
        <v>102</v>
      </c>
      <c r="AO23" s="503">
        <f>'Tax Calulation '!P23</f>
        <v>0</v>
      </c>
      <c r="AP23" s="1096">
        <f>'Tax Calulation '!W23</f>
        <v>5.9084194977843429</v>
      </c>
      <c r="AQ23" s="1686">
        <f t="shared" si="13"/>
        <v>285.72619588683108</v>
      </c>
      <c r="AR23" s="1682">
        <f t="shared" si="26"/>
        <v>346300</v>
      </c>
      <c r="AS23" s="1683">
        <f t="shared" si="14"/>
        <v>200</v>
      </c>
      <c r="AT23" s="502"/>
      <c r="AU23" s="504"/>
      <c r="AV23" s="504"/>
      <c r="AW23" s="504"/>
      <c r="AX23" s="505">
        <f>(J23+M23+P23+S23+V23+AA23+AH23+AI23+AJ23+AK23)*4000</f>
        <v>1548538.4615384617</v>
      </c>
      <c r="AY23" s="502">
        <f t="shared" si="132"/>
        <v>2</v>
      </c>
      <c r="AZ23" s="502">
        <f t="shared" si="133"/>
        <v>0</v>
      </c>
      <c r="BA23" s="573">
        <f t="shared" si="134"/>
        <v>200</v>
      </c>
      <c r="BB23" s="573">
        <f t="shared" si="135"/>
        <v>6</v>
      </c>
      <c r="BC23" s="548">
        <f t="shared" si="136"/>
        <v>4</v>
      </c>
      <c r="BD23" s="548">
        <f t="shared" si="137"/>
        <v>1</v>
      </c>
      <c r="BE23" s="548">
        <f t="shared" si="138"/>
        <v>1</v>
      </c>
      <c r="BF23" s="548">
        <f t="shared" si="139"/>
        <v>0</v>
      </c>
      <c r="BG23" s="548">
        <f t="shared" si="140"/>
        <v>3</v>
      </c>
      <c r="BH23" s="549">
        <f t="shared" si="141"/>
        <v>346300</v>
      </c>
      <c r="BJ23" s="533" t="s">
        <v>752</v>
      </c>
      <c r="BK23" s="533" t="s">
        <v>573</v>
      </c>
      <c r="BL23" s="1162">
        <v>35983</v>
      </c>
      <c r="BM23" s="559" t="s">
        <v>576</v>
      </c>
      <c r="BN23" s="1422">
        <v>51202724</v>
      </c>
    </row>
    <row r="24" spans="1:66" s="755" customFormat="1" ht="56.25" customHeight="1">
      <c r="A24" s="1594">
        <v>18</v>
      </c>
      <c r="B24" s="1418" t="s">
        <v>1107</v>
      </c>
      <c r="C24" s="1330" t="s">
        <v>479</v>
      </c>
      <c r="D24" s="1851">
        <v>43649</v>
      </c>
      <c r="E24" s="1637" t="s">
        <v>260</v>
      </c>
      <c r="F24" s="621">
        <f>191+8+2+3</f>
        <v>204</v>
      </c>
      <c r="G24" s="617">
        <f>2</f>
        <v>2</v>
      </c>
      <c r="H24" s="1001">
        <v>21</v>
      </c>
      <c r="I24" s="1408">
        <f t="shared" si="25"/>
        <v>164.76923076923077</v>
      </c>
      <c r="J24" s="618">
        <f t="shared" si="0"/>
        <v>164.76923076923077</v>
      </c>
      <c r="K24" s="1001">
        <v>47</v>
      </c>
      <c r="L24" s="510">
        <f t="shared" si="1"/>
        <v>1.471153846153846</v>
      </c>
      <c r="M24" s="503">
        <f t="shared" si="2"/>
        <v>69.144230769230759</v>
      </c>
      <c r="N24" s="1001">
        <v>0</v>
      </c>
      <c r="O24" s="510">
        <f t="shared" si="3"/>
        <v>1.9615384615384615</v>
      </c>
      <c r="P24" s="503">
        <f t="shared" si="4"/>
        <v>0</v>
      </c>
      <c r="Q24" s="1001">
        <v>16</v>
      </c>
      <c r="R24" s="510">
        <f t="shared" si="5"/>
        <v>1.9615384615384615</v>
      </c>
      <c r="S24" s="618">
        <f t="shared" si="6"/>
        <v>31.384615384615383</v>
      </c>
      <c r="T24" s="1001">
        <v>5</v>
      </c>
      <c r="U24" s="510">
        <f t="shared" si="7"/>
        <v>7.8461538461538458</v>
      </c>
      <c r="V24" s="618">
        <f t="shared" si="8"/>
        <v>39.230769230769226</v>
      </c>
      <c r="W24" s="1001">
        <v>1</v>
      </c>
      <c r="X24" s="618">
        <f>'S1 Salary'!T25*'S1'!W24</f>
        <v>11.305987280379734</v>
      </c>
      <c r="Y24" s="1001">
        <v>0</v>
      </c>
      <c r="Z24" s="510">
        <f t="shared" si="9"/>
        <v>3.9230769230769229</v>
      </c>
      <c r="AA24" s="618">
        <f t="shared" si="10"/>
        <v>0</v>
      </c>
      <c r="AB24" s="1001">
        <v>0</v>
      </c>
      <c r="AC24" s="1467">
        <f t="shared" si="11"/>
        <v>27</v>
      </c>
      <c r="AD24" s="1096">
        <v>0</v>
      </c>
      <c r="AE24" s="1121">
        <v>0</v>
      </c>
      <c r="AF24" s="1412">
        <f>4+1</f>
        <v>5</v>
      </c>
      <c r="AG24" s="511">
        <v>0</v>
      </c>
      <c r="AH24" s="618">
        <v>10</v>
      </c>
      <c r="AI24" s="1410">
        <v>6</v>
      </c>
      <c r="AJ24" s="1410">
        <v>10</v>
      </c>
      <c r="AK24" s="1410">
        <v>10</v>
      </c>
      <c r="AL24" s="1148">
        <f t="shared" si="12"/>
        <v>358.83483343422586</v>
      </c>
      <c r="AM24" s="1282">
        <v>0</v>
      </c>
      <c r="AN24" s="1815">
        <v>102</v>
      </c>
      <c r="AO24" s="503">
        <f>'Tax Calulation '!P24</f>
        <v>0</v>
      </c>
      <c r="AP24" s="1096">
        <f>'Tax Calulation '!W24</f>
        <v>5.9084194977843429</v>
      </c>
      <c r="AQ24" s="1686">
        <f t="shared" si="13"/>
        <v>250.92641393644152</v>
      </c>
      <c r="AR24" s="1682">
        <f t="shared" si="26"/>
        <v>205700</v>
      </c>
      <c r="AS24" s="1683">
        <f t="shared" si="14"/>
        <v>200</v>
      </c>
      <c r="AT24" s="502"/>
      <c r="AU24" s="504"/>
      <c r="AV24" s="504"/>
      <c r="AW24" s="504"/>
      <c r="AX24" s="505">
        <f>(J24+M24+P24+S24+V24+AA24+AH24+AI24+AJ24+AK24)*4000</f>
        <v>1362115.3846153845</v>
      </c>
      <c r="AY24" s="502">
        <f t="shared" si="132"/>
        <v>2</v>
      </c>
      <c r="AZ24" s="502">
        <f t="shared" si="133"/>
        <v>0</v>
      </c>
      <c r="BA24" s="573">
        <f t="shared" si="134"/>
        <v>200</v>
      </c>
      <c r="BB24" s="573">
        <f t="shared" si="135"/>
        <v>4</v>
      </c>
      <c r="BC24" s="548">
        <f t="shared" si="136"/>
        <v>0</v>
      </c>
      <c r="BD24" s="548">
        <f t="shared" si="137"/>
        <v>1</v>
      </c>
      <c r="BE24" s="548">
        <f t="shared" si="138"/>
        <v>0</v>
      </c>
      <c r="BF24" s="548">
        <f t="shared" si="139"/>
        <v>1</v>
      </c>
      <c r="BG24" s="548">
        <f t="shared" si="140"/>
        <v>2</v>
      </c>
      <c r="BH24" s="549">
        <f t="shared" si="141"/>
        <v>205700</v>
      </c>
      <c r="BJ24" s="626" t="s">
        <v>753</v>
      </c>
      <c r="BK24" s="626" t="s">
        <v>573</v>
      </c>
      <c r="BL24" s="1427">
        <v>34031</v>
      </c>
      <c r="BM24" s="789" t="s">
        <v>577</v>
      </c>
      <c r="BN24" s="1287">
        <v>110446729</v>
      </c>
    </row>
    <row r="25" spans="1:66" s="755" customFormat="1" ht="56.25" customHeight="1">
      <c r="A25" s="1594">
        <v>19</v>
      </c>
      <c r="B25" s="1576" t="s">
        <v>2170</v>
      </c>
      <c r="C25" s="1329" t="s">
        <v>2171</v>
      </c>
      <c r="D25" s="1841">
        <v>42888</v>
      </c>
      <c r="E25" s="557" t="s">
        <v>260</v>
      </c>
      <c r="F25" s="617">
        <f>167+17+12+8+2</f>
        <v>206</v>
      </c>
      <c r="G25" s="617">
        <f>2</f>
        <v>2</v>
      </c>
      <c r="H25" s="1001">
        <v>21</v>
      </c>
      <c r="I25" s="1408">
        <f t="shared" si="25"/>
        <v>166.38461538461539</v>
      </c>
      <c r="J25" s="618">
        <f t="shared" si="0"/>
        <v>166.38461538461539</v>
      </c>
      <c r="K25" s="1001">
        <v>48</v>
      </c>
      <c r="L25" s="510">
        <f t="shared" si="1"/>
        <v>1.4855769230769231</v>
      </c>
      <c r="M25" s="503">
        <f t="shared" si="2"/>
        <v>71.307692307692307</v>
      </c>
      <c r="N25" s="1001">
        <v>0</v>
      </c>
      <c r="O25" s="510">
        <f t="shared" ref="O25" si="142">F25/26/8*2</f>
        <v>1.9807692307692308</v>
      </c>
      <c r="P25" s="503">
        <f t="shared" ref="P25" si="143">N25*O25</f>
        <v>0</v>
      </c>
      <c r="Q25" s="1001">
        <v>16</v>
      </c>
      <c r="R25" s="510">
        <f t="shared" ref="R25" si="144">F25/26/8*2</f>
        <v>1.9807692307692308</v>
      </c>
      <c r="S25" s="618">
        <f t="shared" si="6"/>
        <v>31.692307692307693</v>
      </c>
      <c r="T25" s="1001">
        <v>5</v>
      </c>
      <c r="U25" s="510">
        <f t="shared" si="7"/>
        <v>7.9230769230769234</v>
      </c>
      <c r="V25" s="618">
        <f t="shared" si="8"/>
        <v>39.615384615384613</v>
      </c>
      <c r="W25" s="1001">
        <v>1</v>
      </c>
      <c r="X25" s="618">
        <f>'S1 Salary'!T26*'S1'!W25</f>
        <v>10.977062132661851</v>
      </c>
      <c r="Y25" s="1001">
        <v>0</v>
      </c>
      <c r="Z25" s="510">
        <f t="shared" ref="Z25" si="145">F25/26/2</f>
        <v>3.9615384615384617</v>
      </c>
      <c r="AA25" s="618">
        <f t="shared" si="10"/>
        <v>0</v>
      </c>
      <c r="AB25" s="1001">
        <v>0</v>
      </c>
      <c r="AC25" s="1467">
        <f t="shared" si="11"/>
        <v>27</v>
      </c>
      <c r="AD25" s="1096">
        <v>0</v>
      </c>
      <c r="AE25" s="1121">
        <v>0</v>
      </c>
      <c r="AF25" s="1412">
        <v>8</v>
      </c>
      <c r="AG25" s="511">
        <v>0</v>
      </c>
      <c r="AH25" s="618">
        <v>10</v>
      </c>
      <c r="AI25" s="1410">
        <v>8</v>
      </c>
      <c r="AJ25" s="1410">
        <v>10</v>
      </c>
      <c r="AK25" s="1410">
        <v>10</v>
      </c>
      <c r="AL25" s="1148">
        <f t="shared" si="12"/>
        <v>367.97706213266184</v>
      </c>
      <c r="AM25" s="1284">
        <v>0.5</v>
      </c>
      <c r="AN25" s="1815">
        <v>102</v>
      </c>
      <c r="AO25" s="503">
        <f>'Tax Calulation '!P25</f>
        <v>0</v>
      </c>
      <c r="AP25" s="1096">
        <f>'Tax Calulation '!W25</f>
        <v>5.9084194977843429</v>
      </c>
      <c r="AQ25" s="1686">
        <f t="shared" si="13"/>
        <v>259.56864263487751</v>
      </c>
      <c r="AR25" s="1682">
        <f t="shared" si="26"/>
        <v>240700</v>
      </c>
      <c r="AS25" s="1683">
        <f t="shared" ref="AS25" si="146">CEILING(AQ25,(100))-100</f>
        <v>200</v>
      </c>
      <c r="AT25" s="502"/>
      <c r="AU25" s="504"/>
      <c r="AV25" s="504"/>
      <c r="AW25" s="504"/>
      <c r="AX25" s="505"/>
      <c r="AY25" s="612">
        <f t="shared" si="132"/>
        <v>2</v>
      </c>
      <c r="AZ25" s="612">
        <f t="shared" ref="AZ25" si="147">INT((AS25-AY25*100)/50)</f>
        <v>0</v>
      </c>
      <c r="BA25" s="765">
        <f t="shared" ref="BA25" si="148">AY25*100+AZ25*50</f>
        <v>200</v>
      </c>
      <c r="BB25" s="765">
        <f t="shared" ref="BB25" si="149">INT((AR25/50000))</f>
        <v>4</v>
      </c>
      <c r="BC25" s="766">
        <f t="shared" ref="BC25" si="150">INT((AR25-BB25*50000)/10000)</f>
        <v>4</v>
      </c>
      <c r="BD25" s="766">
        <f t="shared" ref="BD25" si="151">INT((AR25-BB25*50000-BC25*10000)/5000)</f>
        <v>0</v>
      </c>
      <c r="BE25" s="766">
        <f t="shared" ref="BE25" si="152">INT((AR25-BB25*50000-BC25*10000-BD25*5000)/1000)</f>
        <v>0</v>
      </c>
      <c r="BF25" s="766">
        <f t="shared" ref="BF25" si="153">INT((AR25-BB25*50000-BC25*10000-BD25*5000-BE25*1000)/500)</f>
        <v>1</v>
      </c>
      <c r="BG25" s="766">
        <f t="shared" ref="BG25" si="154">INT((AR25-BB25*50000-BC25*10000-BD25*5000-BE25*1000-BF25*500)/100)</f>
        <v>2</v>
      </c>
      <c r="BH25" s="767">
        <f t="shared" ref="BH25" si="155">BB25*50000+BC25*10000+BD25*5000+BE25*1000+BF25*500+BG25*100</f>
        <v>240700</v>
      </c>
      <c r="BJ25" s="516" t="s">
        <v>2172</v>
      </c>
      <c r="BK25" s="516" t="s">
        <v>2173</v>
      </c>
      <c r="BL25" s="1162">
        <v>31048</v>
      </c>
      <c r="BM25" s="559" t="s">
        <v>2174</v>
      </c>
      <c r="BN25" s="1422">
        <v>21210680</v>
      </c>
    </row>
    <row r="26" spans="1:66" s="768" customFormat="1" ht="56.25" customHeight="1">
      <c r="A26" s="1594">
        <v>20</v>
      </c>
      <c r="B26" s="1595" t="s">
        <v>1108</v>
      </c>
      <c r="C26" s="1330" t="s">
        <v>541</v>
      </c>
      <c r="D26" s="1851">
        <v>43825</v>
      </c>
      <c r="E26" s="1151" t="s">
        <v>260</v>
      </c>
      <c r="F26" s="758">
        <f>204+2</f>
        <v>206</v>
      </c>
      <c r="G26" s="758">
        <f>2</f>
        <v>2</v>
      </c>
      <c r="H26" s="1001">
        <v>20.5</v>
      </c>
      <c r="I26" s="1408">
        <f t="shared" si="25"/>
        <v>162.42307692307693</v>
      </c>
      <c r="J26" s="618">
        <f t="shared" si="0"/>
        <v>162.42307692307693</v>
      </c>
      <c r="K26" s="1001">
        <v>48</v>
      </c>
      <c r="L26" s="510">
        <f t="shared" si="1"/>
        <v>1.4855769230769231</v>
      </c>
      <c r="M26" s="503">
        <f t="shared" si="2"/>
        <v>71.307692307692307</v>
      </c>
      <c r="N26" s="1001">
        <v>0</v>
      </c>
      <c r="O26" s="510">
        <f t="shared" si="3"/>
        <v>1.9807692307692308</v>
      </c>
      <c r="P26" s="760">
        <f t="shared" si="4"/>
        <v>0</v>
      </c>
      <c r="Q26" s="1001">
        <v>16</v>
      </c>
      <c r="R26" s="510">
        <f t="shared" si="5"/>
        <v>1.9807692307692308</v>
      </c>
      <c r="S26" s="618">
        <f t="shared" si="6"/>
        <v>31.692307692307693</v>
      </c>
      <c r="T26" s="1001">
        <v>5</v>
      </c>
      <c r="U26" s="510">
        <f t="shared" si="7"/>
        <v>7.9230769230769234</v>
      </c>
      <c r="V26" s="618">
        <f t="shared" si="8"/>
        <v>39.615384615384613</v>
      </c>
      <c r="W26" s="1001">
        <v>1.5</v>
      </c>
      <c r="X26" s="618">
        <f>'S1 Salary'!T27*'S1'!W26</f>
        <v>18.211604353911522</v>
      </c>
      <c r="Y26" s="1001">
        <v>0</v>
      </c>
      <c r="Z26" s="510">
        <f t="shared" si="9"/>
        <v>3.9615384615384617</v>
      </c>
      <c r="AA26" s="618">
        <f t="shared" si="10"/>
        <v>0</v>
      </c>
      <c r="AB26" s="1001">
        <v>0</v>
      </c>
      <c r="AC26" s="1467">
        <f t="shared" si="11"/>
        <v>27</v>
      </c>
      <c r="AD26" s="1096">
        <v>0</v>
      </c>
      <c r="AE26" s="1121">
        <v>0</v>
      </c>
      <c r="AF26" s="1413">
        <f>4+4</f>
        <v>8</v>
      </c>
      <c r="AG26" s="762">
        <v>0</v>
      </c>
      <c r="AH26" s="618">
        <v>10</v>
      </c>
      <c r="AI26" s="1411">
        <v>5</v>
      </c>
      <c r="AJ26" s="1410">
        <v>10</v>
      </c>
      <c r="AK26" s="1410">
        <v>10</v>
      </c>
      <c r="AL26" s="1148">
        <f t="shared" si="12"/>
        <v>368.25006589237307</v>
      </c>
      <c r="AM26" s="1283">
        <v>0.5</v>
      </c>
      <c r="AN26" s="1815">
        <v>102</v>
      </c>
      <c r="AO26" s="503">
        <f>'Tax Calulation '!P26</f>
        <v>0</v>
      </c>
      <c r="AP26" s="1096">
        <f>'Tax Calulation '!W26</f>
        <v>5.9084194977843429</v>
      </c>
      <c r="AQ26" s="1686">
        <f t="shared" si="13"/>
        <v>259.84164639458874</v>
      </c>
      <c r="AR26" s="1682">
        <f t="shared" si="26"/>
        <v>241800</v>
      </c>
      <c r="AS26" s="1684">
        <f t="shared" si="14"/>
        <v>200</v>
      </c>
      <c r="AT26" s="612"/>
      <c r="AU26" s="763"/>
      <c r="AV26" s="763"/>
      <c r="AW26" s="763"/>
      <c r="AX26" s="764"/>
      <c r="AY26" s="612">
        <f t="shared" ref="AY26:AY27" si="156">INT(AS26/100)</f>
        <v>2</v>
      </c>
      <c r="AZ26" s="612">
        <f t="shared" si="133"/>
        <v>0</v>
      </c>
      <c r="BA26" s="765">
        <f t="shared" si="134"/>
        <v>200</v>
      </c>
      <c r="BB26" s="765">
        <f t="shared" si="135"/>
        <v>4</v>
      </c>
      <c r="BC26" s="766">
        <f t="shared" si="136"/>
        <v>4</v>
      </c>
      <c r="BD26" s="766">
        <f t="shared" si="137"/>
        <v>0</v>
      </c>
      <c r="BE26" s="766">
        <f t="shared" si="138"/>
        <v>1</v>
      </c>
      <c r="BF26" s="766">
        <f t="shared" si="139"/>
        <v>1</v>
      </c>
      <c r="BG26" s="766">
        <f t="shared" si="140"/>
        <v>3</v>
      </c>
      <c r="BH26" s="767">
        <f t="shared" si="141"/>
        <v>241800</v>
      </c>
      <c r="BJ26" s="624" t="s">
        <v>754</v>
      </c>
      <c r="BK26" s="624" t="s">
        <v>573</v>
      </c>
      <c r="BL26" s="1427">
        <v>35052</v>
      </c>
      <c r="BM26" s="789" t="s">
        <v>578</v>
      </c>
      <c r="BN26" s="1287">
        <v>10805285</v>
      </c>
    </row>
    <row r="27" spans="1:66" s="755" customFormat="1" ht="56.25" customHeight="1">
      <c r="A27" s="1594">
        <v>21</v>
      </c>
      <c r="B27" s="1576" t="s">
        <v>1110</v>
      </c>
      <c r="C27" s="1329" t="s">
        <v>1111</v>
      </c>
      <c r="D27" s="1841">
        <v>43825</v>
      </c>
      <c r="E27" s="1637" t="s">
        <v>260</v>
      </c>
      <c r="F27" s="617">
        <f>177+8+14+2+3</f>
        <v>204</v>
      </c>
      <c r="G27" s="617">
        <f>2</f>
        <v>2</v>
      </c>
      <c r="H27" s="1001">
        <v>22</v>
      </c>
      <c r="I27" s="1408">
        <f t="shared" si="25"/>
        <v>172.61538461538461</v>
      </c>
      <c r="J27" s="618">
        <f t="shared" si="0"/>
        <v>172.61538461538461</v>
      </c>
      <c r="K27" s="1001">
        <v>50</v>
      </c>
      <c r="L27" s="510">
        <f t="shared" si="1"/>
        <v>1.471153846153846</v>
      </c>
      <c r="M27" s="503">
        <f t="shared" si="2"/>
        <v>73.557692307692307</v>
      </c>
      <c r="N27" s="1001">
        <v>0</v>
      </c>
      <c r="O27" s="510">
        <f t="shared" si="3"/>
        <v>1.9615384615384615</v>
      </c>
      <c r="P27" s="503">
        <f t="shared" si="4"/>
        <v>0</v>
      </c>
      <c r="Q27" s="1001">
        <v>24</v>
      </c>
      <c r="R27" s="510">
        <f t="shared" si="5"/>
        <v>1.9615384615384615</v>
      </c>
      <c r="S27" s="618">
        <f t="shared" si="6"/>
        <v>47.076923076923073</v>
      </c>
      <c r="T27" s="1001">
        <v>5</v>
      </c>
      <c r="U27" s="510">
        <f t="shared" si="7"/>
        <v>7.8461538461538458</v>
      </c>
      <c r="V27" s="618">
        <f t="shared" si="8"/>
        <v>39.230769230769226</v>
      </c>
      <c r="W27" s="1001">
        <v>0</v>
      </c>
      <c r="X27" s="618">
        <f>'S1 Salary'!T28*'S1'!W27</f>
        <v>0</v>
      </c>
      <c r="Y27" s="1001">
        <v>0</v>
      </c>
      <c r="Z27" s="510">
        <f t="shared" si="9"/>
        <v>3.9230769230769229</v>
      </c>
      <c r="AA27" s="618">
        <f t="shared" si="10"/>
        <v>0</v>
      </c>
      <c r="AB27" s="1001">
        <v>0</v>
      </c>
      <c r="AC27" s="1467">
        <f t="shared" si="11"/>
        <v>27</v>
      </c>
      <c r="AD27" s="1096">
        <v>0</v>
      </c>
      <c r="AE27" s="1121">
        <v>0</v>
      </c>
      <c r="AF27" s="1412">
        <f>4+1</f>
        <v>5</v>
      </c>
      <c r="AG27" s="511">
        <v>0</v>
      </c>
      <c r="AH27" s="618">
        <v>10</v>
      </c>
      <c r="AI27" s="1410">
        <v>5</v>
      </c>
      <c r="AJ27" s="1410">
        <v>10</v>
      </c>
      <c r="AK27" s="1410">
        <v>10</v>
      </c>
      <c r="AL27" s="1148">
        <f t="shared" si="12"/>
        <v>374.48076923076923</v>
      </c>
      <c r="AM27" s="1282">
        <v>0.5</v>
      </c>
      <c r="AN27" s="1815">
        <v>102</v>
      </c>
      <c r="AO27" s="503">
        <f>'Tax Calulation '!P27</f>
        <v>0</v>
      </c>
      <c r="AP27" s="1096">
        <f>'Tax Calulation '!W27</f>
        <v>5.9084194977843429</v>
      </c>
      <c r="AQ27" s="1686">
        <f t="shared" si="13"/>
        <v>266.07234973298489</v>
      </c>
      <c r="AR27" s="1682">
        <f t="shared" si="26"/>
        <v>266900</v>
      </c>
      <c r="AS27" s="1683">
        <f t="shared" si="14"/>
        <v>200</v>
      </c>
      <c r="AT27" s="502"/>
      <c r="AU27" s="504"/>
      <c r="AV27" s="504"/>
      <c r="AW27" s="504"/>
      <c r="AX27" s="505"/>
      <c r="AY27" s="502">
        <f t="shared" si="156"/>
        <v>2</v>
      </c>
      <c r="AZ27" s="502">
        <f t="shared" si="133"/>
        <v>0</v>
      </c>
      <c r="BA27" s="573">
        <f t="shared" si="134"/>
        <v>200</v>
      </c>
      <c r="BB27" s="573">
        <f t="shared" si="135"/>
        <v>5</v>
      </c>
      <c r="BC27" s="548">
        <f t="shared" si="136"/>
        <v>1</v>
      </c>
      <c r="BD27" s="548">
        <f t="shared" si="137"/>
        <v>1</v>
      </c>
      <c r="BE27" s="548">
        <f t="shared" si="138"/>
        <v>1</v>
      </c>
      <c r="BF27" s="548">
        <f t="shared" si="139"/>
        <v>1</v>
      </c>
      <c r="BG27" s="548">
        <f t="shared" si="140"/>
        <v>4</v>
      </c>
      <c r="BH27" s="549">
        <f t="shared" si="141"/>
        <v>266900</v>
      </c>
      <c r="BJ27" s="516" t="s">
        <v>755</v>
      </c>
      <c r="BK27" s="516" t="s">
        <v>573</v>
      </c>
      <c r="BL27" s="1162">
        <v>35996</v>
      </c>
      <c r="BM27" s="559" t="s">
        <v>579</v>
      </c>
      <c r="BN27" s="1422">
        <v>21047170</v>
      </c>
    </row>
    <row r="28" spans="1:66" s="755" customFormat="1" ht="56.25" customHeight="1">
      <c r="A28" s="1594">
        <v>22</v>
      </c>
      <c r="B28" s="1576" t="s">
        <v>1617</v>
      </c>
      <c r="C28" s="1329" t="s">
        <v>1489</v>
      </c>
      <c r="D28" s="1841">
        <v>44635</v>
      </c>
      <c r="E28" s="1637" t="s">
        <v>260</v>
      </c>
      <c r="F28" s="617">
        <f>206</f>
        <v>206</v>
      </c>
      <c r="G28" s="617">
        <v>2</v>
      </c>
      <c r="H28" s="1001">
        <v>22</v>
      </c>
      <c r="I28" s="1408">
        <f t="shared" si="25"/>
        <v>174.30769230769232</v>
      </c>
      <c r="J28" s="618">
        <f t="shared" si="0"/>
        <v>174.30769230769232</v>
      </c>
      <c r="K28" s="1001">
        <v>65</v>
      </c>
      <c r="L28" s="510">
        <f t="shared" si="1"/>
        <v>1.4855769230769231</v>
      </c>
      <c r="M28" s="503">
        <f t="shared" si="2"/>
        <v>96.5625</v>
      </c>
      <c r="N28" s="1001">
        <v>0</v>
      </c>
      <c r="O28" s="510">
        <f t="shared" si="3"/>
        <v>1.9807692307692308</v>
      </c>
      <c r="P28" s="503">
        <f t="shared" si="4"/>
        <v>0</v>
      </c>
      <c r="Q28" s="1001">
        <v>16</v>
      </c>
      <c r="R28" s="510">
        <f t="shared" si="5"/>
        <v>1.9807692307692308</v>
      </c>
      <c r="S28" s="618">
        <f t="shared" si="6"/>
        <v>31.692307692307693</v>
      </c>
      <c r="T28" s="1001">
        <v>5</v>
      </c>
      <c r="U28" s="510">
        <f t="shared" si="7"/>
        <v>7.9230769230769234</v>
      </c>
      <c r="V28" s="618">
        <f t="shared" si="8"/>
        <v>39.615384615384613</v>
      </c>
      <c r="W28" s="1001">
        <v>0</v>
      </c>
      <c r="X28" s="618">
        <f>'S1 Salary'!T29*'S1'!W28</f>
        <v>0</v>
      </c>
      <c r="Y28" s="1001">
        <v>0</v>
      </c>
      <c r="Z28" s="510">
        <f t="shared" si="9"/>
        <v>3.9615384615384617</v>
      </c>
      <c r="AA28" s="618">
        <f t="shared" si="10"/>
        <v>0</v>
      </c>
      <c r="AB28" s="1001">
        <v>0</v>
      </c>
      <c r="AC28" s="1467">
        <f t="shared" si="11"/>
        <v>27</v>
      </c>
      <c r="AD28" s="1096">
        <v>0</v>
      </c>
      <c r="AE28" s="1121">
        <v>0</v>
      </c>
      <c r="AF28" s="1412">
        <f>4+4</f>
        <v>8</v>
      </c>
      <c r="AG28" s="511">
        <v>0</v>
      </c>
      <c r="AH28" s="618">
        <v>10</v>
      </c>
      <c r="AI28" s="1410">
        <v>3</v>
      </c>
      <c r="AJ28" s="1410">
        <v>10</v>
      </c>
      <c r="AK28" s="1410">
        <v>10</v>
      </c>
      <c r="AL28" s="1148">
        <f t="shared" si="12"/>
        <v>385.17788461538464</v>
      </c>
      <c r="AM28" s="1282">
        <v>0</v>
      </c>
      <c r="AN28" s="1815">
        <v>102</v>
      </c>
      <c r="AO28" s="503">
        <f>'Tax Calulation '!P28</f>
        <v>0</v>
      </c>
      <c r="AP28" s="1096">
        <f>'Tax Calulation '!W28</f>
        <v>5.9084194977843429</v>
      </c>
      <c r="AQ28" s="1686">
        <f t="shared" si="13"/>
        <v>277.2694651176003</v>
      </c>
      <c r="AR28" s="1682">
        <f t="shared" si="26"/>
        <v>312200</v>
      </c>
      <c r="AS28" s="1683">
        <f t="shared" si="14"/>
        <v>200</v>
      </c>
      <c r="AT28" s="502"/>
      <c r="AU28" s="504"/>
      <c r="AV28" s="504"/>
      <c r="AW28" s="504"/>
      <c r="AX28" s="505"/>
      <c r="AY28" s="502">
        <f t="shared" ref="AY28" si="157">INT(AS28/100)</f>
        <v>2</v>
      </c>
      <c r="AZ28" s="502">
        <f t="shared" ref="AZ28" si="158">INT((AS28-AY28*100)/50)</f>
        <v>0</v>
      </c>
      <c r="BA28" s="1049">
        <f t="shared" ref="BA28" si="159">AY28*100+AZ28*50</f>
        <v>200</v>
      </c>
      <c r="BB28" s="1049">
        <f t="shared" ref="BB28" si="160">INT((AR28/50000))</f>
        <v>6</v>
      </c>
      <c r="BC28" s="548">
        <f t="shared" ref="BC28" si="161">INT((AR28-BB28*50000)/10000)</f>
        <v>1</v>
      </c>
      <c r="BD28" s="548">
        <f t="shared" ref="BD28" si="162">INT((AR28-BB28*50000-BC28*10000)/5000)</f>
        <v>0</v>
      </c>
      <c r="BE28" s="548">
        <f t="shared" ref="BE28" si="163">INT((AR28-BB28*50000-BC28*10000-BD28*5000)/1000)</f>
        <v>2</v>
      </c>
      <c r="BF28" s="548">
        <f t="shared" ref="BF28" si="164">INT((AR28-BB28*50000-BC28*10000-BD28*5000-BE28*1000)/500)</f>
        <v>0</v>
      </c>
      <c r="BG28" s="548">
        <f t="shared" ref="BG28" si="165">INT((AR28-BB28*50000-BC28*10000-BD28*5000-BE28*1000-BF28*500)/100)</f>
        <v>2</v>
      </c>
      <c r="BH28" s="549">
        <f t="shared" ref="BH28" si="166">BB28*50000+BC28*10000+BD28*5000+BE28*1000+BF28*500+BG28*100</f>
        <v>312200</v>
      </c>
      <c r="BJ28" s="516" t="s">
        <v>1491</v>
      </c>
      <c r="BK28" s="516" t="s">
        <v>572</v>
      </c>
      <c r="BL28" s="1162">
        <v>35468</v>
      </c>
      <c r="BM28" s="1431" t="s">
        <v>1493</v>
      </c>
      <c r="BN28" s="1432" t="s">
        <v>1503</v>
      </c>
    </row>
    <row r="29" spans="1:66" s="755" customFormat="1" ht="56.25" customHeight="1">
      <c r="A29" s="1594">
        <v>23</v>
      </c>
      <c r="B29" s="1576" t="s">
        <v>1618</v>
      </c>
      <c r="C29" s="1330" t="s">
        <v>1513</v>
      </c>
      <c r="D29" s="1841">
        <v>44652</v>
      </c>
      <c r="E29" s="1637" t="s">
        <v>260</v>
      </c>
      <c r="F29" s="617">
        <f>201+3</f>
        <v>204</v>
      </c>
      <c r="G29" s="617">
        <v>2</v>
      </c>
      <c r="H29" s="1001">
        <v>22</v>
      </c>
      <c r="I29" s="1408">
        <f t="shared" si="25"/>
        <v>172.61538461538461</v>
      </c>
      <c r="J29" s="618">
        <f t="shared" si="0"/>
        <v>172.61538461538461</v>
      </c>
      <c r="K29" s="1001">
        <v>68</v>
      </c>
      <c r="L29" s="510">
        <f t="shared" si="1"/>
        <v>1.471153846153846</v>
      </c>
      <c r="M29" s="503">
        <f t="shared" si="2"/>
        <v>100.03846153846153</v>
      </c>
      <c r="N29" s="1001">
        <v>0</v>
      </c>
      <c r="O29" s="510">
        <f t="shared" si="3"/>
        <v>1.9615384615384615</v>
      </c>
      <c r="P29" s="503">
        <f t="shared" si="4"/>
        <v>0</v>
      </c>
      <c r="Q29" s="1001">
        <v>24</v>
      </c>
      <c r="R29" s="510">
        <f t="shared" si="5"/>
        <v>1.9615384615384615</v>
      </c>
      <c r="S29" s="618">
        <f t="shared" si="6"/>
        <v>47.076923076923073</v>
      </c>
      <c r="T29" s="1001">
        <v>5</v>
      </c>
      <c r="U29" s="510">
        <f t="shared" si="7"/>
        <v>7.8461538461538458</v>
      </c>
      <c r="V29" s="618">
        <f t="shared" si="8"/>
        <v>39.230769230769226</v>
      </c>
      <c r="W29" s="1001">
        <v>0</v>
      </c>
      <c r="X29" s="618">
        <f>'S1 Salary'!T30*'S1'!W29</f>
        <v>0</v>
      </c>
      <c r="Y29" s="1001">
        <v>0</v>
      </c>
      <c r="Z29" s="510">
        <f t="shared" si="9"/>
        <v>3.9230769230769229</v>
      </c>
      <c r="AA29" s="618">
        <f t="shared" si="10"/>
        <v>0</v>
      </c>
      <c r="AB29" s="1001">
        <v>0</v>
      </c>
      <c r="AC29" s="1467">
        <f t="shared" si="11"/>
        <v>27</v>
      </c>
      <c r="AD29" s="1096">
        <v>0</v>
      </c>
      <c r="AE29" s="1121">
        <v>0</v>
      </c>
      <c r="AF29" s="1412">
        <f>4+1</f>
        <v>5</v>
      </c>
      <c r="AG29" s="511">
        <v>0</v>
      </c>
      <c r="AH29" s="618">
        <v>10</v>
      </c>
      <c r="AI29" s="1410">
        <v>3</v>
      </c>
      <c r="AJ29" s="1410">
        <v>10</v>
      </c>
      <c r="AK29" s="1410">
        <v>10</v>
      </c>
      <c r="AL29" s="1148">
        <f t="shared" si="12"/>
        <v>398.96153846153845</v>
      </c>
      <c r="AM29" s="1282">
        <v>0</v>
      </c>
      <c r="AN29" s="1815">
        <v>102</v>
      </c>
      <c r="AO29" s="503">
        <f>'Tax Calulation '!P29</f>
        <v>0</v>
      </c>
      <c r="AP29" s="1096">
        <f>'Tax Calulation '!W29</f>
        <v>5.9084194977843429</v>
      </c>
      <c r="AQ29" s="1686">
        <f t="shared" si="13"/>
        <v>291.05311896375412</v>
      </c>
      <c r="AR29" s="1682">
        <f t="shared" si="26"/>
        <v>367900</v>
      </c>
      <c r="AS29" s="1683">
        <f t="shared" si="14"/>
        <v>200</v>
      </c>
      <c r="AT29" s="502"/>
      <c r="AU29" s="504"/>
      <c r="AV29" s="504"/>
      <c r="AW29" s="504"/>
      <c r="AX29" s="505"/>
      <c r="AY29" s="502">
        <f t="shared" ref="AY29" si="167">INT(AS29/100)</f>
        <v>2</v>
      </c>
      <c r="AZ29" s="502">
        <f t="shared" ref="AZ29" si="168">INT((AS29-AY29*100)/50)</f>
        <v>0</v>
      </c>
      <c r="BA29" s="1072">
        <f t="shared" ref="BA29" si="169">AY29*100+AZ29*50</f>
        <v>200</v>
      </c>
      <c r="BB29" s="1072">
        <f t="shared" ref="BB29" si="170">INT((AR29/50000))</f>
        <v>7</v>
      </c>
      <c r="BC29" s="548">
        <f t="shared" ref="BC29" si="171">INT((AR29-BB29*50000)/10000)</f>
        <v>1</v>
      </c>
      <c r="BD29" s="548">
        <f t="shared" ref="BD29" si="172">INT((AR29-BB29*50000-BC29*10000)/5000)</f>
        <v>1</v>
      </c>
      <c r="BE29" s="548">
        <f t="shared" ref="BE29" si="173">INT((AR29-BB29*50000-BC29*10000-BD29*5000)/1000)</f>
        <v>2</v>
      </c>
      <c r="BF29" s="548">
        <f t="shared" ref="BF29" si="174">INT((AR29-BB29*50000-BC29*10000-BD29*5000-BE29*1000)/500)</f>
        <v>1</v>
      </c>
      <c r="BG29" s="548">
        <f t="shared" ref="BG29" si="175">INT((AR29-BB29*50000-BC29*10000-BD29*5000-BE29*1000-BF29*500)/100)</f>
        <v>4</v>
      </c>
      <c r="BH29" s="549">
        <f t="shared" ref="BH29" si="176">BB29*50000+BC29*10000+BD29*5000+BE29*1000+BF29*500+BG29*100</f>
        <v>367900</v>
      </c>
      <c r="BJ29" s="958" t="s">
        <v>1538</v>
      </c>
      <c r="BK29" s="516" t="s">
        <v>572</v>
      </c>
      <c r="BL29" s="616">
        <v>32365</v>
      </c>
      <c r="BM29" s="1431"/>
      <c r="BN29" s="1433" t="s">
        <v>1539</v>
      </c>
    </row>
    <row r="30" spans="1:66" s="755" customFormat="1" ht="56.25" customHeight="1">
      <c r="A30" s="1594">
        <v>24</v>
      </c>
      <c r="B30" s="1415" t="s">
        <v>1619</v>
      </c>
      <c r="C30" s="1153" t="s">
        <v>1522</v>
      </c>
      <c r="D30" s="1841">
        <v>44691</v>
      </c>
      <c r="E30" s="1637" t="s">
        <v>260</v>
      </c>
      <c r="F30" s="1649">
        <f>196+4+4</f>
        <v>204</v>
      </c>
      <c r="G30" s="617">
        <v>2</v>
      </c>
      <c r="H30" s="1001">
        <v>21.5</v>
      </c>
      <c r="I30" s="1408">
        <f t="shared" si="25"/>
        <v>168.69230769230768</v>
      </c>
      <c r="J30" s="618">
        <f t="shared" si="0"/>
        <v>168.69230769230768</v>
      </c>
      <c r="K30" s="1001">
        <v>64</v>
      </c>
      <c r="L30" s="510">
        <f t="shared" si="1"/>
        <v>1.471153846153846</v>
      </c>
      <c r="M30" s="503">
        <f t="shared" si="2"/>
        <v>94.153846153846146</v>
      </c>
      <c r="N30" s="1001">
        <v>0</v>
      </c>
      <c r="O30" s="510">
        <f t="shared" si="3"/>
        <v>1.9615384615384615</v>
      </c>
      <c r="P30" s="503">
        <f t="shared" si="4"/>
        <v>0</v>
      </c>
      <c r="Q30" s="1001">
        <v>20</v>
      </c>
      <c r="R30" s="510">
        <f t="shared" si="5"/>
        <v>1.9615384615384615</v>
      </c>
      <c r="S30" s="618">
        <f t="shared" si="6"/>
        <v>39.230769230769226</v>
      </c>
      <c r="T30" s="1001">
        <v>5.5</v>
      </c>
      <c r="U30" s="510">
        <f t="shared" si="7"/>
        <v>7.8461538461538458</v>
      </c>
      <c r="V30" s="618">
        <f t="shared" si="8"/>
        <v>43.153846153846153</v>
      </c>
      <c r="W30" s="1001">
        <v>0</v>
      </c>
      <c r="X30" s="618">
        <f>'S1 Salary'!T31*'S1'!W30</f>
        <v>0</v>
      </c>
      <c r="Y30" s="1001">
        <v>0</v>
      </c>
      <c r="Z30" s="510">
        <f t="shared" si="9"/>
        <v>3.9230769230769229</v>
      </c>
      <c r="AA30" s="618">
        <f t="shared" si="10"/>
        <v>0</v>
      </c>
      <c r="AB30" s="1001">
        <v>0</v>
      </c>
      <c r="AC30" s="1467">
        <f t="shared" si="11"/>
        <v>27</v>
      </c>
      <c r="AD30" s="1096">
        <v>0</v>
      </c>
      <c r="AE30" s="1121">
        <v>0</v>
      </c>
      <c r="AF30" s="1412">
        <v>0</v>
      </c>
      <c r="AG30" s="511">
        <v>0</v>
      </c>
      <c r="AH30" s="618">
        <v>10</v>
      </c>
      <c r="AI30" s="1410">
        <v>3</v>
      </c>
      <c r="AJ30" s="1410">
        <v>10</v>
      </c>
      <c r="AK30" s="1410">
        <v>10</v>
      </c>
      <c r="AL30" s="1148">
        <f t="shared" si="12"/>
        <v>380.23076923076917</v>
      </c>
      <c r="AM30" s="1282">
        <v>0</v>
      </c>
      <c r="AN30" s="1815">
        <v>102</v>
      </c>
      <c r="AO30" s="503">
        <f>'Tax Calulation '!P30</f>
        <v>0</v>
      </c>
      <c r="AP30" s="1096">
        <f>'Tax Calulation '!W30</f>
        <v>5.9084194977843429</v>
      </c>
      <c r="AQ30" s="1686">
        <f t="shared" si="13"/>
        <v>272.32234973298483</v>
      </c>
      <c r="AR30" s="1682">
        <f t="shared" si="26"/>
        <v>292200</v>
      </c>
      <c r="AS30" s="1683">
        <f t="shared" si="14"/>
        <v>200</v>
      </c>
      <c r="AT30" s="502"/>
      <c r="AU30" s="504"/>
      <c r="AV30" s="504"/>
      <c r="AW30" s="504"/>
      <c r="AX30" s="505"/>
      <c r="AY30" s="502">
        <f t="shared" ref="AY30" si="177">INT(AS30/100)</f>
        <v>2</v>
      </c>
      <c r="AZ30" s="502">
        <f t="shared" ref="AZ30" si="178">INT((AS30-AY30*100)/50)</f>
        <v>0</v>
      </c>
      <c r="BA30" s="1077">
        <f t="shared" ref="BA30" si="179">AY30*100+AZ30*50</f>
        <v>200</v>
      </c>
      <c r="BB30" s="1077">
        <f t="shared" ref="BB30" si="180">INT((AR30/50000))</f>
        <v>5</v>
      </c>
      <c r="BC30" s="548">
        <f t="shared" ref="BC30" si="181">INT((AR30-BB30*50000)/10000)</f>
        <v>4</v>
      </c>
      <c r="BD30" s="548">
        <f t="shared" ref="BD30" si="182">INT((AR30-BB30*50000-BC30*10000)/5000)</f>
        <v>0</v>
      </c>
      <c r="BE30" s="548">
        <f t="shared" ref="BE30" si="183">INT((AR30-BB30*50000-BC30*10000-BD30*5000)/1000)</f>
        <v>2</v>
      </c>
      <c r="BF30" s="548">
        <f t="shared" ref="BF30" si="184">INT((AR30-BB30*50000-BC30*10000-BD30*5000-BE30*1000)/500)</f>
        <v>0</v>
      </c>
      <c r="BG30" s="548">
        <f t="shared" ref="BG30" si="185">INT((AR30-BB30*50000-BC30*10000-BD30*5000-BE30*1000-BF30*500)/100)</f>
        <v>2</v>
      </c>
      <c r="BH30" s="549">
        <f t="shared" ref="BH30" si="186">BB30*50000+BC30*10000+BD30*5000+BE30*1000+BF30*500+BG30*100</f>
        <v>292200</v>
      </c>
      <c r="BJ30" s="533" t="s">
        <v>1544</v>
      </c>
      <c r="BK30" s="533" t="s">
        <v>572</v>
      </c>
      <c r="BL30" s="1162">
        <v>33641</v>
      </c>
      <c r="BM30" s="1431" t="s">
        <v>1542</v>
      </c>
      <c r="BN30" s="1422" t="s">
        <v>1543</v>
      </c>
    </row>
    <row r="31" spans="1:66" s="755" customFormat="1" ht="56.25" customHeight="1">
      <c r="A31" s="1594">
        <v>25</v>
      </c>
      <c r="B31" s="1414" t="s">
        <v>1112</v>
      </c>
      <c r="C31" s="1329" t="s">
        <v>484</v>
      </c>
      <c r="D31" s="1841">
        <v>41456</v>
      </c>
      <c r="E31" s="1637" t="s">
        <v>1113</v>
      </c>
      <c r="F31" s="617">
        <f>223+17+12+8+2+10</f>
        <v>272</v>
      </c>
      <c r="G31" s="617">
        <f>50+20+2</f>
        <v>72</v>
      </c>
      <c r="H31" s="1001">
        <v>22</v>
      </c>
      <c r="I31" s="1408">
        <f t="shared" si="25"/>
        <v>230.15384615384616</v>
      </c>
      <c r="J31" s="618">
        <f t="shared" si="0"/>
        <v>230.15384615384616</v>
      </c>
      <c r="K31" s="1001">
        <v>66</v>
      </c>
      <c r="L31" s="510">
        <f t="shared" si="1"/>
        <v>1.9615384615384617</v>
      </c>
      <c r="M31" s="503">
        <f t="shared" si="2"/>
        <v>129.46153846153848</v>
      </c>
      <c r="N31" s="1001">
        <v>0</v>
      </c>
      <c r="O31" s="510">
        <f t="shared" si="3"/>
        <v>2.6153846153846154</v>
      </c>
      <c r="P31" s="503">
        <f t="shared" si="4"/>
        <v>0</v>
      </c>
      <c r="Q31" s="1001">
        <v>20</v>
      </c>
      <c r="R31" s="510">
        <f t="shared" si="5"/>
        <v>2.6153846153846154</v>
      </c>
      <c r="S31" s="618">
        <f t="shared" si="6"/>
        <v>52.307692307692307</v>
      </c>
      <c r="T31" s="1001">
        <v>5</v>
      </c>
      <c r="U31" s="510">
        <f t="shared" si="7"/>
        <v>10.461538461538462</v>
      </c>
      <c r="V31" s="618">
        <f t="shared" si="8"/>
        <v>52.307692307692307</v>
      </c>
      <c r="W31" s="1001">
        <v>0</v>
      </c>
      <c r="X31" s="618">
        <f>'S1 Salary'!T32*'S1'!W31</f>
        <v>0</v>
      </c>
      <c r="Y31" s="1001">
        <v>0</v>
      </c>
      <c r="Z31" s="510">
        <f t="shared" si="9"/>
        <v>5.2307692307692308</v>
      </c>
      <c r="AA31" s="618">
        <f t="shared" si="10"/>
        <v>0</v>
      </c>
      <c r="AB31" s="1001">
        <v>0</v>
      </c>
      <c r="AC31" s="1467">
        <f t="shared" si="11"/>
        <v>27</v>
      </c>
      <c r="AD31" s="1096">
        <v>0</v>
      </c>
      <c r="AE31" s="1121">
        <v>0</v>
      </c>
      <c r="AF31" s="1412">
        <v>4</v>
      </c>
      <c r="AG31" s="511">
        <v>0</v>
      </c>
      <c r="AH31" s="618">
        <v>10</v>
      </c>
      <c r="AI31" s="1410">
        <v>11</v>
      </c>
      <c r="AJ31" s="1410">
        <v>10</v>
      </c>
      <c r="AK31" s="1410">
        <v>10</v>
      </c>
      <c r="AL31" s="1148">
        <f t="shared" si="12"/>
        <v>581.23076923076928</v>
      </c>
      <c r="AM31" s="1282">
        <v>0</v>
      </c>
      <c r="AN31" s="1815">
        <v>102</v>
      </c>
      <c r="AO31" s="503">
        <f>'Tax Calulation '!P31</f>
        <v>3.7631632769003525</v>
      </c>
      <c r="AP31" s="1096">
        <f>'Tax Calulation '!W31</f>
        <v>5.9084194977843429</v>
      </c>
      <c r="AQ31" s="1686">
        <f t="shared" si="13"/>
        <v>469.55918645608455</v>
      </c>
      <c r="AR31" s="1682">
        <f t="shared" si="26"/>
        <v>281000</v>
      </c>
      <c r="AS31" s="1683">
        <f t="shared" si="14"/>
        <v>400</v>
      </c>
      <c r="AT31" s="502"/>
      <c r="AU31" s="504"/>
      <c r="AV31" s="504"/>
      <c r="AW31" s="504"/>
      <c r="AX31" s="505">
        <f>(J31+M31+P31+S31+V31+AA31+AH31+AI31+AJ31+AK31)*4000</f>
        <v>2020923.0769230772</v>
      </c>
      <c r="AY31" s="502">
        <f t="shared" si="132"/>
        <v>4</v>
      </c>
      <c r="AZ31" s="502">
        <f t="shared" si="133"/>
        <v>0</v>
      </c>
      <c r="BA31" s="573">
        <f t="shared" si="134"/>
        <v>400</v>
      </c>
      <c r="BB31" s="573">
        <f t="shared" si="135"/>
        <v>5</v>
      </c>
      <c r="BC31" s="548">
        <f t="shared" si="136"/>
        <v>3</v>
      </c>
      <c r="BD31" s="548">
        <f t="shared" si="137"/>
        <v>0</v>
      </c>
      <c r="BE31" s="548">
        <f t="shared" si="138"/>
        <v>1</v>
      </c>
      <c r="BF31" s="548">
        <f t="shared" si="139"/>
        <v>0</v>
      </c>
      <c r="BG31" s="548">
        <f t="shared" si="140"/>
        <v>0</v>
      </c>
      <c r="BH31" s="549">
        <f t="shared" si="141"/>
        <v>281000</v>
      </c>
      <c r="BJ31" s="533" t="s">
        <v>756</v>
      </c>
      <c r="BK31" s="533" t="s">
        <v>571</v>
      </c>
      <c r="BL31" s="1162">
        <v>33239</v>
      </c>
      <c r="BM31" s="559" t="s">
        <v>580</v>
      </c>
      <c r="BN31" s="1422">
        <v>30538464</v>
      </c>
    </row>
    <row r="32" spans="1:66" s="755" customFormat="1" ht="56.25" customHeight="1">
      <c r="A32" s="1594">
        <v>26</v>
      </c>
      <c r="B32" s="1398" t="s">
        <v>2334</v>
      </c>
      <c r="C32" s="1448" t="s">
        <v>2143</v>
      </c>
      <c r="D32" s="1852">
        <v>45316</v>
      </c>
      <c r="E32" s="1151" t="s">
        <v>544</v>
      </c>
      <c r="F32" s="758">
        <f t="shared" ref="F32" si="187">202+2</f>
        <v>204</v>
      </c>
      <c r="G32" s="617">
        <v>0</v>
      </c>
      <c r="H32" s="1001">
        <v>22</v>
      </c>
      <c r="I32" s="1408">
        <f t="shared" si="25"/>
        <v>172.61538461538461</v>
      </c>
      <c r="J32" s="618">
        <f t="shared" si="0"/>
        <v>172.61538461538461</v>
      </c>
      <c r="K32" s="1001">
        <v>67</v>
      </c>
      <c r="L32" s="510">
        <f t="shared" si="1"/>
        <v>1.471153846153846</v>
      </c>
      <c r="M32" s="503">
        <f t="shared" si="2"/>
        <v>98.567307692307679</v>
      </c>
      <c r="N32" s="1001">
        <v>0</v>
      </c>
      <c r="O32" s="510">
        <f t="shared" ref="O32" si="188">F32/26/8*2</f>
        <v>1.9615384615384615</v>
      </c>
      <c r="P32" s="503">
        <f t="shared" ref="P32" si="189">N32*O32</f>
        <v>0</v>
      </c>
      <c r="Q32" s="1001">
        <v>24</v>
      </c>
      <c r="R32" s="510">
        <f t="shared" ref="R32" si="190">F32/26/8*2</f>
        <v>1.9615384615384615</v>
      </c>
      <c r="S32" s="618">
        <f t="shared" si="6"/>
        <v>47.076923076923073</v>
      </c>
      <c r="T32" s="1001">
        <v>5</v>
      </c>
      <c r="U32" s="510">
        <f t="shared" si="7"/>
        <v>7.8461538461538458</v>
      </c>
      <c r="V32" s="618">
        <f t="shared" si="8"/>
        <v>39.230769230769226</v>
      </c>
      <c r="W32" s="1001">
        <v>0</v>
      </c>
      <c r="X32" s="618">
        <f>'S1 Salary'!T33*'S1'!W32</f>
        <v>0</v>
      </c>
      <c r="Y32" s="1001">
        <v>0</v>
      </c>
      <c r="Z32" s="510">
        <f t="shared" ref="Z32" si="191">F32/26/2</f>
        <v>3.9230769230769229</v>
      </c>
      <c r="AA32" s="618">
        <f t="shared" si="10"/>
        <v>0</v>
      </c>
      <c r="AB32" s="1001">
        <v>0</v>
      </c>
      <c r="AC32" s="1467">
        <f t="shared" si="11"/>
        <v>27</v>
      </c>
      <c r="AD32" s="1096">
        <v>0</v>
      </c>
      <c r="AE32" s="1121">
        <v>0</v>
      </c>
      <c r="AF32" s="1412">
        <v>10</v>
      </c>
      <c r="AG32" s="511">
        <v>0</v>
      </c>
      <c r="AH32" s="618">
        <v>10</v>
      </c>
      <c r="AI32" s="1410">
        <v>0</v>
      </c>
      <c r="AJ32" s="1410">
        <v>10</v>
      </c>
      <c r="AK32" s="1410">
        <v>10</v>
      </c>
      <c r="AL32" s="1148">
        <f t="shared" si="12"/>
        <v>397.49038461538458</v>
      </c>
      <c r="AM32" s="1282">
        <v>0</v>
      </c>
      <c r="AN32" s="1815">
        <v>102</v>
      </c>
      <c r="AO32" s="503">
        <f>'Tax Calulation '!P32</f>
        <v>0</v>
      </c>
      <c r="AP32" s="1096">
        <f>'Tax Calulation '!W32</f>
        <v>5.9084194977843429</v>
      </c>
      <c r="AQ32" s="1686">
        <f t="shared" si="13"/>
        <v>289.58196511760025</v>
      </c>
      <c r="AR32" s="1682">
        <f t="shared" si="26"/>
        <v>361900</v>
      </c>
      <c r="AS32" s="1683">
        <f t="shared" ref="AS32" si="192">CEILING(AQ32,(100))-100</f>
        <v>200</v>
      </c>
      <c r="AT32" s="502"/>
      <c r="AU32" s="504"/>
      <c r="AV32" s="504"/>
      <c r="AW32" s="504"/>
      <c r="AX32" s="505"/>
      <c r="AY32" s="502">
        <f t="shared" ref="AY32" si="193">INT(AS32/100)</f>
        <v>2</v>
      </c>
      <c r="AZ32" s="502">
        <f t="shared" ref="AZ32" si="194">INT((AS32-AY32*100)/50)</f>
        <v>0</v>
      </c>
      <c r="BA32" s="1113">
        <f t="shared" ref="BA32" si="195">AY32*100+AZ32*50</f>
        <v>200</v>
      </c>
      <c r="BB32" s="1113">
        <f t="shared" ref="BB32" si="196">INT((AR32/50000))</f>
        <v>7</v>
      </c>
      <c r="BC32" s="548">
        <f t="shared" ref="BC32" si="197">INT((AR32-BB32*50000)/10000)</f>
        <v>1</v>
      </c>
      <c r="BD32" s="548">
        <f t="shared" ref="BD32" si="198">INT((AR32-BB32*50000-BC32*10000)/5000)</f>
        <v>0</v>
      </c>
      <c r="BE32" s="548">
        <f t="shared" ref="BE32" si="199">INT((AR32-BB32*50000-BC32*10000-BD32*5000)/1000)</f>
        <v>1</v>
      </c>
      <c r="BF32" s="548">
        <f t="shared" ref="BF32" si="200">INT((AR32-BB32*50000-BC32*10000-BD32*5000-BE32*1000)/500)</f>
        <v>1</v>
      </c>
      <c r="BG32" s="548">
        <f t="shared" ref="BG32" si="201">INT((AR32-BB32*50000-BC32*10000-BD32*5000-BE32*1000-BF32*500)/100)</f>
        <v>4</v>
      </c>
      <c r="BH32" s="549">
        <f t="shared" ref="BH32" si="202">BB32*50000+BC32*10000+BD32*5000+BE32*1000+BF32*500+BG32*100</f>
        <v>361900</v>
      </c>
      <c r="BJ32" s="1079" t="s">
        <v>2144</v>
      </c>
      <c r="BK32" s="1417" t="s">
        <v>572</v>
      </c>
      <c r="BL32" s="1382">
        <v>28857</v>
      </c>
      <c r="BM32" s="1672" t="s">
        <v>2145</v>
      </c>
      <c r="BN32" s="1452" t="s">
        <v>2146</v>
      </c>
    </row>
    <row r="33" spans="1:66" s="755" customFormat="1" ht="56.25" customHeight="1">
      <c r="A33" s="1594">
        <v>27</v>
      </c>
      <c r="B33" s="1597" t="s">
        <v>1114</v>
      </c>
      <c r="C33" s="1327" t="s">
        <v>485</v>
      </c>
      <c r="D33" s="1853">
        <v>41568</v>
      </c>
      <c r="E33" s="1637" t="s">
        <v>260</v>
      </c>
      <c r="F33" s="617">
        <f>149+13+17+12+8+2+3</f>
        <v>204</v>
      </c>
      <c r="G33" s="617">
        <f>2</f>
        <v>2</v>
      </c>
      <c r="H33" s="1001">
        <v>22</v>
      </c>
      <c r="I33" s="1408">
        <f t="shared" si="25"/>
        <v>172.61538461538461</v>
      </c>
      <c r="J33" s="618">
        <f t="shared" si="0"/>
        <v>172.61538461538461</v>
      </c>
      <c r="K33" s="1001">
        <v>30</v>
      </c>
      <c r="L33" s="510">
        <f t="shared" si="1"/>
        <v>1.471153846153846</v>
      </c>
      <c r="M33" s="503">
        <f t="shared" si="2"/>
        <v>44.13461538461538</v>
      </c>
      <c r="N33" s="1001">
        <v>0</v>
      </c>
      <c r="O33" s="510">
        <f t="shared" si="3"/>
        <v>1.9615384615384615</v>
      </c>
      <c r="P33" s="503">
        <f t="shared" si="4"/>
        <v>0</v>
      </c>
      <c r="Q33" s="1001">
        <v>24</v>
      </c>
      <c r="R33" s="510">
        <f t="shared" si="5"/>
        <v>1.9615384615384615</v>
      </c>
      <c r="S33" s="618">
        <f t="shared" si="6"/>
        <v>47.076923076923073</v>
      </c>
      <c r="T33" s="1001">
        <v>5</v>
      </c>
      <c r="U33" s="510">
        <f t="shared" si="7"/>
        <v>7.8461538461538458</v>
      </c>
      <c r="V33" s="618">
        <f t="shared" si="8"/>
        <v>39.230769230769226</v>
      </c>
      <c r="W33" s="1001">
        <v>0</v>
      </c>
      <c r="X33" s="618">
        <f>'S1 Salary'!T34*'S1'!W33</f>
        <v>0</v>
      </c>
      <c r="Y33" s="1001">
        <v>0</v>
      </c>
      <c r="Z33" s="510">
        <f t="shared" si="9"/>
        <v>3.9230769230769229</v>
      </c>
      <c r="AA33" s="618">
        <f t="shared" si="10"/>
        <v>0</v>
      </c>
      <c r="AB33" s="1001">
        <v>0</v>
      </c>
      <c r="AC33" s="1467">
        <f t="shared" si="11"/>
        <v>27</v>
      </c>
      <c r="AD33" s="1096">
        <v>0</v>
      </c>
      <c r="AE33" s="1121">
        <v>0</v>
      </c>
      <c r="AF33" s="1412">
        <v>5</v>
      </c>
      <c r="AG33" s="511">
        <v>0</v>
      </c>
      <c r="AH33" s="618">
        <v>10</v>
      </c>
      <c r="AI33" s="1410">
        <v>11</v>
      </c>
      <c r="AJ33" s="1410">
        <v>10</v>
      </c>
      <c r="AK33" s="1410">
        <v>10</v>
      </c>
      <c r="AL33" s="1148">
        <f t="shared" si="12"/>
        <v>351.05769230769232</v>
      </c>
      <c r="AM33" s="1282">
        <v>0</v>
      </c>
      <c r="AN33" s="1815">
        <v>102</v>
      </c>
      <c r="AO33" s="503">
        <f>'Tax Calulation '!P33</f>
        <v>0</v>
      </c>
      <c r="AP33" s="1096">
        <f>'Tax Calulation '!W33</f>
        <v>5.9084194977843429</v>
      </c>
      <c r="AQ33" s="1686">
        <f t="shared" si="13"/>
        <v>243.14927280990798</v>
      </c>
      <c r="AR33" s="1682">
        <f t="shared" si="26"/>
        <v>174300</v>
      </c>
      <c r="AS33" s="1683">
        <f t="shared" si="14"/>
        <v>200</v>
      </c>
      <c r="AT33" s="502"/>
      <c r="AU33" s="504"/>
      <c r="AV33" s="504"/>
      <c r="AW33" s="504"/>
      <c r="AX33" s="505">
        <f>(J33+M33+P33+S33+V33+AA33+AH33+AI33+AJ33+AK33)*4000</f>
        <v>1376230.7692307692</v>
      </c>
      <c r="AY33" s="502">
        <f>INT(AS33/100)</f>
        <v>2</v>
      </c>
      <c r="AZ33" s="502">
        <f t="shared" si="133"/>
        <v>0</v>
      </c>
      <c r="BA33" s="573">
        <f t="shared" si="134"/>
        <v>200</v>
      </c>
      <c r="BB33" s="573">
        <f t="shared" si="135"/>
        <v>3</v>
      </c>
      <c r="BC33" s="548">
        <f t="shared" si="136"/>
        <v>2</v>
      </c>
      <c r="BD33" s="548">
        <f t="shared" si="137"/>
        <v>0</v>
      </c>
      <c r="BE33" s="548">
        <f t="shared" si="138"/>
        <v>4</v>
      </c>
      <c r="BF33" s="548">
        <f t="shared" si="139"/>
        <v>0</v>
      </c>
      <c r="BG33" s="548">
        <f t="shared" si="140"/>
        <v>3</v>
      </c>
      <c r="BH33" s="549">
        <f t="shared" si="141"/>
        <v>174300</v>
      </c>
      <c r="BJ33" s="561" t="s">
        <v>757</v>
      </c>
      <c r="BK33" s="561" t="s">
        <v>573</v>
      </c>
      <c r="BL33" s="1162">
        <v>31515</v>
      </c>
      <c r="BM33" s="1430" t="s">
        <v>581</v>
      </c>
      <c r="BN33" s="1422" t="s">
        <v>1796</v>
      </c>
    </row>
    <row r="34" spans="1:66" s="755" customFormat="1" ht="56.25" customHeight="1">
      <c r="A34" s="1594">
        <v>28</v>
      </c>
      <c r="B34" s="1597" t="s">
        <v>1115</v>
      </c>
      <c r="C34" s="1327" t="s">
        <v>908</v>
      </c>
      <c r="D34" s="1853">
        <v>41755</v>
      </c>
      <c r="E34" s="1637" t="s">
        <v>260</v>
      </c>
      <c r="F34" s="617">
        <f>149+13+17+12+8+2+3</f>
        <v>204</v>
      </c>
      <c r="G34" s="617">
        <f>2</f>
        <v>2</v>
      </c>
      <c r="H34" s="1001">
        <v>22</v>
      </c>
      <c r="I34" s="1408">
        <f t="shared" si="25"/>
        <v>172.61538461538461</v>
      </c>
      <c r="J34" s="618">
        <f t="shared" si="0"/>
        <v>172.61538461538461</v>
      </c>
      <c r="K34" s="1001">
        <v>68</v>
      </c>
      <c r="L34" s="510">
        <f t="shared" si="1"/>
        <v>1.471153846153846</v>
      </c>
      <c r="M34" s="503">
        <f t="shared" si="2"/>
        <v>100.03846153846153</v>
      </c>
      <c r="N34" s="1001">
        <v>0</v>
      </c>
      <c r="O34" s="510">
        <f t="shared" si="3"/>
        <v>1.9615384615384615</v>
      </c>
      <c r="P34" s="503">
        <f t="shared" si="4"/>
        <v>0</v>
      </c>
      <c r="Q34" s="1001">
        <v>24</v>
      </c>
      <c r="R34" s="510">
        <f t="shared" si="5"/>
        <v>1.9615384615384615</v>
      </c>
      <c r="S34" s="618">
        <f t="shared" si="6"/>
        <v>47.076923076923073</v>
      </c>
      <c r="T34" s="1001">
        <v>5</v>
      </c>
      <c r="U34" s="510">
        <f t="shared" si="7"/>
        <v>7.8461538461538458</v>
      </c>
      <c r="V34" s="618">
        <f t="shared" si="8"/>
        <v>39.230769230769226</v>
      </c>
      <c r="W34" s="1001">
        <v>0</v>
      </c>
      <c r="X34" s="618">
        <f>'S1 Salary'!T35*'S1'!W34</f>
        <v>0</v>
      </c>
      <c r="Y34" s="1001">
        <v>0</v>
      </c>
      <c r="Z34" s="510">
        <f t="shared" si="9"/>
        <v>3.9230769230769229</v>
      </c>
      <c r="AA34" s="618">
        <f t="shared" si="10"/>
        <v>0</v>
      </c>
      <c r="AB34" s="1001">
        <v>0</v>
      </c>
      <c r="AC34" s="1467">
        <f t="shared" si="11"/>
        <v>27</v>
      </c>
      <c r="AD34" s="1096">
        <v>0</v>
      </c>
      <c r="AE34" s="1121">
        <v>0</v>
      </c>
      <c r="AF34" s="1412">
        <f>4+1</f>
        <v>5</v>
      </c>
      <c r="AG34" s="511">
        <v>0</v>
      </c>
      <c r="AH34" s="618">
        <v>10</v>
      </c>
      <c r="AI34" s="1410">
        <v>11</v>
      </c>
      <c r="AJ34" s="1410">
        <v>10</v>
      </c>
      <c r="AK34" s="1410">
        <v>10</v>
      </c>
      <c r="AL34" s="1148">
        <f t="shared" si="12"/>
        <v>406.96153846153845</v>
      </c>
      <c r="AM34" s="1282">
        <v>0.5</v>
      </c>
      <c r="AN34" s="1815">
        <v>102</v>
      </c>
      <c r="AO34" s="503">
        <f>'Tax Calulation '!P34</f>
        <v>0</v>
      </c>
      <c r="AP34" s="1096">
        <f>'Tax Calulation '!W34</f>
        <v>5.9084194977843429</v>
      </c>
      <c r="AQ34" s="1686">
        <f t="shared" si="13"/>
        <v>298.55311896375412</v>
      </c>
      <c r="AR34" s="1682">
        <f t="shared" si="26"/>
        <v>398200</v>
      </c>
      <c r="AS34" s="1683">
        <f t="shared" si="14"/>
        <v>200</v>
      </c>
      <c r="AT34" s="502"/>
      <c r="AU34" s="504"/>
      <c r="AV34" s="504"/>
      <c r="AW34" s="504"/>
      <c r="AX34" s="505">
        <f>(J34+M34+P34+S34+V34+AA34+AH34+AI34+AJ34+AK34)*4000</f>
        <v>1599846.1538461538</v>
      </c>
      <c r="AY34" s="502">
        <f t="shared" si="132"/>
        <v>2</v>
      </c>
      <c r="AZ34" s="502">
        <f t="shared" si="133"/>
        <v>0</v>
      </c>
      <c r="BA34" s="573">
        <f t="shared" si="134"/>
        <v>200</v>
      </c>
      <c r="BB34" s="573">
        <f t="shared" si="135"/>
        <v>7</v>
      </c>
      <c r="BC34" s="548">
        <f t="shared" si="136"/>
        <v>4</v>
      </c>
      <c r="BD34" s="548">
        <f t="shared" si="137"/>
        <v>1</v>
      </c>
      <c r="BE34" s="548">
        <f t="shared" si="138"/>
        <v>3</v>
      </c>
      <c r="BF34" s="548">
        <f t="shared" si="139"/>
        <v>0</v>
      </c>
      <c r="BG34" s="548">
        <f t="shared" si="140"/>
        <v>2</v>
      </c>
      <c r="BH34" s="549">
        <f t="shared" si="141"/>
        <v>398200</v>
      </c>
      <c r="BJ34" s="561" t="s">
        <v>758</v>
      </c>
      <c r="BK34" s="561" t="s">
        <v>573</v>
      </c>
      <c r="BL34" s="1162">
        <v>30111</v>
      </c>
      <c r="BM34" s="1430" t="s">
        <v>582</v>
      </c>
      <c r="BN34" s="1422">
        <v>30656273</v>
      </c>
    </row>
    <row r="35" spans="1:66" s="755" customFormat="1" ht="56.25" customHeight="1">
      <c r="A35" s="1594">
        <v>29</v>
      </c>
      <c r="B35" s="1597" t="s">
        <v>1117</v>
      </c>
      <c r="C35" s="1327" t="s">
        <v>264</v>
      </c>
      <c r="D35" s="1853">
        <v>41788</v>
      </c>
      <c r="E35" s="1637" t="s">
        <v>260</v>
      </c>
      <c r="F35" s="1649">
        <f>144+13+17+12+8+2+4+4</f>
        <v>204</v>
      </c>
      <c r="G35" s="617">
        <f>2</f>
        <v>2</v>
      </c>
      <c r="H35" s="1001">
        <v>22</v>
      </c>
      <c r="I35" s="1408">
        <f t="shared" si="25"/>
        <v>172.61538461538461</v>
      </c>
      <c r="J35" s="618">
        <f t="shared" si="0"/>
        <v>172.61538461538461</v>
      </c>
      <c r="K35" s="1001">
        <v>68</v>
      </c>
      <c r="L35" s="510">
        <f t="shared" si="1"/>
        <v>1.471153846153846</v>
      </c>
      <c r="M35" s="503">
        <f t="shared" si="2"/>
        <v>100.03846153846153</v>
      </c>
      <c r="N35" s="1001">
        <v>0</v>
      </c>
      <c r="O35" s="510">
        <f t="shared" si="3"/>
        <v>1.9615384615384615</v>
      </c>
      <c r="P35" s="503">
        <f t="shared" si="4"/>
        <v>0</v>
      </c>
      <c r="Q35" s="1001">
        <v>24</v>
      </c>
      <c r="R35" s="510">
        <f t="shared" si="5"/>
        <v>1.9615384615384615</v>
      </c>
      <c r="S35" s="618">
        <f t="shared" si="6"/>
        <v>47.076923076923073</v>
      </c>
      <c r="T35" s="1001">
        <v>5</v>
      </c>
      <c r="U35" s="510">
        <f t="shared" si="7"/>
        <v>7.8461538461538458</v>
      </c>
      <c r="V35" s="618">
        <f t="shared" si="8"/>
        <v>39.230769230769226</v>
      </c>
      <c r="W35" s="1001">
        <v>0</v>
      </c>
      <c r="X35" s="618">
        <f>'S1 Salary'!T36*'S1'!W35</f>
        <v>0</v>
      </c>
      <c r="Y35" s="1001">
        <v>0</v>
      </c>
      <c r="Z35" s="510">
        <f t="shared" si="9"/>
        <v>3.9230769230769229</v>
      </c>
      <c r="AA35" s="618">
        <f t="shared" si="10"/>
        <v>0</v>
      </c>
      <c r="AB35" s="1001">
        <v>0</v>
      </c>
      <c r="AC35" s="1467">
        <f t="shared" si="11"/>
        <v>27</v>
      </c>
      <c r="AD35" s="1096">
        <v>0</v>
      </c>
      <c r="AE35" s="1121">
        <v>0</v>
      </c>
      <c r="AF35" s="1412">
        <v>0</v>
      </c>
      <c r="AG35" s="511">
        <v>0</v>
      </c>
      <c r="AH35" s="618">
        <v>10</v>
      </c>
      <c r="AI35" s="1410">
        <v>11</v>
      </c>
      <c r="AJ35" s="1410">
        <v>10</v>
      </c>
      <c r="AK35" s="1410">
        <v>10</v>
      </c>
      <c r="AL35" s="1148">
        <f t="shared" si="12"/>
        <v>401.96153846153845</v>
      </c>
      <c r="AM35" s="1285">
        <v>0.5</v>
      </c>
      <c r="AN35" s="1815">
        <v>102</v>
      </c>
      <c r="AO35" s="503">
        <f>'Tax Calulation '!P35</f>
        <v>0</v>
      </c>
      <c r="AP35" s="1096">
        <f>'Tax Calulation '!W35</f>
        <v>5.9084194977843429</v>
      </c>
      <c r="AQ35" s="1686">
        <f t="shared" si="13"/>
        <v>293.55311896375412</v>
      </c>
      <c r="AR35" s="1682">
        <f t="shared" si="26"/>
        <v>378000</v>
      </c>
      <c r="AS35" s="1683">
        <f t="shared" si="14"/>
        <v>200</v>
      </c>
      <c r="AT35" s="502"/>
      <c r="AU35" s="504"/>
      <c r="AV35" s="504"/>
      <c r="AW35" s="504"/>
      <c r="AX35" s="505">
        <f>(J35+M35+P35+S35+V35+AA35+AH35+AI35+AJ35+AK35)*4000</f>
        <v>1599846.1538461538</v>
      </c>
      <c r="AY35" s="502">
        <f t="shared" si="132"/>
        <v>2</v>
      </c>
      <c r="AZ35" s="502">
        <f t="shared" si="133"/>
        <v>0</v>
      </c>
      <c r="BA35" s="573">
        <f t="shared" si="134"/>
        <v>200</v>
      </c>
      <c r="BB35" s="573">
        <f t="shared" si="135"/>
        <v>7</v>
      </c>
      <c r="BC35" s="548">
        <f t="shared" si="136"/>
        <v>2</v>
      </c>
      <c r="BD35" s="548">
        <f t="shared" si="137"/>
        <v>1</v>
      </c>
      <c r="BE35" s="548">
        <f t="shared" si="138"/>
        <v>3</v>
      </c>
      <c r="BF35" s="548">
        <f t="shared" si="139"/>
        <v>0</v>
      </c>
      <c r="BG35" s="548">
        <f t="shared" si="140"/>
        <v>0</v>
      </c>
      <c r="BH35" s="549">
        <f t="shared" si="141"/>
        <v>378000</v>
      </c>
      <c r="BJ35" s="561" t="s">
        <v>759</v>
      </c>
      <c r="BK35" s="561" t="s">
        <v>573</v>
      </c>
      <c r="BL35" s="1162">
        <v>30354</v>
      </c>
      <c r="BM35" s="1430" t="s">
        <v>583</v>
      </c>
      <c r="BN35" s="1422">
        <v>30813320</v>
      </c>
    </row>
    <row r="36" spans="1:66" s="755" customFormat="1" ht="56.25" customHeight="1">
      <c r="A36" s="1594">
        <v>30</v>
      </c>
      <c r="B36" s="1597" t="s">
        <v>1120</v>
      </c>
      <c r="C36" s="1327" t="s">
        <v>1121</v>
      </c>
      <c r="D36" s="1853">
        <v>42129</v>
      </c>
      <c r="E36" s="1637" t="s">
        <v>260</v>
      </c>
      <c r="F36" s="617">
        <f>199+12+8+2</f>
        <v>221</v>
      </c>
      <c r="G36" s="617">
        <f>15+2</f>
        <v>17</v>
      </c>
      <c r="H36" s="1001">
        <v>21</v>
      </c>
      <c r="I36" s="1408">
        <f t="shared" si="25"/>
        <v>178.5</v>
      </c>
      <c r="J36" s="618">
        <f t="shared" si="0"/>
        <v>178.5</v>
      </c>
      <c r="K36" s="1001">
        <v>45</v>
      </c>
      <c r="L36" s="510">
        <f t="shared" si="1"/>
        <v>1.59375</v>
      </c>
      <c r="M36" s="503">
        <f t="shared" si="2"/>
        <v>71.71875</v>
      </c>
      <c r="N36" s="1001">
        <v>0</v>
      </c>
      <c r="O36" s="510">
        <f t="shared" si="3"/>
        <v>2.125</v>
      </c>
      <c r="P36" s="503">
        <f t="shared" si="4"/>
        <v>0</v>
      </c>
      <c r="Q36" s="1001">
        <v>24</v>
      </c>
      <c r="R36" s="510">
        <f t="shared" si="5"/>
        <v>2.125</v>
      </c>
      <c r="S36" s="618">
        <f t="shared" si="6"/>
        <v>51</v>
      </c>
      <c r="T36" s="1001">
        <v>5</v>
      </c>
      <c r="U36" s="510">
        <f t="shared" si="7"/>
        <v>8.5</v>
      </c>
      <c r="V36" s="618">
        <f t="shared" si="8"/>
        <v>42.5</v>
      </c>
      <c r="W36" s="1001">
        <v>1</v>
      </c>
      <c r="X36" s="618">
        <f>'S1 Salary'!T37*'S1'!W36</f>
        <v>12.438550875244395</v>
      </c>
      <c r="Y36" s="1001">
        <v>0</v>
      </c>
      <c r="Z36" s="510">
        <f t="shared" si="9"/>
        <v>4.25</v>
      </c>
      <c r="AA36" s="618">
        <f t="shared" si="10"/>
        <v>0</v>
      </c>
      <c r="AB36" s="1001">
        <v>0</v>
      </c>
      <c r="AC36" s="1467">
        <f t="shared" si="11"/>
        <v>27</v>
      </c>
      <c r="AD36" s="1096">
        <v>0</v>
      </c>
      <c r="AE36" s="1121">
        <v>0</v>
      </c>
      <c r="AF36" s="1412">
        <v>0</v>
      </c>
      <c r="AG36" s="511">
        <v>0</v>
      </c>
      <c r="AH36" s="618">
        <v>10</v>
      </c>
      <c r="AI36" s="1410">
        <v>10</v>
      </c>
      <c r="AJ36" s="1410">
        <v>10</v>
      </c>
      <c r="AK36" s="1410">
        <v>10</v>
      </c>
      <c r="AL36" s="1148">
        <f t="shared" si="12"/>
        <v>413.1573008752444</v>
      </c>
      <c r="AM36" s="1282">
        <v>0.5</v>
      </c>
      <c r="AN36" s="1815">
        <v>102</v>
      </c>
      <c r="AO36" s="503">
        <f>'Tax Calulation '!P36</f>
        <v>0</v>
      </c>
      <c r="AP36" s="1096">
        <f>'Tax Calulation '!W36</f>
        <v>5.9084194977843429</v>
      </c>
      <c r="AQ36" s="1686">
        <f t="shared" si="13"/>
        <v>304.74888137746007</v>
      </c>
      <c r="AR36" s="1682">
        <f t="shared" si="26"/>
        <v>19200</v>
      </c>
      <c r="AS36" s="1683">
        <f t="shared" si="14"/>
        <v>300</v>
      </c>
      <c r="AT36" s="502"/>
      <c r="AU36" s="504"/>
      <c r="AV36" s="504"/>
      <c r="AW36" s="504"/>
      <c r="AX36" s="505">
        <f>(J36+M36+P36+S36+V36+AA36+AH36+AI36+AJ36+AK36)*4000</f>
        <v>1534875</v>
      </c>
      <c r="AY36" s="502">
        <f t="shared" si="132"/>
        <v>3</v>
      </c>
      <c r="AZ36" s="502">
        <f t="shared" si="133"/>
        <v>0</v>
      </c>
      <c r="BA36" s="573">
        <f t="shared" si="134"/>
        <v>300</v>
      </c>
      <c r="BB36" s="573">
        <f t="shared" si="135"/>
        <v>0</v>
      </c>
      <c r="BC36" s="548">
        <f t="shared" si="136"/>
        <v>1</v>
      </c>
      <c r="BD36" s="548">
        <f t="shared" si="137"/>
        <v>1</v>
      </c>
      <c r="BE36" s="548">
        <f t="shared" si="138"/>
        <v>4</v>
      </c>
      <c r="BF36" s="548">
        <f t="shared" si="139"/>
        <v>0</v>
      </c>
      <c r="BG36" s="548">
        <f t="shared" si="140"/>
        <v>2</v>
      </c>
      <c r="BH36" s="549">
        <f t="shared" si="141"/>
        <v>19200</v>
      </c>
      <c r="BJ36" s="561" t="s">
        <v>760</v>
      </c>
      <c r="BK36" s="561" t="s">
        <v>571</v>
      </c>
      <c r="BL36" s="1162">
        <v>33300</v>
      </c>
      <c r="BM36" s="1430" t="s">
        <v>584</v>
      </c>
      <c r="BN36" s="1422">
        <v>30496467</v>
      </c>
    </row>
    <row r="37" spans="1:66" ht="56.25" customHeight="1">
      <c r="A37" s="689"/>
      <c r="B37" s="535" t="s">
        <v>214</v>
      </c>
      <c r="C37" s="536"/>
      <c r="D37" s="536"/>
      <c r="E37" s="536"/>
      <c r="F37" s="750"/>
      <c r="G37" s="536"/>
      <c r="H37" s="608"/>
      <c r="I37" s="536"/>
      <c r="J37" s="536"/>
      <c r="K37" s="536"/>
      <c r="L37" s="536"/>
      <c r="M37" s="536"/>
      <c r="N37" s="536"/>
      <c r="O37" s="536"/>
      <c r="P37" s="536"/>
      <c r="Q37" s="644"/>
      <c r="R37" s="644"/>
      <c r="S37" s="536"/>
      <c r="T37" s="536"/>
      <c r="U37" s="536"/>
      <c r="V37" s="536"/>
      <c r="W37" s="536"/>
      <c r="X37" s="950">
        <f>SUM(X7:X36)</f>
        <v>58.948838390809051</v>
      </c>
      <c r="Y37" s="536"/>
      <c r="Z37" s="536"/>
      <c r="AA37" s="536"/>
      <c r="AB37" s="536"/>
      <c r="AC37" s="536"/>
      <c r="AD37" s="558">
        <f>SUM(AD7:AD36)</f>
        <v>0</v>
      </c>
      <c r="AE37" s="1114">
        <f>SUM(AE7:AE36)</f>
        <v>0</v>
      </c>
      <c r="AF37" s="536"/>
      <c r="AG37" s="1290">
        <f>SUM(AG7:AG36)</f>
        <v>10</v>
      </c>
      <c r="AH37" s="1290"/>
      <c r="AI37" s="1290"/>
      <c r="AJ37" s="558">
        <f t="shared" ref="AJ37:AS37" si="203">SUM(AJ7:AJ36)</f>
        <v>286.13</v>
      </c>
      <c r="AK37" s="558">
        <f t="shared" si="203"/>
        <v>300</v>
      </c>
      <c r="AL37" s="623">
        <f t="shared" si="203"/>
        <v>11346.139126852348</v>
      </c>
      <c r="AM37" s="1270">
        <f t="shared" si="203"/>
        <v>4.5</v>
      </c>
      <c r="AN37" s="1337">
        <f t="shared" si="203"/>
        <v>2747</v>
      </c>
      <c r="AO37" s="503">
        <f t="shared" si="203"/>
        <v>3.8520082945119869</v>
      </c>
      <c r="AP37" s="618">
        <f t="shared" si="203"/>
        <v>175.79393824565381</v>
      </c>
      <c r="AQ37" s="623">
        <f t="shared" si="203"/>
        <v>8414.9931803121817</v>
      </c>
      <c r="AR37" s="1612">
        <f t="shared" si="203"/>
        <v>8544800</v>
      </c>
      <c r="AS37" s="736">
        <f t="shared" si="203"/>
        <v>6300</v>
      </c>
      <c r="AT37" s="635"/>
      <c r="AU37" s="501"/>
      <c r="AV37" s="501"/>
      <c r="AW37" s="501"/>
      <c r="AX37" s="552"/>
      <c r="AY37" s="573">
        <f t="shared" ref="AY37:BH37" si="204">SUM(AY7:AY36)</f>
        <v>63</v>
      </c>
      <c r="AZ37" s="573">
        <f t="shared" si="204"/>
        <v>0</v>
      </c>
      <c r="BA37" s="507">
        <f t="shared" si="204"/>
        <v>6300</v>
      </c>
      <c r="BB37" s="573">
        <f t="shared" si="204"/>
        <v>157</v>
      </c>
      <c r="BC37" s="573">
        <f t="shared" si="204"/>
        <v>55</v>
      </c>
      <c r="BD37" s="573">
        <f t="shared" si="204"/>
        <v>16</v>
      </c>
      <c r="BE37" s="573">
        <f t="shared" si="204"/>
        <v>51</v>
      </c>
      <c r="BF37" s="573">
        <f t="shared" si="204"/>
        <v>14</v>
      </c>
      <c r="BG37" s="573">
        <f t="shared" si="204"/>
        <v>68</v>
      </c>
      <c r="BH37" s="579">
        <f t="shared" si="204"/>
        <v>8544800</v>
      </c>
    </row>
    <row r="38" spans="1:66">
      <c r="A38" s="552"/>
      <c r="B38" s="552"/>
      <c r="C38" s="508"/>
      <c r="D38" s="508"/>
      <c r="E38" s="552"/>
      <c r="F38" s="570"/>
      <c r="G38" s="552"/>
      <c r="H38" s="552"/>
      <c r="I38" s="552"/>
      <c r="J38" s="552"/>
      <c r="K38" s="552"/>
      <c r="L38" s="552"/>
      <c r="M38" s="552"/>
      <c r="N38" s="552"/>
      <c r="O38" s="552"/>
      <c r="P38" s="552"/>
      <c r="Q38" s="552"/>
      <c r="R38" s="552"/>
      <c r="S38" s="552"/>
      <c r="T38" s="552"/>
      <c r="U38" s="552"/>
      <c r="V38" s="552"/>
      <c r="W38" s="552"/>
      <c r="X38" s="552"/>
      <c r="Y38" s="552"/>
      <c r="Z38" s="552"/>
      <c r="AA38" s="552"/>
      <c r="AB38" s="552"/>
      <c r="AC38" s="552"/>
      <c r="AD38" s="552"/>
      <c r="AE38" s="552"/>
      <c r="AF38" s="552"/>
      <c r="AG38" s="552"/>
      <c r="AH38" s="552"/>
      <c r="AI38" s="552"/>
      <c r="AJ38" s="552"/>
      <c r="AK38" s="552"/>
      <c r="AL38" s="552"/>
      <c r="AM38" s="552"/>
      <c r="AN38" s="552"/>
      <c r="AO38" s="727"/>
      <c r="AP38" s="727"/>
      <c r="AQ38" s="552"/>
      <c r="AR38" s="552"/>
      <c r="AS38" s="552"/>
      <c r="AT38" s="552"/>
      <c r="AU38" s="552"/>
      <c r="AV38" s="552"/>
      <c r="AW38" s="552"/>
      <c r="AX38" s="552"/>
      <c r="AY38" s="552"/>
      <c r="AZ38" s="552"/>
      <c r="BA38" s="552"/>
      <c r="BB38" s="552"/>
      <c r="BC38" s="552"/>
    </row>
    <row r="39" spans="1:66" s="1355" customFormat="1" ht="26.25" customHeight="1">
      <c r="A39" s="1355" t="s">
        <v>213</v>
      </c>
      <c r="F39" s="1356"/>
      <c r="L39" s="1355" t="s">
        <v>2168</v>
      </c>
      <c r="AF39" s="1357" t="s">
        <v>445</v>
      </c>
      <c r="AG39" s="1357"/>
      <c r="AS39" s="1355" t="s">
        <v>212</v>
      </c>
    </row>
    <row r="40" spans="1:66" ht="27" customHeight="1">
      <c r="A40" s="552"/>
      <c r="B40" s="552"/>
      <c r="C40" s="508"/>
      <c r="D40" s="508"/>
      <c r="E40" s="552"/>
      <c r="F40" s="570"/>
      <c r="G40" s="552"/>
      <c r="H40" s="552"/>
      <c r="I40" s="552"/>
      <c r="J40" s="552"/>
      <c r="K40" s="552"/>
      <c r="L40" s="552"/>
      <c r="M40" s="552"/>
      <c r="N40" s="552"/>
      <c r="O40" s="552"/>
      <c r="P40" s="552"/>
      <c r="Q40" s="552"/>
      <c r="R40" s="552"/>
      <c r="S40" s="552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2"/>
      <c r="AE40" s="552"/>
      <c r="AF40" s="552"/>
      <c r="AG40" s="552"/>
      <c r="AH40" s="552"/>
      <c r="AI40" s="552"/>
      <c r="AJ40" s="552"/>
      <c r="AK40" s="552"/>
      <c r="AL40" s="552"/>
      <c r="AM40" s="552"/>
      <c r="AN40" s="552"/>
      <c r="AO40" s="552"/>
      <c r="AP40" s="552"/>
      <c r="AQ40" s="552"/>
      <c r="AR40" s="552"/>
      <c r="AS40" s="552"/>
      <c r="AT40" s="552"/>
      <c r="AU40" s="552"/>
      <c r="AV40" s="552"/>
      <c r="AW40" s="552"/>
      <c r="AX40" s="552"/>
      <c r="AY40" s="552"/>
      <c r="AZ40" s="552"/>
      <c r="BA40" s="552"/>
      <c r="BB40" s="552"/>
      <c r="BC40" s="552"/>
    </row>
  </sheetData>
  <sortState ref="A7:BF47">
    <sortCondition ref="B7:B47"/>
  </sortState>
  <mergeCells count="32">
    <mergeCell ref="BK5:BK6"/>
    <mergeCell ref="BL5:BL6"/>
    <mergeCell ref="BM5:BM6"/>
    <mergeCell ref="BN5:BN6"/>
    <mergeCell ref="A1:AT1"/>
    <mergeCell ref="A2:AT2"/>
    <mergeCell ref="A3:AT3"/>
    <mergeCell ref="AQ5:AS5"/>
    <mergeCell ref="AL5:AL6"/>
    <mergeCell ref="AO5:AO6"/>
    <mergeCell ref="T5:V5"/>
    <mergeCell ref="H5:J5"/>
    <mergeCell ref="K5:M5"/>
    <mergeCell ref="N5:P5"/>
    <mergeCell ref="Q5:S5"/>
    <mergeCell ref="AN5:AN6"/>
    <mergeCell ref="C4:F4"/>
    <mergeCell ref="Y5:AA5"/>
    <mergeCell ref="AB5:AB6"/>
    <mergeCell ref="AD5:AD6"/>
    <mergeCell ref="AF5:AF6"/>
    <mergeCell ref="W5:X5"/>
    <mergeCell ref="AY4:BH4"/>
    <mergeCell ref="AJ5:AJ6"/>
    <mergeCell ref="AK5:AK6"/>
    <mergeCell ref="AH5:AH6"/>
    <mergeCell ref="AY5:BA5"/>
    <mergeCell ref="AI5:AI6"/>
    <mergeCell ref="AM5:AM6"/>
    <mergeCell ref="BD5:BH5"/>
    <mergeCell ref="AT5:AT6"/>
    <mergeCell ref="AP5:AP6"/>
  </mergeCells>
  <phoneticPr fontId="171" type="noConversion"/>
  <pageMargins left="0" right="0" top="0" bottom="0" header="0" footer="0"/>
  <pageSetup paperSize="9" scale="36" orientation="landscape" horizontalDpi="4294967293" r:id="rId1"/>
  <rowBreaks count="1" manualBreakCount="1">
    <brk id="29" max="45" man="1"/>
  </rowBreaks>
  <colBreaks count="1" manualBreakCount="1">
    <brk id="48" max="1048575" man="1"/>
  </colBreaks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K27"/>
  <sheetViews>
    <sheetView view="pageBreakPreview" topLeftCell="A3" zoomScale="80" zoomScaleNormal="100" zoomScaleSheetLayoutView="80" workbookViewId="0">
      <pane xSplit="6" ySplit="4" topLeftCell="AK20" activePane="bottomRight" state="frozen"/>
      <selection activeCell="A3" sqref="A3"/>
      <selection pane="topRight" activeCell="G3" sqref="G3"/>
      <selection pane="bottomLeft" activeCell="A7" sqref="A7"/>
      <selection pane="bottomRight" activeCell="R20" sqref="R20"/>
    </sheetView>
  </sheetViews>
  <sheetFormatPr defaultRowHeight="15.75"/>
  <cols>
    <col min="1" max="1" width="4.5" style="544" customWidth="1"/>
    <col min="2" max="2" width="10" style="544" customWidth="1"/>
    <col min="3" max="3" width="10.75" style="555" customWidth="1"/>
    <col min="4" max="4" width="11.125" style="555" customWidth="1"/>
    <col min="5" max="5" width="8" style="544" customWidth="1"/>
    <col min="6" max="6" width="8.375" style="556" customWidth="1"/>
    <col min="7" max="7" width="6.875" style="544" customWidth="1"/>
    <col min="8" max="8" width="5.375" style="544" customWidth="1"/>
    <col min="9" max="9" width="8.625" style="544" customWidth="1"/>
    <col min="10" max="10" width="7.125" style="544" customWidth="1"/>
    <col min="11" max="11" width="8.75" style="544" customWidth="1"/>
    <col min="12" max="12" width="5.625" style="544" customWidth="1"/>
    <col min="13" max="13" width="6.125" style="544" customWidth="1"/>
    <col min="14" max="14" width="8.625" style="544" customWidth="1"/>
    <col min="15" max="15" width="6" style="544" customWidth="1"/>
    <col min="16" max="16" width="5.375" style="544" customWidth="1"/>
    <col min="17" max="17" width="9.125" style="544" customWidth="1"/>
    <col min="18" max="18" width="5.375" style="544" customWidth="1"/>
    <col min="19" max="19" width="6.125" style="544" customWidth="1"/>
    <col min="20" max="20" width="8.25" style="544" customWidth="1"/>
    <col min="21" max="21" width="5.125" style="544" customWidth="1"/>
    <col min="22" max="22" width="5.75" style="544" customWidth="1"/>
    <col min="23" max="23" width="8.375" style="544" customWidth="1"/>
    <col min="24" max="24" width="6.375" style="544" customWidth="1"/>
    <col min="25" max="25" width="8.375" style="544" customWidth="1"/>
    <col min="26" max="26" width="5.75" style="544" customWidth="1"/>
    <col min="27" max="27" width="6.625" style="544" customWidth="1"/>
    <col min="28" max="28" width="8" style="544" customWidth="1"/>
    <col min="29" max="29" width="5.125" style="544" customWidth="1"/>
    <col min="30" max="30" width="5.625" style="544" customWidth="1"/>
    <col min="31" max="31" width="8.625" style="544" customWidth="1"/>
    <col min="32" max="32" width="7" style="544" customWidth="1"/>
    <col min="33" max="33" width="5.125" style="544" customWidth="1"/>
    <col min="34" max="34" width="7.875" style="544" customWidth="1"/>
    <col min="35" max="35" width="7.375" style="544" customWidth="1"/>
    <col min="36" max="36" width="9.75" style="544" customWidth="1"/>
    <col min="37" max="37" width="9.25" style="544" customWidth="1"/>
    <col min="38" max="38" width="9.75" style="544" customWidth="1"/>
    <col min="39" max="39" width="6.625" style="544" customWidth="1"/>
    <col min="40" max="40" width="10.25" style="544" customWidth="1"/>
    <col min="41" max="41" width="9" style="544" customWidth="1"/>
    <col min="42" max="42" width="8.625" style="544" customWidth="1"/>
    <col min="43" max="43" width="11.875" style="544" customWidth="1"/>
    <col min="44" max="44" width="15.5" style="544" customWidth="1"/>
    <col min="45" max="45" width="11.625" style="544" customWidth="1"/>
    <col min="46" max="46" width="17.625" style="544" customWidth="1"/>
    <col min="47" max="47" width="8.875" style="603" customWidth="1"/>
    <col min="48" max="49" width="9" style="544"/>
    <col min="50" max="52" width="8.875" style="544" customWidth="1"/>
    <col min="53" max="53" width="8.75" style="544" customWidth="1"/>
    <col min="54" max="58" width="9" style="544"/>
    <col min="59" max="59" width="22.25" style="544" customWidth="1"/>
    <col min="60" max="60" width="9" style="544"/>
    <col min="61" max="63" width="14.5" style="544" customWidth="1"/>
    <col min="64" max="16384" width="9" style="544"/>
  </cols>
  <sheetData>
    <row r="1" spans="1:63" s="541" customFormat="1" ht="29.25" customHeight="1">
      <c r="A1" s="2110" t="s">
        <v>222</v>
      </c>
      <c r="B1" s="2110"/>
      <c r="C1" s="2110"/>
      <c r="D1" s="2110"/>
      <c r="E1" s="2110"/>
      <c r="F1" s="2110"/>
      <c r="G1" s="2110"/>
      <c r="H1" s="2110"/>
      <c r="I1" s="2110"/>
      <c r="J1" s="2110"/>
      <c r="K1" s="2110"/>
      <c r="L1" s="2110"/>
      <c r="M1" s="2110"/>
      <c r="N1" s="2110"/>
      <c r="O1" s="2110"/>
      <c r="P1" s="2110"/>
      <c r="Q1" s="2110"/>
      <c r="R1" s="2110"/>
      <c r="S1" s="2110"/>
      <c r="T1" s="2110"/>
      <c r="U1" s="2110"/>
      <c r="V1" s="2110"/>
      <c r="W1" s="2110"/>
      <c r="X1" s="2110"/>
      <c r="Y1" s="2110"/>
      <c r="Z1" s="2110"/>
      <c r="AA1" s="2110"/>
      <c r="AB1" s="2110"/>
      <c r="AC1" s="2110"/>
      <c r="AD1" s="2110"/>
      <c r="AE1" s="2110"/>
      <c r="AF1" s="2110"/>
      <c r="AG1" s="2110"/>
      <c r="AH1" s="2110"/>
      <c r="AI1" s="2110"/>
      <c r="AJ1" s="2110"/>
      <c r="AK1" s="2110"/>
      <c r="AL1" s="2110"/>
      <c r="AM1" s="2110"/>
      <c r="AN1" s="2110"/>
      <c r="AO1" s="2110"/>
      <c r="AP1" s="2110"/>
      <c r="AQ1" s="2110"/>
      <c r="AR1" s="2110"/>
      <c r="AS1" s="2110"/>
      <c r="AT1" s="2110"/>
      <c r="AU1" s="597"/>
    </row>
    <row r="2" spans="1:63" s="541" customFormat="1" ht="20.25" customHeight="1">
      <c r="A2" s="2110" t="s">
        <v>221</v>
      </c>
      <c r="B2" s="2110"/>
      <c r="C2" s="2110"/>
      <c r="D2" s="2110"/>
      <c r="E2" s="2110"/>
      <c r="F2" s="2110"/>
      <c r="G2" s="2110"/>
      <c r="H2" s="2110"/>
      <c r="I2" s="2110"/>
      <c r="J2" s="2110"/>
      <c r="K2" s="2110"/>
      <c r="L2" s="2110"/>
      <c r="M2" s="2110"/>
      <c r="N2" s="2110"/>
      <c r="O2" s="2110"/>
      <c r="P2" s="2110"/>
      <c r="Q2" s="2110"/>
      <c r="R2" s="2110"/>
      <c r="S2" s="2110"/>
      <c r="T2" s="2110"/>
      <c r="U2" s="2110"/>
      <c r="V2" s="2110"/>
      <c r="W2" s="2110"/>
      <c r="X2" s="2110"/>
      <c r="Y2" s="2110"/>
      <c r="Z2" s="2110"/>
      <c r="AA2" s="2110"/>
      <c r="AB2" s="2110"/>
      <c r="AC2" s="2110"/>
      <c r="AD2" s="2110"/>
      <c r="AE2" s="2110"/>
      <c r="AF2" s="2110"/>
      <c r="AG2" s="2110"/>
      <c r="AH2" s="2110"/>
      <c r="AI2" s="2110"/>
      <c r="AJ2" s="2110"/>
      <c r="AK2" s="2110"/>
      <c r="AL2" s="2110"/>
      <c r="AM2" s="2110"/>
      <c r="AN2" s="2110"/>
      <c r="AO2" s="2110"/>
      <c r="AP2" s="2110"/>
      <c r="AQ2" s="2110"/>
      <c r="AR2" s="2110"/>
      <c r="AS2" s="2110"/>
      <c r="AT2" s="2110"/>
      <c r="AU2" s="597"/>
    </row>
    <row r="3" spans="1:63" s="541" customFormat="1" ht="19.5" customHeight="1">
      <c r="A3" s="2111" t="s">
        <v>2345</v>
      </c>
      <c r="B3" s="2111"/>
      <c r="C3" s="2111"/>
      <c r="D3" s="2111"/>
      <c r="E3" s="2111"/>
      <c r="F3" s="2111"/>
      <c r="G3" s="2111"/>
      <c r="H3" s="2111"/>
      <c r="I3" s="2111"/>
      <c r="J3" s="2111"/>
      <c r="K3" s="2111"/>
      <c r="L3" s="2111"/>
      <c r="M3" s="2111"/>
      <c r="N3" s="2111"/>
      <c r="O3" s="2111"/>
      <c r="P3" s="2111"/>
      <c r="Q3" s="2111"/>
      <c r="R3" s="2111"/>
      <c r="S3" s="2111"/>
      <c r="T3" s="2111"/>
      <c r="U3" s="2111"/>
      <c r="V3" s="2111"/>
      <c r="W3" s="2111"/>
      <c r="X3" s="2111"/>
      <c r="Y3" s="2111"/>
      <c r="Z3" s="2111"/>
      <c r="AA3" s="2111"/>
      <c r="AB3" s="2111"/>
      <c r="AC3" s="2111"/>
      <c r="AD3" s="2111"/>
      <c r="AE3" s="2111"/>
      <c r="AF3" s="2111"/>
      <c r="AG3" s="2111"/>
      <c r="AH3" s="2111"/>
      <c r="AI3" s="2111"/>
      <c r="AJ3" s="2111"/>
      <c r="AK3" s="2111"/>
      <c r="AL3" s="2111"/>
      <c r="AM3" s="2111"/>
      <c r="AN3" s="2111"/>
      <c r="AO3" s="2111"/>
      <c r="AP3" s="2111"/>
      <c r="AQ3" s="2111"/>
      <c r="AR3" s="2111"/>
      <c r="AS3" s="2111"/>
      <c r="AT3" s="752"/>
      <c r="AU3" s="598"/>
    </row>
    <row r="4" spans="1:63" s="1040" customFormat="1" ht="20.25" customHeight="1" thickBot="1">
      <c r="A4" s="1371" t="s">
        <v>360</v>
      </c>
      <c r="B4" s="1371"/>
      <c r="C4" s="2091" t="s">
        <v>2341</v>
      </c>
      <c r="D4" s="2092"/>
      <c r="E4" s="2092"/>
      <c r="F4" s="2092"/>
      <c r="G4" s="1371"/>
      <c r="H4" s="1371"/>
      <c r="I4" s="1371"/>
      <c r="J4" s="1371"/>
      <c r="K4" s="1371"/>
      <c r="L4" s="1371"/>
      <c r="M4" s="1371"/>
      <c r="N4" s="1371"/>
      <c r="O4" s="1371"/>
      <c r="P4" s="1371"/>
      <c r="Q4" s="1371"/>
      <c r="R4" s="1371"/>
      <c r="S4" s="1371"/>
      <c r="T4" s="1371"/>
      <c r="U4" s="1371"/>
      <c r="V4" s="1371"/>
      <c r="W4" s="1371"/>
      <c r="X4" s="1371"/>
      <c r="Y4" s="1371"/>
      <c r="Z4" s="1371"/>
      <c r="AA4" s="1371"/>
      <c r="AB4" s="1371"/>
      <c r="AC4" s="1371"/>
      <c r="AD4" s="1371"/>
      <c r="AE4" s="1371"/>
      <c r="AF4" s="1371"/>
      <c r="AG4" s="1371"/>
      <c r="AH4" s="1371"/>
      <c r="AI4" s="1371"/>
      <c r="AJ4" s="1371"/>
      <c r="AK4" s="1371"/>
      <c r="AL4" s="1371"/>
      <c r="AM4" s="1371"/>
      <c r="AN4" s="1371"/>
      <c r="AO4" s="1371"/>
      <c r="AP4" s="1371"/>
      <c r="AQ4" s="1371"/>
      <c r="AR4" s="1371"/>
      <c r="AS4" s="1371"/>
      <c r="AT4" s="1371"/>
      <c r="AU4" s="1378"/>
      <c r="AV4" s="2075" t="s">
        <v>472</v>
      </c>
      <c r="AW4" s="2075"/>
      <c r="AX4" s="2075"/>
      <c r="AY4" s="2075"/>
      <c r="AZ4" s="2075"/>
      <c r="BA4" s="2075"/>
      <c r="BB4" s="2075"/>
      <c r="BC4" s="2075"/>
      <c r="BD4" s="2075"/>
      <c r="BE4" s="2075"/>
    </row>
    <row r="5" spans="1:63" ht="69.95" customHeight="1" thickTop="1">
      <c r="A5" s="722" t="s">
        <v>252</v>
      </c>
      <c r="B5" s="722" t="s">
        <v>253</v>
      </c>
      <c r="C5" s="722" t="s">
        <v>911</v>
      </c>
      <c r="D5" s="722" t="s">
        <v>254</v>
      </c>
      <c r="E5" s="643" t="s">
        <v>227</v>
      </c>
      <c r="F5" s="724" t="s">
        <v>255</v>
      </c>
      <c r="G5" s="643" t="s">
        <v>256</v>
      </c>
      <c r="H5" s="2195" t="s">
        <v>1756</v>
      </c>
      <c r="I5" s="2196"/>
      <c r="J5" s="2196"/>
      <c r="K5" s="2197"/>
      <c r="L5" s="2120" t="s">
        <v>1744</v>
      </c>
      <c r="M5" s="2094"/>
      <c r="N5" s="2095"/>
      <c r="O5" s="2120" t="s">
        <v>1749</v>
      </c>
      <c r="P5" s="2094"/>
      <c r="Q5" s="2095"/>
      <c r="R5" s="2120" t="s">
        <v>1758</v>
      </c>
      <c r="S5" s="2094"/>
      <c r="T5" s="2095"/>
      <c r="U5" s="2117" t="s">
        <v>1759</v>
      </c>
      <c r="V5" s="2118"/>
      <c r="W5" s="2119"/>
      <c r="X5" s="2102" t="s">
        <v>1674</v>
      </c>
      <c r="Y5" s="2103"/>
      <c r="Z5" s="2093" t="s">
        <v>1675</v>
      </c>
      <c r="AA5" s="2094"/>
      <c r="AB5" s="2095"/>
      <c r="AC5" s="2096" t="s">
        <v>1739</v>
      </c>
      <c r="AD5" s="1126" t="s">
        <v>258</v>
      </c>
      <c r="AE5" s="2098" t="s">
        <v>220</v>
      </c>
      <c r="AF5" s="1117" t="s">
        <v>1835</v>
      </c>
      <c r="AG5" s="2100" t="s">
        <v>1840</v>
      </c>
      <c r="AH5" s="2080" t="s">
        <v>1666</v>
      </c>
      <c r="AI5" s="2080" t="s">
        <v>1665</v>
      </c>
      <c r="AJ5" s="2076" t="s">
        <v>1769</v>
      </c>
      <c r="AK5" s="2078" t="s">
        <v>1768</v>
      </c>
      <c r="AL5" s="2114" t="s">
        <v>1770</v>
      </c>
      <c r="AM5" s="2084" t="s">
        <v>1668</v>
      </c>
      <c r="AN5" s="2121" t="s">
        <v>1669</v>
      </c>
      <c r="AO5" s="2116" t="s">
        <v>1670</v>
      </c>
      <c r="AP5" s="2089" t="s">
        <v>1805</v>
      </c>
      <c r="AQ5" s="2194" t="s">
        <v>1934</v>
      </c>
      <c r="AR5" s="2194"/>
      <c r="AS5" s="2194"/>
      <c r="AT5" s="2153" t="s">
        <v>1771</v>
      </c>
      <c r="AU5" s="600"/>
      <c r="AV5" s="2081" t="s">
        <v>219</v>
      </c>
      <c r="AW5" s="2082"/>
      <c r="AX5" s="2083"/>
      <c r="AY5" s="750"/>
      <c r="AZ5" s="750"/>
      <c r="BA5" s="2086"/>
      <c r="BB5" s="2086"/>
      <c r="BC5" s="2086"/>
      <c r="BD5" s="2086"/>
      <c r="BE5" s="2087"/>
      <c r="BG5" s="690" t="s">
        <v>789</v>
      </c>
      <c r="BH5" s="2156" t="s">
        <v>568</v>
      </c>
      <c r="BI5" s="2156" t="s">
        <v>569</v>
      </c>
      <c r="BJ5" s="2156" t="s">
        <v>570</v>
      </c>
      <c r="BK5" s="2158" t="s">
        <v>713</v>
      </c>
    </row>
    <row r="6" spans="1:63" ht="99.95" customHeight="1">
      <c r="A6" s="725" t="s">
        <v>111</v>
      </c>
      <c r="B6" s="725" t="s">
        <v>1732</v>
      </c>
      <c r="C6" s="725" t="s">
        <v>1708</v>
      </c>
      <c r="D6" s="725" t="s">
        <v>1698</v>
      </c>
      <c r="E6" s="607" t="s">
        <v>1703</v>
      </c>
      <c r="F6" s="1124" t="s">
        <v>1641</v>
      </c>
      <c r="G6" s="607" t="s">
        <v>1656</v>
      </c>
      <c r="H6" s="545" t="s">
        <v>1657</v>
      </c>
      <c r="I6" s="546" t="s">
        <v>1658</v>
      </c>
      <c r="J6" s="967" t="s">
        <v>1676</v>
      </c>
      <c r="K6" s="546" t="s">
        <v>1644</v>
      </c>
      <c r="L6" s="1131" t="s">
        <v>1765</v>
      </c>
      <c r="M6" s="546" t="s">
        <v>1659</v>
      </c>
      <c r="N6" s="546" t="s">
        <v>1662</v>
      </c>
      <c r="O6" s="1131" t="s">
        <v>1660</v>
      </c>
      <c r="P6" s="546" t="s">
        <v>1766</v>
      </c>
      <c r="Q6" s="546" t="s">
        <v>1662</v>
      </c>
      <c r="R6" s="1131" t="s">
        <v>1660</v>
      </c>
      <c r="S6" s="546" t="s">
        <v>1766</v>
      </c>
      <c r="T6" s="546" t="s">
        <v>1662</v>
      </c>
      <c r="U6" s="1132" t="s">
        <v>1682</v>
      </c>
      <c r="V6" s="546" t="s">
        <v>1661</v>
      </c>
      <c r="W6" s="546" t="s">
        <v>1662</v>
      </c>
      <c r="X6" s="546" t="s">
        <v>1683</v>
      </c>
      <c r="Y6" s="546" t="s">
        <v>1663</v>
      </c>
      <c r="Z6" s="546" t="s">
        <v>1649</v>
      </c>
      <c r="AA6" s="546" t="s">
        <v>1661</v>
      </c>
      <c r="AB6" s="546" t="s">
        <v>1712</v>
      </c>
      <c r="AC6" s="2097"/>
      <c r="AD6" s="1127" t="s">
        <v>1651</v>
      </c>
      <c r="AE6" s="2099"/>
      <c r="AF6" s="1118" t="s">
        <v>1678</v>
      </c>
      <c r="AG6" s="2101"/>
      <c r="AH6" s="2077"/>
      <c r="AI6" s="2077"/>
      <c r="AJ6" s="2077"/>
      <c r="AK6" s="2079"/>
      <c r="AL6" s="2115"/>
      <c r="AM6" s="2085"/>
      <c r="AN6" s="2122"/>
      <c r="AO6" s="2116"/>
      <c r="AP6" s="2090"/>
      <c r="AQ6" s="1437" t="s">
        <v>1671</v>
      </c>
      <c r="AR6" s="1140" t="s">
        <v>1746</v>
      </c>
      <c r="AS6" s="1140" t="s">
        <v>1747</v>
      </c>
      <c r="AT6" s="2153"/>
      <c r="AU6" s="605"/>
      <c r="AV6" s="539" t="s">
        <v>215</v>
      </c>
      <c r="AW6" s="539" t="s">
        <v>217</v>
      </c>
      <c r="AX6" s="573" t="s">
        <v>125</v>
      </c>
      <c r="AY6" s="502" t="s">
        <v>728</v>
      </c>
      <c r="AZ6" s="502" t="s">
        <v>729</v>
      </c>
      <c r="BA6" s="548" t="s">
        <v>723</v>
      </c>
      <c r="BB6" s="548" t="s">
        <v>732</v>
      </c>
      <c r="BC6" s="548" t="s">
        <v>731</v>
      </c>
      <c r="BD6" s="548" t="s">
        <v>215</v>
      </c>
      <c r="BE6" s="549" t="s">
        <v>125</v>
      </c>
      <c r="BG6" s="730" t="s">
        <v>761</v>
      </c>
      <c r="BH6" s="2157"/>
      <c r="BI6" s="2157"/>
      <c r="BJ6" s="2157"/>
      <c r="BK6" s="2173"/>
    </row>
    <row r="7" spans="1:63" s="755" customFormat="1" ht="60" customHeight="1">
      <c r="A7" s="1369">
        <v>1</v>
      </c>
      <c r="B7" s="1414" t="s">
        <v>1603</v>
      </c>
      <c r="C7" s="1390" t="s">
        <v>514</v>
      </c>
      <c r="D7" s="1841">
        <v>41682</v>
      </c>
      <c r="E7" s="531" t="s">
        <v>1113</v>
      </c>
      <c r="F7" s="617">
        <f>13+259+17+12+8+2</f>
        <v>311</v>
      </c>
      <c r="G7" s="617">
        <f>70+2</f>
        <v>72</v>
      </c>
      <c r="H7" s="1001">
        <v>19.5</v>
      </c>
      <c r="I7" s="1408">
        <f t="shared" ref="I7:I19" si="0">F7/26*H7</f>
        <v>233.25</v>
      </c>
      <c r="J7" s="1420">
        <v>0</v>
      </c>
      <c r="K7" s="618">
        <f t="shared" ref="K7:K19" si="1">I7</f>
        <v>233.25</v>
      </c>
      <c r="L7" s="1001">
        <v>15</v>
      </c>
      <c r="M7" s="510">
        <f t="shared" ref="M7:M19" si="2">F7/26/8*1.5</f>
        <v>2.2427884615384617</v>
      </c>
      <c r="N7" s="618">
        <f t="shared" ref="N7:N19" si="3">L7*M7</f>
        <v>33.641826923076927</v>
      </c>
      <c r="O7" s="1001">
        <v>0</v>
      </c>
      <c r="P7" s="510">
        <f t="shared" ref="P7:P19" si="4">F7/26/8*2</f>
        <v>2.9903846153846154</v>
      </c>
      <c r="Q7" s="503">
        <f t="shared" ref="Q7:Q18" si="5">O7*P7</f>
        <v>0</v>
      </c>
      <c r="R7" s="1001">
        <v>16</v>
      </c>
      <c r="S7" s="510">
        <f t="shared" ref="S7:S19" si="6">F7/26/8*2</f>
        <v>2.9903846153846154</v>
      </c>
      <c r="T7" s="618">
        <f t="shared" ref="T7:T19" si="7">S7*R7</f>
        <v>47.846153846153847</v>
      </c>
      <c r="U7" s="1001">
        <v>5.5</v>
      </c>
      <c r="V7" s="510">
        <f t="shared" ref="V7:V19" si="8">F7/26</f>
        <v>11.961538461538462</v>
      </c>
      <c r="W7" s="618">
        <f t="shared" ref="W7:W19" si="9">V7*U7</f>
        <v>65.788461538461533</v>
      </c>
      <c r="X7" s="1001">
        <v>0</v>
      </c>
      <c r="Y7" s="618">
        <f>'PP Salary'!T8*PP!X7</f>
        <v>0</v>
      </c>
      <c r="Z7" s="1001">
        <v>2</v>
      </c>
      <c r="AA7" s="510">
        <f t="shared" ref="AA7:AA19" si="10">F7/26/2</f>
        <v>5.9807692307692308</v>
      </c>
      <c r="AB7" s="618">
        <f t="shared" ref="AB7:AB19" si="11">Z7*AA7</f>
        <v>11.961538461538462</v>
      </c>
      <c r="AC7" s="1001">
        <v>0</v>
      </c>
      <c r="AD7" s="1467">
        <f t="shared" ref="AD7:AD19" si="12">H7+U7+Z7+AC7+X7</f>
        <v>27</v>
      </c>
      <c r="AE7" s="1724">
        <v>0</v>
      </c>
      <c r="AF7" s="1121">
        <v>0</v>
      </c>
      <c r="AG7" s="1412">
        <v>4</v>
      </c>
      <c r="AH7" s="618">
        <v>10</v>
      </c>
      <c r="AI7" s="618">
        <v>11</v>
      </c>
      <c r="AJ7" s="618">
        <v>10</v>
      </c>
      <c r="AK7" s="618">
        <v>10</v>
      </c>
      <c r="AL7" s="1325">
        <f t="shared" ref="AL7:AL19" si="13">G7+K7+N7+Q7+T7+W7+AB7+AE7+AG7+AH7+AI7+AJ7+AK7+J7+Y7+AF7</f>
        <v>509.48798076923077</v>
      </c>
      <c r="AM7" s="1278">
        <v>0</v>
      </c>
      <c r="AN7" s="1404">
        <v>102</v>
      </c>
      <c r="AO7" s="1096">
        <f>'Tax Calulation          '!P7</f>
        <v>0.17602385382343119</v>
      </c>
      <c r="AP7" s="1148">
        <f>'Tax Calulation          '!W7</f>
        <v>5.9084194977843429</v>
      </c>
      <c r="AQ7" s="1686">
        <f>AL7-AO7-AN7-AP7-AM7</f>
        <v>401.403537417623</v>
      </c>
      <c r="AR7" s="1682">
        <f>ROUND((AQ7-AS7)*4040,-2)</f>
        <v>5700</v>
      </c>
      <c r="AS7" s="1683">
        <f>CEILING(AQ7,(100))-100</f>
        <v>400</v>
      </c>
      <c r="AT7" s="502"/>
      <c r="AU7" s="505"/>
      <c r="AV7" s="502">
        <f t="shared" ref="AV7:AV19" si="14">INT(AS7/100)</f>
        <v>4</v>
      </c>
      <c r="AW7" s="502">
        <f t="shared" ref="AW7:AW19" si="15">INT((AS7-AV7*100)/50)</f>
        <v>0</v>
      </c>
      <c r="AX7" s="573">
        <f>AV7*100+AW7*50</f>
        <v>400</v>
      </c>
      <c r="AY7" s="573">
        <f t="shared" ref="AY7:AY19" si="16">INT((AR7/50000))</f>
        <v>0</v>
      </c>
      <c r="AZ7" s="548">
        <f t="shared" ref="AZ7:AZ19" si="17">INT((AR7-AY7*50000)/10000)</f>
        <v>0</v>
      </c>
      <c r="BA7" s="548">
        <f t="shared" ref="BA7:BA19" si="18">INT((AR7-AY7*50000-AZ7*10000)/5000)</f>
        <v>1</v>
      </c>
      <c r="BB7" s="548">
        <f t="shared" ref="BB7:BB19" si="19">INT((AR7-AY7*50000-AZ7*10000-BA7*5000)/1000)</f>
        <v>0</v>
      </c>
      <c r="BC7" s="548">
        <f t="shared" ref="BC7:BC19" si="20">INT((AR7-AY7*50000-AZ7*10000-BA7*5000-BB7*1000)/500)</f>
        <v>1</v>
      </c>
      <c r="BD7" s="548">
        <f t="shared" ref="BD7:BD19" si="21">INT((AR7-AY7*50000-AZ7*10000-BA7*5000-BB7*1000-BC7*500)/100)</f>
        <v>2</v>
      </c>
      <c r="BE7" s="549">
        <f>AY7*50000+AZ7*10000+BA7*5000+BB7*1000+BC7*500+BD7*100</f>
        <v>5700</v>
      </c>
      <c r="BG7" s="578" t="s">
        <v>882</v>
      </c>
      <c r="BH7" s="578" t="s">
        <v>571</v>
      </c>
      <c r="BI7" s="1163">
        <v>29297</v>
      </c>
      <c r="BJ7" s="578" t="s">
        <v>666</v>
      </c>
      <c r="BK7" s="531">
        <v>61507112</v>
      </c>
    </row>
    <row r="8" spans="1:63" s="755" customFormat="1" ht="60" customHeight="1">
      <c r="A8" s="1369">
        <v>2</v>
      </c>
      <c r="B8" s="1414" t="s">
        <v>1305</v>
      </c>
      <c r="C8" s="1390" t="s">
        <v>362</v>
      </c>
      <c r="D8" s="1841">
        <v>41792</v>
      </c>
      <c r="E8" s="531" t="s">
        <v>477</v>
      </c>
      <c r="F8" s="617">
        <f>196+8+2</f>
        <v>206</v>
      </c>
      <c r="G8" s="617">
        <f>2</f>
        <v>2</v>
      </c>
      <c r="H8" s="1001">
        <v>15</v>
      </c>
      <c r="I8" s="1408">
        <f t="shared" si="0"/>
        <v>118.84615384615385</v>
      </c>
      <c r="J8" s="1420">
        <v>0</v>
      </c>
      <c r="K8" s="618">
        <f t="shared" si="1"/>
        <v>118.84615384615385</v>
      </c>
      <c r="L8" s="1001">
        <v>0</v>
      </c>
      <c r="M8" s="510">
        <f t="shared" si="2"/>
        <v>1.4855769230769231</v>
      </c>
      <c r="N8" s="618">
        <f t="shared" si="3"/>
        <v>0</v>
      </c>
      <c r="O8" s="1001">
        <v>0</v>
      </c>
      <c r="P8" s="510">
        <f t="shared" si="4"/>
        <v>1.9807692307692308</v>
      </c>
      <c r="Q8" s="503">
        <f t="shared" si="5"/>
        <v>0</v>
      </c>
      <c r="R8" s="1001">
        <v>12</v>
      </c>
      <c r="S8" s="510">
        <f t="shared" si="6"/>
        <v>1.9807692307692308</v>
      </c>
      <c r="T8" s="618">
        <f t="shared" si="7"/>
        <v>23.76923076923077</v>
      </c>
      <c r="U8" s="1001">
        <v>5</v>
      </c>
      <c r="V8" s="510">
        <f t="shared" si="8"/>
        <v>7.9230769230769234</v>
      </c>
      <c r="W8" s="618">
        <f t="shared" si="9"/>
        <v>39.615384615384613</v>
      </c>
      <c r="X8" s="1001">
        <v>0</v>
      </c>
      <c r="Y8" s="618">
        <f>'PP Salary'!T9*PP!X8</f>
        <v>0</v>
      </c>
      <c r="Z8" s="1001">
        <v>0</v>
      </c>
      <c r="AA8" s="510">
        <f t="shared" si="10"/>
        <v>3.9615384615384617</v>
      </c>
      <c r="AB8" s="618">
        <f t="shared" si="11"/>
        <v>0</v>
      </c>
      <c r="AC8" s="1001">
        <v>7</v>
      </c>
      <c r="AD8" s="1467">
        <f t="shared" si="12"/>
        <v>27</v>
      </c>
      <c r="AE8" s="1724">
        <v>0</v>
      </c>
      <c r="AF8" s="1121">
        <v>0</v>
      </c>
      <c r="AG8" s="1412">
        <v>0</v>
      </c>
      <c r="AH8" s="618">
        <v>0</v>
      </c>
      <c r="AI8" s="618">
        <v>11</v>
      </c>
      <c r="AJ8" s="618">
        <v>10</v>
      </c>
      <c r="AK8" s="618">
        <v>10</v>
      </c>
      <c r="AL8" s="1325">
        <f t="shared" si="13"/>
        <v>215.23076923076923</v>
      </c>
      <c r="AM8" s="1281">
        <v>1</v>
      </c>
      <c r="AN8" s="1404">
        <v>102</v>
      </c>
      <c r="AO8" s="1096">
        <f>'Tax Calulation          '!P8</f>
        <v>0</v>
      </c>
      <c r="AP8" s="1148">
        <f>'Tax Calulation          '!W8</f>
        <v>4.304615384615385</v>
      </c>
      <c r="AQ8" s="1686">
        <f t="shared" ref="AQ8:AQ19" si="22">AL8-AO8-AN8-AP8-AM8</f>
        <v>107.92615384615384</v>
      </c>
      <c r="AR8" s="1682">
        <f t="shared" ref="AR8:AR19" si="23">ROUND((AQ8-AS8)*4040,-2)</f>
        <v>32000</v>
      </c>
      <c r="AS8" s="1683">
        <f t="shared" ref="AS8:AS16" si="24">CEILING(AQ8,(100))-100</f>
        <v>100</v>
      </c>
      <c r="AT8" s="502"/>
      <c r="AU8" s="505"/>
      <c r="AV8" s="502">
        <f t="shared" si="14"/>
        <v>1</v>
      </c>
      <c r="AW8" s="502">
        <f t="shared" si="15"/>
        <v>0</v>
      </c>
      <c r="AX8" s="573">
        <f t="shared" ref="AX8:AX16" si="25">AV8*100+AW8*50</f>
        <v>100</v>
      </c>
      <c r="AY8" s="573">
        <f t="shared" si="16"/>
        <v>0</v>
      </c>
      <c r="AZ8" s="548">
        <f t="shared" si="17"/>
        <v>3</v>
      </c>
      <c r="BA8" s="548">
        <f t="shared" si="18"/>
        <v>0</v>
      </c>
      <c r="BB8" s="548">
        <f t="shared" si="19"/>
        <v>2</v>
      </c>
      <c r="BC8" s="548">
        <f t="shared" si="20"/>
        <v>0</v>
      </c>
      <c r="BD8" s="548">
        <f t="shared" si="21"/>
        <v>0</v>
      </c>
      <c r="BE8" s="549">
        <f t="shared" ref="BE8:BE19" si="26">AY8*50000+AZ8*10000+BA8*5000+BB8*1000+BC8*500+BD8*100</f>
        <v>32000</v>
      </c>
      <c r="BG8" s="578" t="s">
        <v>883</v>
      </c>
      <c r="BH8" s="578" t="s">
        <v>571</v>
      </c>
      <c r="BI8" s="1163">
        <v>28865</v>
      </c>
      <c r="BJ8" s="578" t="s">
        <v>667</v>
      </c>
      <c r="BK8" s="531">
        <v>11027933</v>
      </c>
    </row>
    <row r="9" spans="1:63" s="755" customFormat="1" ht="60" customHeight="1">
      <c r="A9" s="1369">
        <v>3</v>
      </c>
      <c r="B9" s="1414" t="s">
        <v>1604</v>
      </c>
      <c r="C9" s="1877" t="s">
        <v>363</v>
      </c>
      <c r="D9" s="1841">
        <v>42480</v>
      </c>
      <c r="E9" s="531" t="s">
        <v>477</v>
      </c>
      <c r="F9" s="617">
        <f>183+17+12+8+2</f>
        <v>222</v>
      </c>
      <c r="G9" s="617">
        <f>25+2</f>
        <v>27</v>
      </c>
      <c r="H9" s="1001">
        <v>18.5</v>
      </c>
      <c r="I9" s="1408">
        <f t="shared" si="0"/>
        <v>157.96153846153845</v>
      </c>
      <c r="J9" s="1420">
        <v>0</v>
      </c>
      <c r="K9" s="618">
        <f t="shared" si="1"/>
        <v>157.96153846153845</v>
      </c>
      <c r="L9" s="1001">
        <v>14</v>
      </c>
      <c r="M9" s="510">
        <f t="shared" si="2"/>
        <v>1.6009615384615383</v>
      </c>
      <c r="N9" s="618">
        <f t="shared" si="3"/>
        <v>22.413461538461537</v>
      </c>
      <c r="O9" s="1001">
        <v>0</v>
      </c>
      <c r="P9" s="510">
        <f t="shared" si="4"/>
        <v>2.1346153846153846</v>
      </c>
      <c r="Q9" s="503">
        <f t="shared" si="5"/>
        <v>0</v>
      </c>
      <c r="R9" s="1001">
        <v>16</v>
      </c>
      <c r="S9" s="510">
        <f t="shared" si="6"/>
        <v>2.1346153846153846</v>
      </c>
      <c r="T9" s="618">
        <f t="shared" si="7"/>
        <v>34.153846153846153</v>
      </c>
      <c r="U9" s="1001">
        <v>5</v>
      </c>
      <c r="V9" s="510">
        <f t="shared" si="8"/>
        <v>8.5384615384615383</v>
      </c>
      <c r="W9" s="618">
        <f t="shared" si="9"/>
        <v>42.692307692307693</v>
      </c>
      <c r="X9" s="1001">
        <v>0</v>
      </c>
      <c r="Y9" s="618">
        <f>'PP Salary'!T10*PP!X9</f>
        <v>0</v>
      </c>
      <c r="Z9" s="1001">
        <v>2</v>
      </c>
      <c r="AA9" s="510">
        <f t="shared" si="10"/>
        <v>4.2692307692307692</v>
      </c>
      <c r="AB9" s="618">
        <f t="shared" si="11"/>
        <v>8.5384615384615383</v>
      </c>
      <c r="AC9" s="1001">
        <v>1.5</v>
      </c>
      <c r="AD9" s="1467">
        <f t="shared" si="12"/>
        <v>27</v>
      </c>
      <c r="AE9" s="1724">
        <v>0</v>
      </c>
      <c r="AF9" s="1121">
        <v>0</v>
      </c>
      <c r="AG9" s="1412">
        <v>0</v>
      </c>
      <c r="AH9" s="618">
        <v>5.5</v>
      </c>
      <c r="AI9" s="618">
        <v>9</v>
      </c>
      <c r="AJ9" s="618">
        <v>10</v>
      </c>
      <c r="AK9" s="618">
        <v>10</v>
      </c>
      <c r="AL9" s="1325">
        <f t="shared" si="13"/>
        <v>327.25961538461542</v>
      </c>
      <c r="AM9" s="1278">
        <v>0.5</v>
      </c>
      <c r="AN9" s="1404">
        <v>102</v>
      </c>
      <c r="AO9" s="1096">
        <f>'Tax Calulation          '!P9</f>
        <v>0</v>
      </c>
      <c r="AP9" s="1148">
        <f>'Tax Calulation          '!W9</f>
        <v>5.9084194977843429</v>
      </c>
      <c r="AQ9" s="1686">
        <f t="shared" si="22"/>
        <v>218.85119588683108</v>
      </c>
      <c r="AR9" s="1682">
        <f t="shared" si="23"/>
        <v>76200</v>
      </c>
      <c r="AS9" s="1683">
        <f t="shared" si="24"/>
        <v>200</v>
      </c>
      <c r="AT9" s="502"/>
      <c r="AU9" s="505"/>
      <c r="AV9" s="502">
        <f t="shared" si="14"/>
        <v>2</v>
      </c>
      <c r="AW9" s="502">
        <f t="shared" si="15"/>
        <v>0</v>
      </c>
      <c r="AX9" s="573">
        <f t="shared" si="25"/>
        <v>200</v>
      </c>
      <c r="AY9" s="573">
        <f t="shared" si="16"/>
        <v>1</v>
      </c>
      <c r="AZ9" s="548">
        <f t="shared" si="17"/>
        <v>2</v>
      </c>
      <c r="BA9" s="548">
        <f t="shared" si="18"/>
        <v>1</v>
      </c>
      <c r="BB9" s="548">
        <f t="shared" si="19"/>
        <v>1</v>
      </c>
      <c r="BC9" s="548">
        <f t="shared" si="20"/>
        <v>0</v>
      </c>
      <c r="BD9" s="548">
        <f t="shared" si="21"/>
        <v>2</v>
      </c>
      <c r="BE9" s="549">
        <f t="shared" si="26"/>
        <v>76200</v>
      </c>
      <c r="BG9" s="581" t="s">
        <v>884</v>
      </c>
      <c r="BH9" s="578" t="s">
        <v>571</v>
      </c>
      <c r="BI9" s="1163">
        <v>30324</v>
      </c>
      <c r="BJ9" s="588" t="s">
        <v>668</v>
      </c>
      <c r="BK9" s="531">
        <v>101246562</v>
      </c>
    </row>
    <row r="10" spans="1:63" s="755" customFormat="1" ht="60" customHeight="1">
      <c r="A10" s="1369">
        <v>4</v>
      </c>
      <c r="B10" s="1415" t="s">
        <v>1605</v>
      </c>
      <c r="C10" s="1390" t="s">
        <v>1306</v>
      </c>
      <c r="D10" s="1841">
        <v>43214</v>
      </c>
      <c r="E10" s="531" t="s">
        <v>477</v>
      </c>
      <c r="F10" s="617">
        <f>220+2</f>
        <v>222</v>
      </c>
      <c r="G10" s="617">
        <f>25+2</f>
        <v>27</v>
      </c>
      <c r="H10" s="1001">
        <v>21.5</v>
      </c>
      <c r="I10" s="1408">
        <f t="shared" ref="I10:I14" si="27">F10/26*H10</f>
        <v>183.57692307692307</v>
      </c>
      <c r="J10" s="1420">
        <v>0</v>
      </c>
      <c r="K10" s="618">
        <f t="shared" si="1"/>
        <v>183.57692307692307</v>
      </c>
      <c r="L10" s="1001">
        <v>9</v>
      </c>
      <c r="M10" s="510">
        <f t="shared" ref="M10:M14" si="28">F10/26/8*1.5</f>
        <v>1.6009615384615383</v>
      </c>
      <c r="N10" s="618">
        <f t="shared" si="3"/>
        <v>14.408653846153845</v>
      </c>
      <c r="O10" s="1001">
        <v>0</v>
      </c>
      <c r="P10" s="510">
        <f t="shared" si="4"/>
        <v>2.1346153846153846</v>
      </c>
      <c r="Q10" s="503">
        <f t="shared" ref="Q10:Q14" si="29">O10*P10</f>
        <v>0</v>
      </c>
      <c r="R10" s="1001">
        <v>16</v>
      </c>
      <c r="S10" s="510">
        <f t="shared" si="6"/>
        <v>2.1346153846153846</v>
      </c>
      <c r="T10" s="618">
        <f t="shared" si="7"/>
        <v>34.153846153846153</v>
      </c>
      <c r="U10" s="1001">
        <v>5</v>
      </c>
      <c r="V10" s="510">
        <f t="shared" si="8"/>
        <v>8.5384615384615383</v>
      </c>
      <c r="W10" s="618">
        <f t="shared" si="9"/>
        <v>42.692307692307693</v>
      </c>
      <c r="X10" s="1001">
        <v>0.5</v>
      </c>
      <c r="Y10" s="618">
        <f>'PP Salary'!T11*PP!X10</f>
        <v>5.8492533334822481</v>
      </c>
      <c r="Z10" s="1001">
        <v>0</v>
      </c>
      <c r="AA10" s="510">
        <f t="shared" si="10"/>
        <v>4.2692307692307692</v>
      </c>
      <c r="AB10" s="618">
        <f t="shared" ref="AB10:AB14" si="30">Z10*AA10</f>
        <v>0</v>
      </c>
      <c r="AC10" s="1001">
        <v>0</v>
      </c>
      <c r="AD10" s="1467">
        <f t="shared" si="12"/>
        <v>27</v>
      </c>
      <c r="AE10" s="1724">
        <v>0</v>
      </c>
      <c r="AF10" s="1121">
        <v>0</v>
      </c>
      <c r="AG10" s="1412">
        <v>0</v>
      </c>
      <c r="AH10" s="618">
        <v>10</v>
      </c>
      <c r="AI10" s="618">
        <v>7</v>
      </c>
      <c r="AJ10" s="618">
        <v>10</v>
      </c>
      <c r="AK10" s="618">
        <v>10</v>
      </c>
      <c r="AL10" s="1325">
        <f t="shared" si="13"/>
        <v>344.68098410271296</v>
      </c>
      <c r="AM10" s="1280">
        <v>0</v>
      </c>
      <c r="AN10" s="1404">
        <v>102</v>
      </c>
      <c r="AO10" s="1096">
        <f>'Tax Calulation          '!P10</f>
        <v>0</v>
      </c>
      <c r="AP10" s="1148">
        <f>'Tax Calulation          '!W10</f>
        <v>5.9084194977843429</v>
      </c>
      <c r="AQ10" s="1686">
        <f t="shared" si="22"/>
        <v>236.77256460492862</v>
      </c>
      <c r="AR10" s="1682">
        <f t="shared" si="23"/>
        <v>148600</v>
      </c>
      <c r="AS10" s="1683">
        <f t="shared" ref="AS10:AS14" si="31">CEILING(AQ10,(100))-100</f>
        <v>200</v>
      </c>
      <c r="AT10" s="502"/>
      <c r="AU10" s="505"/>
      <c r="AV10" s="502">
        <f t="shared" si="14"/>
        <v>2</v>
      </c>
      <c r="AW10" s="502">
        <f t="shared" si="15"/>
        <v>0</v>
      </c>
      <c r="AX10" s="1113">
        <f t="shared" ref="AX10:AX14" si="32">AV10*100+AW10*50</f>
        <v>200</v>
      </c>
      <c r="AY10" s="1113">
        <f t="shared" si="16"/>
        <v>2</v>
      </c>
      <c r="AZ10" s="548">
        <f t="shared" si="17"/>
        <v>4</v>
      </c>
      <c r="BA10" s="548">
        <f t="shared" si="18"/>
        <v>1</v>
      </c>
      <c r="BB10" s="548">
        <f t="shared" si="19"/>
        <v>3</v>
      </c>
      <c r="BC10" s="548">
        <f t="shared" si="20"/>
        <v>1</v>
      </c>
      <c r="BD10" s="548">
        <f t="shared" si="21"/>
        <v>1</v>
      </c>
      <c r="BE10" s="549">
        <f t="shared" ref="BE10:BE14" si="33">AY10*50000+AZ10*10000+BA10*5000+BB10*1000+BC10*500+BD10*100</f>
        <v>148600</v>
      </c>
      <c r="BG10" s="578" t="s">
        <v>885</v>
      </c>
      <c r="BH10" s="578" t="s">
        <v>571</v>
      </c>
      <c r="BI10" s="1163">
        <v>31479</v>
      </c>
      <c r="BJ10" s="578" t="s">
        <v>669</v>
      </c>
      <c r="BK10" s="531">
        <v>61736201</v>
      </c>
    </row>
    <row r="11" spans="1:63" s="755" customFormat="1" ht="60" customHeight="1">
      <c r="A11" s="1369">
        <v>5</v>
      </c>
      <c r="B11" s="1415" t="s">
        <v>1606</v>
      </c>
      <c r="C11" s="1390" t="s">
        <v>464</v>
      </c>
      <c r="D11" s="1841">
        <v>43626</v>
      </c>
      <c r="E11" s="531" t="s">
        <v>477</v>
      </c>
      <c r="F11" s="617">
        <f>196+8+2</f>
        <v>206</v>
      </c>
      <c r="G11" s="617">
        <f>2</f>
        <v>2</v>
      </c>
      <c r="H11" s="1001">
        <v>20</v>
      </c>
      <c r="I11" s="1408">
        <f t="shared" si="27"/>
        <v>158.46153846153845</v>
      </c>
      <c r="J11" s="1420">
        <v>0</v>
      </c>
      <c r="K11" s="618">
        <f t="shared" si="1"/>
        <v>158.46153846153845</v>
      </c>
      <c r="L11" s="1001">
        <v>14</v>
      </c>
      <c r="M11" s="510">
        <f t="shared" si="28"/>
        <v>1.4855769230769231</v>
      </c>
      <c r="N11" s="618">
        <f t="shared" si="3"/>
        <v>20.798076923076923</v>
      </c>
      <c r="O11" s="1001">
        <v>0</v>
      </c>
      <c r="P11" s="510">
        <f t="shared" si="4"/>
        <v>1.9807692307692308</v>
      </c>
      <c r="Q11" s="503">
        <f t="shared" si="29"/>
        <v>0</v>
      </c>
      <c r="R11" s="1001">
        <v>16</v>
      </c>
      <c r="S11" s="510">
        <f t="shared" si="6"/>
        <v>1.9807692307692308</v>
      </c>
      <c r="T11" s="618">
        <f t="shared" si="7"/>
        <v>31.692307692307693</v>
      </c>
      <c r="U11" s="1001">
        <v>5</v>
      </c>
      <c r="V11" s="510">
        <f t="shared" si="8"/>
        <v>7.9230769230769234</v>
      </c>
      <c r="W11" s="618">
        <f t="shared" si="9"/>
        <v>39.615384615384613</v>
      </c>
      <c r="X11" s="1001">
        <v>0</v>
      </c>
      <c r="Y11" s="618">
        <f>'PP Salary'!T12*PP!X11</f>
        <v>0</v>
      </c>
      <c r="Z11" s="1001">
        <v>2</v>
      </c>
      <c r="AA11" s="510">
        <f t="shared" si="10"/>
        <v>3.9615384615384617</v>
      </c>
      <c r="AB11" s="618">
        <f t="shared" si="30"/>
        <v>7.9230769230769234</v>
      </c>
      <c r="AC11" s="1001">
        <v>0</v>
      </c>
      <c r="AD11" s="1467">
        <f t="shared" si="12"/>
        <v>27</v>
      </c>
      <c r="AE11" s="1724">
        <v>0</v>
      </c>
      <c r="AF11" s="1121">
        <v>0</v>
      </c>
      <c r="AG11" s="1412">
        <v>0</v>
      </c>
      <c r="AH11" s="618">
        <v>10</v>
      </c>
      <c r="AI11" s="618">
        <v>6</v>
      </c>
      <c r="AJ11" s="618">
        <v>10</v>
      </c>
      <c r="AK11" s="618">
        <v>10</v>
      </c>
      <c r="AL11" s="1325">
        <f t="shared" si="13"/>
        <v>296.49038461538464</v>
      </c>
      <c r="AM11" s="1278">
        <v>0.5</v>
      </c>
      <c r="AN11" s="1404">
        <v>102</v>
      </c>
      <c r="AO11" s="1096">
        <f>'Tax Calulation          '!P11</f>
        <v>0</v>
      </c>
      <c r="AP11" s="1148">
        <f>'Tax Calulation          '!W11</f>
        <v>5.9084194977843429</v>
      </c>
      <c r="AQ11" s="1686">
        <f t="shared" si="22"/>
        <v>188.0819651176003</v>
      </c>
      <c r="AR11" s="1682">
        <f t="shared" si="23"/>
        <v>355900</v>
      </c>
      <c r="AS11" s="1683">
        <f t="shared" si="31"/>
        <v>100</v>
      </c>
      <c r="AT11" s="502"/>
      <c r="AU11" s="505"/>
      <c r="AV11" s="502">
        <f t="shared" si="14"/>
        <v>1</v>
      </c>
      <c r="AW11" s="502">
        <f t="shared" si="15"/>
        <v>0</v>
      </c>
      <c r="AX11" s="1113">
        <f t="shared" si="32"/>
        <v>100</v>
      </c>
      <c r="AY11" s="1113">
        <f t="shared" si="16"/>
        <v>7</v>
      </c>
      <c r="AZ11" s="548">
        <f t="shared" si="17"/>
        <v>0</v>
      </c>
      <c r="BA11" s="548">
        <f t="shared" si="18"/>
        <v>1</v>
      </c>
      <c r="BB11" s="548">
        <f t="shared" si="19"/>
        <v>0</v>
      </c>
      <c r="BC11" s="548">
        <f t="shared" si="20"/>
        <v>1</v>
      </c>
      <c r="BD11" s="548">
        <f t="shared" si="21"/>
        <v>4</v>
      </c>
      <c r="BE11" s="549">
        <f t="shared" si="33"/>
        <v>355900</v>
      </c>
      <c r="BG11" s="578" t="s">
        <v>886</v>
      </c>
      <c r="BH11" s="578" t="s">
        <v>571</v>
      </c>
      <c r="BI11" s="1163">
        <v>34464</v>
      </c>
      <c r="BJ11" s="578" t="s">
        <v>670</v>
      </c>
      <c r="BK11" s="531">
        <v>30594673</v>
      </c>
    </row>
    <row r="12" spans="1:63" s="768" customFormat="1" ht="60" customHeight="1">
      <c r="A12" s="1369">
        <v>6</v>
      </c>
      <c r="B12" s="1415" t="s">
        <v>1607</v>
      </c>
      <c r="C12" s="1079" t="s">
        <v>1364</v>
      </c>
      <c r="D12" s="1841">
        <v>44600</v>
      </c>
      <c r="E12" s="787" t="s">
        <v>477</v>
      </c>
      <c r="F12" s="758">
        <f>206</f>
        <v>206</v>
      </c>
      <c r="G12" s="758">
        <v>2</v>
      </c>
      <c r="H12" s="1001">
        <v>20.5</v>
      </c>
      <c r="I12" s="1408">
        <f t="shared" si="27"/>
        <v>162.42307692307693</v>
      </c>
      <c r="J12" s="1420">
        <v>0</v>
      </c>
      <c r="K12" s="618">
        <f t="shared" si="1"/>
        <v>162.42307692307693</v>
      </c>
      <c r="L12" s="1001">
        <v>14</v>
      </c>
      <c r="M12" s="510">
        <f t="shared" si="28"/>
        <v>1.4855769230769231</v>
      </c>
      <c r="N12" s="618">
        <f t="shared" si="3"/>
        <v>20.798076923076923</v>
      </c>
      <c r="O12" s="1001">
        <v>0</v>
      </c>
      <c r="P12" s="510">
        <f t="shared" si="4"/>
        <v>1.9807692307692308</v>
      </c>
      <c r="Q12" s="503">
        <f t="shared" si="29"/>
        <v>0</v>
      </c>
      <c r="R12" s="1001">
        <v>16</v>
      </c>
      <c r="S12" s="510">
        <f t="shared" si="6"/>
        <v>1.9807692307692308</v>
      </c>
      <c r="T12" s="618">
        <f t="shared" si="7"/>
        <v>31.692307692307693</v>
      </c>
      <c r="U12" s="1001">
        <v>6</v>
      </c>
      <c r="V12" s="510">
        <f t="shared" si="8"/>
        <v>7.9230769230769234</v>
      </c>
      <c r="W12" s="618">
        <f t="shared" si="9"/>
        <v>47.53846153846154</v>
      </c>
      <c r="X12" s="1001">
        <v>0</v>
      </c>
      <c r="Y12" s="618">
        <f>'PP Salary'!T13*PP!X12</f>
        <v>0</v>
      </c>
      <c r="Z12" s="1001">
        <v>0</v>
      </c>
      <c r="AA12" s="510">
        <f t="shared" si="10"/>
        <v>3.9615384615384617</v>
      </c>
      <c r="AB12" s="618">
        <f t="shared" si="30"/>
        <v>0</v>
      </c>
      <c r="AC12" s="1001">
        <v>0.5</v>
      </c>
      <c r="AD12" s="1467">
        <f t="shared" si="12"/>
        <v>27</v>
      </c>
      <c r="AE12" s="1724">
        <v>0</v>
      </c>
      <c r="AF12" s="1121">
        <v>0</v>
      </c>
      <c r="AG12" s="1413">
        <v>0</v>
      </c>
      <c r="AH12" s="618">
        <v>8.5</v>
      </c>
      <c r="AI12" s="788">
        <v>3</v>
      </c>
      <c r="AJ12" s="618">
        <v>10</v>
      </c>
      <c r="AK12" s="618">
        <v>10</v>
      </c>
      <c r="AL12" s="1325">
        <f t="shared" si="13"/>
        <v>295.95192307692309</v>
      </c>
      <c r="AM12" s="1280">
        <v>0.5</v>
      </c>
      <c r="AN12" s="1404">
        <v>102</v>
      </c>
      <c r="AO12" s="1096">
        <f>'Tax Calulation          '!P12</f>
        <v>0</v>
      </c>
      <c r="AP12" s="1148">
        <f>'Tax Calulation          '!W12</f>
        <v>5.9084194977843429</v>
      </c>
      <c r="AQ12" s="1686">
        <f t="shared" si="22"/>
        <v>187.54350357913876</v>
      </c>
      <c r="AR12" s="1682">
        <f t="shared" si="23"/>
        <v>353700</v>
      </c>
      <c r="AS12" s="1684">
        <f t="shared" si="31"/>
        <v>100</v>
      </c>
      <c r="AT12" s="612"/>
      <c r="AU12" s="764"/>
      <c r="AV12" s="612">
        <f t="shared" si="14"/>
        <v>1</v>
      </c>
      <c r="AW12" s="612">
        <f t="shared" si="15"/>
        <v>0</v>
      </c>
      <c r="AX12" s="765">
        <f t="shared" si="32"/>
        <v>100</v>
      </c>
      <c r="AY12" s="765">
        <f t="shared" si="16"/>
        <v>7</v>
      </c>
      <c r="AZ12" s="766">
        <f t="shared" si="17"/>
        <v>0</v>
      </c>
      <c r="BA12" s="766">
        <f t="shared" si="18"/>
        <v>0</v>
      </c>
      <c r="BB12" s="766">
        <f t="shared" si="19"/>
        <v>3</v>
      </c>
      <c r="BC12" s="766">
        <f t="shared" si="20"/>
        <v>1</v>
      </c>
      <c r="BD12" s="766">
        <f t="shared" si="21"/>
        <v>2</v>
      </c>
      <c r="BE12" s="549">
        <f t="shared" si="33"/>
        <v>353700</v>
      </c>
      <c r="BG12" s="628" t="s">
        <v>1402</v>
      </c>
      <c r="BH12" s="628" t="s">
        <v>943</v>
      </c>
      <c r="BI12" s="1165">
        <v>30436</v>
      </c>
      <c r="BJ12" s="956" t="s">
        <v>1377</v>
      </c>
      <c r="BK12" s="795" t="s">
        <v>1403</v>
      </c>
    </row>
    <row r="13" spans="1:63" s="768" customFormat="1" ht="60" customHeight="1">
      <c r="A13" s="1369">
        <v>7</v>
      </c>
      <c r="B13" s="1415" t="s">
        <v>1636</v>
      </c>
      <c r="C13" s="1079" t="s">
        <v>1637</v>
      </c>
      <c r="D13" s="1841">
        <v>44774</v>
      </c>
      <c r="E13" s="787" t="s">
        <v>477</v>
      </c>
      <c r="F13" s="758">
        <f>206</f>
        <v>206</v>
      </c>
      <c r="G13" s="758">
        <v>2</v>
      </c>
      <c r="H13" s="1001">
        <v>17.5</v>
      </c>
      <c r="I13" s="1408">
        <f t="shared" si="27"/>
        <v>138.65384615384616</v>
      </c>
      <c r="J13" s="1420">
        <v>0</v>
      </c>
      <c r="K13" s="618">
        <f t="shared" si="1"/>
        <v>138.65384615384616</v>
      </c>
      <c r="L13" s="1001">
        <v>14</v>
      </c>
      <c r="M13" s="510">
        <f t="shared" si="28"/>
        <v>1.4855769230769231</v>
      </c>
      <c r="N13" s="618">
        <f t="shared" si="3"/>
        <v>20.798076923076923</v>
      </c>
      <c r="O13" s="1001">
        <v>0</v>
      </c>
      <c r="P13" s="510">
        <f t="shared" si="4"/>
        <v>1.9807692307692308</v>
      </c>
      <c r="Q13" s="503">
        <f t="shared" si="29"/>
        <v>0</v>
      </c>
      <c r="R13" s="1001">
        <v>8</v>
      </c>
      <c r="S13" s="510">
        <f t="shared" si="6"/>
        <v>1.9807692307692308</v>
      </c>
      <c r="T13" s="618">
        <f t="shared" si="7"/>
        <v>15.846153846153847</v>
      </c>
      <c r="U13" s="1001">
        <v>5.5</v>
      </c>
      <c r="V13" s="510">
        <f t="shared" si="8"/>
        <v>7.9230769230769234</v>
      </c>
      <c r="W13" s="618">
        <f t="shared" si="9"/>
        <v>43.57692307692308</v>
      </c>
      <c r="X13" s="1001">
        <v>2</v>
      </c>
      <c r="Y13" s="618">
        <f>'PP Salary'!T14*PP!X13</f>
        <v>20.293540218825509</v>
      </c>
      <c r="Z13" s="1001">
        <v>0</v>
      </c>
      <c r="AA13" s="510">
        <f t="shared" si="10"/>
        <v>3.9615384615384617</v>
      </c>
      <c r="AB13" s="618">
        <f t="shared" si="30"/>
        <v>0</v>
      </c>
      <c r="AC13" s="1001">
        <v>2</v>
      </c>
      <c r="AD13" s="1467">
        <f t="shared" si="12"/>
        <v>27</v>
      </c>
      <c r="AE13" s="1724">
        <v>0</v>
      </c>
      <c r="AF13" s="1121">
        <v>0</v>
      </c>
      <c r="AG13" s="1413">
        <v>0</v>
      </c>
      <c r="AH13" s="618">
        <v>4</v>
      </c>
      <c r="AI13" s="788">
        <v>3</v>
      </c>
      <c r="AJ13" s="618">
        <v>10</v>
      </c>
      <c r="AK13" s="618">
        <v>10</v>
      </c>
      <c r="AL13" s="1325">
        <f t="shared" si="13"/>
        <v>268.16854021882551</v>
      </c>
      <c r="AM13" s="1280">
        <v>0.5</v>
      </c>
      <c r="AN13" s="1404">
        <v>102</v>
      </c>
      <c r="AO13" s="1096">
        <f>'Tax Calulation          '!P13</f>
        <v>0</v>
      </c>
      <c r="AP13" s="1148">
        <f>'Tax Calulation          '!W13</f>
        <v>5.36337080437651</v>
      </c>
      <c r="AQ13" s="1686">
        <f t="shared" si="22"/>
        <v>160.30516941444901</v>
      </c>
      <c r="AR13" s="1682">
        <f t="shared" si="23"/>
        <v>243600</v>
      </c>
      <c r="AS13" s="1684">
        <f t="shared" si="31"/>
        <v>100</v>
      </c>
      <c r="AT13" s="612"/>
      <c r="AU13" s="764"/>
      <c r="AV13" s="612">
        <f t="shared" si="14"/>
        <v>1</v>
      </c>
      <c r="AW13" s="612">
        <f t="shared" si="15"/>
        <v>0</v>
      </c>
      <c r="AX13" s="765">
        <f t="shared" si="32"/>
        <v>100</v>
      </c>
      <c r="AY13" s="765">
        <f t="shared" si="16"/>
        <v>4</v>
      </c>
      <c r="AZ13" s="766">
        <f t="shared" si="17"/>
        <v>4</v>
      </c>
      <c r="BA13" s="766">
        <f t="shared" si="18"/>
        <v>0</v>
      </c>
      <c r="BB13" s="766">
        <f t="shared" si="19"/>
        <v>3</v>
      </c>
      <c r="BC13" s="766">
        <f t="shared" si="20"/>
        <v>1</v>
      </c>
      <c r="BD13" s="766">
        <f t="shared" si="21"/>
        <v>1</v>
      </c>
      <c r="BE13" s="549">
        <f t="shared" si="33"/>
        <v>243600</v>
      </c>
      <c r="BG13" s="1153" t="s">
        <v>1789</v>
      </c>
      <c r="BH13" s="628" t="s">
        <v>943</v>
      </c>
      <c r="BI13" s="1163">
        <v>32327</v>
      </c>
      <c r="BJ13" s="786"/>
      <c r="BK13" s="647">
        <v>180401180</v>
      </c>
    </row>
    <row r="14" spans="1:63" s="768" customFormat="1" ht="60" customHeight="1">
      <c r="A14" s="1369">
        <v>8</v>
      </c>
      <c r="B14" s="1415" t="s">
        <v>2009</v>
      </c>
      <c r="C14" s="1079" t="s">
        <v>1947</v>
      </c>
      <c r="D14" s="1850">
        <v>45089</v>
      </c>
      <c r="E14" s="787" t="s">
        <v>477</v>
      </c>
      <c r="F14" s="1397">
        <f>200+4</f>
        <v>204</v>
      </c>
      <c r="G14" s="758">
        <v>0</v>
      </c>
      <c r="H14" s="1001">
        <v>18.5</v>
      </c>
      <c r="I14" s="1408">
        <f t="shared" si="27"/>
        <v>145.15384615384616</v>
      </c>
      <c r="J14" s="1420">
        <v>0</v>
      </c>
      <c r="K14" s="618">
        <f t="shared" si="1"/>
        <v>145.15384615384616</v>
      </c>
      <c r="L14" s="1001">
        <v>15</v>
      </c>
      <c r="M14" s="510">
        <f t="shared" si="28"/>
        <v>1.471153846153846</v>
      </c>
      <c r="N14" s="618">
        <f t="shared" si="3"/>
        <v>22.06730769230769</v>
      </c>
      <c r="O14" s="1001">
        <v>0</v>
      </c>
      <c r="P14" s="510">
        <f t="shared" si="4"/>
        <v>1.9615384615384615</v>
      </c>
      <c r="Q14" s="503">
        <f t="shared" si="29"/>
        <v>0</v>
      </c>
      <c r="R14" s="1001">
        <v>16</v>
      </c>
      <c r="S14" s="510">
        <f t="shared" si="6"/>
        <v>1.9615384615384615</v>
      </c>
      <c r="T14" s="618">
        <f t="shared" si="7"/>
        <v>31.384615384615383</v>
      </c>
      <c r="U14" s="1001">
        <v>5</v>
      </c>
      <c r="V14" s="510">
        <f t="shared" si="8"/>
        <v>7.8461538461538458</v>
      </c>
      <c r="W14" s="618">
        <f t="shared" si="9"/>
        <v>39.230769230769226</v>
      </c>
      <c r="X14" s="1001">
        <v>0</v>
      </c>
      <c r="Y14" s="618">
        <f>'PP Salary'!T15*PP!X14</f>
        <v>0</v>
      </c>
      <c r="Z14" s="1001">
        <v>2</v>
      </c>
      <c r="AA14" s="510">
        <f t="shared" si="10"/>
        <v>3.9230769230769229</v>
      </c>
      <c r="AB14" s="618">
        <f t="shared" si="30"/>
        <v>7.8461538461538458</v>
      </c>
      <c r="AC14" s="1001">
        <v>1.5</v>
      </c>
      <c r="AD14" s="1467">
        <f t="shared" si="12"/>
        <v>27</v>
      </c>
      <c r="AE14" s="1724">
        <v>0</v>
      </c>
      <c r="AF14" s="1121">
        <v>0</v>
      </c>
      <c r="AG14" s="1413">
        <v>0</v>
      </c>
      <c r="AH14" s="618">
        <v>0</v>
      </c>
      <c r="AI14" s="788">
        <v>2</v>
      </c>
      <c r="AJ14" s="618">
        <v>10</v>
      </c>
      <c r="AK14" s="618">
        <v>10</v>
      </c>
      <c r="AL14" s="1325">
        <f t="shared" si="13"/>
        <v>267.68269230769226</v>
      </c>
      <c r="AM14" s="1280">
        <v>0</v>
      </c>
      <c r="AN14" s="1404">
        <v>102</v>
      </c>
      <c r="AO14" s="1096">
        <f>'Tax Calulation          '!P14</f>
        <v>0</v>
      </c>
      <c r="AP14" s="1148">
        <f>'Tax Calulation          '!W14</f>
        <v>5.3536538461538461</v>
      </c>
      <c r="AQ14" s="1686">
        <f t="shared" si="22"/>
        <v>160.32903846153843</v>
      </c>
      <c r="AR14" s="1682">
        <f t="shared" si="23"/>
        <v>243700</v>
      </c>
      <c r="AS14" s="1684">
        <f t="shared" si="31"/>
        <v>100</v>
      </c>
      <c r="AT14" s="612"/>
      <c r="AU14" s="764"/>
      <c r="AV14" s="612">
        <f t="shared" si="14"/>
        <v>1</v>
      </c>
      <c r="AW14" s="612">
        <f t="shared" si="15"/>
        <v>0</v>
      </c>
      <c r="AX14" s="765">
        <f t="shared" si="32"/>
        <v>100</v>
      </c>
      <c r="AY14" s="765">
        <f t="shared" si="16"/>
        <v>4</v>
      </c>
      <c r="AZ14" s="766">
        <f t="shared" si="17"/>
        <v>4</v>
      </c>
      <c r="BA14" s="766">
        <f t="shared" si="18"/>
        <v>0</v>
      </c>
      <c r="BB14" s="766">
        <f t="shared" si="19"/>
        <v>3</v>
      </c>
      <c r="BC14" s="766">
        <f t="shared" si="20"/>
        <v>1</v>
      </c>
      <c r="BD14" s="766">
        <f t="shared" si="21"/>
        <v>2</v>
      </c>
      <c r="BE14" s="549">
        <f t="shared" si="33"/>
        <v>243700</v>
      </c>
      <c r="BG14" s="1079" t="s">
        <v>1948</v>
      </c>
      <c r="BH14" s="628" t="s">
        <v>943</v>
      </c>
      <c r="BI14" s="1757">
        <v>37268</v>
      </c>
      <c r="BJ14" s="1435" t="s">
        <v>1949</v>
      </c>
      <c r="BK14" s="1347" t="s">
        <v>1998</v>
      </c>
    </row>
    <row r="15" spans="1:63" s="755" customFormat="1" ht="60" customHeight="1">
      <c r="A15" s="1369">
        <v>9</v>
      </c>
      <c r="B15" s="1398" t="s">
        <v>2239</v>
      </c>
      <c r="C15" s="1384" t="s">
        <v>2237</v>
      </c>
      <c r="D15" s="1852">
        <v>45485</v>
      </c>
      <c r="E15" s="531" t="s">
        <v>477</v>
      </c>
      <c r="F15" s="617">
        <f>202+2</f>
        <v>204</v>
      </c>
      <c r="G15" s="758">
        <v>0</v>
      </c>
      <c r="H15" s="1001">
        <v>19.5</v>
      </c>
      <c r="I15" s="1408">
        <f t="shared" si="0"/>
        <v>153</v>
      </c>
      <c r="J15" s="1420">
        <v>0</v>
      </c>
      <c r="K15" s="618">
        <f t="shared" si="1"/>
        <v>153</v>
      </c>
      <c r="L15" s="1001">
        <v>14</v>
      </c>
      <c r="M15" s="510">
        <f t="shared" si="2"/>
        <v>1.471153846153846</v>
      </c>
      <c r="N15" s="618">
        <f t="shared" si="3"/>
        <v>20.596153846153843</v>
      </c>
      <c r="O15" s="1001">
        <v>0</v>
      </c>
      <c r="P15" s="510">
        <f t="shared" si="4"/>
        <v>1.9615384615384615</v>
      </c>
      <c r="Q15" s="503">
        <f t="shared" si="5"/>
        <v>0</v>
      </c>
      <c r="R15" s="1001">
        <v>16</v>
      </c>
      <c r="S15" s="510">
        <f t="shared" si="6"/>
        <v>1.9615384615384615</v>
      </c>
      <c r="T15" s="618">
        <f t="shared" si="7"/>
        <v>31.384615384615383</v>
      </c>
      <c r="U15" s="1001">
        <v>5</v>
      </c>
      <c r="V15" s="510">
        <f t="shared" si="8"/>
        <v>7.8461538461538458</v>
      </c>
      <c r="W15" s="618">
        <f t="shared" si="9"/>
        <v>39.230769230769226</v>
      </c>
      <c r="X15" s="1001">
        <v>0</v>
      </c>
      <c r="Y15" s="618">
        <f>'PP Salary'!T16*PP!X15</f>
        <v>0</v>
      </c>
      <c r="Z15" s="1001">
        <v>2</v>
      </c>
      <c r="AA15" s="510">
        <f t="shared" si="10"/>
        <v>3.9230769230769229</v>
      </c>
      <c r="AB15" s="618">
        <f t="shared" si="11"/>
        <v>7.8461538461538458</v>
      </c>
      <c r="AC15" s="1001">
        <v>0.5</v>
      </c>
      <c r="AD15" s="1467">
        <f t="shared" si="12"/>
        <v>27</v>
      </c>
      <c r="AE15" s="1724">
        <v>0</v>
      </c>
      <c r="AF15" s="1121">
        <v>0</v>
      </c>
      <c r="AG15" s="1412">
        <v>0</v>
      </c>
      <c r="AH15" s="618">
        <v>8.5</v>
      </c>
      <c r="AI15" s="618">
        <v>0</v>
      </c>
      <c r="AJ15" s="618">
        <v>10</v>
      </c>
      <c r="AK15" s="618">
        <v>10</v>
      </c>
      <c r="AL15" s="1325">
        <f t="shared" si="13"/>
        <v>280.55769230769226</v>
      </c>
      <c r="AM15" s="1280">
        <v>0</v>
      </c>
      <c r="AN15" s="1404">
        <v>102</v>
      </c>
      <c r="AO15" s="1096">
        <f>'Tax Calulation          '!P15</f>
        <v>0</v>
      </c>
      <c r="AP15" s="1148">
        <f>'Tax Calulation          '!W15</f>
        <v>5.6111538461538464</v>
      </c>
      <c r="AQ15" s="1686">
        <f t="shared" si="22"/>
        <v>172.94653846153841</v>
      </c>
      <c r="AR15" s="1682">
        <f t="shared" si="23"/>
        <v>294700</v>
      </c>
      <c r="AS15" s="1683">
        <f t="shared" si="24"/>
        <v>100</v>
      </c>
      <c r="AT15" s="502"/>
      <c r="AU15" s="505"/>
      <c r="AV15" s="502">
        <f t="shared" si="14"/>
        <v>1</v>
      </c>
      <c r="AW15" s="502">
        <f t="shared" si="15"/>
        <v>0</v>
      </c>
      <c r="AX15" s="573">
        <f t="shared" si="25"/>
        <v>100</v>
      </c>
      <c r="AY15" s="573">
        <f t="shared" si="16"/>
        <v>5</v>
      </c>
      <c r="AZ15" s="548">
        <f t="shared" si="17"/>
        <v>4</v>
      </c>
      <c r="BA15" s="548">
        <f t="shared" si="18"/>
        <v>0</v>
      </c>
      <c r="BB15" s="548">
        <f t="shared" si="19"/>
        <v>4</v>
      </c>
      <c r="BC15" s="548">
        <f t="shared" si="20"/>
        <v>1</v>
      </c>
      <c r="BD15" s="548">
        <f t="shared" si="21"/>
        <v>2</v>
      </c>
      <c r="BE15" s="549">
        <f t="shared" si="26"/>
        <v>294700</v>
      </c>
      <c r="BG15" s="1821" t="s">
        <v>2243</v>
      </c>
      <c r="BH15" s="628" t="s">
        <v>943</v>
      </c>
      <c r="BI15" s="1757">
        <v>33490</v>
      </c>
      <c r="BJ15" s="1401" t="s">
        <v>2256</v>
      </c>
      <c r="BK15" s="1452" t="s">
        <v>2252</v>
      </c>
    </row>
    <row r="16" spans="1:63" s="755" customFormat="1" ht="60" customHeight="1">
      <c r="A16" s="1369">
        <v>10</v>
      </c>
      <c r="B16" s="1398" t="s">
        <v>2240</v>
      </c>
      <c r="C16" s="1384" t="s">
        <v>2238</v>
      </c>
      <c r="D16" s="1852">
        <v>45495</v>
      </c>
      <c r="E16" s="531" t="s">
        <v>477</v>
      </c>
      <c r="F16" s="617">
        <f>202+2</f>
        <v>204</v>
      </c>
      <c r="G16" s="758">
        <v>0</v>
      </c>
      <c r="H16" s="1001">
        <v>19.5</v>
      </c>
      <c r="I16" s="1408">
        <f t="shared" si="0"/>
        <v>153</v>
      </c>
      <c r="J16" s="1420">
        <v>0</v>
      </c>
      <c r="K16" s="618">
        <f t="shared" si="1"/>
        <v>153</v>
      </c>
      <c r="L16" s="1001">
        <v>10</v>
      </c>
      <c r="M16" s="510">
        <f t="shared" si="2"/>
        <v>1.471153846153846</v>
      </c>
      <c r="N16" s="618">
        <f t="shared" si="3"/>
        <v>14.71153846153846</v>
      </c>
      <c r="O16" s="1001">
        <v>0</v>
      </c>
      <c r="P16" s="510">
        <f t="shared" si="4"/>
        <v>1.9615384615384615</v>
      </c>
      <c r="Q16" s="503">
        <f t="shared" si="5"/>
        <v>0</v>
      </c>
      <c r="R16" s="1001">
        <v>16</v>
      </c>
      <c r="S16" s="510">
        <f t="shared" si="6"/>
        <v>1.9615384615384615</v>
      </c>
      <c r="T16" s="618">
        <f t="shared" si="7"/>
        <v>31.384615384615383</v>
      </c>
      <c r="U16" s="1001">
        <v>5</v>
      </c>
      <c r="V16" s="510">
        <f t="shared" si="8"/>
        <v>7.8461538461538458</v>
      </c>
      <c r="W16" s="618">
        <f t="shared" si="9"/>
        <v>39.230769230769226</v>
      </c>
      <c r="X16" s="1001">
        <v>0</v>
      </c>
      <c r="Y16" s="618">
        <f>'PP Salary'!T17*PP!X16</f>
        <v>0</v>
      </c>
      <c r="Z16" s="1001">
        <v>0</v>
      </c>
      <c r="AA16" s="510">
        <f t="shared" si="10"/>
        <v>3.9230769230769229</v>
      </c>
      <c r="AB16" s="618">
        <f t="shared" si="11"/>
        <v>0</v>
      </c>
      <c r="AC16" s="1001">
        <v>2.5</v>
      </c>
      <c r="AD16" s="1467">
        <f t="shared" si="12"/>
        <v>27</v>
      </c>
      <c r="AE16" s="1724">
        <v>0</v>
      </c>
      <c r="AF16" s="1121">
        <v>0</v>
      </c>
      <c r="AG16" s="1412">
        <v>0</v>
      </c>
      <c r="AH16" s="618">
        <v>2.5</v>
      </c>
      <c r="AI16" s="618">
        <v>0</v>
      </c>
      <c r="AJ16" s="618">
        <v>10</v>
      </c>
      <c r="AK16" s="618">
        <v>10</v>
      </c>
      <c r="AL16" s="1325">
        <f t="shared" si="13"/>
        <v>260.82692307692309</v>
      </c>
      <c r="AM16" s="1280">
        <v>0</v>
      </c>
      <c r="AN16" s="1404">
        <v>102</v>
      </c>
      <c r="AO16" s="1096">
        <f>'Tax Calulation          '!P16</f>
        <v>0</v>
      </c>
      <c r="AP16" s="1148">
        <f>'Tax Calulation          '!W16</f>
        <v>5.2165384615384616</v>
      </c>
      <c r="AQ16" s="1686">
        <f t="shared" si="22"/>
        <v>153.61038461538465</v>
      </c>
      <c r="AR16" s="1682">
        <f t="shared" si="23"/>
        <v>216600</v>
      </c>
      <c r="AS16" s="1683">
        <f t="shared" si="24"/>
        <v>100</v>
      </c>
      <c r="AT16" s="502"/>
      <c r="AU16" s="505"/>
      <c r="AV16" s="502">
        <f t="shared" si="14"/>
        <v>1</v>
      </c>
      <c r="AW16" s="502">
        <f t="shared" si="15"/>
        <v>0</v>
      </c>
      <c r="AX16" s="573">
        <f t="shared" si="25"/>
        <v>100</v>
      </c>
      <c r="AY16" s="573">
        <f t="shared" si="16"/>
        <v>4</v>
      </c>
      <c r="AZ16" s="548">
        <f t="shared" si="17"/>
        <v>1</v>
      </c>
      <c r="BA16" s="548">
        <f t="shared" si="18"/>
        <v>1</v>
      </c>
      <c r="BB16" s="548">
        <f t="shared" si="19"/>
        <v>1</v>
      </c>
      <c r="BC16" s="548">
        <f t="shared" si="20"/>
        <v>1</v>
      </c>
      <c r="BD16" s="548">
        <f t="shared" si="21"/>
        <v>1</v>
      </c>
      <c r="BE16" s="549">
        <f t="shared" si="26"/>
        <v>216600</v>
      </c>
      <c r="BG16" s="1821" t="s">
        <v>2244</v>
      </c>
      <c r="BH16" s="628" t="s">
        <v>943</v>
      </c>
      <c r="BI16" s="1757">
        <v>36458</v>
      </c>
      <c r="BJ16" s="1401" t="s">
        <v>2249</v>
      </c>
      <c r="BK16" s="1452" t="s">
        <v>2253</v>
      </c>
    </row>
    <row r="17" spans="1:63" s="768" customFormat="1" ht="60" customHeight="1">
      <c r="A17" s="1369">
        <v>11</v>
      </c>
      <c r="B17" s="1398" t="s">
        <v>2241</v>
      </c>
      <c r="C17" s="1384" t="s">
        <v>2247</v>
      </c>
      <c r="D17" s="1852">
        <v>45495</v>
      </c>
      <c r="E17" s="787" t="s">
        <v>477</v>
      </c>
      <c r="F17" s="617">
        <f>202+2</f>
        <v>204</v>
      </c>
      <c r="G17" s="758">
        <v>0</v>
      </c>
      <c r="H17" s="1001">
        <v>20</v>
      </c>
      <c r="I17" s="1408">
        <f t="shared" si="0"/>
        <v>156.92307692307691</v>
      </c>
      <c r="J17" s="1420">
        <v>0</v>
      </c>
      <c r="K17" s="618">
        <f t="shared" si="1"/>
        <v>156.92307692307691</v>
      </c>
      <c r="L17" s="1001">
        <v>15</v>
      </c>
      <c r="M17" s="510">
        <f t="shared" si="2"/>
        <v>1.471153846153846</v>
      </c>
      <c r="N17" s="618">
        <f t="shared" si="3"/>
        <v>22.06730769230769</v>
      </c>
      <c r="O17" s="1001">
        <v>0</v>
      </c>
      <c r="P17" s="510">
        <f t="shared" si="4"/>
        <v>1.9615384615384615</v>
      </c>
      <c r="Q17" s="503">
        <f t="shared" si="5"/>
        <v>0</v>
      </c>
      <c r="R17" s="1001">
        <v>16</v>
      </c>
      <c r="S17" s="510">
        <f t="shared" si="6"/>
        <v>1.9615384615384615</v>
      </c>
      <c r="T17" s="618">
        <f t="shared" si="7"/>
        <v>31.384615384615383</v>
      </c>
      <c r="U17" s="1001">
        <v>5</v>
      </c>
      <c r="V17" s="510">
        <f t="shared" si="8"/>
        <v>7.8461538461538458</v>
      </c>
      <c r="W17" s="618">
        <f t="shared" si="9"/>
        <v>39.230769230769226</v>
      </c>
      <c r="X17" s="1001">
        <v>0</v>
      </c>
      <c r="Y17" s="618">
        <f>'PP Salary'!T18*PP!X17</f>
        <v>0</v>
      </c>
      <c r="Z17" s="1001">
        <v>2</v>
      </c>
      <c r="AA17" s="510">
        <f t="shared" si="10"/>
        <v>3.9230769230769229</v>
      </c>
      <c r="AB17" s="618">
        <f t="shared" si="11"/>
        <v>7.8461538461538458</v>
      </c>
      <c r="AC17" s="1001">
        <v>0</v>
      </c>
      <c r="AD17" s="1467">
        <f t="shared" si="12"/>
        <v>27</v>
      </c>
      <c r="AE17" s="1724">
        <v>0</v>
      </c>
      <c r="AF17" s="1121">
        <v>0</v>
      </c>
      <c r="AG17" s="1413">
        <v>0</v>
      </c>
      <c r="AH17" s="618">
        <v>10</v>
      </c>
      <c r="AI17" s="788">
        <v>0</v>
      </c>
      <c r="AJ17" s="618">
        <v>10</v>
      </c>
      <c r="AK17" s="618">
        <v>10</v>
      </c>
      <c r="AL17" s="1325">
        <f t="shared" si="13"/>
        <v>287.45192307692304</v>
      </c>
      <c r="AM17" s="1280">
        <v>0</v>
      </c>
      <c r="AN17" s="1404">
        <v>102</v>
      </c>
      <c r="AO17" s="1096">
        <f>'Tax Calulation          '!P17</f>
        <v>0</v>
      </c>
      <c r="AP17" s="1148">
        <f>'Tax Calulation          '!W17</f>
        <v>5.7490384615384604</v>
      </c>
      <c r="AQ17" s="1686">
        <f t="shared" si="22"/>
        <v>179.70288461538459</v>
      </c>
      <c r="AR17" s="1682">
        <f t="shared" si="23"/>
        <v>322000</v>
      </c>
      <c r="AS17" s="1684">
        <f t="shared" ref="AS17:AS19" si="34">CEILING(AQ17,(100))-100</f>
        <v>100</v>
      </c>
      <c r="AT17" s="612"/>
      <c r="AU17" s="764"/>
      <c r="AV17" s="612">
        <f t="shared" si="14"/>
        <v>1</v>
      </c>
      <c r="AW17" s="612">
        <f t="shared" si="15"/>
        <v>0</v>
      </c>
      <c r="AX17" s="765">
        <f t="shared" ref="AX17:AX19" si="35">AV17*100+AW17*50</f>
        <v>100</v>
      </c>
      <c r="AY17" s="765">
        <f t="shared" si="16"/>
        <v>6</v>
      </c>
      <c r="AZ17" s="766">
        <f t="shared" si="17"/>
        <v>2</v>
      </c>
      <c r="BA17" s="766">
        <f t="shared" si="18"/>
        <v>0</v>
      </c>
      <c r="BB17" s="766">
        <f t="shared" si="19"/>
        <v>2</v>
      </c>
      <c r="BC17" s="766">
        <f t="shared" si="20"/>
        <v>0</v>
      </c>
      <c r="BD17" s="766">
        <f t="shared" si="21"/>
        <v>0</v>
      </c>
      <c r="BE17" s="549">
        <f t="shared" si="26"/>
        <v>322000</v>
      </c>
      <c r="BG17" s="1399" t="s">
        <v>2245</v>
      </c>
      <c r="BH17" s="628" t="s">
        <v>943</v>
      </c>
      <c r="BI17" s="1757">
        <v>29588</v>
      </c>
      <c r="BJ17" s="1401" t="s">
        <v>2250</v>
      </c>
      <c r="BK17" s="1452" t="s">
        <v>2254</v>
      </c>
    </row>
    <row r="18" spans="1:63" s="768" customFormat="1" ht="60" customHeight="1">
      <c r="A18" s="1369">
        <v>12</v>
      </c>
      <c r="B18" s="1398" t="s">
        <v>2242</v>
      </c>
      <c r="C18" s="1384" t="s">
        <v>2248</v>
      </c>
      <c r="D18" s="1852">
        <v>45497</v>
      </c>
      <c r="E18" s="787" t="s">
        <v>477</v>
      </c>
      <c r="F18" s="617">
        <f>202+2</f>
        <v>204</v>
      </c>
      <c r="G18" s="758">
        <v>0</v>
      </c>
      <c r="H18" s="1001">
        <v>19</v>
      </c>
      <c r="I18" s="1408">
        <f t="shared" ref="I18" si="36">F18/26*H18</f>
        <v>149.07692307692307</v>
      </c>
      <c r="J18" s="1420">
        <v>0</v>
      </c>
      <c r="K18" s="618">
        <f t="shared" si="1"/>
        <v>149.07692307692307</v>
      </c>
      <c r="L18" s="1001">
        <v>14</v>
      </c>
      <c r="M18" s="510">
        <f t="shared" ref="M18" si="37">F18/26/8*1.5</f>
        <v>1.471153846153846</v>
      </c>
      <c r="N18" s="618">
        <f t="shared" si="3"/>
        <v>20.596153846153843</v>
      </c>
      <c r="O18" s="1001">
        <v>0</v>
      </c>
      <c r="P18" s="510">
        <f t="shared" ref="P18" si="38">F18/26/8*2</f>
        <v>1.9615384615384615</v>
      </c>
      <c r="Q18" s="503">
        <f t="shared" si="5"/>
        <v>0</v>
      </c>
      <c r="R18" s="1001">
        <v>16</v>
      </c>
      <c r="S18" s="510">
        <f t="shared" ref="S18" si="39">F18/26/8*2</f>
        <v>1.9615384615384615</v>
      </c>
      <c r="T18" s="618">
        <f t="shared" si="7"/>
        <v>31.384615384615383</v>
      </c>
      <c r="U18" s="1001">
        <v>5</v>
      </c>
      <c r="V18" s="510">
        <f t="shared" ref="V18" si="40">F18/26</f>
        <v>7.8461538461538458</v>
      </c>
      <c r="W18" s="618">
        <f t="shared" si="9"/>
        <v>39.230769230769226</v>
      </c>
      <c r="X18" s="1001">
        <v>0</v>
      </c>
      <c r="Y18" s="618">
        <f>'PP Salary'!T19*PP!X18</f>
        <v>0</v>
      </c>
      <c r="Z18" s="1001">
        <v>2</v>
      </c>
      <c r="AA18" s="510">
        <f t="shared" ref="AA18" si="41">F18/26/2</f>
        <v>3.9230769230769229</v>
      </c>
      <c r="AB18" s="618">
        <f t="shared" ref="AB18" si="42">Z18*AA18</f>
        <v>7.8461538461538458</v>
      </c>
      <c r="AC18" s="1001">
        <v>1</v>
      </c>
      <c r="AD18" s="1467">
        <f t="shared" si="12"/>
        <v>27</v>
      </c>
      <c r="AE18" s="1724">
        <v>0</v>
      </c>
      <c r="AF18" s="1121">
        <v>0</v>
      </c>
      <c r="AG18" s="1413">
        <v>0</v>
      </c>
      <c r="AH18" s="618">
        <v>7</v>
      </c>
      <c r="AI18" s="788">
        <v>0</v>
      </c>
      <c r="AJ18" s="618">
        <v>10</v>
      </c>
      <c r="AK18" s="618">
        <v>10</v>
      </c>
      <c r="AL18" s="1325">
        <f t="shared" si="13"/>
        <v>275.13461538461536</v>
      </c>
      <c r="AM18" s="1280">
        <v>0</v>
      </c>
      <c r="AN18" s="1404">
        <v>102</v>
      </c>
      <c r="AO18" s="1096">
        <f>'Tax Calulation          '!P18</f>
        <v>0</v>
      </c>
      <c r="AP18" s="1148">
        <f>'Tax Calulation          '!W18</f>
        <v>5.5026923076923069</v>
      </c>
      <c r="AQ18" s="1686">
        <f t="shared" si="22"/>
        <v>167.63192307692304</v>
      </c>
      <c r="AR18" s="1682">
        <f t="shared" si="23"/>
        <v>273200</v>
      </c>
      <c r="AS18" s="1684">
        <f t="shared" ref="AS18" si="43">CEILING(AQ18,(100))-100</f>
        <v>100</v>
      </c>
      <c r="AT18" s="612"/>
      <c r="AU18" s="764"/>
      <c r="AV18" s="612">
        <f t="shared" ref="AV18" si="44">INT(AS18/100)</f>
        <v>1</v>
      </c>
      <c r="AW18" s="612">
        <f t="shared" ref="AW18" si="45">INT((AS18-AV18*100)/50)</f>
        <v>0</v>
      </c>
      <c r="AX18" s="765">
        <f t="shared" ref="AX18" si="46">AV18*100+AW18*50</f>
        <v>100</v>
      </c>
      <c r="AY18" s="765">
        <f t="shared" ref="AY18" si="47">INT((AR18/50000))</f>
        <v>5</v>
      </c>
      <c r="AZ18" s="766">
        <f t="shared" ref="AZ18" si="48">INT((AR18-AY18*50000)/10000)</f>
        <v>2</v>
      </c>
      <c r="BA18" s="766">
        <f t="shared" ref="BA18" si="49">INT((AR18-AY18*50000-AZ18*10000)/5000)</f>
        <v>0</v>
      </c>
      <c r="BB18" s="766">
        <f t="shared" ref="BB18" si="50">INT((AR18-AY18*50000-AZ18*10000-BA18*5000)/1000)</f>
        <v>3</v>
      </c>
      <c r="BC18" s="766">
        <f t="shared" ref="BC18" si="51">INT((AR18-AY18*50000-AZ18*10000-BA18*5000-BB18*1000)/500)</f>
        <v>0</v>
      </c>
      <c r="BD18" s="766">
        <f t="shared" ref="BD18" si="52">INT((AR18-AY18*50000-AZ18*10000-BA18*5000-BB18*1000-BC18*500)/100)</f>
        <v>2</v>
      </c>
      <c r="BE18" s="549">
        <f t="shared" ref="BE18" si="53">AY18*50000+AZ18*10000+BA18*5000+BB18*1000+BC18*500+BD18*100</f>
        <v>273200</v>
      </c>
      <c r="BG18" s="1821" t="s">
        <v>2246</v>
      </c>
      <c r="BH18" s="628" t="s">
        <v>943</v>
      </c>
      <c r="BI18" s="1757">
        <v>30942</v>
      </c>
      <c r="BJ18" s="1401" t="s">
        <v>2251</v>
      </c>
      <c r="BK18" s="1452" t="s">
        <v>2255</v>
      </c>
    </row>
    <row r="19" spans="1:63" s="768" customFormat="1" ht="60" customHeight="1">
      <c r="A19" s="1369">
        <v>13</v>
      </c>
      <c r="B19" s="1398" t="s">
        <v>2336</v>
      </c>
      <c r="C19" s="1384" t="s">
        <v>2337</v>
      </c>
      <c r="D19" s="1852">
        <v>45549</v>
      </c>
      <c r="E19" s="787" t="s">
        <v>477</v>
      </c>
      <c r="F19" s="617">
        <v>202</v>
      </c>
      <c r="G19" s="758">
        <v>0</v>
      </c>
      <c r="H19" s="1001">
        <v>19.5</v>
      </c>
      <c r="I19" s="1408">
        <f t="shared" si="0"/>
        <v>151.5</v>
      </c>
      <c r="J19" s="1420">
        <v>0</v>
      </c>
      <c r="K19" s="618">
        <f t="shared" si="1"/>
        <v>151.5</v>
      </c>
      <c r="L19" s="1001">
        <v>15</v>
      </c>
      <c r="M19" s="510">
        <f t="shared" si="2"/>
        <v>1.4567307692307692</v>
      </c>
      <c r="N19" s="618">
        <f t="shared" si="3"/>
        <v>21.850961538461537</v>
      </c>
      <c r="O19" s="1001">
        <v>0</v>
      </c>
      <c r="P19" s="510">
        <f t="shared" si="4"/>
        <v>1.9423076923076923</v>
      </c>
      <c r="Q19" s="503">
        <f t="shared" ref="Q19" si="54">O19*P19</f>
        <v>0</v>
      </c>
      <c r="R19" s="1001">
        <v>16</v>
      </c>
      <c r="S19" s="510">
        <f t="shared" si="6"/>
        <v>1.9423076923076923</v>
      </c>
      <c r="T19" s="618">
        <f t="shared" si="7"/>
        <v>31.076923076923077</v>
      </c>
      <c r="U19" s="1001">
        <v>5</v>
      </c>
      <c r="V19" s="510">
        <f t="shared" si="8"/>
        <v>7.7692307692307692</v>
      </c>
      <c r="W19" s="618">
        <f t="shared" si="9"/>
        <v>38.846153846153847</v>
      </c>
      <c r="X19" s="1001">
        <v>0.5</v>
      </c>
      <c r="Y19" s="618">
        <f>'PP Salary'!T20*PP!X19</f>
        <v>2.0981888218407643</v>
      </c>
      <c r="Z19" s="1001">
        <v>2</v>
      </c>
      <c r="AA19" s="510">
        <f t="shared" si="10"/>
        <v>3.8846153846153846</v>
      </c>
      <c r="AB19" s="618">
        <f t="shared" si="11"/>
        <v>7.7692307692307692</v>
      </c>
      <c r="AC19" s="1001">
        <v>0</v>
      </c>
      <c r="AD19" s="1468">
        <f t="shared" si="12"/>
        <v>27</v>
      </c>
      <c r="AE19" s="1724">
        <f>(109.11+5.82+283.14)*0.05</f>
        <v>19.903500000000001</v>
      </c>
      <c r="AF19" s="1121">
        <v>0</v>
      </c>
      <c r="AG19" s="1413">
        <v>0</v>
      </c>
      <c r="AH19" s="618">
        <v>10</v>
      </c>
      <c r="AI19" s="788">
        <v>0</v>
      </c>
      <c r="AJ19" s="618">
        <v>10</v>
      </c>
      <c r="AK19" s="618">
        <v>10</v>
      </c>
      <c r="AL19" s="1325">
        <f t="shared" si="13"/>
        <v>303.04495805261001</v>
      </c>
      <c r="AM19" s="1280">
        <v>0</v>
      </c>
      <c r="AN19" s="1404">
        <v>102</v>
      </c>
      <c r="AO19" s="1096">
        <f>'Tax Calulation          '!P19</f>
        <v>0</v>
      </c>
      <c r="AP19" s="1148">
        <f>'Tax Calulation          '!W19</f>
        <v>5.9084194977843429</v>
      </c>
      <c r="AQ19" s="1686">
        <f t="shared" si="22"/>
        <v>195.13653855482568</v>
      </c>
      <c r="AR19" s="1682">
        <f t="shared" si="23"/>
        <v>384400</v>
      </c>
      <c r="AS19" s="1684">
        <f t="shared" si="34"/>
        <v>100</v>
      </c>
      <c r="AT19" s="612"/>
      <c r="AU19" s="764"/>
      <c r="AV19" s="612">
        <f t="shared" si="14"/>
        <v>1</v>
      </c>
      <c r="AW19" s="612">
        <f t="shared" si="15"/>
        <v>0</v>
      </c>
      <c r="AX19" s="765">
        <f t="shared" si="35"/>
        <v>100</v>
      </c>
      <c r="AY19" s="765">
        <f t="shared" si="16"/>
        <v>7</v>
      </c>
      <c r="AZ19" s="766">
        <f t="shared" si="17"/>
        <v>3</v>
      </c>
      <c r="BA19" s="766">
        <f t="shared" si="18"/>
        <v>0</v>
      </c>
      <c r="BB19" s="766">
        <f t="shared" si="19"/>
        <v>4</v>
      </c>
      <c r="BC19" s="766">
        <f t="shared" si="20"/>
        <v>0</v>
      </c>
      <c r="BD19" s="766">
        <f t="shared" si="21"/>
        <v>4</v>
      </c>
      <c r="BE19" s="549">
        <f t="shared" si="26"/>
        <v>384400</v>
      </c>
      <c r="BG19" s="1766" t="s">
        <v>2340</v>
      </c>
      <c r="BH19" s="628" t="s">
        <v>943</v>
      </c>
      <c r="BI19" s="1767">
        <v>30441</v>
      </c>
      <c r="BJ19" s="1768" t="s">
        <v>2338</v>
      </c>
      <c r="BK19" s="1765" t="s">
        <v>2339</v>
      </c>
    </row>
    <row r="20" spans="1:63" ht="60" customHeight="1">
      <c r="A20" s="2081" t="s">
        <v>214</v>
      </c>
      <c r="B20" s="2082"/>
      <c r="C20" s="2082"/>
      <c r="D20" s="536"/>
      <c r="E20" s="536"/>
      <c r="F20" s="536"/>
      <c r="G20" s="536"/>
      <c r="H20" s="536"/>
      <c r="I20" s="536"/>
      <c r="J20" s="536"/>
      <c r="K20" s="536"/>
      <c r="L20" s="536"/>
      <c r="M20" s="536"/>
      <c r="N20" s="536"/>
      <c r="O20" s="536"/>
      <c r="P20" s="536"/>
      <c r="Q20" s="536"/>
      <c r="R20" s="536"/>
      <c r="S20" s="536"/>
      <c r="T20" s="536"/>
      <c r="U20" s="536"/>
      <c r="V20" s="536"/>
      <c r="W20" s="536"/>
      <c r="X20" s="536"/>
      <c r="Y20" s="950">
        <f>SUM(Y7:Y19)</f>
        <v>28.240982374148523</v>
      </c>
      <c r="Z20" s="536"/>
      <c r="AA20" s="536"/>
      <c r="AB20" s="536"/>
      <c r="AC20" s="536"/>
      <c r="AD20" s="536"/>
      <c r="AE20" s="558">
        <f>SUM(AE7:AE19)</f>
        <v>19.903500000000001</v>
      </c>
      <c r="AF20" s="1114">
        <f>SUM(AF7:AF19)</f>
        <v>0</v>
      </c>
      <c r="AG20" s="536"/>
      <c r="AH20" s="536"/>
      <c r="AI20" s="536"/>
      <c r="AJ20" s="558">
        <f>SUM(AJ7:AJ19)</f>
        <v>130</v>
      </c>
      <c r="AK20" s="558">
        <f>SUM(AK7:AK19)</f>
        <v>130</v>
      </c>
      <c r="AL20" s="623">
        <f>SUM(AL7:AL19)</f>
        <v>3931.969001604918</v>
      </c>
      <c r="AM20" s="1276">
        <f t="shared" ref="AM20:AS20" si="55">SUM(AM7:AM19)</f>
        <v>3</v>
      </c>
      <c r="AN20" s="809">
        <f>SUM(AN7:AN19)</f>
        <v>1326</v>
      </c>
      <c r="AO20" s="618">
        <f t="shared" si="55"/>
        <v>0.17602385382343119</v>
      </c>
      <c r="AP20" s="618">
        <f t="shared" si="55"/>
        <v>72.551580098774878</v>
      </c>
      <c r="AQ20" s="1620">
        <f t="shared" si="55"/>
        <v>2530.2413976523194</v>
      </c>
      <c r="AR20" s="1612">
        <f t="shared" si="55"/>
        <v>2950300</v>
      </c>
      <c r="AS20" s="1613">
        <f t="shared" si="55"/>
        <v>1800</v>
      </c>
      <c r="AT20" s="635"/>
      <c r="AU20" s="601"/>
      <c r="AV20" s="573">
        <f t="shared" ref="AV20:BE20" si="56">SUM(AV7:AV19)</f>
        <v>18</v>
      </c>
      <c r="AW20" s="573">
        <f t="shared" si="56"/>
        <v>0</v>
      </c>
      <c r="AX20" s="507">
        <f t="shared" si="56"/>
        <v>1800</v>
      </c>
      <c r="AY20" s="573">
        <f t="shared" si="56"/>
        <v>52</v>
      </c>
      <c r="AZ20" s="573">
        <f t="shared" si="56"/>
        <v>29</v>
      </c>
      <c r="BA20" s="573">
        <f t="shared" si="56"/>
        <v>5</v>
      </c>
      <c r="BB20" s="573">
        <f t="shared" si="56"/>
        <v>29</v>
      </c>
      <c r="BC20" s="573">
        <f t="shared" si="56"/>
        <v>8</v>
      </c>
      <c r="BD20" s="573">
        <f t="shared" si="56"/>
        <v>23</v>
      </c>
      <c r="BE20" s="579">
        <f t="shared" si="56"/>
        <v>2950300</v>
      </c>
    </row>
    <row r="21" spans="1:63">
      <c r="A21" s="552"/>
      <c r="B21" s="552"/>
      <c r="C21" s="508"/>
      <c r="D21" s="508"/>
      <c r="E21" s="552"/>
      <c r="F21" s="554"/>
      <c r="G21" s="552"/>
      <c r="H21" s="552"/>
      <c r="I21" s="552"/>
      <c r="J21" s="552"/>
      <c r="K21" s="552"/>
      <c r="L21" s="552"/>
      <c r="M21" s="552"/>
      <c r="N21" s="552"/>
      <c r="O21" s="552"/>
      <c r="P21" s="552"/>
      <c r="Q21" s="552"/>
      <c r="R21" s="552"/>
      <c r="S21" s="552"/>
      <c r="T21" s="552"/>
      <c r="U21" s="552"/>
      <c r="V21" s="552"/>
      <c r="W21" s="552"/>
      <c r="X21" s="552"/>
      <c r="Y21" s="552"/>
      <c r="Z21" s="552"/>
      <c r="AA21" s="552"/>
      <c r="AB21" s="552"/>
      <c r="AC21" s="552"/>
      <c r="AD21" s="552"/>
      <c r="AE21" s="552"/>
      <c r="AF21" s="552"/>
      <c r="AG21" s="552"/>
      <c r="AH21" s="552"/>
      <c r="AI21" s="552"/>
      <c r="AJ21" s="552"/>
      <c r="AK21" s="552"/>
      <c r="AL21" s="552"/>
      <c r="AM21" s="552"/>
      <c r="AN21" s="552"/>
      <c r="AO21" s="552"/>
      <c r="AP21" s="552"/>
      <c r="AQ21" s="552"/>
      <c r="AR21" s="552"/>
      <c r="AS21" s="552"/>
      <c r="AT21" s="552"/>
      <c r="AU21" s="602"/>
      <c r="AV21" s="552"/>
      <c r="AW21" s="552"/>
      <c r="AX21" s="552"/>
      <c r="AY21" s="552"/>
      <c r="AZ21" s="552"/>
    </row>
    <row r="22" spans="1:63" s="1355" customFormat="1" ht="27" customHeight="1">
      <c r="A22" s="1355" t="s">
        <v>213</v>
      </c>
      <c r="F22" s="1359"/>
      <c r="M22" s="1355" t="s">
        <v>2168</v>
      </c>
      <c r="AG22" s="1357" t="s">
        <v>445</v>
      </c>
      <c r="AS22" s="1355" t="s">
        <v>212</v>
      </c>
      <c r="AU22" s="1368"/>
    </row>
    <row r="23" spans="1:63">
      <c r="A23" s="552"/>
      <c r="B23" s="552"/>
      <c r="C23" s="508"/>
      <c r="D23" s="508"/>
      <c r="E23" s="552"/>
      <c r="F23" s="554"/>
      <c r="G23" s="552"/>
      <c r="H23" s="552"/>
      <c r="I23" s="552"/>
      <c r="J23" s="552"/>
      <c r="K23" s="552"/>
      <c r="L23" s="552"/>
      <c r="M23" s="552"/>
      <c r="N23" s="552"/>
      <c r="O23" s="552"/>
      <c r="P23" s="552"/>
      <c r="Q23" s="552"/>
      <c r="R23" s="552"/>
      <c r="S23" s="552"/>
      <c r="T23" s="552"/>
      <c r="U23" s="552"/>
      <c r="V23" s="552"/>
      <c r="W23" s="552"/>
      <c r="X23" s="552"/>
      <c r="Y23" s="552"/>
      <c r="Z23" s="552"/>
      <c r="AA23" s="552"/>
      <c r="AB23" s="552"/>
      <c r="AC23" s="552"/>
      <c r="AD23" s="552"/>
      <c r="AE23" s="552"/>
      <c r="AF23" s="552"/>
      <c r="AG23" s="552"/>
      <c r="AH23" s="552"/>
      <c r="AI23" s="552"/>
      <c r="AJ23" s="552"/>
      <c r="AK23" s="552"/>
      <c r="AL23" s="552"/>
      <c r="AM23" s="552"/>
      <c r="AN23" s="552"/>
      <c r="AO23" s="552"/>
      <c r="AP23" s="552"/>
      <c r="AQ23" s="552"/>
      <c r="AR23" s="552"/>
      <c r="AS23" s="552"/>
      <c r="AT23" s="552"/>
      <c r="AU23" s="602"/>
      <c r="AV23" s="552"/>
      <c r="AW23" s="552"/>
      <c r="AX23" s="552"/>
      <c r="AY23" s="552"/>
      <c r="AZ23" s="552"/>
    </row>
    <row r="25" spans="1:63" ht="25.5" customHeight="1"/>
    <row r="26" spans="1:63" ht="25.5" customHeight="1"/>
    <row r="27" spans="1:63" ht="25.5" customHeight="1"/>
  </sheetData>
  <mergeCells count="33">
    <mergeCell ref="BH5:BH6"/>
    <mergeCell ref="BI5:BI6"/>
    <mergeCell ref="BJ5:BJ6"/>
    <mergeCell ref="BK5:BK6"/>
    <mergeCell ref="A20:C20"/>
    <mergeCell ref="Z5:AB5"/>
    <mergeCell ref="AC5:AC6"/>
    <mergeCell ref="AE5:AE6"/>
    <mergeCell ref="AG5:AG6"/>
    <mergeCell ref="H5:K5"/>
    <mergeCell ref="L5:N5"/>
    <mergeCell ref="O5:Q5"/>
    <mergeCell ref="R5:T5"/>
    <mergeCell ref="U5:W5"/>
    <mergeCell ref="X5:Y5"/>
    <mergeCell ref="AI5:AI6"/>
    <mergeCell ref="A1:AT1"/>
    <mergeCell ref="A2:AT2"/>
    <mergeCell ref="AV4:BE4"/>
    <mergeCell ref="C4:F4"/>
    <mergeCell ref="A3:AS3"/>
    <mergeCell ref="AH5:AH6"/>
    <mergeCell ref="AT5:AT6"/>
    <mergeCell ref="AV5:AX5"/>
    <mergeCell ref="BA5:BE5"/>
    <mergeCell ref="AJ5:AJ6"/>
    <mergeCell ref="AK5:AK6"/>
    <mergeCell ref="AL5:AL6"/>
    <mergeCell ref="AM5:AM6"/>
    <mergeCell ref="AO5:AO6"/>
    <mergeCell ref="AQ5:AS5"/>
    <mergeCell ref="AN5:AN6"/>
    <mergeCell ref="AP5:AP6"/>
  </mergeCells>
  <phoneticPr fontId="171" type="noConversion"/>
  <dataValidations count="1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BK14">
      <formula1>9</formula1>
    </dataValidation>
  </dataValidations>
  <pageMargins left="0" right="0" top="0" bottom="0" header="0" footer="0"/>
  <pageSetup paperSize="9" scale="36" orientation="landscape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21"/>
  <sheetViews>
    <sheetView workbookViewId="0">
      <pane xSplit="4" ySplit="6" topLeftCell="U7" activePane="bottomRight" state="frozen"/>
      <selection pane="topRight" activeCell="E1" sqref="E1"/>
      <selection pane="bottomLeft" activeCell="A7" sqref="A7"/>
      <selection pane="bottomRight" activeCell="W7" sqref="W7:W19"/>
    </sheetView>
  </sheetViews>
  <sheetFormatPr defaultRowHeight="15.75"/>
  <cols>
    <col min="1" max="1" width="4.25" style="474" customWidth="1"/>
    <col min="2" max="2" width="8.625" style="474" customWidth="1"/>
    <col min="3" max="3" width="11.625" style="476" customWidth="1"/>
    <col min="4" max="4" width="9.625" style="475" customWidth="1"/>
    <col min="5" max="5" width="6.375" style="500" customWidth="1"/>
    <col min="6" max="6" width="13.125" style="474" customWidth="1"/>
    <col min="7" max="7" width="9.125" style="474" bestFit="1" customWidth="1"/>
    <col min="8" max="8" width="13.75" style="474" bestFit="1" customWidth="1"/>
    <col min="9" max="10" width="7.375" style="474" customWidth="1"/>
    <col min="11" max="11" width="9" style="474"/>
    <col min="12" max="12" width="10.875" style="474" customWidth="1"/>
    <col min="13" max="13" width="9" style="474"/>
    <col min="14" max="14" width="11.875" style="474" customWidth="1"/>
    <col min="15" max="15" width="12.125" style="474" customWidth="1"/>
    <col min="16" max="16" width="15.125" style="474" customWidth="1"/>
    <col min="17" max="17" width="9" style="474"/>
    <col min="18" max="19" width="14.625" style="474" customWidth="1"/>
    <col min="20" max="20" width="12" style="474" customWidth="1"/>
    <col min="21" max="21" width="11.875" style="474" customWidth="1"/>
    <col min="22" max="23" width="14.625" style="474" customWidth="1"/>
    <col min="24" max="16384" width="9" style="474"/>
  </cols>
  <sheetData>
    <row r="1" spans="1:39" s="479" customFormat="1" ht="29.25" customHeight="1">
      <c r="A1" s="2127" t="s">
        <v>222</v>
      </c>
      <c r="B1" s="2127"/>
      <c r="C1" s="2127"/>
      <c r="D1" s="2127"/>
      <c r="E1" s="2127"/>
      <c r="F1" s="2127"/>
      <c r="G1" s="2127"/>
      <c r="H1" s="2127"/>
      <c r="I1" s="2127"/>
      <c r="J1" s="2127"/>
      <c r="K1" s="2127"/>
      <c r="L1" s="2127"/>
      <c r="M1" s="2127"/>
      <c r="N1" s="2127"/>
      <c r="O1" s="2127"/>
      <c r="P1" s="2127"/>
      <c r="R1" s="2169" t="s">
        <v>222</v>
      </c>
      <c r="S1" s="2169"/>
      <c r="T1" s="2169"/>
      <c r="U1" s="2169"/>
      <c r="V1" s="2169"/>
      <c r="W1" s="2169"/>
    </row>
    <row r="2" spans="1:39" s="479" customFormat="1" ht="20.25" customHeight="1">
      <c r="A2" s="2127" t="s">
        <v>221</v>
      </c>
      <c r="B2" s="2127"/>
      <c r="C2" s="2127"/>
      <c r="D2" s="2127"/>
      <c r="E2" s="2127"/>
      <c r="F2" s="2127"/>
      <c r="G2" s="2127"/>
      <c r="H2" s="2127"/>
      <c r="I2" s="2127"/>
      <c r="J2" s="2127"/>
      <c r="K2" s="2127"/>
      <c r="L2" s="2127"/>
      <c r="M2" s="2127"/>
      <c r="N2" s="2127"/>
      <c r="O2" s="2127"/>
      <c r="P2" s="2127"/>
      <c r="R2" s="2126" t="s">
        <v>1807</v>
      </c>
      <c r="S2" s="2126"/>
      <c r="T2" s="2126"/>
      <c r="U2" s="2126"/>
      <c r="V2" s="2126"/>
      <c r="W2" s="2126"/>
    </row>
    <row r="3" spans="1:39" s="479" customFormat="1" ht="19.5" customHeight="1">
      <c r="A3" s="2126" t="s">
        <v>2354</v>
      </c>
      <c r="B3" s="2126"/>
      <c r="C3" s="2126"/>
      <c r="D3" s="2126"/>
      <c r="E3" s="2126"/>
      <c r="F3" s="2126"/>
      <c r="G3" s="2126"/>
      <c r="H3" s="2126"/>
      <c r="I3" s="2126"/>
      <c r="J3" s="2126"/>
      <c r="K3" s="2126"/>
      <c r="L3" s="2126"/>
      <c r="M3" s="2126"/>
      <c r="N3" s="2126"/>
      <c r="O3" s="2126"/>
      <c r="P3" s="2126"/>
      <c r="R3" s="2126" t="s">
        <v>2353</v>
      </c>
      <c r="S3" s="2126"/>
      <c r="T3" s="2126"/>
      <c r="U3" s="2126"/>
      <c r="V3" s="2126"/>
      <c r="W3" s="2126"/>
    </row>
    <row r="4" spans="1:39" s="479" customFormat="1" ht="20.25" customHeight="1" thickBot="1">
      <c r="A4" s="2128" t="s">
        <v>360</v>
      </c>
      <c r="B4" s="2128"/>
      <c r="C4" s="2128"/>
      <c r="D4" s="2128"/>
      <c r="E4" s="2128"/>
    </row>
    <row r="5" spans="1:39" s="473" customFormat="1" ht="63" customHeight="1" thickTop="1">
      <c r="A5" s="482" t="s">
        <v>223</v>
      </c>
      <c r="B5" s="482" t="s">
        <v>224</v>
      </c>
      <c r="C5" s="482" t="s">
        <v>225</v>
      </c>
      <c r="D5" s="482" t="s">
        <v>226</v>
      </c>
      <c r="E5" s="498" t="s">
        <v>227</v>
      </c>
      <c r="F5" s="482" t="s">
        <v>228</v>
      </c>
      <c r="G5" s="482" t="s">
        <v>229</v>
      </c>
      <c r="H5" s="482" t="s">
        <v>230</v>
      </c>
      <c r="I5" s="482" t="s">
        <v>231</v>
      </c>
      <c r="J5" s="482" t="s">
        <v>232</v>
      </c>
      <c r="K5" s="482" t="s">
        <v>233</v>
      </c>
      <c r="L5" s="482" t="s">
        <v>234</v>
      </c>
      <c r="M5" s="482" t="s">
        <v>235</v>
      </c>
      <c r="N5" s="482" t="s">
        <v>236</v>
      </c>
      <c r="O5" s="482" t="s">
        <v>237</v>
      </c>
      <c r="P5" s="482" t="s">
        <v>238</v>
      </c>
      <c r="Q5" s="483"/>
      <c r="R5" s="1203" t="s">
        <v>1810</v>
      </c>
      <c r="S5" s="1203" t="s">
        <v>1811</v>
      </c>
      <c r="T5" s="498" t="s">
        <v>1812</v>
      </c>
      <c r="U5" s="498" t="s">
        <v>1809</v>
      </c>
      <c r="V5" s="498" t="s">
        <v>1813</v>
      </c>
      <c r="W5" s="498" t="s">
        <v>1814</v>
      </c>
      <c r="X5" s="483"/>
      <c r="Y5" s="483"/>
      <c r="Z5" s="483"/>
      <c r="AA5" s="484"/>
      <c r="AB5" s="484"/>
      <c r="AC5" s="484"/>
      <c r="AD5" s="484"/>
      <c r="AE5" s="484"/>
      <c r="AF5" s="484"/>
      <c r="AG5" s="484"/>
      <c r="AH5" s="484"/>
      <c r="AI5" s="484"/>
      <c r="AJ5" s="484"/>
      <c r="AK5" s="484"/>
      <c r="AL5" s="484"/>
      <c r="AM5" s="484"/>
    </row>
    <row r="6" spans="1:39" s="473" customFormat="1" ht="33" customHeight="1">
      <c r="A6" s="485" t="s">
        <v>111</v>
      </c>
      <c r="B6" s="485" t="s">
        <v>239</v>
      </c>
      <c r="C6" s="485" t="s">
        <v>87</v>
      </c>
      <c r="D6" s="486" t="s">
        <v>240</v>
      </c>
      <c r="E6" s="499" t="s">
        <v>218</v>
      </c>
      <c r="F6" s="492" t="s">
        <v>241</v>
      </c>
      <c r="G6" s="492" t="s">
        <v>242</v>
      </c>
      <c r="H6" s="492" t="s">
        <v>243</v>
      </c>
      <c r="I6" s="492" t="s">
        <v>244</v>
      </c>
      <c r="J6" s="493" t="s">
        <v>245</v>
      </c>
      <c r="K6" s="492" t="s">
        <v>246</v>
      </c>
      <c r="L6" s="493" t="s">
        <v>247</v>
      </c>
      <c r="M6" s="492" t="s">
        <v>248</v>
      </c>
      <c r="N6" s="492"/>
      <c r="O6" s="492" t="s">
        <v>249</v>
      </c>
      <c r="P6" s="492" t="s">
        <v>250</v>
      </c>
      <c r="Q6" s="487"/>
      <c r="R6" s="1154"/>
      <c r="S6" s="1169"/>
      <c r="T6" s="1169"/>
      <c r="U6" s="488">
        <v>4062</v>
      </c>
      <c r="V6" s="1183">
        <v>0.02</v>
      </c>
      <c r="W6" s="488">
        <v>4062</v>
      </c>
      <c r="X6" s="487"/>
      <c r="Y6" s="487"/>
      <c r="Z6" s="487"/>
      <c r="AA6" s="481"/>
      <c r="AB6" s="481"/>
      <c r="AC6" s="481"/>
      <c r="AD6" s="481"/>
      <c r="AE6" s="481"/>
      <c r="AF6" s="481"/>
      <c r="AG6" s="484"/>
      <c r="AH6" s="484"/>
      <c r="AI6" s="484"/>
      <c r="AJ6" s="484"/>
      <c r="AK6" s="484"/>
      <c r="AL6" s="484"/>
      <c r="AM6" s="484"/>
    </row>
    <row r="7" spans="1:39" s="477" customFormat="1" ht="31.5" customHeight="1">
      <c r="A7" s="478">
        <v>1</v>
      </c>
      <c r="B7" s="518" t="s">
        <v>361</v>
      </c>
      <c r="C7" s="578" t="s">
        <v>514</v>
      </c>
      <c r="D7" s="1474">
        <v>41682</v>
      </c>
      <c r="E7" s="531" t="s">
        <v>477</v>
      </c>
      <c r="F7" s="522">
        <f>PP!AL7-PP!AE7-PP!AJ7-PP!AK7-PP!AF7-W7</f>
        <v>483.57956127144644</v>
      </c>
      <c r="G7" s="495">
        <v>4062</v>
      </c>
      <c r="H7" s="488">
        <f t="shared" ref="H7:H19" si="0">F7*G7</f>
        <v>1964300.1778846155</v>
      </c>
      <c r="I7" s="480">
        <v>1</v>
      </c>
      <c r="J7" s="524">
        <v>2</v>
      </c>
      <c r="K7" s="488">
        <f t="shared" ref="K7:K19" si="1">150000*(J7+I7)</f>
        <v>450000</v>
      </c>
      <c r="L7" s="488">
        <f t="shared" ref="L7:L19" si="2">H7-K7</f>
        <v>1514300.1778846155</v>
      </c>
      <c r="M7" s="489">
        <f>IF(L7&gt;=12500000,20%,IF(L7&gt;=8500001,15%,IF(L7&gt;=2000001,10%,IF(L7&gt;=1500001,5%,0%))))</f>
        <v>0.05</v>
      </c>
      <c r="N7" s="488">
        <f>IF(M7=5%,75000,IF(M7=10%,175000,0))</f>
        <v>75000</v>
      </c>
      <c r="O7" s="490">
        <f t="shared" ref="O7:O19" si="3">L7*M7-N7</f>
        <v>715.00889423077751</v>
      </c>
      <c r="P7" s="491">
        <f>O7/4062</f>
        <v>0.17602385382343119</v>
      </c>
      <c r="R7" s="1186">
        <v>29297</v>
      </c>
      <c r="S7" s="1170">
        <v>44835</v>
      </c>
      <c r="T7" s="1174">
        <f>PP!AL7-PP!AF7</f>
        <v>509.48798076923077</v>
      </c>
      <c r="U7" s="1176">
        <f>T7*4062</f>
        <v>2069540.1778846155</v>
      </c>
      <c r="V7" s="1206">
        <f>IF(YEARFRAC(R7,S7)&gt;=60,"0",IF(U7&lt;400000,400000*2%,IF(U7&gt;1200000,1200000*2%,U7*2%)))</f>
        <v>24000</v>
      </c>
      <c r="W7" s="1194">
        <f>V7/4062</f>
        <v>5.9084194977843429</v>
      </c>
    </row>
    <row r="8" spans="1:39" s="477" customFormat="1" ht="31.5" customHeight="1">
      <c r="A8" s="478">
        <v>2</v>
      </c>
      <c r="B8" s="518" t="s">
        <v>522</v>
      </c>
      <c r="C8" s="578" t="s">
        <v>362</v>
      </c>
      <c r="D8" s="1474">
        <v>41792</v>
      </c>
      <c r="E8" s="531" t="s">
        <v>477</v>
      </c>
      <c r="F8" s="522">
        <f>PP!AL8-PP!AE8-PP!AJ8-PP!AK8-PP!AF8-W8</f>
        <v>190.92615384615385</v>
      </c>
      <c r="G8" s="495">
        <v>4062</v>
      </c>
      <c r="H8" s="488">
        <f t="shared" si="0"/>
        <v>775542.03692307696</v>
      </c>
      <c r="I8" s="480">
        <v>1</v>
      </c>
      <c r="J8" s="524">
        <v>2</v>
      </c>
      <c r="K8" s="488">
        <f t="shared" si="1"/>
        <v>450000</v>
      </c>
      <c r="L8" s="488">
        <f t="shared" si="2"/>
        <v>325542.03692307696</v>
      </c>
      <c r="M8" s="489">
        <f t="shared" ref="M8:M19" si="4">IF(L8&gt;=12500000,20%,IF(L8&gt;=8500001,15%,IF(L8&gt;=2000001,10%,IF(L8&gt;=1500001,5%,0%))))</f>
        <v>0</v>
      </c>
      <c r="N8" s="488">
        <f t="shared" ref="N8:N19" si="5">IF(M8=5%,75000,IF(M8=10%,175000,0))</f>
        <v>0</v>
      </c>
      <c r="O8" s="490">
        <f t="shared" si="3"/>
        <v>0</v>
      </c>
      <c r="P8" s="491">
        <f t="shared" ref="P8:P19" si="6">O8/4062</f>
        <v>0</v>
      </c>
      <c r="R8" s="1186">
        <v>28865</v>
      </c>
      <c r="S8" s="1170">
        <v>44835</v>
      </c>
      <c r="T8" s="1174">
        <f>PP!AL8-PP!AF8</f>
        <v>215.23076923076923</v>
      </c>
      <c r="U8" s="1176">
        <f t="shared" ref="U8:U19" si="7">T8*4062</f>
        <v>874267.38461538462</v>
      </c>
      <c r="V8" s="1206">
        <f t="shared" ref="V8:V19" si="8">IF(YEARFRAC(R8,S8)&gt;=60,"0",IF(U8&lt;400000,400000*2%,IF(U8&gt;1200000,1200000*2%,U8*2%)))</f>
        <v>17485.347692307692</v>
      </c>
      <c r="W8" s="1194">
        <f t="shared" ref="W8:W19" si="9">V8/4062</f>
        <v>4.304615384615385</v>
      </c>
    </row>
    <row r="9" spans="1:39" s="477" customFormat="1" ht="31.5" customHeight="1">
      <c r="A9" s="478">
        <v>3</v>
      </c>
      <c r="B9" s="518" t="s">
        <v>523</v>
      </c>
      <c r="C9" s="588" t="s">
        <v>363</v>
      </c>
      <c r="D9" s="1474">
        <v>42480</v>
      </c>
      <c r="E9" s="531" t="s">
        <v>477</v>
      </c>
      <c r="F9" s="522">
        <f>PP!AL9-PP!AE9-PP!AJ9-PP!AK9-PP!AF9-W9</f>
        <v>301.35119588683108</v>
      </c>
      <c r="G9" s="495">
        <v>4062</v>
      </c>
      <c r="H9" s="488">
        <f t="shared" si="0"/>
        <v>1224088.5576923077</v>
      </c>
      <c r="I9" s="480">
        <v>1</v>
      </c>
      <c r="J9" s="524">
        <v>3</v>
      </c>
      <c r="K9" s="488">
        <f t="shared" si="1"/>
        <v>600000</v>
      </c>
      <c r="L9" s="488">
        <f t="shared" si="2"/>
        <v>624088.55769230775</v>
      </c>
      <c r="M9" s="489">
        <f t="shared" si="4"/>
        <v>0</v>
      </c>
      <c r="N9" s="488">
        <f t="shared" si="5"/>
        <v>0</v>
      </c>
      <c r="O9" s="490">
        <f t="shared" si="3"/>
        <v>0</v>
      </c>
      <c r="P9" s="491">
        <f t="shared" si="6"/>
        <v>0</v>
      </c>
      <c r="R9" s="1186">
        <v>30324</v>
      </c>
      <c r="S9" s="1170">
        <v>44835</v>
      </c>
      <c r="T9" s="1174">
        <f>PP!AL9-PP!AF9</f>
        <v>327.25961538461542</v>
      </c>
      <c r="U9" s="1176">
        <f t="shared" si="7"/>
        <v>1329328.5576923077</v>
      </c>
      <c r="V9" s="1206">
        <f t="shared" si="8"/>
        <v>24000</v>
      </c>
      <c r="W9" s="1194">
        <f t="shared" si="9"/>
        <v>5.9084194977843429</v>
      </c>
    </row>
    <row r="10" spans="1:39" s="477" customFormat="1" ht="31.5" customHeight="1">
      <c r="A10" s="478">
        <v>4</v>
      </c>
      <c r="B10" s="572" t="s">
        <v>435</v>
      </c>
      <c r="C10" s="578" t="s">
        <v>436</v>
      </c>
      <c r="D10" s="1474">
        <v>43214</v>
      </c>
      <c r="E10" s="531" t="s">
        <v>477</v>
      </c>
      <c r="F10" s="522">
        <f>PP!AL10-PP!AE10-PP!AJ10-PP!AK10-PP!AF10-W10</f>
        <v>318.77256460492862</v>
      </c>
      <c r="G10" s="495">
        <v>4062</v>
      </c>
      <c r="H10" s="488">
        <f t="shared" si="0"/>
        <v>1294854.1574252201</v>
      </c>
      <c r="I10" s="480">
        <v>1</v>
      </c>
      <c r="J10" s="524">
        <v>2</v>
      </c>
      <c r="K10" s="488">
        <f t="shared" si="1"/>
        <v>450000</v>
      </c>
      <c r="L10" s="488">
        <f t="shared" si="2"/>
        <v>844854.15742522012</v>
      </c>
      <c r="M10" s="489">
        <f t="shared" si="4"/>
        <v>0</v>
      </c>
      <c r="N10" s="488">
        <f t="shared" si="5"/>
        <v>0</v>
      </c>
      <c r="O10" s="490">
        <f t="shared" si="3"/>
        <v>0</v>
      </c>
      <c r="P10" s="491">
        <f t="shared" si="6"/>
        <v>0</v>
      </c>
      <c r="R10" s="1186">
        <v>31479</v>
      </c>
      <c r="S10" s="1170">
        <v>44835</v>
      </c>
      <c r="T10" s="1174">
        <f>PP!AL10-PP!AF10</f>
        <v>344.68098410271296</v>
      </c>
      <c r="U10" s="1176">
        <f t="shared" si="7"/>
        <v>1400094.1574252201</v>
      </c>
      <c r="V10" s="1206">
        <f t="shared" si="8"/>
        <v>24000</v>
      </c>
      <c r="W10" s="1194">
        <f t="shared" si="9"/>
        <v>5.9084194977843429</v>
      </c>
    </row>
    <row r="11" spans="1:39" s="477" customFormat="1" ht="31.5" customHeight="1">
      <c r="A11" s="478">
        <v>5</v>
      </c>
      <c r="B11" s="572" t="s">
        <v>463</v>
      </c>
      <c r="C11" s="578" t="s">
        <v>464</v>
      </c>
      <c r="D11" s="1474">
        <v>43626</v>
      </c>
      <c r="E11" s="531" t="s">
        <v>477</v>
      </c>
      <c r="F11" s="522">
        <f>PP!AL11-PP!AE11-PP!AJ11-PP!AK11-PP!AF11-W11</f>
        <v>270.5819651176003</v>
      </c>
      <c r="G11" s="495">
        <v>4062</v>
      </c>
      <c r="H11" s="488">
        <f t="shared" ref="H11:H14" si="10">F11*G11</f>
        <v>1099103.9423076925</v>
      </c>
      <c r="I11" s="480">
        <v>1</v>
      </c>
      <c r="J11" s="524">
        <v>1</v>
      </c>
      <c r="K11" s="488">
        <f t="shared" ref="K11:K14" si="11">150000*(J11+I11)</f>
        <v>300000</v>
      </c>
      <c r="L11" s="488">
        <f t="shared" ref="L11:L14" si="12">H11-K11</f>
        <v>799103.94230769249</v>
      </c>
      <c r="M11" s="489">
        <f t="shared" ref="M11:M14" si="13">IF(L11&gt;=12500000,20%,IF(L11&gt;=8500001,15%,IF(L11&gt;=2000001,10%,IF(L11&gt;=1500001,5%,0%))))</f>
        <v>0</v>
      </c>
      <c r="N11" s="488">
        <f t="shared" ref="N11:N14" si="14">IF(M11=5%,75000,IF(M11=10%,175000,0))</f>
        <v>0</v>
      </c>
      <c r="O11" s="490">
        <f t="shared" ref="O11:O14" si="15">L11*M11-N11</f>
        <v>0</v>
      </c>
      <c r="P11" s="491">
        <f t="shared" si="6"/>
        <v>0</v>
      </c>
      <c r="R11" s="1186">
        <v>34464</v>
      </c>
      <c r="S11" s="1170">
        <v>44835</v>
      </c>
      <c r="T11" s="1174">
        <f>PP!AL11-PP!AF11</f>
        <v>296.49038461538464</v>
      </c>
      <c r="U11" s="1176">
        <f t="shared" si="7"/>
        <v>1204343.9423076925</v>
      </c>
      <c r="V11" s="1206">
        <f t="shared" si="8"/>
        <v>24000</v>
      </c>
      <c r="W11" s="1194">
        <f t="shared" si="9"/>
        <v>5.9084194977843429</v>
      </c>
    </row>
    <row r="12" spans="1:39" s="477" customFormat="1" ht="31.5" customHeight="1">
      <c r="A12" s="478">
        <v>6</v>
      </c>
      <c r="B12" s="572" t="s">
        <v>2014</v>
      </c>
      <c r="C12" s="956" t="s">
        <v>1364</v>
      </c>
      <c r="D12" s="1474">
        <v>44600</v>
      </c>
      <c r="E12" s="787" t="s">
        <v>477</v>
      </c>
      <c r="F12" s="522">
        <f>PP!AL12-PP!AE12-PP!AJ12-PP!AK12-PP!AF12-W12</f>
        <v>270.04350357913876</v>
      </c>
      <c r="G12" s="495">
        <v>4062</v>
      </c>
      <c r="H12" s="488">
        <f t="shared" si="10"/>
        <v>1096916.7115384617</v>
      </c>
      <c r="I12" s="480">
        <v>1</v>
      </c>
      <c r="J12" s="524">
        <v>3</v>
      </c>
      <c r="K12" s="488">
        <f t="shared" si="11"/>
        <v>600000</v>
      </c>
      <c r="L12" s="488">
        <f t="shared" si="12"/>
        <v>496916.71153846174</v>
      </c>
      <c r="M12" s="489">
        <f t="shared" si="13"/>
        <v>0</v>
      </c>
      <c r="N12" s="488">
        <f t="shared" si="14"/>
        <v>0</v>
      </c>
      <c r="O12" s="490">
        <f t="shared" si="15"/>
        <v>0</v>
      </c>
      <c r="P12" s="491">
        <f t="shared" si="6"/>
        <v>0</v>
      </c>
      <c r="R12" s="1212">
        <v>30436</v>
      </c>
      <c r="S12" s="1170">
        <v>44835</v>
      </c>
      <c r="T12" s="1174">
        <f>PP!AL12-PP!AF12</f>
        <v>295.95192307692309</v>
      </c>
      <c r="U12" s="1176">
        <f t="shared" si="7"/>
        <v>1202156.7115384615</v>
      </c>
      <c r="V12" s="1206">
        <f t="shared" si="8"/>
        <v>24000</v>
      </c>
      <c r="W12" s="1194">
        <f t="shared" si="9"/>
        <v>5.9084194977843429</v>
      </c>
    </row>
    <row r="13" spans="1:39" s="477" customFormat="1" ht="31.5" customHeight="1">
      <c r="A13" s="478">
        <v>7</v>
      </c>
      <c r="B13" s="572" t="s">
        <v>2022</v>
      </c>
      <c r="C13" s="956" t="s">
        <v>1637</v>
      </c>
      <c r="D13" s="1474">
        <v>44774</v>
      </c>
      <c r="E13" s="787" t="s">
        <v>477</v>
      </c>
      <c r="F13" s="522">
        <f>PP!AL13-PP!AE13-PP!AJ13-PP!AK13-PP!AF13-W13</f>
        <v>242.80516941444901</v>
      </c>
      <c r="G13" s="495">
        <v>4062</v>
      </c>
      <c r="H13" s="488">
        <f t="shared" si="10"/>
        <v>986274.59816149191</v>
      </c>
      <c r="I13" s="480">
        <v>1</v>
      </c>
      <c r="J13" s="524">
        <v>2</v>
      </c>
      <c r="K13" s="488">
        <f t="shared" si="11"/>
        <v>450000</v>
      </c>
      <c r="L13" s="488">
        <f t="shared" si="12"/>
        <v>536274.59816149191</v>
      </c>
      <c r="M13" s="489">
        <f t="shared" si="13"/>
        <v>0</v>
      </c>
      <c r="N13" s="488">
        <f t="shared" si="14"/>
        <v>0</v>
      </c>
      <c r="O13" s="490">
        <f t="shared" si="15"/>
        <v>0</v>
      </c>
      <c r="P13" s="491">
        <f t="shared" si="6"/>
        <v>0</v>
      </c>
      <c r="R13" s="1186">
        <v>32327</v>
      </c>
      <c r="S13" s="1170">
        <v>44835</v>
      </c>
      <c r="T13" s="1174">
        <f>PP!AL13-PP!AF13</f>
        <v>268.16854021882551</v>
      </c>
      <c r="U13" s="1176">
        <f t="shared" si="7"/>
        <v>1089300.6103688693</v>
      </c>
      <c r="V13" s="1206">
        <f t="shared" si="8"/>
        <v>21786.012207377385</v>
      </c>
      <c r="W13" s="1194">
        <f t="shared" si="9"/>
        <v>5.36337080437651</v>
      </c>
    </row>
    <row r="14" spans="1:39" s="477" customFormat="1" ht="31.5" customHeight="1">
      <c r="A14" s="478">
        <v>8</v>
      </c>
      <c r="B14" s="572" t="s">
        <v>2016</v>
      </c>
      <c r="C14" s="1079" t="s">
        <v>1947</v>
      </c>
      <c r="D14" s="1475">
        <v>45089</v>
      </c>
      <c r="E14" s="787" t="s">
        <v>477</v>
      </c>
      <c r="F14" s="522">
        <f>PP!AL14-PP!AE14-PP!AJ14-PP!AK14-PP!AF14-W14</f>
        <v>242.32903846153843</v>
      </c>
      <c r="G14" s="495">
        <v>4062</v>
      </c>
      <c r="H14" s="488">
        <f t="shared" si="10"/>
        <v>984340.55423076916</v>
      </c>
      <c r="I14" s="480">
        <v>0</v>
      </c>
      <c r="J14" s="524">
        <v>0</v>
      </c>
      <c r="K14" s="488">
        <f t="shared" si="11"/>
        <v>0</v>
      </c>
      <c r="L14" s="488">
        <f t="shared" si="12"/>
        <v>984340.55423076916</v>
      </c>
      <c r="M14" s="489">
        <f t="shared" si="13"/>
        <v>0</v>
      </c>
      <c r="N14" s="488">
        <f t="shared" si="14"/>
        <v>0</v>
      </c>
      <c r="O14" s="490">
        <f t="shared" si="15"/>
        <v>0</v>
      </c>
      <c r="P14" s="491">
        <f t="shared" si="6"/>
        <v>0</v>
      </c>
      <c r="R14" s="1558">
        <v>37268</v>
      </c>
      <c r="S14" s="1170">
        <v>44835</v>
      </c>
      <c r="T14" s="1174">
        <f>PP!AL14-PP!AF14</f>
        <v>267.68269230769226</v>
      </c>
      <c r="U14" s="1176">
        <f t="shared" si="7"/>
        <v>1087327.096153846</v>
      </c>
      <c r="V14" s="1206">
        <f t="shared" si="8"/>
        <v>21746.541923076922</v>
      </c>
      <c r="W14" s="1194">
        <f t="shared" si="9"/>
        <v>5.3536538461538461</v>
      </c>
    </row>
    <row r="15" spans="1:39" s="477" customFormat="1" ht="31.5" customHeight="1">
      <c r="A15" s="478">
        <v>9</v>
      </c>
      <c r="B15" s="1445" t="s">
        <v>2239</v>
      </c>
      <c r="C15" s="1384" t="s">
        <v>2237</v>
      </c>
      <c r="D15" s="1382">
        <v>45485</v>
      </c>
      <c r="E15" s="531" t="s">
        <v>477</v>
      </c>
      <c r="F15" s="522">
        <f>PP!AL15-PP!AE15-PP!AJ15-PP!AK15-PP!AF15-W15</f>
        <v>254.94653846153841</v>
      </c>
      <c r="G15" s="495">
        <v>4062</v>
      </c>
      <c r="H15" s="488">
        <f t="shared" si="0"/>
        <v>1035592.839230769</v>
      </c>
      <c r="I15" s="480">
        <v>1</v>
      </c>
      <c r="J15" s="524">
        <v>1</v>
      </c>
      <c r="K15" s="488">
        <f t="shared" si="1"/>
        <v>300000</v>
      </c>
      <c r="L15" s="488">
        <f t="shared" si="2"/>
        <v>735592.83923076896</v>
      </c>
      <c r="M15" s="489">
        <f t="shared" si="4"/>
        <v>0</v>
      </c>
      <c r="N15" s="488">
        <f t="shared" si="5"/>
        <v>0</v>
      </c>
      <c r="O15" s="490">
        <f t="shared" si="3"/>
        <v>0</v>
      </c>
      <c r="P15" s="491">
        <f t="shared" si="6"/>
        <v>0</v>
      </c>
      <c r="R15" s="1382">
        <v>33490</v>
      </c>
      <c r="S15" s="1170">
        <v>44835</v>
      </c>
      <c r="T15" s="1174">
        <f>PP!AL15-PP!AF15</f>
        <v>280.55769230769226</v>
      </c>
      <c r="U15" s="1176">
        <f t="shared" si="7"/>
        <v>1139625.346153846</v>
      </c>
      <c r="V15" s="1206">
        <f t="shared" si="8"/>
        <v>22792.506923076922</v>
      </c>
      <c r="W15" s="1194">
        <f t="shared" si="9"/>
        <v>5.6111538461538464</v>
      </c>
    </row>
    <row r="16" spans="1:39" s="477" customFormat="1" ht="31.5" customHeight="1">
      <c r="A16" s="478">
        <v>10</v>
      </c>
      <c r="B16" s="1445" t="s">
        <v>2240</v>
      </c>
      <c r="C16" s="1384" t="s">
        <v>2238</v>
      </c>
      <c r="D16" s="1382">
        <v>45495</v>
      </c>
      <c r="E16" s="787" t="s">
        <v>477</v>
      </c>
      <c r="F16" s="522">
        <f>PP!AL16-PP!AE16-PP!AJ16-PP!AK16-PP!AF16-W16</f>
        <v>235.61038461538465</v>
      </c>
      <c r="G16" s="495">
        <v>4062</v>
      </c>
      <c r="H16" s="488">
        <f t="shared" si="0"/>
        <v>957049.38230769243</v>
      </c>
      <c r="I16" s="480"/>
      <c r="J16" s="524"/>
      <c r="K16" s="488">
        <f t="shared" si="1"/>
        <v>0</v>
      </c>
      <c r="L16" s="488">
        <f t="shared" si="2"/>
        <v>957049.38230769243</v>
      </c>
      <c r="M16" s="489">
        <f t="shared" si="4"/>
        <v>0</v>
      </c>
      <c r="N16" s="488">
        <f t="shared" si="5"/>
        <v>0</v>
      </c>
      <c r="O16" s="490">
        <f t="shared" si="3"/>
        <v>0</v>
      </c>
      <c r="P16" s="491">
        <f t="shared" si="6"/>
        <v>0</v>
      </c>
      <c r="R16" s="1382">
        <v>36458</v>
      </c>
      <c r="S16" s="1170">
        <v>44835</v>
      </c>
      <c r="T16" s="1174">
        <f>PP!AL16-PP!AF16</f>
        <v>260.82692307692309</v>
      </c>
      <c r="U16" s="1176">
        <f t="shared" si="7"/>
        <v>1059478.9615384615</v>
      </c>
      <c r="V16" s="1206">
        <f t="shared" si="8"/>
        <v>21189.579230769232</v>
      </c>
      <c r="W16" s="1194">
        <f t="shared" si="9"/>
        <v>5.2165384615384616</v>
      </c>
    </row>
    <row r="17" spans="1:23" s="477" customFormat="1" ht="31.5" customHeight="1">
      <c r="A17" s="478">
        <v>11</v>
      </c>
      <c r="B17" s="1445" t="s">
        <v>2241</v>
      </c>
      <c r="C17" s="1384" t="s">
        <v>2247</v>
      </c>
      <c r="D17" s="1382">
        <v>45495</v>
      </c>
      <c r="E17" s="787"/>
      <c r="F17" s="522">
        <f>PP!AL17-PP!AE17-PP!AJ17-PP!AK17-PP!AF17-W17</f>
        <v>261.70288461538456</v>
      </c>
      <c r="G17" s="495">
        <v>4062</v>
      </c>
      <c r="H17" s="488">
        <f t="shared" ref="H17:H18" si="16">F17*G17</f>
        <v>1063037.1173076921</v>
      </c>
      <c r="I17" s="480">
        <v>1</v>
      </c>
      <c r="J17" s="524">
        <v>3</v>
      </c>
      <c r="K17" s="488">
        <f t="shared" si="1"/>
        <v>600000</v>
      </c>
      <c r="L17" s="488">
        <f t="shared" ref="L17:L18" si="17">H17-K17</f>
        <v>463037.11730769207</v>
      </c>
      <c r="M17" s="489">
        <f t="shared" si="4"/>
        <v>0</v>
      </c>
      <c r="N17" s="488">
        <f t="shared" ref="N17:N18" si="18">IF(M17=5%,75000,IF(M17=10%,175000,0))</f>
        <v>0</v>
      </c>
      <c r="O17" s="490">
        <f t="shared" si="3"/>
        <v>0</v>
      </c>
      <c r="P17" s="491">
        <f t="shared" si="6"/>
        <v>0</v>
      </c>
      <c r="R17" s="1382">
        <v>29588</v>
      </c>
      <c r="S17" s="1170">
        <v>44835</v>
      </c>
      <c r="T17" s="1174">
        <f>PP!AL17-PP!AF17</f>
        <v>287.45192307692304</v>
      </c>
      <c r="U17" s="1176">
        <f t="shared" si="7"/>
        <v>1167629.7115384613</v>
      </c>
      <c r="V17" s="1206">
        <f t="shared" si="8"/>
        <v>23352.594230769228</v>
      </c>
      <c r="W17" s="1194">
        <f t="shared" si="9"/>
        <v>5.7490384615384604</v>
      </c>
    </row>
    <row r="18" spans="1:23" s="477" customFormat="1" ht="31.5" customHeight="1">
      <c r="A18" s="478">
        <v>12</v>
      </c>
      <c r="B18" s="1398" t="s">
        <v>2242</v>
      </c>
      <c r="C18" s="1384" t="s">
        <v>2248</v>
      </c>
      <c r="D18" s="1382">
        <v>45497</v>
      </c>
      <c r="E18" s="787" t="s">
        <v>477</v>
      </c>
      <c r="F18" s="522">
        <f>PP!AL18-PP!AE18-PP!AJ18-PP!AK18-PP!AF18-W18</f>
        <v>249.63192307692304</v>
      </c>
      <c r="G18" s="495">
        <v>4062</v>
      </c>
      <c r="H18" s="488">
        <f t="shared" si="16"/>
        <v>1014004.8715384614</v>
      </c>
      <c r="I18" s="480">
        <v>1</v>
      </c>
      <c r="J18" s="524">
        <v>2</v>
      </c>
      <c r="K18" s="488">
        <f t="shared" ref="K18" si="19">150000*(J18+I18)</f>
        <v>450000</v>
      </c>
      <c r="L18" s="488">
        <f t="shared" si="17"/>
        <v>564004.87153846142</v>
      </c>
      <c r="M18" s="489">
        <f t="shared" ref="M18" si="20">IF(L18&gt;=12500000,20%,IF(L18&gt;=8500001,15%,IF(L18&gt;=2000001,10%,IF(L18&gt;=1500001,5%,0%))))</f>
        <v>0</v>
      </c>
      <c r="N18" s="488">
        <f t="shared" si="18"/>
        <v>0</v>
      </c>
      <c r="O18" s="490">
        <f t="shared" ref="O18" si="21">L18*M18-N18</f>
        <v>0</v>
      </c>
      <c r="P18" s="491">
        <f t="shared" si="6"/>
        <v>0</v>
      </c>
      <c r="R18" s="1382">
        <v>30942</v>
      </c>
      <c r="S18" s="1170">
        <v>44835</v>
      </c>
      <c r="T18" s="1174">
        <f>PP!AL18-PP!AF18</f>
        <v>275.13461538461536</v>
      </c>
      <c r="U18" s="1176">
        <f t="shared" si="7"/>
        <v>1117596.8076923075</v>
      </c>
      <c r="V18" s="1206">
        <f t="shared" ref="V18" si="22">IF(YEARFRAC(R18,S18)&gt;=60,"0",IF(U18&lt;400000,400000*2%,IF(U18&gt;1200000,1200000*2%,U18*2%)))</f>
        <v>22351.936153846149</v>
      </c>
      <c r="W18" s="1194">
        <f t="shared" si="9"/>
        <v>5.5026923076923069</v>
      </c>
    </row>
    <row r="19" spans="1:23" s="477" customFormat="1" ht="31.5" customHeight="1">
      <c r="A19" s="478">
        <v>13</v>
      </c>
      <c r="B19" s="1398" t="s">
        <v>2336</v>
      </c>
      <c r="C19" s="1384" t="s">
        <v>2337</v>
      </c>
      <c r="D19" s="1382">
        <v>45549</v>
      </c>
      <c r="E19" s="787" t="s">
        <v>477</v>
      </c>
      <c r="F19" s="522">
        <f>PP!AL19-PP!AE19-PP!AJ19-PP!AK19-PP!AF19-W19</f>
        <v>257.23303855482567</v>
      </c>
      <c r="G19" s="495">
        <v>4062</v>
      </c>
      <c r="H19" s="488">
        <f t="shared" si="0"/>
        <v>1044880.6026097019</v>
      </c>
      <c r="I19" s="480">
        <v>0</v>
      </c>
      <c r="J19" s="524">
        <v>0</v>
      </c>
      <c r="K19" s="488">
        <f t="shared" si="1"/>
        <v>0</v>
      </c>
      <c r="L19" s="488">
        <f t="shared" si="2"/>
        <v>1044880.6026097019</v>
      </c>
      <c r="M19" s="489">
        <f t="shared" si="4"/>
        <v>0</v>
      </c>
      <c r="N19" s="488">
        <f t="shared" si="5"/>
        <v>0</v>
      </c>
      <c r="O19" s="490">
        <f t="shared" si="3"/>
        <v>0</v>
      </c>
      <c r="P19" s="491">
        <f t="shared" si="6"/>
        <v>0</v>
      </c>
      <c r="R19" s="1382">
        <v>30441</v>
      </c>
      <c r="S19" s="1170">
        <v>44835</v>
      </c>
      <c r="T19" s="1174">
        <f>PP!AL19-PP!AF19</f>
        <v>303.04495805261001</v>
      </c>
      <c r="U19" s="1176">
        <f t="shared" si="7"/>
        <v>1230968.6196097019</v>
      </c>
      <c r="V19" s="1206">
        <f t="shared" si="8"/>
        <v>24000</v>
      </c>
      <c r="W19" s="1194">
        <f t="shared" si="9"/>
        <v>5.9084194977843429</v>
      </c>
    </row>
    <row r="20" spans="1:23" ht="38.25" customHeight="1">
      <c r="A20" s="1338"/>
      <c r="B20" s="1339"/>
      <c r="C20" s="1339"/>
      <c r="D20" s="1339"/>
      <c r="E20" s="1339"/>
      <c r="F20" s="1340">
        <f>SUM(F7:F19)</f>
        <v>3579.5139215061427</v>
      </c>
      <c r="G20" s="1339"/>
      <c r="H20" s="1339"/>
      <c r="I20" s="1339"/>
      <c r="J20" s="1339"/>
      <c r="K20" s="1339"/>
      <c r="L20" s="2129" t="s">
        <v>251</v>
      </c>
      <c r="M20" s="2130"/>
      <c r="N20" s="2131"/>
      <c r="O20" s="496">
        <f>SUM(O7:O19)</f>
        <v>715.00889423077751</v>
      </c>
      <c r="P20" s="491">
        <f>SUM(P7:P19)</f>
        <v>0.17602385382343119</v>
      </c>
      <c r="R20" s="1769"/>
      <c r="S20" s="2187" t="s">
        <v>251</v>
      </c>
      <c r="T20" s="2188"/>
      <c r="U20" s="2189"/>
      <c r="V20" s="1201">
        <f>SUM(V7:V19)</f>
        <v>294704.51836122351</v>
      </c>
      <c r="W20" s="1202">
        <f>SUM(W7:W19)</f>
        <v>72.551580098774878</v>
      </c>
    </row>
    <row r="21" spans="1:23" ht="18.75">
      <c r="R21" s="1770"/>
    </row>
  </sheetData>
  <mergeCells count="9">
    <mergeCell ref="R1:W1"/>
    <mergeCell ref="R2:W2"/>
    <mergeCell ref="R3:W3"/>
    <mergeCell ref="S20:U20"/>
    <mergeCell ref="A1:P1"/>
    <mergeCell ref="A2:P2"/>
    <mergeCell ref="A3:P3"/>
    <mergeCell ref="A4:E4"/>
    <mergeCell ref="L20:N20"/>
  </mergeCells>
  <phoneticPr fontId="171" type="noConversion"/>
  <conditionalFormatting sqref="M19 M7:M10 M15:M16">
    <cfRule type="cellIs" dxfId="12" priority="16" stopIfTrue="1" operator="equal">
      <formula>0</formula>
    </cfRule>
  </conditionalFormatting>
  <conditionalFormatting sqref="M14 M11:M12">
    <cfRule type="cellIs" dxfId="11" priority="4" stopIfTrue="1" operator="equal">
      <formula>0</formula>
    </cfRule>
  </conditionalFormatting>
  <conditionalFormatting sqref="M13">
    <cfRule type="cellIs" dxfId="10" priority="3" stopIfTrue="1" operator="equal">
      <formula>0</formula>
    </cfRule>
  </conditionalFormatting>
  <conditionalFormatting sqref="M17">
    <cfRule type="cellIs" dxfId="9" priority="2" stopIfTrue="1" operator="equal">
      <formula>0</formula>
    </cfRule>
  </conditionalFormatting>
  <conditionalFormatting sqref="M18">
    <cfRule type="cellIs" dxfId="8" priority="1" stopIfTrue="1" operator="equal">
      <formula>0</formula>
    </cfRule>
  </conditionalFormatting>
  <printOptions horizontalCentered="1"/>
  <pageMargins left="0.2" right="0.19" top="0.2" bottom="0.2" header="0.3" footer="0.31"/>
  <pageSetup paperSize="9" scale="75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17"/>
  <sheetViews>
    <sheetView topLeftCell="A5" zoomScale="110" zoomScaleNormal="110" workbookViewId="0">
      <pane xSplit="2" ySplit="1" topLeftCell="L8" activePane="bottomRight" state="frozen"/>
      <selection activeCell="A5" sqref="A5"/>
      <selection pane="topRight" activeCell="C5" sqref="C5"/>
      <selection pane="bottomLeft" activeCell="A6" sqref="A6"/>
      <selection pane="bottomRight" activeCell="V13" sqref="V13"/>
    </sheetView>
  </sheetViews>
  <sheetFormatPr defaultRowHeight="14.25"/>
  <cols>
    <col min="1" max="1" width="3.625" customWidth="1"/>
    <col min="5" max="5" width="6.5" customWidth="1"/>
    <col min="6" max="17" width="8" style="1750" customWidth="1"/>
    <col min="18" max="18" width="8.25" customWidth="1"/>
    <col min="19" max="19" width="8.625" customWidth="1"/>
    <col min="20" max="20" width="7.125" customWidth="1"/>
    <col min="21" max="21" width="6.625" customWidth="1"/>
  </cols>
  <sheetData>
    <row r="1" spans="1:37" s="839" customFormat="1" ht="42" hidden="1" customHeight="1">
      <c r="A1" s="2134" t="s">
        <v>222</v>
      </c>
      <c r="B1" s="2134"/>
      <c r="C1" s="2134"/>
      <c r="D1" s="2134"/>
      <c r="E1" s="2134"/>
      <c r="F1" s="2134"/>
      <c r="G1" s="2134"/>
      <c r="H1" s="2134"/>
      <c r="I1" s="2134"/>
      <c r="J1" s="2134"/>
      <c r="K1" s="2134"/>
      <c r="L1" s="2134"/>
      <c r="M1" s="2134"/>
      <c r="N1" s="2134"/>
      <c r="O1" s="2134"/>
      <c r="P1" s="2134"/>
      <c r="Q1" s="2134"/>
      <c r="R1" s="2134"/>
      <c r="S1" s="2134"/>
      <c r="T1" s="2134"/>
      <c r="U1" s="844"/>
      <c r="V1" s="844"/>
    </row>
    <row r="2" spans="1:37" s="871" customFormat="1" ht="42.75" hidden="1" customHeight="1">
      <c r="A2" s="2134" t="s">
        <v>221</v>
      </c>
      <c r="B2" s="2134"/>
      <c r="C2" s="2134"/>
      <c r="D2" s="2134"/>
      <c r="E2" s="2134"/>
      <c r="F2" s="2134"/>
      <c r="G2" s="2134"/>
      <c r="H2" s="2134"/>
      <c r="I2" s="2134"/>
      <c r="J2" s="2134"/>
      <c r="K2" s="2134"/>
      <c r="L2" s="2134"/>
      <c r="M2" s="2134"/>
      <c r="N2" s="2134"/>
      <c r="O2" s="2134"/>
      <c r="P2" s="2134"/>
      <c r="Q2" s="2134"/>
      <c r="R2" s="2134"/>
      <c r="S2" s="2134"/>
      <c r="T2" s="2134"/>
      <c r="U2" s="844"/>
      <c r="V2" s="844"/>
    </row>
    <row r="3" spans="1:37" s="871" customFormat="1" ht="42.75" hidden="1" customHeight="1">
      <c r="A3" s="2135" t="s">
        <v>1070</v>
      </c>
      <c r="B3" s="2135"/>
      <c r="C3" s="2135"/>
      <c r="D3" s="2135"/>
      <c r="E3" s="2135"/>
      <c r="F3" s="2135"/>
      <c r="G3" s="2135"/>
      <c r="H3" s="2135"/>
      <c r="I3" s="2135"/>
      <c r="J3" s="2135"/>
      <c r="K3" s="2135"/>
      <c r="L3" s="2135"/>
      <c r="M3" s="2135"/>
      <c r="N3" s="2135"/>
      <c r="O3" s="2135"/>
      <c r="P3" s="2135"/>
      <c r="Q3" s="2135"/>
      <c r="R3" s="2135"/>
      <c r="S3" s="2135"/>
      <c r="T3" s="2135"/>
      <c r="U3" s="845"/>
      <c r="V3" s="845"/>
    </row>
    <row r="4" spans="1:37" s="871" customFormat="1" ht="42.75" hidden="1" customHeight="1">
      <c r="A4" s="2135" t="s">
        <v>1071</v>
      </c>
      <c r="B4" s="2135"/>
      <c r="C4" s="2135"/>
      <c r="D4" s="2135"/>
      <c r="E4" s="2135"/>
      <c r="F4" s="2135"/>
      <c r="G4" s="2135"/>
      <c r="H4" s="2135"/>
      <c r="I4" s="2135"/>
      <c r="J4" s="2135"/>
      <c r="K4" s="2135"/>
      <c r="L4" s="2135"/>
      <c r="M4" s="2135"/>
      <c r="N4" s="2135"/>
      <c r="O4" s="2135"/>
      <c r="P4" s="2135"/>
      <c r="Q4" s="2135"/>
      <c r="R4" s="2135"/>
      <c r="S4" s="2135"/>
      <c r="T4" s="2135"/>
      <c r="U4" s="845"/>
      <c r="V4" s="845"/>
    </row>
    <row r="5" spans="1:37" s="856" customFormat="1" ht="20.25" customHeight="1">
      <c r="A5" s="2136" t="s">
        <v>1315</v>
      </c>
      <c r="B5" s="2136"/>
      <c r="C5" s="2136"/>
      <c r="D5" s="817"/>
      <c r="E5" s="817"/>
      <c r="F5" s="1746"/>
      <c r="G5" s="1746"/>
      <c r="H5" s="1746"/>
      <c r="I5" s="1746"/>
      <c r="J5" s="1746"/>
      <c r="K5" s="1746"/>
      <c r="L5" s="2136" t="s">
        <v>2347</v>
      </c>
      <c r="M5" s="2136"/>
      <c r="N5" s="2136"/>
      <c r="O5" s="2136"/>
      <c r="P5" s="2136"/>
      <c r="Q5" s="2136"/>
      <c r="R5" s="2136"/>
      <c r="S5" s="818"/>
      <c r="T5" s="817"/>
      <c r="U5" s="817"/>
      <c r="V5" s="817"/>
      <c r="W5" s="819"/>
      <c r="X5" s="855"/>
    </row>
    <row r="6" spans="1:37" s="871" customFormat="1" ht="32.25" customHeight="1">
      <c r="A6" s="820" t="s">
        <v>252</v>
      </c>
      <c r="B6" s="820" t="s">
        <v>1072</v>
      </c>
      <c r="C6" s="820" t="s">
        <v>1073</v>
      </c>
      <c r="D6" s="820" t="s">
        <v>254</v>
      </c>
      <c r="E6" s="821" t="s">
        <v>227</v>
      </c>
      <c r="F6" s="2198" t="s">
        <v>1074</v>
      </c>
      <c r="G6" s="2199"/>
      <c r="H6" s="2199"/>
      <c r="I6" s="2199"/>
      <c r="J6" s="2199"/>
      <c r="K6" s="2199"/>
      <c r="L6" s="2199"/>
      <c r="M6" s="2199"/>
      <c r="N6" s="2199"/>
      <c r="O6" s="2199"/>
      <c r="P6" s="2199"/>
      <c r="Q6" s="2200"/>
      <c r="R6" s="822" t="s">
        <v>1075</v>
      </c>
      <c r="S6" s="822" t="s">
        <v>1076</v>
      </c>
      <c r="T6" s="822" t="s">
        <v>1077</v>
      </c>
      <c r="U6" s="850" t="s">
        <v>1536</v>
      </c>
      <c r="V6" s="850" t="s">
        <v>1182</v>
      </c>
      <c r="W6" s="823" t="s">
        <v>1078</v>
      </c>
      <c r="X6" s="857"/>
    </row>
    <row r="7" spans="1:37" s="839" customFormat="1" ht="34.5" customHeight="1">
      <c r="A7" s="824" t="s">
        <v>41</v>
      </c>
      <c r="B7" s="858" t="s">
        <v>42</v>
      </c>
      <c r="C7" s="858" t="s">
        <v>1079</v>
      </c>
      <c r="D7" s="858" t="s">
        <v>1080</v>
      </c>
      <c r="E7" s="859" t="s">
        <v>1081</v>
      </c>
      <c r="F7" s="1747" t="s">
        <v>1082</v>
      </c>
      <c r="G7" s="1747" t="s">
        <v>1083</v>
      </c>
      <c r="H7" s="1747" t="s">
        <v>1084</v>
      </c>
      <c r="I7" s="1747" t="s">
        <v>1085</v>
      </c>
      <c r="J7" s="1747" t="s">
        <v>1086</v>
      </c>
      <c r="K7" s="1748" t="s">
        <v>1087</v>
      </c>
      <c r="L7" s="1748" t="s">
        <v>1088</v>
      </c>
      <c r="M7" s="1748" t="s">
        <v>1089</v>
      </c>
      <c r="N7" s="1748" t="s">
        <v>1090</v>
      </c>
      <c r="O7" s="1748" t="s">
        <v>1091</v>
      </c>
      <c r="P7" s="1748" t="s">
        <v>1092</v>
      </c>
      <c r="Q7" s="1748" t="s">
        <v>1093</v>
      </c>
      <c r="R7" s="826" t="s">
        <v>1094</v>
      </c>
      <c r="S7" s="827" t="s">
        <v>1095</v>
      </c>
      <c r="T7" s="827" t="s">
        <v>1096</v>
      </c>
      <c r="U7" s="892" t="s">
        <v>1183</v>
      </c>
      <c r="V7" s="892" t="s">
        <v>1184</v>
      </c>
      <c r="W7" s="861" t="s">
        <v>1097</v>
      </c>
      <c r="X7" s="837"/>
      <c r="Y7" s="1701">
        <v>1</v>
      </c>
      <c r="Z7" s="1701">
        <v>2</v>
      </c>
      <c r="AA7" s="1701">
        <v>3</v>
      </c>
      <c r="AB7" s="1701">
        <v>4</v>
      </c>
      <c r="AC7" s="1701">
        <v>5</v>
      </c>
      <c r="AD7" s="1701">
        <v>6</v>
      </c>
      <c r="AE7" s="1701">
        <v>7</v>
      </c>
      <c r="AF7" s="1701">
        <v>8</v>
      </c>
      <c r="AG7" s="1701">
        <v>9</v>
      </c>
      <c r="AH7" s="1701">
        <v>10</v>
      </c>
      <c r="AI7" s="1701">
        <v>11</v>
      </c>
      <c r="AJ7" s="1701">
        <v>12</v>
      </c>
      <c r="AK7" s="1701" t="s">
        <v>74</v>
      </c>
    </row>
    <row r="8" spans="1:37" s="871" customFormat="1" ht="51.75" customHeight="1">
      <c r="A8" s="862">
        <v>1</v>
      </c>
      <c r="B8" s="1494" t="s">
        <v>1308</v>
      </c>
      <c r="C8" s="923" t="s">
        <v>366</v>
      </c>
      <c r="D8" s="1492">
        <v>42160</v>
      </c>
      <c r="E8" s="922" t="s">
        <v>1307</v>
      </c>
      <c r="F8" s="1719">
        <v>319.96219135802471</v>
      </c>
      <c r="G8" s="1719">
        <v>316.66722967483764</v>
      </c>
      <c r="H8" s="1719">
        <v>287.09356022735165</v>
      </c>
      <c r="I8" s="1719">
        <v>306.69582825421196</v>
      </c>
      <c r="J8" s="1719">
        <v>376.81992574257424</v>
      </c>
      <c r="K8" s="1719">
        <v>377.78829328506333</v>
      </c>
      <c r="L8" s="1719">
        <v>393.59082512315268</v>
      </c>
      <c r="M8" s="1719">
        <v>382.86386138613864</v>
      </c>
      <c r="N8" s="1719">
        <v>265.87617311412879</v>
      </c>
      <c r="O8" s="1306">
        <v>267.89183013208486</v>
      </c>
      <c r="P8" s="1306">
        <v>232.25</v>
      </c>
      <c r="Q8" s="1306">
        <v>30</v>
      </c>
      <c r="R8" s="831">
        <f t="shared" ref="R8:R12" si="0">SUM(F8:Q8)</f>
        <v>3557.4997182975685</v>
      </c>
      <c r="S8" s="831">
        <f>R8/12</f>
        <v>296.45830985813069</v>
      </c>
      <c r="T8" s="831">
        <f>S8/26</f>
        <v>11.40224268685118</v>
      </c>
      <c r="U8" s="1244">
        <f>D!W7</f>
        <v>1</v>
      </c>
      <c r="V8" s="831">
        <f t="shared" ref="V8:V12" si="1">T8*U8</f>
        <v>11.40224268685118</v>
      </c>
      <c r="W8" s="832"/>
      <c r="X8" s="504"/>
      <c r="Y8" s="1691"/>
      <c r="Z8" s="851">
        <v>1</v>
      </c>
      <c r="AA8" s="1693">
        <v>3</v>
      </c>
      <c r="AB8" s="851">
        <v>1.5</v>
      </c>
      <c r="AC8" s="851">
        <v>0</v>
      </c>
      <c r="AD8" s="851">
        <v>0.5</v>
      </c>
      <c r="AE8" s="1244">
        <v>0</v>
      </c>
      <c r="AF8" s="1244">
        <v>0</v>
      </c>
      <c r="AG8" s="1244">
        <v>1</v>
      </c>
      <c r="AH8" s="1693"/>
      <c r="AI8" s="1693"/>
      <c r="AJ8" s="1693"/>
      <c r="AK8" s="1705">
        <f>SUM(Y8:AJ8)</f>
        <v>7</v>
      </c>
    </row>
    <row r="9" spans="1:37" s="871" customFormat="1" ht="51.75" customHeight="1">
      <c r="A9" s="862">
        <v>2</v>
      </c>
      <c r="B9" s="1494" t="s">
        <v>1309</v>
      </c>
      <c r="C9" s="1500" t="s">
        <v>1310</v>
      </c>
      <c r="D9" s="1492">
        <v>42312</v>
      </c>
      <c r="E9" s="922" t="s">
        <v>1307</v>
      </c>
      <c r="F9" s="1719">
        <v>295.4343542260209</v>
      </c>
      <c r="G9" s="1719">
        <v>340.36765788496854</v>
      </c>
      <c r="H9" s="1719">
        <v>296.67666027984274</v>
      </c>
      <c r="I9" s="1719">
        <v>361.861394255329</v>
      </c>
      <c r="J9" s="1719">
        <v>456.93107387661848</v>
      </c>
      <c r="K9" s="1719">
        <v>536.56145277989344</v>
      </c>
      <c r="L9" s="1719">
        <v>531.9648780680651</v>
      </c>
      <c r="M9" s="1719">
        <v>379.69202942020286</v>
      </c>
      <c r="N9" s="1719">
        <v>298.67896895428743</v>
      </c>
      <c r="O9" s="1306">
        <v>279.11343943816826</v>
      </c>
      <c r="P9" s="1306">
        <v>248.63791933798393</v>
      </c>
      <c r="Q9" s="1306">
        <v>30</v>
      </c>
      <c r="R9" s="831">
        <f t="shared" si="0"/>
        <v>4055.9198285213806</v>
      </c>
      <c r="S9" s="831">
        <f t="shared" ref="S9:S11" si="2">R9/12</f>
        <v>337.99331904344837</v>
      </c>
      <c r="T9" s="831">
        <f t="shared" ref="T9:T12" si="3">S9/26</f>
        <v>12.99974304013263</v>
      </c>
      <c r="U9" s="1244">
        <f>D!W8</f>
        <v>0</v>
      </c>
      <c r="V9" s="831">
        <f t="shared" si="1"/>
        <v>0</v>
      </c>
      <c r="W9" s="832"/>
      <c r="X9" s="504"/>
      <c r="Y9" s="1691"/>
      <c r="Z9" s="851">
        <v>1</v>
      </c>
      <c r="AA9" s="1693">
        <v>2</v>
      </c>
      <c r="AB9" s="851">
        <v>1.5</v>
      </c>
      <c r="AC9" s="851">
        <v>0</v>
      </c>
      <c r="AD9" s="851">
        <v>0</v>
      </c>
      <c r="AE9" s="1244">
        <v>3</v>
      </c>
      <c r="AF9" s="1244">
        <v>1</v>
      </c>
      <c r="AG9" s="1244">
        <v>1</v>
      </c>
      <c r="AH9" s="1693"/>
      <c r="AI9" s="1693"/>
      <c r="AJ9" s="1693"/>
      <c r="AK9" s="1705">
        <f t="shared" ref="AK9:AK12" si="4">SUM(Y9:AJ9)</f>
        <v>9.5</v>
      </c>
    </row>
    <row r="10" spans="1:37" s="871" customFormat="1" ht="51.75" customHeight="1">
      <c r="A10" s="862">
        <v>3</v>
      </c>
      <c r="B10" s="1495" t="s">
        <v>1311</v>
      </c>
      <c r="C10" s="1501" t="s">
        <v>1312</v>
      </c>
      <c r="D10" s="1493">
        <v>42320</v>
      </c>
      <c r="E10" s="937" t="s">
        <v>1307</v>
      </c>
      <c r="F10" s="1719">
        <v>304.65740740740739</v>
      </c>
      <c r="G10" s="1719">
        <v>330.10713574001801</v>
      </c>
      <c r="H10" s="1719">
        <v>274.93339529121869</v>
      </c>
      <c r="I10" s="1719">
        <v>349.34694282841747</v>
      </c>
      <c r="J10" s="1719">
        <v>433.91460396039605</v>
      </c>
      <c r="K10" s="1719">
        <v>518.45327970297035</v>
      </c>
      <c r="L10" s="1719">
        <v>502.27693965517244</v>
      </c>
      <c r="M10" s="1719">
        <v>379.38355477690777</v>
      </c>
      <c r="N10" s="1719">
        <v>266.6506543245402</v>
      </c>
      <c r="O10" s="1306">
        <v>299.1613329542032</v>
      </c>
      <c r="P10" s="1306">
        <v>235.80574680227929</v>
      </c>
      <c r="Q10" s="1306">
        <v>30</v>
      </c>
      <c r="R10" s="831">
        <f t="shared" si="0"/>
        <v>3924.6909934435312</v>
      </c>
      <c r="S10" s="831">
        <f t="shared" si="2"/>
        <v>327.05758278696095</v>
      </c>
      <c r="T10" s="831">
        <f t="shared" si="3"/>
        <v>12.579137799498499</v>
      </c>
      <c r="U10" s="1244">
        <f>D!W9</f>
        <v>0</v>
      </c>
      <c r="V10" s="831">
        <f t="shared" si="1"/>
        <v>0</v>
      </c>
      <c r="W10" s="832"/>
      <c r="X10" s="504"/>
      <c r="Y10" s="1691"/>
      <c r="Z10" s="851">
        <v>1.5</v>
      </c>
      <c r="AA10" s="1693">
        <v>3.5</v>
      </c>
      <c r="AB10" s="851">
        <v>1.5</v>
      </c>
      <c r="AC10" s="851">
        <v>0</v>
      </c>
      <c r="AD10" s="851">
        <v>0</v>
      </c>
      <c r="AE10" s="1244">
        <v>0</v>
      </c>
      <c r="AF10" s="1244">
        <v>1</v>
      </c>
      <c r="AG10" s="1244">
        <v>1</v>
      </c>
      <c r="AH10" s="1693"/>
      <c r="AI10" s="1693"/>
      <c r="AJ10" s="1693"/>
      <c r="AK10" s="1705">
        <f t="shared" si="4"/>
        <v>8.5</v>
      </c>
    </row>
    <row r="11" spans="1:37" s="871" customFormat="1" ht="51.75" customHeight="1">
      <c r="A11" s="862">
        <v>4</v>
      </c>
      <c r="B11" s="1495" t="s">
        <v>1313</v>
      </c>
      <c r="C11" s="1501" t="s">
        <v>1314</v>
      </c>
      <c r="D11" s="1493">
        <v>42878</v>
      </c>
      <c r="E11" s="937" t="s">
        <v>1307</v>
      </c>
      <c r="F11" s="1719">
        <v>275.93827160493828</v>
      </c>
      <c r="G11" s="1719">
        <v>297.60262345679013</v>
      </c>
      <c r="H11" s="1719">
        <v>263.29189004558106</v>
      </c>
      <c r="I11" s="1719">
        <v>304.26352303521418</v>
      </c>
      <c r="J11" s="1719">
        <v>364.4009900990099</v>
      </c>
      <c r="K11" s="1719">
        <v>420.43316831683171</v>
      </c>
      <c r="L11" s="1719">
        <v>403.00061576354682</v>
      </c>
      <c r="M11" s="1719">
        <v>269.5</v>
      </c>
      <c r="N11" s="1719">
        <v>265.60717129998193</v>
      </c>
      <c r="O11" s="1306">
        <v>265.08190109476362</v>
      </c>
      <c r="P11" s="1306">
        <v>230.25</v>
      </c>
      <c r="Q11" s="1306">
        <v>30</v>
      </c>
      <c r="R11" s="831">
        <f t="shared" si="0"/>
        <v>3389.3701547166575</v>
      </c>
      <c r="S11" s="831">
        <f t="shared" si="2"/>
        <v>282.44751289305481</v>
      </c>
      <c r="T11" s="831">
        <f t="shared" si="3"/>
        <v>10.863365880502108</v>
      </c>
      <c r="U11" s="1244">
        <f>D!W10</f>
        <v>2.5</v>
      </c>
      <c r="V11" s="831">
        <f t="shared" si="1"/>
        <v>27.158414701255271</v>
      </c>
      <c r="W11" s="832"/>
      <c r="X11" s="504"/>
      <c r="Y11" s="1691"/>
      <c r="Z11" s="851">
        <v>0</v>
      </c>
      <c r="AA11" s="1693">
        <v>2</v>
      </c>
      <c r="AB11" s="851">
        <v>1.5</v>
      </c>
      <c r="AC11" s="851">
        <v>0</v>
      </c>
      <c r="AD11" s="851">
        <v>0</v>
      </c>
      <c r="AE11" s="1244">
        <v>0</v>
      </c>
      <c r="AF11" s="1244">
        <v>2.5</v>
      </c>
      <c r="AG11" s="1244">
        <v>2</v>
      </c>
      <c r="AH11" s="1693"/>
      <c r="AI11" s="1693"/>
      <c r="AJ11" s="1693"/>
      <c r="AK11" s="1705">
        <f t="shared" si="4"/>
        <v>8</v>
      </c>
    </row>
    <row r="12" spans="1:37" s="871" customFormat="1" ht="51.75" customHeight="1">
      <c r="A12" s="862">
        <v>5</v>
      </c>
      <c r="B12" s="559" t="s">
        <v>1626</v>
      </c>
      <c r="C12" s="798" t="s">
        <v>1627</v>
      </c>
      <c r="D12" s="1446">
        <v>44743</v>
      </c>
      <c r="E12" s="937" t="s">
        <v>1307</v>
      </c>
      <c r="F12" s="1719">
        <v>282.35262345679013</v>
      </c>
      <c r="G12" s="1719">
        <v>293.3500938290872</v>
      </c>
      <c r="H12" s="1719">
        <v>230.68897045936228</v>
      </c>
      <c r="I12" s="1719">
        <v>309.67576944096822</v>
      </c>
      <c r="J12" s="1719">
        <v>423.1082920792079</v>
      </c>
      <c r="K12" s="1719">
        <v>386.08663366336634</v>
      </c>
      <c r="L12" s="1719">
        <v>374.69565886699507</v>
      </c>
      <c r="M12" s="1719">
        <v>286.5623712514556</v>
      </c>
      <c r="N12" s="1719">
        <v>258.24994025863396</v>
      </c>
      <c r="O12" s="1306">
        <v>262.72386731215312</v>
      </c>
      <c r="P12" s="1306">
        <v>228.70924994175041</v>
      </c>
      <c r="Q12" s="1306">
        <v>30</v>
      </c>
      <c r="R12" s="831">
        <f t="shared" si="0"/>
        <v>3366.2034705597703</v>
      </c>
      <c r="S12" s="831">
        <f>R12/12</f>
        <v>280.51695587998086</v>
      </c>
      <c r="T12" s="831">
        <f t="shared" si="3"/>
        <v>10.789113687691572</v>
      </c>
      <c r="U12" s="1244">
        <f>D!W11</f>
        <v>0</v>
      </c>
      <c r="V12" s="831">
        <f t="shared" si="1"/>
        <v>0</v>
      </c>
      <c r="W12" s="832"/>
      <c r="X12" s="504"/>
      <c r="Y12" s="1691"/>
      <c r="Z12" s="851">
        <v>2</v>
      </c>
      <c r="AA12" s="1693">
        <v>2</v>
      </c>
      <c r="AB12" s="851">
        <v>5.5</v>
      </c>
      <c r="AC12" s="851">
        <v>0</v>
      </c>
      <c r="AD12" s="851">
        <v>0</v>
      </c>
      <c r="AE12" s="1244">
        <v>0</v>
      </c>
      <c r="AF12" s="1244">
        <v>2</v>
      </c>
      <c r="AG12" s="1244">
        <v>1</v>
      </c>
      <c r="AH12" s="1693"/>
      <c r="AI12" s="1693"/>
      <c r="AJ12" s="1693"/>
      <c r="AK12" s="1705">
        <f t="shared" si="4"/>
        <v>12.5</v>
      </c>
    </row>
    <row r="13" spans="1:37" s="871" customFormat="1" ht="31.5" customHeight="1">
      <c r="A13" s="2141" t="s">
        <v>214</v>
      </c>
      <c r="B13" s="2142"/>
      <c r="C13" s="2142"/>
      <c r="D13" s="2142"/>
      <c r="E13" s="2142"/>
      <c r="F13" s="2142"/>
      <c r="G13" s="2142"/>
      <c r="H13" s="2142"/>
      <c r="I13" s="2142"/>
      <c r="J13" s="2142"/>
      <c r="K13" s="2141"/>
      <c r="L13" s="2141"/>
      <c r="M13" s="2141"/>
      <c r="N13" s="2141"/>
      <c r="O13" s="2141"/>
      <c r="P13" s="2141"/>
      <c r="Q13" s="2141"/>
      <c r="R13" s="2141"/>
      <c r="S13" s="835"/>
      <c r="T13" s="835"/>
      <c r="U13" s="915"/>
      <c r="V13" s="951">
        <f>SUM(V8:V12)</f>
        <v>38.560657388106449</v>
      </c>
      <c r="W13" s="836"/>
      <c r="X13" s="504"/>
    </row>
    <row r="14" spans="1:37" s="871" customFormat="1" ht="9" customHeight="1">
      <c r="A14" s="842"/>
      <c r="B14" s="842"/>
      <c r="C14" s="842"/>
      <c r="D14" s="567"/>
      <c r="E14" s="842"/>
      <c r="F14" s="575"/>
      <c r="G14" s="575"/>
      <c r="H14" s="575"/>
      <c r="I14" s="575"/>
      <c r="J14" s="575"/>
      <c r="K14" s="575"/>
      <c r="L14" s="575"/>
      <c r="M14" s="575"/>
      <c r="N14" s="575"/>
      <c r="O14" s="575"/>
      <c r="P14" s="575"/>
      <c r="Q14" s="575"/>
      <c r="R14" s="870"/>
      <c r="S14" s="870"/>
      <c r="T14" s="870"/>
      <c r="U14" s="896"/>
      <c r="V14" s="896"/>
      <c r="W14" s="842"/>
      <c r="X14" s="842"/>
    </row>
    <row r="15" spans="1:37" s="871" customFormat="1" ht="22.5" customHeight="1">
      <c r="A15" s="2132" t="s">
        <v>1155</v>
      </c>
      <c r="B15" s="2132"/>
      <c r="C15" s="2132"/>
      <c r="D15" s="872"/>
      <c r="F15" s="872"/>
      <c r="G15" s="872"/>
      <c r="H15" s="2201" t="s">
        <v>1156</v>
      </c>
      <c r="I15" s="2201"/>
      <c r="J15" s="2201"/>
      <c r="K15" s="2201"/>
      <c r="L15" s="872"/>
      <c r="M15" s="872"/>
      <c r="N15" s="872"/>
      <c r="O15" s="872"/>
      <c r="P15" s="872"/>
      <c r="Q15" s="872"/>
      <c r="R15" s="2133" t="s">
        <v>1157</v>
      </c>
      <c r="S15" s="2133"/>
      <c r="T15" s="2133"/>
      <c r="U15" s="898"/>
      <c r="V15" s="898"/>
      <c r="X15" s="843"/>
    </row>
    <row r="16" spans="1:37" s="871" customFormat="1" ht="31.5" customHeight="1">
      <c r="A16" s="504"/>
      <c r="B16" s="938"/>
      <c r="C16" s="939"/>
      <c r="D16" s="940"/>
      <c r="E16" s="938"/>
      <c r="F16" s="1749"/>
      <c r="G16" s="1749"/>
      <c r="H16" s="1749"/>
      <c r="I16" s="1749"/>
      <c r="J16" s="1749"/>
      <c r="K16" s="1749"/>
      <c r="L16" s="1749"/>
      <c r="M16" s="1749"/>
      <c r="N16" s="1749"/>
      <c r="O16" s="1749"/>
      <c r="P16" s="1749"/>
      <c r="Q16" s="1749"/>
      <c r="R16" s="936"/>
      <c r="S16" s="936"/>
      <c r="T16" s="936"/>
      <c r="U16" s="925"/>
      <c r="V16" s="925"/>
      <c r="W16" s="941"/>
      <c r="X16" s="504"/>
    </row>
    <row r="17" spans="1:24" s="871" customFormat="1" ht="15.75">
      <c r="A17" s="842"/>
      <c r="B17" s="842"/>
      <c r="C17" s="842"/>
      <c r="D17" s="567"/>
      <c r="E17" s="842"/>
      <c r="F17" s="575"/>
      <c r="G17" s="575"/>
      <c r="H17" s="575"/>
      <c r="I17" s="575"/>
      <c r="J17" s="575"/>
      <c r="K17" s="575"/>
      <c r="L17" s="575"/>
      <c r="M17" s="575"/>
      <c r="N17" s="575"/>
      <c r="O17" s="575"/>
      <c r="P17" s="575"/>
      <c r="Q17" s="575"/>
      <c r="R17" s="870"/>
      <c r="S17" s="870"/>
      <c r="T17" s="870"/>
      <c r="U17" s="896"/>
      <c r="V17" s="896"/>
      <c r="W17" s="842"/>
      <c r="X17" s="842"/>
    </row>
  </sheetData>
  <mergeCells count="11">
    <mergeCell ref="A1:T1"/>
    <mergeCell ref="A2:T2"/>
    <mergeCell ref="A3:T3"/>
    <mergeCell ref="A4:T4"/>
    <mergeCell ref="A5:C5"/>
    <mergeCell ref="L5:R5"/>
    <mergeCell ref="F6:Q6"/>
    <mergeCell ref="A13:R13"/>
    <mergeCell ref="A15:C15"/>
    <mergeCell ref="H15:K15"/>
    <mergeCell ref="R15:T15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K18"/>
  <sheetViews>
    <sheetView view="pageBreakPreview" topLeftCell="A3" zoomScale="80" zoomScaleNormal="100" zoomScaleSheetLayoutView="80" workbookViewId="0">
      <pane xSplit="6" ySplit="4" topLeftCell="AH10" activePane="bottomRight" state="frozen"/>
      <selection activeCell="A3" sqref="A3"/>
      <selection pane="topRight" activeCell="G3" sqref="G3"/>
      <selection pane="bottomLeft" activeCell="A7" sqref="A7"/>
      <selection pane="bottomRight" activeCell="Q11" sqref="Q11"/>
    </sheetView>
  </sheetViews>
  <sheetFormatPr defaultRowHeight="15.75"/>
  <cols>
    <col min="1" max="1" width="4.75" style="544" customWidth="1"/>
    <col min="2" max="2" width="10.125" style="544" customWidth="1"/>
    <col min="3" max="3" width="11.75" style="555" customWidth="1"/>
    <col min="4" max="4" width="12.25" style="555" customWidth="1"/>
    <col min="5" max="5" width="9" style="544" customWidth="1"/>
    <col min="6" max="6" width="8.375" style="556" customWidth="1"/>
    <col min="7" max="7" width="5.75" style="544" customWidth="1"/>
    <col min="8" max="8" width="5.625" style="544" customWidth="1"/>
    <col min="9" max="10" width="8.375" style="544" customWidth="1"/>
    <col min="11" max="11" width="5.5" style="544" customWidth="1"/>
    <col min="12" max="12" width="6.125" style="544" customWidth="1"/>
    <col min="13" max="13" width="7.875" style="544" customWidth="1"/>
    <col min="14" max="14" width="5.5" style="544" customWidth="1"/>
    <col min="15" max="15" width="5.875" style="544" customWidth="1"/>
    <col min="16" max="16" width="7.875" style="544" customWidth="1"/>
    <col min="17" max="17" width="5.125" style="544" customWidth="1"/>
    <col min="18" max="18" width="6.125" style="544" customWidth="1"/>
    <col min="19" max="19" width="8.25" style="544" customWidth="1"/>
    <col min="20" max="20" width="5.125" style="544" customWidth="1"/>
    <col min="21" max="21" width="6.375" style="544" customWidth="1"/>
    <col min="22" max="22" width="9" style="544" customWidth="1"/>
    <col min="23" max="23" width="5.75" style="544" customWidth="1"/>
    <col min="24" max="24" width="8.875" style="544" customWidth="1"/>
    <col min="25" max="25" width="5.75" style="544" customWidth="1"/>
    <col min="26" max="26" width="6.625" style="544" customWidth="1"/>
    <col min="27" max="27" width="8.375" style="544" customWidth="1"/>
    <col min="28" max="28" width="5.25" style="544" customWidth="1"/>
    <col min="29" max="29" width="5.625" style="544" customWidth="1"/>
    <col min="30" max="30" width="8.125" style="544" customWidth="1"/>
    <col min="31" max="31" width="7.375" style="544" customWidth="1"/>
    <col min="32" max="32" width="5.625" style="544" customWidth="1"/>
    <col min="33" max="34" width="7.625" style="544" customWidth="1"/>
    <col min="35" max="35" width="8.875" style="544" customWidth="1"/>
    <col min="36" max="36" width="8.625" style="544" customWidth="1"/>
    <col min="37" max="37" width="10.5" style="544" customWidth="1"/>
    <col min="38" max="38" width="7.625" style="544" customWidth="1"/>
    <col min="39" max="39" width="9.75" style="544" customWidth="1"/>
    <col min="40" max="40" width="7.25" style="544" customWidth="1"/>
    <col min="41" max="41" width="8.375" style="544" customWidth="1"/>
    <col min="42" max="42" width="13.25" style="544" customWidth="1"/>
    <col min="43" max="43" width="14.75" style="544" customWidth="1"/>
    <col min="44" max="44" width="11.25" style="544" customWidth="1"/>
    <col min="45" max="45" width="19.5" style="544" customWidth="1"/>
    <col min="46" max="46" width="7.25" style="544" customWidth="1"/>
    <col min="47" max="47" width="10.5" style="544" hidden="1" customWidth="1"/>
    <col min="48" max="49" width="9" style="544"/>
    <col min="50" max="52" width="8.875" style="544" customWidth="1"/>
    <col min="53" max="53" width="8.75" style="544" customWidth="1"/>
    <col min="54" max="58" width="9" style="544"/>
    <col min="59" max="59" width="15.625" style="544" customWidth="1"/>
    <col min="60" max="60" width="9" style="544"/>
    <col min="61" max="62" width="18.25" style="544" customWidth="1"/>
    <col min="63" max="63" width="20.5" style="544" customWidth="1"/>
    <col min="64" max="16384" width="9" style="544"/>
  </cols>
  <sheetData>
    <row r="1" spans="1:63" s="541" customFormat="1" ht="29.25" customHeight="1">
      <c r="A1" s="2110" t="s">
        <v>222</v>
      </c>
      <c r="B1" s="2110"/>
      <c r="C1" s="2110"/>
      <c r="D1" s="2110"/>
      <c r="E1" s="2110"/>
      <c r="F1" s="2110"/>
      <c r="G1" s="2110"/>
      <c r="H1" s="2110"/>
      <c r="I1" s="2110"/>
      <c r="J1" s="2110"/>
      <c r="K1" s="2110"/>
      <c r="L1" s="2110"/>
      <c r="M1" s="2110"/>
      <c r="N1" s="2110"/>
      <c r="O1" s="2110"/>
      <c r="P1" s="2110"/>
      <c r="Q1" s="2110"/>
      <c r="R1" s="2110"/>
      <c r="S1" s="2110"/>
      <c r="T1" s="2110"/>
      <c r="U1" s="2110"/>
      <c r="V1" s="2110"/>
      <c r="W1" s="2110"/>
      <c r="X1" s="2110"/>
      <c r="Y1" s="2110"/>
      <c r="Z1" s="2110"/>
      <c r="AA1" s="2110"/>
      <c r="AB1" s="2110"/>
      <c r="AC1" s="2110"/>
      <c r="AD1" s="2110"/>
      <c r="AE1" s="2110"/>
      <c r="AF1" s="2110"/>
      <c r="AG1" s="2110"/>
      <c r="AH1" s="2110"/>
      <c r="AI1" s="2110"/>
      <c r="AJ1" s="2110"/>
      <c r="AK1" s="2110"/>
      <c r="AL1" s="2110"/>
      <c r="AM1" s="2110"/>
      <c r="AN1" s="2110"/>
      <c r="AO1" s="2110"/>
      <c r="AP1" s="2110"/>
      <c r="AQ1" s="2110"/>
      <c r="AR1" s="2110"/>
      <c r="AS1" s="2110"/>
      <c r="AT1" s="751"/>
    </row>
    <row r="2" spans="1:63" s="541" customFormat="1" ht="20.25" customHeight="1">
      <c r="A2" s="2110" t="s">
        <v>221</v>
      </c>
      <c r="B2" s="2110"/>
      <c r="C2" s="2110"/>
      <c r="D2" s="2110"/>
      <c r="E2" s="2110"/>
      <c r="F2" s="2110"/>
      <c r="G2" s="2110"/>
      <c r="H2" s="2110"/>
      <c r="I2" s="2110"/>
      <c r="J2" s="2110"/>
      <c r="K2" s="2110"/>
      <c r="L2" s="2110"/>
      <c r="M2" s="2110"/>
      <c r="N2" s="2110"/>
      <c r="O2" s="2110"/>
      <c r="P2" s="2110"/>
      <c r="Q2" s="2110"/>
      <c r="R2" s="2110"/>
      <c r="S2" s="2110"/>
      <c r="T2" s="2110"/>
      <c r="U2" s="2110"/>
      <c r="V2" s="2110"/>
      <c r="W2" s="2110"/>
      <c r="X2" s="2110"/>
      <c r="Y2" s="2110"/>
      <c r="Z2" s="2110"/>
      <c r="AA2" s="2110"/>
      <c r="AB2" s="2110"/>
      <c r="AC2" s="2110"/>
      <c r="AD2" s="2110"/>
      <c r="AE2" s="2110"/>
      <c r="AF2" s="2110"/>
      <c r="AG2" s="2110"/>
      <c r="AH2" s="2110"/>
      <c r="AI2" s="2110"/>
      <c r="AJ2" s="2110"/>
      <c r="AK2" s="2110"/>
      <c r="AL2" s="2110"/>
      <c r="AM2" s="2110"/>
      <c r="AN2" s="2110"/>
      <c r="AO2" s="2110"/>
      <c r="AP2" s="2110"/>
      <c r="AQ2" s="2110"/>
      <c r="AR2" s="2110"/>
      <c r="AS2" s="2110"/>
      <c r="AT2" s="751"/>
    </row>
    <row r="3" spans="1:63" s="541" customFormat="1" ht="19.5" customHeight="1">
      <c r="A3" s="2111" t="s">
        <v>2342</v>
      </c>
      <c r="B3" s="2111"/>
      <c r="C3" s="2111"/>
      <c r="D3" s="2111"/>
      <c r="E3" s="2111"/>
      <c r="F3" s="2111"/>
      <c r="G3" s="2111"/>
      <c r="H3" s="2111"/>
      <c r="I3" s="2111"/>
      <c r="J3" s="2111"/>
      <c r="K3" s="2111"/>
      <c r="L3" s="2111"/>
      <c r="M3" s="2111"/>
      <c r="N3" s="2111"/>
      <c r="O3" s="2111"/>
      <c r="P3" s="2111"/>
      <c r="Q3" s="2111"/>
      <c r="R3" s="2111"/>
      <c r="S3" s="2111"/>
      <c r="T3" s="2111"/>
      <c r="U3" s="2111"/>
      <c r="V3" s="2111"/>
      <c r="W3" s="2111"/>
      <c r="X3" s="2111"/>
      <c r="Y3" s="2111"/>
      <c r="Z3" s="2111"/>
      <c r="AA3" s="2111"/>
      <c r="AB3" s="2111"/>
      <c r="AC3" s="2111"/>
      <c r="AD3" s="2111"/>
      <c r="AE3" s="2111"/>
      <c r="AF3" s="2111"/>
      <c r="AG3" s="2111"/>
      <c r="AH3" s="2111"/>
      <c r="AI3" s="2111"/>
      <c r="AJ3" s="2111"/>
      <c r="AK3" s="2111"/>
      <c r="AL3" s="2111"/>
      <c r="AM3" s="2111"/>
      <c r="AN3" s="2111"/>
      <c r="AO3" s="2111"/>
      <c r="AP3" s="2111"/>
      <c r="AQ3" s="2111"/>
      <c r="AR3" s="2111"/>
      <c r="AS3" s="2111"/>
      <c r="AT3" s="752"/>
    </row>
    <row r="4" spans="1:63" s="1040" customFormat="1" ht="20.25" customHeight="1">
      <c r="A4" s="1373" t="s">
        <v>364</v>
      </c>
      <c r="B4" s="1373"/>
      <c r="C4" s="2091" t="s">
        <v>2341</v>
      </c>
      <c r="D4" s="2092"/>
      <c r="E4" s="2092"/>
      <c r="F4" s="2092"/>
      <c r="G4" s="1373"/>
      <c r="H4" s="1373"/>
      <c r="I4" s="1373"/>
      <c r="J4" s="1373"/>
      <c r="K4" s="1373"/>
      <c r="L4" s="1373"/>
      <c r="M4" s="1373"/>
      <c r="N4" s="1373"/>
      <c r="O4" s="1373"/>
      <c r="P4" s="1373"/>
      <c r="Q4" s="1373"/>
      <c r="R4" s="1373"/>
      <c r="S4" s="1373"/>
      <c r="T4" s="1373"/>
      <c r="U4" s="1373"/>
      <c r="V4" s="1373"/>
      <c r="W4" s="1373"/>
      <c r="X4" s="1373"/>
      <c r="Y4" s="1373"/>
      <c r="Z4" s="1373"/>
      <c r="AA4" s="1373"/>
      <c r="AB4" s="1373"/>
      <c r="AC4" s="1373"/>
      <c r="AD4" s="1373"/>
      <c r="AE4" s="1373"/>
      <c r="AF4" s="1373"/>
      <c r="AG4" s="1373"/>
      <c r="AH4" s="1373"/>
      <c r="AI4" s="1373"/>
      <c r="AJ4" s="1373"/>
      <c r="AK4" s="1373"/>
      <c r="AL4" s="1373"/>
      <c r="AM4" s="1373"/>
      <c r="AN4" s="1373"/>
      <c r="AO4" s="1373"/>
      <c r="AP4" s="1373"/>
      <c r="AQ4" s="1373"/>
      <c r="AR4" s="1373"/>
      <c r="AS4" s="1373"/>
      <c r="AT4" s="1372"/>
      <c r="AV4" s="2075" t="s">
        <v>472</v>
      </c>
      <c r="AW4" s="2075"/>
      <c r="AX4" s="2075"/>
      <c r="AY4" s="2075"/>
      <c r="AZ4" s="2075"/>
      <c r="BA4" s="2075"/>
      <c r="BB4" s="2075"/>
      <c r="BC4" s="2075"/>
      <c r="BD4" s="2075"/>
      <c r="BE4" s="2075"/>
    </row>
    <row r="5" spans="1:63" ht="69.95" customHeight="1">
      <c r="A5" s="722" t="s">
        <v>252</v>
      </c>
      <c r="B5" s="722" t="s">
        <v>253</v>
      </c>
      <c r="C5" s="722" t="s">
        <v>911</v>
      </c>
      <c r="D5" s="722" t="s">
        <v>254</v>
      </c>
      <c r="E5" s="1138" t="s">
        <v>227</v>
      </c>
      <c r="F5" s="724" t="s">
        <v>255</v>
      </c>
      <c r="G5" s="643" t="s">
        <v>256</v>
      </c>
      <c r="H5" s="2120" t="s">
        <v>1743</v>
      </c>
      <c r="I5" s="2094"/>
      <c r="J5" s="2095"/>
      <c r="K5" s="2120" t="s">
        <v>1734</v>
      </c>
      <c r="L5" s="2094"/>
      <c r="M5" s="2095"/>
      <c r="N5" s="2120" t="s">
        <v>1772</v>
      </c>
      <c r="O5" s="2094"/>
      <c r="P5" s="2095"/>
      <c r="Q5" s="2120" t="s">
        <v>1773</v>
      </c>
      <c r="R5" s="2094"/>
      <c r="S5" s="2095"/>
      <c r="T5" s="2117" t="s">
        <v>1759</v>
      </c>
      <c r="U5" s="2118"/>
      <c r="V5" s="2119"/>
      <c r="W5" s="2102" t="s">
        <v>1674</v>
      </c>
      <c r="X5" s="2103"/>
      <c r="Y5" s="2093" t="s">
        <v>1675</v>
      </c>
      <c r="Z5" s="2094"/>
      <c r="AA5" s="2095"/>
      <c r="AB5" s="2096" t="s">
        <v>1739</v>
      </c>
      <c r="AC5" s="1126" t="s">
        <v>258</v>
      </c>
      <c r="AD5" s="2098" t="s">
        <v>220</v>
      </c>
      <c r="AE5" s="1117" t="s">
        <v>1835</v>
      </c>
      <c r="AF5" s="2100" t="s">
        <v>1840</v>
      </c>
      <c r="AG5" s="2080" t="s">
        <v>1666</v>
      </c>
      <c r="AH5" s="2080" t="s">
        <v>1665</v>
      </c>
      <c r="AI5" s="2076" t="s">
        <v>1767</v>
      </c>
      <c r="AJ5" s="2078" t="s">
        <v>1727</v>
      </c>
      <c r="AK5" s="2114" t="s">
        <v>1752</v>
      </c>
      <c r="AL5" s="2084" t="s">
        <v>1668</v>
      </c>
      <c r="AM5" s="2121" t="s">
        <v>1669</v>
      </c>
      <c r="AN5" s="2116" t="s">
        <v>1670</v>
      </c>
      <c r="AO5" s="2089" t="s">
        <v>1805</v>
      </c>
      <c r="AP5" s="2194" t="s">
        <v>1935</v>
      </c>
      <c r="AQ5" s="2194"/>
      <c r="AR5" s="2202"/>
      <c r="AS5" s="2153" t="s">
        <v>1771</v>
      </c>
      <c r="AT5" s="543"/>
      <c r="AU5" s="501"/>
      <c r="AV5" s="2081" t="s">
        <v>219</v>
      </c>
      <c r="AW5" s="2082"/>
      <c r="AX5" s="2083"/>
      <c r="AY5" s="750"/>
      <c r="AZ5" s="750"/>
      <c r="BA5" s="2086"/>
      <c r="BB5" s="2086"/>
      <c r="BC5" s="2086"/>
      <c r="BD5" s="2086"/>
      <c r="BE5" s="2087"/>
      <c r="BG5" s="1104" t="s">
        <v>789</v>
      </c>
      <c r="BH5" s="2156" t="s">
        <v>568</v>
      </c>
      <c r="BI5" s="2156" t="s">
        <v>569</v>
      </c>
      <c r="BJ5" s="2156" t="s">
        <v>570</v>
      </c>
      <c r="BK5" s="2158" t="s">
        <v>713</v>
      </c>
    </row>
    <row r="6" spans="1:63" ht="99.95" customHeight="1">
      <c r="A6" s="725" t="s">
        <v>111</v>
      </c>
      <c r="B6" s="725" t="s">
        <v>1732</v>
      </c>
      <c r="C6" s="725" t="s">
        <v>1708</v>
      </c>
      <c r="D6" s="725" t="s">
        <v>1729</v>
      </c>
      <c r="E6" s="607" t="s">
        <v>1655</v>
      </c>
      <c r="F6" s="1124" t="s">
        <v>1641</v>
      </c>
      <c r="G6" s="607" t="s">
        <v>1656</v>
      </c>
      <c r="H6" s="1141" t="s">
        <v>1657</v>
      </c>
      <c r="I6" s="546" t="s">
        <v>1658</v>
      </c>
      <c r="J6" s="546" t="s">
        <v>1644</v>
      </c>
      <c r="K6" s="1142" t="s">
        <v>1645</v>
      </c>
      <c r="L6" s="546" t="s">
        <v>1659</v>
      </c>
      <c r="M6" s="546" t="s">
        <v>1646</v>
      </c>
      <c r="N6" s="547" t="s">
        <v>1660</v>
      </c>
      <c r="O6" s="546" t="s">
        <v>1659</v>
      </c>
      <c r="P6" s="546" t="s">
        <v>1662</v>
      </c>
      <c r="Q6" s="547" t="s">
        <v>1660</v>
      </c>
      <c r="R6" s="546" t="s">
        <v>1680</v>
      </c>
      <c r="S6" s="546" t="s">
        <v>1646</v>
      </c>
      <c r="T6" s="1143" t="s">
        <v>1682</v>
      </c>
      <c r="U6" s="546" t="s">
        <v>1661</v>
      </c>
      <c r="V6" s="546" t="s">
        <v>1662</v>
      </c>
      <c r="W6" s="546" t="s">
        <v>1683</v>
      </c>
      <c r="X6" s="546" t="s">
        <v>1663</v>
      </c>
      <c r="Y6" s="546" t="s">
        <v>1649</v>
      </c>
      <c r="Z6" s="546" t="s">
        <v>1661</v>
      </c>
      <c r="AA6" s="546" t="s">
        <v>1650</v>
      </c>
      <c r="AB6" s="2097"/>
      <c r="AC6" s="1127" t="s">
        <v>1651</v>
      </c>
      <c r="AD6" s="2099"/>
      <c r="AE6" s="1118" t="s">
        <v>1678</v>
      </c>
      <c r="AF6" s="2101"/>
      <c r="AG6" s="2077"/>
      <c r="AH6" s="2077"/>
      <c r="AI6" s="2077"/>
      <c r="AJ6" s="2079"/>
      <c r="AK6" s="2115"/>
      <c r="AL6" s="2085"/>
      <c r="AM6" s="2122"/>
      <c r="AN6" s="2116"/>
      <c r="AO6" s="2090"/>
      <c r="AP6" s="1135" t="s">
        <v>1671</v>
      </c>
      <c r="AQ6" s="1134" t="s">
        <v>1707</v>
      </c>
      <c r="AR6" s="1136" t="s">
        <v>1702</v>
      </c>
      <c r="AS6" s="2153"/>
      <c r="AT6" s="543"/>
      <c r="AU6" s="501"/>
      <c r="AV6" s="539" t="s">
        <v>215</v>
      </c>
      <c r="AW6" s="539" t="s">
        <v>217</v>
      </c>
      <c r="AX6" s="573" t="s">
        <v>125</v>
      </c>
      <c r="AY6" s="502" t="s">
        <v>728</v>
      </c>
      <c r="AZ6" s="502" t="s">
        <v>729</v>
      </c>
      <c r="BA6" s="548" t="s">
        <v>723</v>
      </c>
      <c r="BB6" s="548" t="s">
        <v>732</v>
      </c>
      <c r="BC6" s="548" t="s">
        <v>731</v>
      </c>
      <c r="BD6" s="548" t="s">
        <v>215</v>
      </c>
      <c r="BE6" s="549" t="s">
        <v>125</v>
      </c>
      <c r="BG6" s="1105" t="s">
        <v>761</v>
      </c>
      <c r="BH6" s="2157"/>
      <c r="BI6" s="2157"/>
      <c r="BJ6" s="2157"/>
      <c r="BK6" s="2173"/>
    </row>
    <row r="7" spans="1:63" s="755" customFormat="1" ht="60" customHeight="1">
      <c r="A7" s="1593">
        <v>1</v>
      </c>
      <c r="B7" s="1414" t="s">
        <v>1599</v>
      </c>
      <c r="C7" s="1854" t="s">
        <v>366</v>
      </c>
      <c r="D7" s="1841">
        <v>42160</v>
      </c>
      <c r="E7" s="590" t="s">
        <v>373</v>
      </c>
      <c r="F7" s="617">
        <f>13+169+17+12+8+2</f>
        <v>221</v>
      </c>
      <c r="G7" s="619">
        <f>2</f>
        <v>2</v>
      </c>
      <c r="H7" s="1470">
        <v>21</v>
      </c>
      <c r="I7" s="1421">
        <f t="shared" ref="I7:I11" si="0">F7/26*H7</f>
        <v>178.5</v>
      </c>
      <c r="J7" s="618">
        <f t="shared" ref="J7:J11" si="1">F7/26*H7</f>
        <v>178.5</v>
      </c>
      <c r="K7" s="1470">
        <v>28</v>
      </c>
      <c r="L7" s="569">
        <f t="shared" ref="L7:L11" si="2">F7/26/8*1.5</f>
        <v>1.59375</v>
      </c>
      <c r="M7" s="618">
        <f t="shared" ref="M7:M11" si="3">K7*L7</f>
        <v>44.625</v>
      </c>
      <c r="N7" s="1470">
        <v>0</v>
      </c>
      <c r="O7" s="569">
        <f t="shared" ref="O7:O11" si="4">F7/26/8*2</f>
        <v>2.125</v>
      </c>
      <c r="P7" s="503">
        <f t="shared" ref="P7:P11" si="5">N7*O7</f>
        <v>0</v>
      </c>
      <c r="Q7" s="1470">
        <v>16</v>
      </c>
      <c r="R7" s="569">
        <f t="shared" ref="R7:R11" si="6">F7/26/8*2</f>
        <v>2.125</v>
      </c>
      <c r="S7" s="618">
        <f t="shared" ref="S7:S11" si="7">R7*Q7</f>
        <v>34</v>
      </c>
      <c r="T7" s="1470">
        <v>5</v>
      </c>
      <c r="U7" s="569">
        <f t="shared" ref="U7:U11" si="8">F7/26</f>
        <v>8.5</v>
      </c>
      <c r="V7" s="618">
        <f t="shared" ref="V7:V11" si="9">U7*T7</f>
        <v>42.5</v>
      </c>
      <c r="W7" s="1470">
        <v>1</v>
      </c>
      <c r="X7" s="648">
        <f>'D Salary'!T8*D!W7</f>
        <v>11.40224268685118</v>
      </c>
      <c r="Y7" s="1470">
        <v>0</v>
      </c>
      <c r="Z7" s="569">
        <f t="shared" ref="Z7:Z11" si="10">F7/26/2</f>
        <v>4.25</v>
      </c>
      <c r="AA7" s="618">
        <f t="shared" ref="AA7:AA11" si="11">Y7*Z7</f>
        <v>0</v>
      </c>
      <c r="AB7" s="1470">
        <v>0</v>
      </c>
      <c r="AC7" s="1592">
        <f t="shared" ref="AC7:AC11" si="12">H7+T7+Y7+AB7+W7</f>
        <v>27</v>
      </c>
      <c r="AD7" s="1470">
        <v>0</v>
      </c>
      <c r="AE7" s="1121">
        <v>0</v>
      </c>
      <c r="AF7" s="511">
        <v>0</v>
      </c>
      <c r="AG7" s="618">
        <v>10</v>
      </c>
      <c r="AH7" s="618">
        <v>10</v>
      </c>
      <c r="AI7" s="618">
        <v>10</v>
      </c>
      <c r="AJ7" s="618">
        <v>10</v>
      </c>
      <c r="AK7" s="1148">
        <f t="shared" ref="AK7:AK11" si="13">G7+J7+M7+P7+S7+V7+AA7+AD7+AF7+AG7+AH7+AI7+AJ7+X7+AE7</f>
        <v>353.0272426868512</v>
      </c>
      <c r="AL7" s="1281">
        <v>0.5</v>
      </c>
      <c r="AM7" s="1925">
        <v>102</v>
      </c>
      <c r="AN7" s="1096">
        <f>'Tax Calulation         '!P7</f>
        <v>0</v>
      </c>
      <c r="AO7" s="1926">
        <f>'Tax Calulation         '!W7</f>
        <v>5.9084194977843429</v>
      </c>
      <c r="AP7" s="1927">
        <f t="shared" ref="AP7:AP11" si="14">AK7-AN7-AM7-AO7-AL7</f>
        <v>244.61882318906686</v>
      </c>
      <c r="AQ7" s="1682">
        <f>ROUND((AP7-AR7)*4040,-2)</f>
        <v>180300</v>
      </c>
      <c r="AR7" s="1683">
        <f t="shared" ref="AR7:AR11" si="15">CEILING(AP7,(100))-100</f>
        <v>200</v>
      </c>
      <c r="AS7" s="502"/>
      <c r="AT7" s="504"/>
      <c r="AU7" s="505">
        <f t="shared" ref="AU7:AU11" si="16">(J7+M7+P7+S7+V7+AA7+AG7+AH7+AI7+AJ7)*4000</f>
        <v>1358500</v>
      </c>
      <c r="AV7" s="502">
        <f t="shared" ref="AV7:AV10" si="17">INT(AR7/100)</f>
        <v>2</v>
      </c>
      <c r="AW7" s="502">
        <f t="shared" ref="AW7:AW11" si="18">INT((AR7-AV7*100)/50)</f>
        <v>0</v>
      </c>
      <c r="AX7" s="573">
        <f t="shared" ref="AX7:AX11" si="19">AV7*100+AW7*50</f>
        <v>200</v>
      </c>
      <c r="AY7" s="573">
        <f t="shared" ref="AY7:AY11" si="20">INT((AQ7/50000))</f>
        <v>3</v>
      </c>
      <c r="AZ7" s="548">
        <f t="shared" ref="AZ7:AZ11" si="21">INT((AQ7-AY7*50000)/10000)</f>
        <v>3</v>
      </c>
      <c r="BA7" s="548">
        <f t="shared" ref="BA7:BA11" si="22">INT((AQ7-AY7*50000-AZ7*10000)/5000)</f>
        <v>0</v>
      </c>
      <c r="BB7" s="548">
        <f t="shared" ref="BB7:BB11" si="23">INT((AQ7-AY7*50000-AZ7*10000-BA7*5000)/1000)</f>
        <v>0</v>
      </c>
      <c r="BC7" s="548">
        <f t="shared" ref="BC7:BC11" si="24">INT((AQ7-AY7*50000-AZ7*10000-BA7*5000-BB7*1000)/500)</f>
        <v>0</v>
      </c>
      <c r="BD7" s="548">
        <f t="shared" ref="BD7:BD11" si="25">INT((AQ7-AY7*50000-AZ7*10000-BA7*5000-BB7*1000-BC7*500)/100)</f>
        <v>3</v>
      </c>
      <c r="BE7" s="549">
        <f t="shared" ref="BE7:BE11" si="26">AY7*50000+AZ7*10000+BA7*5000+BB7*1000+BC7*500+BD7*100</f>
        <v>180300</v>
      </c>
      <c r="BG7" s="649" t="s">
        <v>888</v>
      </c>
      <c r="BH7" s="589" t="s">
        <v>571</v>
      </c>
      <c r="BI7" s="1154">
        <v>31051</v>
      </c>
      <c r="BJ7" s="581" t="s">
        <v>672</v>
      </c>
      <c r="BK7" s="1099">
        <v>70260450</v>
      </c>
    </row>
    <row r="8" spans="1:63" s="755" customFormat="1" ht="60" customHeight="1">
      <c r="A8" s="1593">
        <v>2</v>
      </c>
      <c r="B8" s="1414" t="s">
        <v>1600</v>
      </c>
      <c r="C8" s="1854" t="s">
        <v>1331</v>
      </c>
      <c r="D8" s="1841">
        <v>42312</v>
      </c>
      <c r="E8" s="590" t="s">
        <v>1113</v>
      </c>
      <c r="F8" s="617">
        <f>13+169+17+12+8+2+9</f>
        <v>230</v>
      </c>
      <c r="G8" s="619">
        <f>2</f>
        <v>2</v>
      </c>
      <c r="H8" s="1470">
        <v>22</v>
      </c>
      <c r="I8" s="1421">
        <f t="shared" si="0"/>
        <v>194.61538461538464</v>
      </c>
      <c r="J8" s="618">
        <f t="shared" si="1"/>
        <v>194.61538461538464</v>
      </c>
      <c r="K8" s="1470">
        <v>62</v>
      </c>
      <c r="L8" s="569">
        <f t="shared" si="2"/>
        <v>1.6586538461538463</v>
      </c>
      <c r="M8" s="618">
        <f t="shared" si="3"/>
        <v>102.83653846153847</v>
      </c>
      <c r="N8" s="1470">
        <v>0</v>
      </c>
      <c r="O8" s="569">
        <f t="shared" si="4"/>
        <v>2.2115384615384617</v>
      </c>
      <c r="P8" s="503">
        <f t="shared" si="5"/>
        <v>0</v>
      </c>
      <c r="Q8" s="1470">
        <v>24</v>
      </c>
      <c r="R8" s="569">
        <f t="shared" si="6"/>
        <v>2.2115384615384617</v>
      </c>
      <c r="S8" s="618">
        <f t="shared" si="7"/>
        <v>53.07692307692308</v>
      </c>
      <c r="T8" s="1470">
        <v>5</v>
      </c>
      <c r="U8" s="569">
        <f t="shared" si="8"/>
        <v>8.8461538461538467</v>
      </c>
      <c r="V8" s="618">
        <f t="shared" si="9"/>
        <v>44.230769230769234</v>
      </c>
      <c r="W8" s="1470">
        <v>0</v>
      </c>
      <c r="X8" s="648">
        <f>'D Salary'!T9*D!W8</f>
        <v>0</v>
      </c>
      <c r="Y8" s="1470">
        <v>0</v>
      </c>
      <c r="Z8" s="569">
        <f t="shared" si="10"/>
        <v>4.4230769230769234</v>
      </c>
      <c r="AA8" s="618">
        <f t="shared" si="11"/>
        <v>0</v>
      </c>
      <c r="AB8" s="1470">
        <v>0</v>
      </c>
      <c r="AC8" s="1592">
        <f t="shared" si="12"/>
        <v>27</v>
      </c>
      <c r="AD8" s="1470">
        <v>0</v>
      </c>
      <c r="AE8" s="1121">
        <v>0</v>
      </c>
      <c r="AF8" s="511">
        <v>0</v>
      </c>
      <c r="AG8" s="618">
        <v>10</v>
      </c>
      <c r="AH8" s="618">
        <v>9</v>
      </c>
      <c r="AI8" s="618">
        <v>10</v>
      </c>
      <c r="AJ8" s="618">
        <v>10</v>
      </c>
      <c r="AK8" s="1148">
        <f t="shared" si="13"/>
        <v>435.75961538461542</v>
      </c>
      <c r="AL8" s="1278">
        <v>0.5</v>
      </c>
      <c r="AM8" s="1925">
        <v>102</v>
      </c>
      <c r="AN8" s="1096">
        <f>'Tax Calulation         '!P8</f>
        <v>0</v>
      </c>
      <c r="AO8" s="1926">
        <f>'Tax Calulation         '!W8</f>
        <v>5.9084194977843429</v>
      </c>
      <c r="AP8" s="1927">
        <f t="shared" si="14"/>
        <v>327.35119588683108</v>
      </c>
      <c r="AQ8" s="1682">
        <f t="shared" ref="AQ8:AQ11" si="27">ROUND((AP8-AR8)*4040,-2)</f>
        <v>110500</v>
      </c>
      <c r="AR8" s="1683">
        <f t="shared" si="15"/>
        <v>300</v>
      </c>
      <c r="AS8" s="502"/>
      <c r="AT8" s="504"/>
      <c r="AU8" s="505">
        <f t="shared" si="16"/>
        <v>1735038.4615384617</v>
      </c>
      <c r="AV8" s="502">
        <f t="shared" si="17"/>
        <v>3</v>
      </c>
      <c r="AW8" s="502">
        <f t="shared" si="18"/>
        <v>0</v>
      </c>
      <c r="AX8" s="573">
        <f t="shared" si="19"/>
        <v>300</v>
      </c>
      <c r="AY8" s="573">
        <f t="shared" si="20"/>
        <v>2</v>
      </c>
      <c r="AZ8" s="548">
        <f t="shared" si="21"/>
        <v>1</v>
      </c>
      <c r="BA8" s="548">
        <f t="shared" si="22"/>
        <v>0</v>
      </c>
      <c r="BB8" s="548">
        <f t="shared" si="23"/>
        <v>0</v>
      </c>
      <c r="BC8" s="548">
        <f t="shared" si="24"/>
        <v>1</v>
      </c>
      <c r="BD8" s="548">
        <f t="shared" si="25"/>
        <v>0</v>
      </c>
      <c r="BE8" s="549">
        <f t="shared" si="26"/>
        <v>110500</v>
      </c>
      <c r="BG8" s="649" t="s">
        <v>889</v>
      </c>
      <c r="BH8" s="589" t="s">
        <v>571</v>
      </c>
      <c r="BI8" s="1154">
        <v>30757</v>
      </c>
      <c r="BJ8" s="581" t="s">
        <v>673</v>
      </c>
      <c r="BK8" s="1099">
        <v>30509881</v>
      </c>
    </row>
    <row r="9" spans="1:63" s="755" customFormat="1" ht="60" customHeight="1">
      <c r="A9" s="1593">
        <v>3</v>
      </c>
      <c r="B9" s="1414" t="s">
        <v>1601</v>
      </c>
      <c r="C9" s="1854" t="s">
        <v>370</v>
      </c>
      <c r="D9" s="1841">
        <v>42320</v>
      </c>
      <c r="E9" s="590" t="s">
        <v>373</v>
      </c>
      <c r="F9" s="617">
        <f>13+169+17+12+8+2</f>
        <v>221</v>
      </c>
      <c r="G9" s="960">
        <f>2</f>
        <v>2</v>
      </c>
      <c r="H9" s="1470">
        <v>21.5</v>
      </c>
      <c r="I9" s="1421">
        <f t="shared" si="0"/>
        <v>182.75</v>
      </c>
      <c r="J9" s="618">
        <f t="shared" si="1"/>
        <v>182.75</v>
      </c>
      <c r="K9" s="1470">
        <v>67</v>
      </c>
      <c r="L9" s="569">
        <f t="shared" si="2"/>
        <v>1.59375</v>
      </c>
      <c r="M9" s="618">
        <f t="shared" si="3"/>
        <v>106.78125</v>
      </c>
      <c r="N9" s="1470">
        <v>0</v>
      </c>
      <c r="O9" s="569">
        <f t="shared" si="4"/>
        <v>2.125</v>
      </c>
      <c r="P9" s="503">
        <f t="shared" si="5"/>
        <v>0</v>
      </c>
      <c r="Q9" s="1470">
        <v>16</v>
      </c>
      <c r="R9" s="569">
        <f t="shared" si="6"/>
        <v>2.125</v>
      </c>
      <c r="S9" s="618">
        <f t="shared" si="7"/>
        <v>34</v>
      </c>
      <c r="T9" s="1470">
        <v>5.5</v>
      </c>
      <c r="U9" s="569">
        <f t="shared" si="8"/>
        <v>8.5</v>
      </c>
      <c r="V9" s="618">
        <f t="shared" si="9"/>
        <v>46.75</v>
      </c>
      <c r="W9" s="1470">
        <v>0</v>
      </c>
      <c r="X9" s="648">
        <f>'D Salary'!T10*D!W9</f>
        <v>0</v>
      </c>
      <c r="Y9" s="1470">
        <v>0</v>
      </c>
      <c r="Z9" s="569">
        <f t="shared" si="10"/>
        <v>4.25</v>
      </c>
      <c r="AA9" s="618">
        <f t="shared" si="11"/>
        <v>0</v>
      </c>
      <c r="AB9" s="1470">
        <v>0</v>
      </c>
      <c r="AC9" s="1592">
        <f t="shared" si="12"/>
        <v>27</v>
      </c>
      <c r="AD9" s="1470">
        <v>0</v>
      </c>
      <c r="AE9" s="1121">
        <v>0</v>
      </c>
      <c r="AF9" s="511">
        <v>0</v>
      </c>
      <c r="AG9" s="618">
        <v>10</v>
      </c>
      <c r="AH9" s="618">
        <v>9</v>
      </c>
      <c r="AI9" s="618">
        <v>10</v>
      </c>
      <c r="AJ9" s="618">
        <v>10</v>
      </c>
      <c r="AK9" s="1148">
        <f t="shared" si="13"/>
        <v>411.28125</v>
      </c>
      <c r="AL9" s="1278">
        <v>0.5</v>
      </c>
      <c r="AM9" s="1925">
        <v>102</v>
      </c>
      <c r="AN9" s="1096">
        <f>'Tax Calulation         '!P9</f>
        <v>0</v>
      </c>
      <c r="AO9" s="1926">
        <f>'Tax Calulation         '!W9</f>
        <v>5.9084194977843429</v>
      </c>
      <c r="AP9" s="1927">
        <f t="shared" si="14"/>
        <v>302.87283050221566</v>
      </c>
      <c r="AQ9" s="1682">
        <f t="shared" si="27"/>
        <v>11600</v>
      </c>
      <c r="AR9" s="1683">
        <f t="shared" ref="AR9:AR10" si="28">CEILING(AP9,(100))-100</f>
        <v>300</v>
      </c>
      <c r="AS9" s="502"/>
      <c r="AT9" s="504"/>
      <c r="AU9" s="505">
        <f t="shared" si="16"/>
        <v>1637125</v>
      </c>
      <c r="AV9" s="502">
        <f t="shared" si="17"/>
        <v>3</v>
      </c>
      <c r="AW9" s="502">
        <f t="shared" si="18"/>
        <v>0</v>
      </c>
      <c r="AX9" s="573">
        <f t="shared" ref="AX9:AX10" si="29">AV9*100+AW9*50</f>
        <v>300</v>
      </c>
      <c r="AY9" s="573">
        <f t="shared" si="20"/>
        <v>0</v>
      </c>
      <c r="AZ9" s="548">
        <f t="shared" si="21"/>
        <v>1</v>
      </c>
      <c r="BA9" s="548">
        <f t="shared" si="22"/>
        <v>0</v>
      </c>
      <c r="BB9" s="548">
        <f t="shared" si="23"/>
        <v>1</v>
      </c>
      <c r="BC9" s="548">
        <f t="shared" si="24"/>
        <v>1</v>
      </c>
      <c r="BD9" s="548">
        <f t="shared" si="25"/>
        <v>1</v>
      </c>
      <c r="BE9" s="549">
        <f t="shared" ref="BE9:BE10" si="30">AY9*50000+AZ9*10000+BA9*5000+BB9*1000+BC9*500+BD9*100</f>
        <v>11600</v>
      </c>
      <c r="BG9" s="649" t="s">
        <v>890</v>
      </c>
      <c r="BH9" s="589" t="s">
        <v>571</v>
      </c>
      <c r="BI9" s="1154">
        <v>33239</v>
      </c>
      <c r="BJ9" s="581" t="s">
        <v>663</v>
      </c>
      <c r="BK9" s="1099">
        <v>30465800</v>
      </c>
    </row>
    <row r="10" spans="1:63" s="755" customFormat="1" ht="60" customHeight="1">
      <c r="A10" s="1593">
        <v>4</v>
      </c>
      <c r="B10" s="1414" t="s">
        <v>1602</v>
      </c>
      <c r="C10" s="1854" t="s">
        <v>415</v>
      </c>
      <c r="D10" s="1841">
        <v>42878</v>
      </c>
      <c r="E10" s="590" t="s">
        <v>373</v>
      </c>
      <c r="F10" s="617">
        <f>182+17+12+8+2</f>
        <v>221</v>
      </c>
      <c r="G10" s="960">
        <f>2</f>
        <v>2</v>
      </c>
      <c r="H10" s="1470">
        <v>13.5</v>
      </c>
      <c r="I10" s="1421">
        <f t="shared" si="0"/>
        <v>114.75</v>
      </c>
      <c r="J10" s="618">
        <f t="shared" si="1"/>
        <v>114.75</v>
      </c>
      <c r="K10" s="1470">
        <v>4</v>
      </c>
      <c r="L10" s="569">
        <f t="shared" si="2"/>
        <v>1.59375</v>
      </c>
      <c r="M10" s="618">
        <f t="shared" si="3"/>
        <v>6.375</v>
      </c>
      <c r="N10" s="1470">
        <v>0</v>
      </c>
      <c r="O10" s="569">
        <f t="shared" si="4"/>
        <v>2.125</v>
      </c>
      <c r="P10" s="503">
        <f t="shared" si="5"/>
        <v>0</v>
      </c>
      <c r="Q10" s="1470">
        <v>0</v>
      </c>
      <c r="R10" s="569">
        <f t="shared" si="6"/>
        <v>2.125</v>
      </c>
      <c r="S10" s="618">
        <f t="shared" si="7"/>
        <v>0</v>
      </c>
      <c r="T10" s="1470">
        <v>10</v>
      </c>
      <c r="U10" s="569">
        <f t="shared" si="8"/>
        <v>8.5</v>
      </c>
      <c r="V10" s="618">
        <f t="shared" si="9"/>
        <v>85</v>
      </c>
      <c r="W10" s="1470">
        <v>2.5</v>
      </c>
      <c r="X10" s="648">
        <f>'D Salary'!T11*D!W10</f>
        <v>27.158414701255271</v>
      </c>
      <c r="Y10" s="1470">
        <v>0</v>
      </c>
      <c r="Z10" s="569">
        <f t="shared" si="10"/>
        <v>4.25</v>
      </c>
      <c r="AA10" s="618">
        <f t="shared" si="11"/>
        <v>0</v>
      </c>
      <c r="AB10" s="1470">
        <v>1</v>
      </c>
      <c r="AC10" s="1592">
        <f t="shared" si="12"/>
        <v>27</v>
      </c>
      <c r="AD10" s="1470">
        <v>0</v>
      </c>
      <c r="AE10" s="1121">
        <v>0</v>
      </c>
      <c r="AF10" s="511">
        <v>0</v>
      </c>
      <c r="AG10" s="618">
        <v>7</v>
      </c>
      <c r="AH10" s="618">
        <v>8</v>
      </c>
      <c r="AI10" s="618">
        <v>10</v>
      </c>
      <c r="AJ10" s="618">
        <v>10</v>
      </c>
      <c r="AK10" s="1148">
        <f t="shared" si="13"/>
        <v>270.28341470125525</v>
      </c>
      <c r="AL10" s="1278">
        <v>0.5</v>
      </c>
      <c r="AM10" s="1925">
        <v>90</v>
      </c>
      <c r="AN10" s="1096">
        <f>'Tax Calulation         '!P10</f>
        <v>0</v>
      </c>
      <c r="AO10" s="1926">
        <f>'Tax Calulation         '!W10</f>
        <v>5.405668294025106</v>
      </c>
      <c r="AP10" s="1927">
        <f t="shared" si="14"/>
        <v>174.37774640723015</v>
      </c>
      <c r="AQ10" s="1682">
        <f t="shared" si="27"/>
        <v>300500</v>
      </c>
      <c r="AR10" s="1683">
        <f t="shared" si="28"/>
        <v>100</v>
      </c>
      <c r="AS10" s="502"/>
      <c r="AT10" s="504"/>
      <c r="AU10" s="505">
        <f t="shared" si="16"/>
        <v>964500</v>
      </c>
      <c r="AV10" s="502">
        <f t="shared" si="17"/>
        <v>1</v>
      </c>
      <c r="AW10" s="502">
        <f t="shared" si="18"/>
        <v>0</v>
      </c>
      <c r="AX10" s="573">
        <f t="shared" si="29"/>
        <v>100</v>
      </c>
      <c r="AY10" s="573">
        <f t="shared" si="20"/>
        <v>6</v>
      </c>
      <c r="AZ10" s="548">
        <f t="shared" si="21"/>
        <v>0</v>
      </c>
      <c r="BA10" s="548">
        <f t="shared" si="22"/>
        <v>0</v>
      </c>
      <c r="BB10" s="548">
        <f t="shared" si="23"/>
        <v>0</v>
      </c>
      <c r="BC10" s="548">
        <f t="shared" si="24"/>
        <v>1</v>
      </c>
      <c r="BD10" s="548">
        <f t="shared" si="25"/>
        <v>0</v>
      </c>
      <c r="BE10" s="549">
        <f t="shared" si="30"/>
        <v>300500</v>
      </c>
      <c r="BG10" s="649" t="s">
        <v>891</v>
      </c>
      <c r="BH10" s="589" t="s">
        <v>571</v>
      </c>
      <c r="BI10" s="1154">
        <v>32890</v>
      </c>
      <c r="BJ10" s="581" t="s">
        <v>674</v>
      </c>
      <c r="BK10" s="1159" t="s">
        <v>1793</v>
      </c>
    </row>
    <row r="11" spans="1:63" s="768" customFormat="1" ht="60" customHeight="1">
      <c r="A11" s="1593">
        <v>5</v>
      </c>
      <c r="B11" s="1415" t="s">
        <v>1638</v>
      </c>
      <c r="C11" s="1153" t="s">
        <v>1627</v>
      </c>
      <c r="D11" s="1841">
        <v>44743</v>
      </c>
      <c r="E11" s="590" t="s">
        <v>373</v>
      </c>
      <c r="F11" s="808">
        <f>221</f>
        <v>221</v>
      </c>
      <c r="G11" s="961">
        <v>2</v>
      </c>
      <c r="H11" s="1470">
        <v>22</v>
      </c>
      <c r="I11" s="1421">
        <f t="shared" si="0"/>
        <v>187</v>
      </c>
      <c r="J11" s="618">
        <f t="shared" si="1"/>
        <v>187</v>
      </c>
      <c r="K11" s="1470">
        <v>55</v>
      </c>
      <c r="L11" s="569">
        <f t="shared" si="2"/>
        <v>1.59375</v>
      </c>
      <c r="M11" s="618">
        <f t="shared" si="3"/>
        <v>87.65625</v>
      </c>
      <c r="N11" s="1470">
        <v>0</v>
      </c>
      <c r="O11" s="569">
        <f t="shared" si="4"/>
        <v>2.125</v>
      </c>
      <c r="P11" s="503">
        <f t="shared" si="5"/>
        <v>0</v>
      </c>
      <c r="Q11" s="1470">
        <v>16</v>
      </c>
      <c r="R11" s="569">
        <f t="shared" si="6"/>
        <v>2.125</v>
      </c>
      <c r="S11" s="618">
        <f t="shared" si="7"/>
        <v>34</v>
      </c>
      <c r="T11" s="1470">
        <v>5</v>
      </c>
      <c r="U11" s="569">
        <f t="shared" si="8"/>
        <v>8.5</v>
      </c>
      <c r="V11" s="618">
        <f t="shared" si="9"/>
        <v>42.5</v>
      </c>
      <c r="W11" s="1470">
        <v>0</v>
      </c>
      <c r="X11" s="648">
        <f>'D Salary'!T12*D!W11</f>
        <v>0</v>
      </c>
      <c r="Y11" s="1470">
        <v>0</v>
      </c>
      <c r="Z11" s="569">
        <f t="shared" si="10"/>
        <v>4.25</v>
      </c>
      <c r="AA11" s="618">
        <f t="shared" si="11"/>
        <v>0</v>
      </c>
      <c r="AB11" s="1470">
        <v>0</v>
      </c>
      <c r="AC11" s="1592">
        <f t="shared" si="12"/>
        <v>27</v>
      </c>
      <c r="AD11" s="1470">
        <v>0</v>
      </c>
      <c r="AE11" s="1121">
        <v>0</v>
      </c>
      <c r="AF11" s="762">
        <v>0</v>
      </c>
      <c r="AG11" s="618">
        <v>10</v>
      </c>
      <c r="AH11" s="788">
        <v>3</v>
      </c>
      <c r="AI11" s="618">
        <v>10</v>
      </c>
      <c r="AJ11" s="618">
        <v>10</v>
      </c>
      <c r="AK11" s="1148">
        <f t="shared" si="13"/>
        <v>386.15625</v>
      </c>
      <c r="AL11" s="1279">
        <v>0.5</v>
      </c>
      <c r="AM11" s="1925">
        <v>102</v>
      </c>
      <c r="AN11" s="1096">
        <f>'Tax Calulation         '!P11</f>
        <v>0</v>
      </c>
      <c r="AO11" s="1926">
        <f>'Tax Calulation         '!W11</f>
        <v>5.9084194977843429</v>
      </c>
      <c r="AP11" s="1927">
        <f t="shared" si="14"/>
        <v>277.74783050221566</v>
      </c>
      <c r="AQ11" s="1682">
        <f t="shared" si="27"/>
        <v>314100</v>
      </c>
      <c r="AR11" s="1684">
        <f t="shared" si="15"/>
        <v>200</v>
      </c>
      <c r="AS11" s="612"/>
      <c r="AT11" s="763"/>
      <c r="AU11" s="764">
        <f t="shared" si="16"/>
        <v>1536625</v>
      </c>
      <c r="AV11" s="612">
        <f>INT(AR11/100)</f>
        <v>2</v>
      </c>
      <c r="AW11" s="612">
        <f t="shared" si="18"/>
        <v>0</v>
      </c>
      <c r="AX11" s="765">
        <f t="shared" si="19"/>
        <v>200</v>
      </c>
      <c r="AY11" s="765">
        <f t="shared" si="20"/>
        <v>6</v>
      </c>
      <c r="AZ11" s="766">
        <f t="shared" si="21"/>
        <v>1</v>
      </c>
      <c r="BA11" s="766">
        <f t="shared" si="22"/>
        <v>0</v>
      </c>
      <c r="BB11" s="766">
        <f t="shared" si="23"/>
        <v>4</v>
      </c>
      <c r="BC11" s="766">
        <f t="shared" si="24"/>
        <v>0</v>
      </c>
      <c r="BD11" s="766">
        <f t="shared" si="25"/>
        <v>1</v>
      </c>
      <c r="BE11" s="767">
        <f t="shared" si="26"/>
        <v>314100</v>
      </c>
      <c r="BG11" s="790" t="s">
        <v>1633</v>
      </c>
      <c r="BH11" s="791" t="s">
        <v>571</v>
      </c>
      <c r="BI11" s="1155">
        <v>32004</v>
      </c>
      <c r="BJ11" s="792" t="s">
        <v>1632</v>
      </c>
      <c r="BK11" s="1158">
        <v>30656412</v>
      </c>
    </row>
    <row r="12" spans="1:63" ht="60.75" customHeight="1">
      <c r="A12" s="2081" t="s">
        <v>214</v>
      </c>
      <c r="B12" s="2082"/>
      <c r="C12" s="2082"/>
      <c r="D12" s="536"/>
      <c r="E12" s="536"/>
      <c r="F12" s="536"/>
      <c r="G12" s="536"/>
      <c r="H12" s="536"/>
      <c r="I12" s="536"/>
      <c r="J12" s="536"/>
      <c r="K12" s="536"/>
      <c r="L12" s="536"/>
      <c r="M12" s="536"/>
      <c r="N12" s="536"/>
      <c r="O12" s="536"/>
      <c r="P12" s="536"/>
      <c r="Q12" s="536"/>
      <c r="R12" s="536"/>
      <c r="S12" s="536"/>
      <c r="T12" s="536"/>
      <c r="U12" s="536"/>
      <c r="V12" s="536"/>
      <c r="W12" s="536"/>
      <c r="X12" s="950">
        <f>SUM(X7:X11)</f>
        <v>38.560657388106449</v>
      </c>
      <c r="Y12" s="536"/>
      <c r="Z12" s="536"/>
      <c r="AA12" s="536"/>
      <c r="AB12" s="536"/>
      <c r="AC12" s="1352"/>
      <c r="AD12" s="558">
        <f>SUM(AD7:AD11)</f>
        <v>0</v>
      </c>
      <c r="AE12" s="1794">
        <f>SUM(AE7:AE11)</f>
        <v>0</v>
      </c>
      <c r="AF12" s="536"/>
      <c r="AG12" s="536"/>
      <c r="AH12" s="536"/>
      <c r="AI12" s="503">
        <f t="shared" ref="AI12:AR12" si="31">SUM(AI7:AI11)</f>
        <v>50</v>
      </c>
      <c r="AJ12" s="503">
        <f t="shared" si="31"/>
        <v>50</v>
      </c>
      <c r="AK12" s="503">
        <f t="shared" si="31"/>
        <v>1856.5077727727219</v>
      </c>
      <c r="AL12" s="641">
        <f t="shared" si="31"/>
        <v>2.5</v>
      </c>
      <c r="AM12" s="811">
        <f t="shared" si="31"/>
        <v>498</v>
      </c>
      <c r="AN12" s="503">
        <f t="shared" si="31"/>
        <v>0</v>
      </c>
      <c r="AO12" s="568">
        <f t="shared" si="31"/>
        <v>29.039346285162477</v>
      </c>
      <c r="AP12" s="1152">
        <f t="shared" si="31"/>
        <v>1326.9684264875596</v>
      </c>
      <c r="AQ12" s="1917">
        <f t="shared" si="31"/>
        <v>917000</v>
      </c>
      <c r="AR12" s="1918">
        <f t="shared" si="31"/>
        <v>1100</v>
      </c>
      <c r="AS12" s="506"/>
      <c r="AT12" s="501"/>
      <c r="AU12" s="552"/>
      <c r="AV12" s="573">
        <f t="shared" ref="AV12:BE12" si="32">SUM(AV7:AV11)</f>
        <v>11</v>
      </c>
      <c r="AW12" s="573">
        <f t="shared" si="32"/>
        <v>0</v>
      </c>
      <c r="AX12" s="507">
        <f t="shared" si="32"/>
        <v>1100</v>
      </c>
      <c r="AY12" s="573">
        <f t="shared" si="32"/>
        <v>17</v>
      </c>
      <c r="AZ12" s="573">
        <f t="shared" si="32"/>
        <v>6</v>
      </c>
      <c r="BA12" s="573">
        <f t="shared" si="32"/>
        <v>0</v>
      </c>
      <c r="BB12" s="573">
        <f t="shared" si="32"/>
        <v>5</v>
      </c>
      <c r="BC12" s="573">
        <f t="shared" si="32"/>
        <v>3</v>
      </c>
      <c r="BD12" s="573">
        <f t="shared" si="32"/>
        <v>5</v>
      </c>
      <c r="BE12" s="579">
        <f t="shared" si="32"/>
        <v>917000</v>
      </c>
    </row>
    <row r="13" spans="1:63">
      <c r="A13" s="552"/>
      <c r="B13" s="552"/>
      <c r="C13" s="508"/>
      <c r="D13" s="508"/>
      <c r="E13" s="552"/>
      <c r="F13" s="554"/>
      <c r="G13" s="552"/>
      <c r="H13" s="552"/>
      <c r="I13" s="552"/>
      <c r="J13" s="552"/>
      <c r="K13" s="552"/>
      <c r="L13" s="552"/>
      <c r="M13" s="552"/>
      <c r="N13" s="552"/>
      <c r="O13" s="552"/>
      <c r="P13" s="552"/>
      <c r="Q13" s="552"/>
      <c r="R13" s="552"/>
      <c r="S13" s="552"/>
      <c r="T13" s="552"/>
      <c r="U13" s="552"/>
      <c r="V13" s="552"/>
      <c r="W13" s="552"/>
      <c r="X13" s="552"/>
      <c r="Y13" s="552"/>
      <c r="Z13" s="552"/>
      <c r="AA13" s="552"/>
      <c r="AB13" s="552"/>
      <c r="AC13" s="1352"/>
      <c r="AD13" s="552"/>
      <c r="AE13" s="1715"/>
      <c r="AF13" s="552"/>
      <c r="AG13" s="552"/>
      <c r="AH13" s="552"/>
      <c r="AI13" s="552"/>
      <c r="AJ13" s="552"/>
      <c r="AK13" s="552"/>
      <c r="AL13" s="552"/>
      <c r="AM13" s="552"/>
      <c r="AN13" s="552"/>
      <c r="AO13" s="552"/>
      <c r="AP13" s="552"/>
      <c r="AQ13" s="552"/>
      <c r="AR13" s="552"/>
      <c r="AS13" s="552"/>
      <c r="AT13" s="552"/>
      <c r="AU13" s="552"/>
      <c r="AV13" s="552"/>
      <c r="AW13" s="552"/>
      <c r="AX13" s="552"/>
      <c r="AY13" s="552"/>
      <c r="AZ13" s="552"/>
    </row>
    <row r="14" spans="1:63" s="555" customFormat="1" ht="27" customHeight="1">
      <c r="A14" s="555" t="s">
        <v>213</v>
      </c>
      <c r="F14" s="556"/>
      <c r="L14" s="1355" t="s">
        <v>2168</v>
      </c>
      <c r="AF14" s="540" t="s">
        <v>445</v>
      </c>
      <c r="AR14" s="555" t="s">
        <v>212</v>
      </c>
    </row>
    <row r="15" spans="1:63">
      <c r="A15" s="552"/>
      <c r="B15" s="552"/>
      <c r="C15" s="508"/>
      <c r="D15" s="508"/>
      <c r="E15" s="552"/>
      <c r="F15" s="554"/>
      <c r="G15" s="552"/>
      <c r="H15" s="552"/>
      <c r="I15" s="552"/>
      <c r="J15" s="552"/>
      <c r="K15" s="552"/>
      <c r="L15" s="552"/>
      <c r="M15" s="552"/>
      <c r="N15" s="552"/>
      <c r="O15" s="552"/>
      <c r="P15" s="552"/>
      <c r="Q15" s="552"/>
      <c r="R15" s="552"/>
      <c r="S15" s="552"/>
      <c r="T15" s="552"/>
      <c r="U15" s="552"/>
      <c r="V15" s="552"/>
      <c r="W15" s="552"/>
      <c r="X15" s="552"/>
      <c r="Y15" s="552"/>
      <c r="Z15" s="552"/>
      <c r="AA15" s="552"/>
      <c r="AB15" s="552"/>
      <c r="AC15" s="552"/>
      <c r="AD15" s="552"/>
      <c r="AE15" s="552"/>
      <c r="AF15" s="552"/>
      <c r="AG15" s="552"/>
      <c r="AH15" s="552"/>
      <c r="AI15" s="552"/>
      <c r="AJ15" s="552"/>
      <c r="AK15" s="552"/>
      <c r="AL15" s="552"/>
      <c r="AM15" s="552"/>
      <c r="AN15" s="552"/>
      <c r="AO15" s="552"/>
      <c r="AP15" s="552"/>
      <c r="AQ15" s="552"/>
      <c r="AR15" s="552"/>
      <c r="AS15" s="552"/>
      <c r="AT15" s="552"/>
      <c r="AU15" s="552"/>
      <c r="AV15" s="552"/>
      <c r="AW15" s="552"/>
      <c r="AX15" s="552"/>
      <c r="AY15" s="552"/>
      <c r="AZ15" s="552"/>
    </row>
    <row r="16" spans="1:63" ht="24.75" customHeight="1"/>
    <row r="17" ht="24.75" customHeight="1"/>
    <row r="18" ht="24.75" customHeight="1"/>
  </sheetData>
  <mergeCells count="33">
    <mergeCell ref="BH5:BH6"/>
    <mergeCell ref="BI5:BI6"/>
    <mergeCell ref="BJ5:BJ6"/>
    <mergeCell ref="BK5:BK6"/>
    <mergeCell ref="A12:C12"/>
    <mergeCell ref="Y5:AA5"/>
    <mergeCell ref="AB5:AB6"/>
    <mergeCell ref="AD5:AD6"/>
    <mergeCell ref="AF5:AF6"/>
    <mergeCell ref="H5:J5"/>
    <mergeCell ref="K5:M5"/>
    <mergeCell ref="N5:P5"/>
    <mergeCell ref="Q5:S5"/>
    <mergeCell ref="T5:V5"/>
    <mergeCell ref="W5:X5"/>
    <mergeCell ref="AH5:AH6"/>
    <mergeCell ref="A1:AS1"/>
    <mergeCell ref="A2:AS2"/>
    <mergeCell ref="A3:AS3"/>
    <mergeCell ref="AV4:BE4"/>
    <mergeCell ref="C4:F4"/>
    <mergeCell ref="AG5:AG6"/>
    <mergeCell ref="AS5:AS6"/>
    <mergeCell ref="AV5:AX5"/>
    <mergeCell ref="BA5:BE5"/>
    <mergeCell ref="AI5:AI6"/>
    <mergeCell ref="AJ5:AJ6"/>
    <mergeCell ref="AK5:AK6"/>
    <mergeCell ref="AL5:AL6"/>
    <mergeCell ref="AN5:AN6"/>
    <mergeCell ref="AP5:AR5"/>
    <mergeCell ref="AM5:AM6"/>
    <mergeCell ref="AO5:AO6"/>
  </mergeCells>
  <phoneticPr fontId="171" type="noConversion"/>
  <pageMargins left="0" right="0" top="0" bottom="0" header="0" footer="0"/>
  <pageSetup paperSize="9" scale="37" orientation="landscape" horizontalDpi="4294967293" r:id="rId1"/>
  <colBreaks count="1" manualBreakCount="1">
    <brk id="45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12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F11" sqref="F11"/>
    </sheetView>
  </sheetViews>
  <sheetFormatPr defaultRowHeight="15.75"/>
  <cols>
    <col min="1" max="1" width="4.375" style="474" customWidth="1"/>
    <col min="2" max="2" width="7.625" style="474" customWidth="1"/>
    <col min="3" max="3" width="11.625" style="476" customWidth="1"/>
    <col min="4" max="4" width="10.75" style="475" customWidth="1"/>
    <col min="5" max="5" width="4.375" style="500" customWidth="1"/>
    <col min="6" max="6" width="12.25" style="474" customWidth="1"/>
    <col min="7" max="7" width="9.125" style="474" bestFit="1" customWidth="1"/>
    <col min="8" max="8" width="13.75" style="474" bestFit="1" customWidth="1"/>
    <col min="9" max="10" width="7.375" style="474" customWidth="1"/>
    <col min="11" max="11" width="9" style="474"/>
    <col min="12" max="12" width="10.875" style="474" customWidth="1"/>
    <col min="13" max="13" width="9" style="474"/>
    <col min="14" max="14" width="11.875" style="474" customWidth="1"/>
    <col min="15" max="15" width="12.125" style="474" customWidth="1"/>
    <col min="16" max="16" width="15.125" style="474" customWidth="1"/>
    <col min="17" max="17" width="9" style="474"/>
    <col min="18" max="19" width="14.625" style="474" customWidth="1"/>
    <col min="20" max="20" width="13.5" style="474" customWidth="1"/>
    <col min="21" max="21" width="11.75" style="474" customWidth="1"/>
    <col min="22" max="23" width="14.625" style="474" customWidth="1"/>
    <col min="24" max="16384" width="9" style="474"/>
  </cols>
  <sheetData>
    <row r="1" spans="1:39" s="479" customFormat="1" ht="29.25" customHeight="1">
      <c r="A1" s="2127" t="s">
        <v>222</v>
      </c>
      <c r="B1" s="2127"/>
      <c r="C1" s="2127"/>
      <c r="D1" s="2127"/>
      <c r="E1" s="2127"/>
      <c r="F1" s="2127"/>
      <c r="G1" s="2127"/>
      <c r="H1" s="2127"/>
      <c r="I1" s="2127"/>
      <c r="J1" s="2127"/>
      <c r="K1" s="2127"/>
      <c r="L1" s="2127"/>
      <c r="M1" s="2127"/>
      <c r="N1" s="2127"/>
      <c r="O1" s="2127"/>
      <c r="P1" s="2127"/>
      <c r="R1" s="2169" t="s">
        <v>222</v>
      </c>
      <c r="S1" s="2169"/>
      <c r="T1" s="2169"/>
      <c r="U1" s="2169"/>
      <c r="V1" s="2169"/>
      <c r="W1" s="2169"/>
    </row>
    <row r="2" spans="1:39" s="479" customFormat="1" ht="20.25" customHeight="1">
      <c r="A2" s="2127" t="s">
        <v>221</v>
      </c>
      <c r="B2" s="2127"/>
      <c r="C2" s="2127"/>
      <c r="D2" s="2127"/>
      <c r="E2" s="2127"/>
      <c r="F2" s="2127"/>
      <c r="G2" s="2127"/>
      <c r="H2" s="2127"/>
      <c r="I2" s="2127"/>
      <c r="J2" s="2127"/>
      <c r="K2" s="2127"/>
      <c r="L2" s="2127"/>
      <c r="M2" s="2127"/>
      <c r="N2" s="2127"/>
      <c r="O2" s="2127"/>
      <c r="P2" s="2127"/>
      <c r="R2" s="2126" t="s">
        <v>1807</v>
      </c>
      <c r="S2" s="2126"/>
      <c r="T2" s="2126"/>
      <c r="U2" s="2126"/>
      <c r="V2" s="2126"/>
      <c r="W2" s="2126"/>
    </row>
    <row r="3" spans="1:39" s="479" customFormat="1" ht="19.5" customHeight="1">
      <c r="A3" s="2126" t="s">
        <v>2354</v>
      </c>
      <c r="B3" s="2126"/>
      <c r="C3" s="2126"/>
      <c r="D3" s="2126"/>
      <c r="E3" s="2126"/>
      <c r="F3" s="2126"/>
      <c r="G3" s="2126"/>
      <c r="H3" s="2126"/>
      <c r="I3" s="2126"/>
      <c r="J3" s="2126"/>
      <c r="K3" s="2126"/>
      <c r="L3" s="2126"/>
      <c r="M3" s="2126"/>
      <c r="N3" s="2126"/>
      <c r="O3" s="2126"/>
      <c r="P3" s="2126"/>
      <c r="R3" s="2126" t="s">
        <v>2353</v>
      </c>
      <c r="S3" s="2126"/>
      <c r="T3" s="2126"/>
      <c r="U3" s="2126"/>
      <c r="V3" s="2126"/>
      <c r="W3" s="2126"/>
    </row>
    <row r="4" spans="1:39" s="479" customFormat="1" ht="20.25" customHeight="1" thickBot="1">
      <c r="A4" s="2128" t="s">
        <v>364</v>
      </c>
      <c r="B4" s="2128"/>
      <c r="C4" s="2128"/>
      <c r="D4" s="2128"/>
      <c r="E4" s="2128"/>
    </row>
    <row r="5" spans="1:39" s="473" customFormat="1" ht="63" customHeight="1" thickTop="1">
      <c r="A5" s="482" t="s">
        <v>223</v>
      </c>
      <c r="B5" s="482" t="s">
        <v>224</v>
      </c>
      <c r="C5" s="482" t="s">
        <v>225</v>
      </c>
      <c r="D5" s="482" t="s">
        <v>226</v>
      </c>
      <c r="E5" s="498" t="s">
        <v>227</v>
      </c>
      <c r="F5" s="482" t="s">
        <v>228</v>
      </c>
      <c r="G5" s="482" t="s">
        <v>229</v>
      </c>
      <c r="H5" s="482" t="s">
        <v>230</v>
      </c>
      <c r="I5" s="482" t="s">
        <v>231</v>
      </c>
      <c r="J5" s="482" t="s">
        <v>232</v>
      </c>
      <c r="K5" s="482" t="s">
        <v>233</v>
      </c>
      <c r="L5" s="482" t="s">
        <v>234</v>
      </c>
      <c r="M5" s="482" t="s">
        <v>235</v>
      </c>
      <c r="N5" s="482" t="s">
        <v>236</v>
      </c>
      <c r="O5" s="482" t="s">
        <v>237</v>
      </c>
      <c r="P5" s="482" t="s">
        <v>238</v>
      </c>
      <c r="Q5" s="483"/>
      <c r="R5" s="1203" t="s">
        <v>1810</v>
      </c>
      <c r="S5" s="1203" t="s">
        <v>1811</v>
      </c>
      <c r="T5" s="498" t="s">
        <v>1812</v>
      </c>
      <c r="U5" s="498" t="s">
        <v>1809</v>
      </c>
      <c r="V5" s="498" t="s">
        <v>1813</v>
      </c>
      <c r="W5" s="498" t="s">
        <v>1814</v>
      </c>
      <c r="X5" s="483"/>
      <c r="Y5" s="483"/>
      <c r="Z5" s="483"/>
      <c r="AA5" s="484"/>
      <c r="AB5" s="484"/>
      <c r="AC5" s="484"/>
      <c r="AD5" s="484"/>
      <c r="AE5" s="484"/>
      <c r="AF5" s="484"/>
      <c r="AG5" s="484"/>
      <c r="AH5" s="484"/>
      <c r="AI5" s="484"/>
      <c r="AJ5" s="484"/>
      <c r="AK5" s="484"/>
      <c r="AL5" s="484"/>
      <c r="AM5" s="484"/>
    </row>
    <row r="6" spans="1:39" s="473" customFormat="1" ht="33" customHeight="1">
      <c r="A6" s="485" t="s">
        <v>111</v>
      </c>
      <c r="B6" s="485" t="s">
        <v>239</v>
      </c>
      <c r="C6" s="485" t="s">
        <v>87</v>
      </c>
      <c r="D6" s="486" t="s">
        <v>240</v>
      </c>
      <c r="E6" s="499" t="s">
        <v>218</v>
      </c>
      <c r="F6" s="492" t="s">
        <v>241</v>
      </c>
      <c r="G6" s="492" t="s">
        <v>242</v>
      </c>
      <c r="H6" s="492" t="s">
        <v>243</v>
      </c>
      <c r="I6" s="492" t="s">
        <v>244</v>
      </c>
      <c r="J6" s="493" t="s">
        <v>245</v>
      </c>
      <c r="K6" s="492" t="s">
        <v>246</v>
      </c>
      <c r="L6" s="493" t="s">
        <v>247</v>
      </c>
      <c r="M6" s="492" t="s">
        <v>248</v>
      </c>
      <c r="N6" s="492"/>
      <c r="O6" s="492" t="s">
        <v>249</v>
      </c>
      <c r="P6" s="492" t="s">
        <v>250</v>
      </c>
      <c r="Q6" s="487"/>
      <c r="R6" s="1154"/>
      <c r="S6" s="1169"/>
      <c r="T6" s="1169"/>
      <c r="U6" s="488">
        <v>4062</v>
      </c>
      <c r="V6" s="1183">
        <v>0.02</v>
      </c>
      <c r="W6" s="488">
        <v>4062</v>
      </c>
      <c r="X6" s="487"/>
      <c r="Y6" s="487"/>
      <c r="Z6" s="487"/>
      <c r="AA6" s="481"/>
      <c r="AB6" s="481"/>
      <c r="AC6" s="481"/>
      <c r="AD6" s="481"/>
      <c r="AE6" s="481"/>
      <c r="AF6" s="481"/>
      <c r="AG6" s="484"/>
      <c r="AH6" s="484"/>
      <c r="AI6" s="484"/>
      <c r="AJ6" s="484"/>
      <c r="AK6" s="484"/>
      <c r="AL6" s="484"/>
      <c r="AM6" s="484"/>
    </row>
    <row r="7" spans="1:39" s="477" customFormat="1" ht="31.5" customHeight="1">
      <c r="A7" s="478">
        <v>1</v>
      </c>
      <c r="B7" s="518" t="s">
        <v>365</v>
      </c>
      <c r="C7" s="581" t="s">
        <v>366</v>
      </c>
      <c r="D7" s="1474">
        <v>42160</v>
      </c>
      <c r="E7" s="527" t="s">
        <v>373</v>
      </c>
      <c r="F7" s="522">
        <f>D!AK7-D!AD7-D!AI7-D!AJ7-D!AE7-W7</f>
        <v>327.11882318906686</v>
      </c>
      <c r="G7" s="495">
        <v>4062</v>
      </c>
      <c r="H7" s="488">
        <f t="shared" ref="H7:H11" si="0">F7*G7</f>
        <v>1328756.6597939895</v>
      </c>
      <c r="I7" s="480">
        <v>1</v>
      </c>
      <c r="J7" s="1109">
        <v>2</v>
      </c>
      <c r="K7" s="488">
        <f t="shared" ref="K7:K11" si="1">150000*(J7+I7)</f>
        <v>450000</v>
      </c>
      <c r="L7" s="488">
        <f t="shared" ref="L7:L11" si="2">H7-K7</f>
        <v>878756.6597939895</v>
      </c>
      <c r="M7" s="489">
        <f>IF(L7&gt;=12500000,20%,IF(L7&gt;=8500001,15%,IF(L7&gt;=2000001,10%,IF(L7&gt;=1500001,5%,0%))))</f>
        <v>0</v>
      </c>
      <c r="N7" s="488">
        <f>IF(M7=5%,75000,IF(M7=10%,175000,0))</f>
        <v>0</v>
      </c>
      <c r="O7" s="490">
        <f t="shared" ref="O7:O11" si="3">L7*M7-N7</f>
        <v>0</v>
      </c>
      <c r="P7" s="491">
        <f>O7/4062</f>
        <v>0</v>
      </c>
      <c r="R7" s="1172">
        <v>31051</v>
      </c>
      <c r="S7" s="1170">
        <v>44835</v>
      </c>
      <c r="T7" s="1174">
        <f>D!AK7-D!AE7</f>
        <v>353.0272426868512</v>
      </c>
      <c r="U7" s="1176">
        <f>T7*4062</f>
        <v>1433996.6597939895</v>
      </c>
      <c r="V7" s="1206">
        <f>IF(YEARFRAC(R7,S7)&gt;=60,"0",IF(U7&lt;400000,400000*2%,IF(U7&gt;1200000,1200000*2%,U7*2%)))</f>
        <v>24000</v>
      </c>
      <c r="W7" s="1194">
        <f>V7/4062</f>
        <v>5.9084194977843429</v>
      </c>
    </row>
    <row r="8" spans="1:39" s="477" customFormat="1" ht="31.5" customHeight="1">
      <c r="A8" s="478">
        <v>2</v>
      </c>
      <c r="B8" s="518" t="s">
        <v>367</v>
      </c>
      <c r="C8" s="581" t="s">
        <v>368</v>
      </c>
      <c r="D8" s="1474">
        <v>42312</v>
      </c>
      <c r="E8" s="527" t="s">
        <v>373</v>
      </c>
      <c r="F8" s="522">
        <f>D!AK8-D!AD8-D!AI8-D!AJ8-D!AE8-W8</f>
        <v>409.85119588683108</v>
      </c>
      <c r="G8" s="495">
        <v>4062</v>
      </c>
      <c r="H8" s="488">
        <f t="shared" si="0"/>
        <v>1664815.5576923077</v>
      </c>
      <c r="I8" s="480">
        <v>1</v>
      </c>
      <c r="J8" s="1109">
        <v>1</v>
      </c>
      <c r="K8" s="488">
        <f t="shared" si="1"/>
        <v>300000</v>
      </c>
      <c r="L8" s="488">
        <f t="shared" si="2"/>
        <v>1364815.5576923077</v>
      </c>
      <c r="M8" s="489">
        <f t="shared" ref="M8:M11" si="4">IF(L8&gt;=12500000,20%,IF(L8&gt;=8500001,15%,IF(L8&gt;=2000001,10%,IF(L8&gt;=1500001,5%,0%))))</f>
        <v>0</v>
      </c>
      <c r="N8" s="488">
        <f t="shared" ref="N8:N11" si="5">IF(M8=5%,75000,IF(M8=10%,175000,0))</f>
        <v>0</v>
      </c>
      <c r="O8" s="490">
        <f t="shared" si="3"/>
        <v>0</v>
      </c>
      <c r="P8" s="491">
        <f t="shared" ref="P8:P11" si="6">O8/4062</f>
        <v>0</v>
      </c>
      <c r="R8" s="1172">
        <v>30757</v>
      </c>
      <c r="S8" s="1170">
        <v>44835</v>
      </c>
      <c r="T8" s="1174">
        <f>D!AK8-D!AE8</f>
        <v>435.75961538461542</v>
      </c>
      <c r="U8" s="1176">
        <f t="shared" ref="U8:U11" si="7">T8*4062</f>
        <v>1770055.5576923077</v>
      </c>
      <c r="V8" s="1206">
        <f t="shared" ref="V8:V11" si="8">IF(YEARFRAC(R8,S8)&gt;=60,"0",IF(U8&lt;400000,400000*2%,IF(U8&gt;1200000,1200000*2%,U8*2%)))</f>
        <v>24000</v>
      </c>
      <c r="W8" s="1194">
        <f t="shared" ref="W8:W11" si="9">V8/4062</f>
        <v>5.9084194977843429</v>
      </c>
    </row>
    <row r="9" spans="1:39" s="477" customFormat="1" ht="31.5" customHeight="1">
      <c r="A9" s="478">
        <v>3</v>
      </c>
      <c r="B9" s="518" t="s">
        <v>369</v>
      </c>
      <c r="C9" s="581" t="s">
        <v>370</v>
      </c>
      <c r="D9" s="1474">
        <v>42320</v>
      </c>
      <c r="E9" s="527" t="s">
        <v>373</v>
      </c>
      <c r="F9" s="522">
        <f>D!AK9-D!AD9-D!AI9-D!AJ9-D!AE9-W9</f>
        <v>385.37283050221566</v>
      </c>
      <c r="G9" s="495">
        <v>4062</v>
      </c>
      <c r="H9" s="488">
        <f t="shared" si="0"/>
        <v>1565384.4375</v>
      </c>
      <c r="I9" s="480">
        <v>1</v>
      </c>
      <c r="J9" s="1109">
        <v>1</v>
      </c>
      <c r="K9" s="488">
        <f t="shared" si="1"/>
        <v>300000</v>
      </c>
      <c r="L9" s="488">
        <f t="shared" si="2"/>
        <v>1265384.4375</v>
      </c>
      <c r="M9" s="489">
        <f t="shared" si="4"/>
        <v>0</v>
      </c>
      <c r="N9" s="488">
        <f t="shared" si="5"/>
        <v>0</v>
      </c>
      <c r="O9" s="490">
        <f t="shared" si="3"/>
        <v>0</v>
      </c>
      <c r="P9" s="491">
        <f t="shared" si="6"/>
        <v>0</v>
      </c>
      <c r="R9" s="1172">
        <v>33239</v>
      </c>
      <c r="S9" s="1170">
        <v>44835</v>
      </c>
      <c r="T9" s="1174">
        <f>D!AK9-D!AE9</f>
        <v>411.28125</v>
      </c>
      <c r="U9" s="1176">
        <f t="shared" si="7"/>
        <v>1670624.4375</v>
      </c>
      <c r="V9" s="1206">
        <f t="shared" si="8"/>
        <v>24000</v>
      </c>
      <c r="W9" s="1194">
        <f t="shared" si="9"/>
        <v>5.9084194977843429</v>
      </c>
    </row>
    <row r="10" spans="1:39" s="477" customFormat="1" ht="31.5" customHeight="1">
      <c r="A10" s="478">
        <v>4</v>
      </c>
      <c r="B10" s="518" t="s">
        <v>414</v>
      </c>
      <c r="C10" s="581" t="s">
        <v>415</v>
      </c>
      <c r="D10" s="1474">
        <v>42878</v>
      </c>
      <c r="E10" s="527" t="s">
        <v>373</v>
      </c>
      <c r="F10" s="522">
        <f>D!AK10-D!AD10-D!AI10-D!AJ10-D!AE10-W10</f>
        <v>244.87774640723015</v>
      </c>
      <c r="G10" s="495">
        <v>4062</v>
      </c>
      <c r="H10" s="488">
        <f t="shared" si="0"/>
        <v>994693.40590616886</v>
      </c>
      <c r="I10" s="480">
        <v>1</v>
      </c>
      <c r="J10" s="524">
        <v>2</v>
      </c>
      <c r="K10" s="488">
        <f t="shared" ref="K10" si="10">150000*(J10+I10)</f>
        <v>450000</v>
      </c>
      <c r="L10" s="488">
        <f t="shared" si="2"/>
        <v>544693.40590616886</v>
      </c>
      <c r="M10" s="489">
        <f t="shared" si="4"/>
        <v>0</v>
      </c>
      <c r="N10" s="488">
        <f t="shared" si="5"/>
        <v>0</v>
      </c>
      <c r="O10" s="490">
        <f t="shared" si="3"/>
        <v>0</v>
      </c>
      <c r="P10" s="491">
        <f t="shared" si="6"/>
        <v>0</v>
      </c>
      <c r="R10" s="1172">
        <v>32890</v>
      </c>
      <c r="S10" s="1170">
        <v>44835</v>
      </c>
      <c r="T10" s="1174">
        <f>D!AK10-D!AE10</f>
        <v>270.28341470125525</v>
      </c>
      <c r="U10" s="1176">
        <f t="shared" si="7"/>
        <v>1097891.2305164989</v>
      </c>
      <c r="V10" s="1206">
        <f t="shared" si="8"/>
        <v>21957.824610329979</v>
      </c>
      <c r="W10" s="1194">
        <f t="shared" si="9"/>
        <v>5.405668294025106</v>
      </c>
    </row>
    <row r="11" spans="1:39" s="477" customFormat="1" ht="31.5" customHeight="1">
      <c r="A11" s="478">
        <v>5</v>
      </c>
      <c r="B11" s="572" t="s">
        <v>1626</v>
      </c>
      <c r="C11" s="956" t="s">
        <v>1627</v>
      </c>
      <c r="D11" s="1474">
        <v>44743</v>
      </c>
      <c r="E11" s="527" t="s">
        <v>373</v>
      </c>
      <c r="F11" s="522">
        <f>D!AK11-D!AD11-D!AI11-D!AJ11-D!AE11-W11</f>
        <v>360.24783050221566</v>
      </c>
      <c r="G11" s="495">
        <v>4062</v>
      </c>
      <c r="H11" s="488">
        <f t="shared" si="0"/>
        <v>1463326.6875</v>
      </c>
      <c r="I11" s="480">
        <v>1</v>
      </c>
      <c r="J11" s="524">
        <v>2</v>
      </c>
      <c r="K11" s="488">
        <f t="shared" si="1"/>
        <v>450000</v>
      </c>
      <c r="L11" s="488">
        <f t="shared" si="2"/>
        <v>1013326.6875</v>
      </c>
      <c r="M11" s="489">
        <f t="shared" si="4"/>
        <v>0</v>
      </c>
      <c r="N11" s="488">
        <f t="shared" si="5"/>
        <v>0</v>
      </c>
      <c r="O11" s="490">
        <f t="shared" si="3"/>
        <v>0</v>
      </c>
      <c r="P11" s="491">
        <f t="shared" si="6"/>
        <v>0</v>
      </c>
      <c r="R11" s="1192">
        <v>32004</v>
      </c>
      <c r="S11" s="1170">
        <v>44835</v>
      </c>
      <c r="T11" s="1174">
        <f>D!AK11-D!AE11</f>
        <v>386.15625</v>
      </c>
      <c r="U11" s="1176">
        <f t="shared" si="7"/>
        <v>1568566.6875</v>
      </c>
      <c r="V11" s="1206">
        <f t="shared" si="8"/>
        <v>24000</v>
      </c>
      <c r="W11" s="1194">
        <f t="shared" si="9"/>
        <v>5.9084194977843429</v>
      </c>
    </row>
    <row r="12" spans="1:39" ht="38.25" customHeight="1">
      <c r="A12" s="478"/>
      <c r="B12" s="1339"/>
      <c r="C12" s="1339"/>
      <c r="D12" s="1339"/>
      <c r="E12" s="1339"/>
      <c r="F12" s="1340">
        <f>SUM(F7:F11)</f>
        <v>1727.4684264875596</v>
      </c>
      <c r="G12" s="1339"/>
      <c r="H12" s="1339"/>
      <c r="I12" s="1339"/>
      <c r="J12" s="1339"/>
      <c r="K12" s="1339"/>
      <c r="L12" s="2129" t="s">
        <v>251</v>
      </c>
      <c r="M12" s="2130"/>
      <c r="N12" s="2131"/>
      <c r="O12" s="496">
        <f>SUM(O7:O11)</f>
        <v>0</v>
      </c>
      <c r="P12" s="497">
        <f>SUM(P7:P11)</f>
        <v>0</v>
      </c>
      <c r="R12" s="1178"/>
      <c r="S12" s="2187" t="s">
        <v>251</v>
      </c>
      <c r="T12" s="2188"/>
      <c r="U12" s="2189"/>
      <c r="V12" s="1201">
        <f>SUM(V7:V11)</f>
        <v>117957.82461032998</v>
      </c>
      <c r="W12" s="1204">
        <f>SUM(W7:W11)</f>
        <v>29.039346285162477</v>
      </c>
    </row>
  </sheetData>
  <mergeCells count="9">
    <mergeCell ref="R1:W1"/>
    <mergeCell ref="R2:W2"/>
    <mergeCell ref="R3:W3"/>
    <mergeCell ref="S12:U12"/>
    <mergeCell ref="A1:P1"/>
    <mergeCell ref="A2:P2"/>
    <mergeCell ref="A3:P3"/>
    <mergeCell ref="A4:E4"/>
    <mergeCell ref="L12:N12"/>
  </mergeCells>
  <phoneticPr fontId="171" type="noConversion"/>
  <conditionalFormatting sqref="M7:M11">
    <cfRule type="cellIs" dxfId="7" priority="3" stopIfTrue="1" operator="equal">
      <formula>0</formula>
    </cfRule>
  </conditionalFormatting>
  <printOptions horizontalCentered="1"/>
  <pageMargins left="0.2" right="0.19" top="0.2" bottom="0.2" header="0.3" footer="0.31"/>
  <pageSetup paperSize="9" scale="75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14"/>
  <sheetViews>
    <sheetView topLeftCell="A5" zoomScaleNormal="100" workbookViewId="0">
      <pane xSplit="4" ySplit="3" topLeftCell="P8" activePane="bottomRight" state="frozen"/>
      <selection activeCell="A5" sqref="A5"/>
      <selection pane="topRight" activeCell="E5" sqref="E5"/>
      <selection pane="bottomLeft" activeCell="A8" sqref="A8"/>
      <selection pane="bottomRight" activeCell="U10" sqref="U10"/>
    </sheetView>
  </sheetViews>
  <sheetFormatPr defaultRowHeight="14.25"/>
  <cols>
    <col min="1" max="1" width="7" customWidth="1"/>
  </cols>
  <sheetData>
    <row r="1" spans="1:37" s="839" customFormat="1" ht="42" hidden="1" customHeight="1">
      <c r="A1" s="2134" t="s">
        <v>222</v>
      </c>
      <c r="B1" s="2134"/>
      <c r="C1" s="2134"/>
      <c r="D1" s="2134"/>
      <c r="E1" s="2134"/>
      <c r="F1" s="2134"/>
      <c r="G1" s="2134"/>
      <c r="H1" s="2134"/>
      <c r="I1" s="2134"/>
      <c r="J1" s="2134"/>
      <c r="K1" s="2134"/>
      <c r="L1" s="2134"/>
      <c r="M1" s="2134"/>
      <c r="N1" s="2134"/>
      <c r="O1" s="2134"/>
      <c r="P1" s="2134"/>
      <c r="Q1" s="2134"/>
      <c r="R1" s="2134"/>
      <c r="S1" s="2134"/>
      <c r="T1" s="2134"/>
      <c r="U1" s="844"/>
      <c r="V1" s="844"/>
    </row>
    <row r="2" spans="1:37" s="871" customFormat="1" ht="42.75" hidden="1" customHeight="1">
      <c r="A2" s="2134" t="s">
        <v>221</v>
      </c>
      <c r="B2" s="2134"/>
      <c r="C2" s="2134"/>
      <c r="D2" s="2134"/>
      <c r="E2" s="2134"/>
      <c r="F2" s="2134"/>
      <c r="G2" s="2134"/>
      <c r="H2" s="2134"/>
      <c r="I2" s="2134"/>
      <c r="J2" s="2134"/>
      <c r="K2" s="2134"/>
      <c r="L2" s="2134"/>
      <c r="M2" s="2134"/>
      <c r="N2" s="2134"/>
      <c r="O2" s="2134"/>
      <c r="P2" s="2134"/>
      <c r="Q2" s="2134"/>
      <c r="R2" s="2134"/>
      <c r="S2" s="2134"/>
      <c r="T2" s="2134"/>
      <c r="U2" s="844"/>
      <c r="V2" s="844"/>
    </row>
    <row r="3" spans="1:37" s="871" customFormat="1" ht="42.75" hidden="1" customHeight="1">
      <c r="A3" s="2135" t="s">
        <v>1070</v>
      </c>
      <c r="B3" s="2135"/>
      <c r="C3" s="2135"/>
      <c r="D3" s="2135"/>
      <c r="E3" s="2135"/>
      <c r="F3" s="2135"/>
      <c r="G3" s="2135"/>
      <c r="H3" s="2135"/>
      <c r="I3" s="2135"/>
      <c r="J3" s="2135"/>
      <c r="K3" s="2135"/>
      <c r="L3" s="2135"/>
      <c r="M3" s="2135"/>
      <c r="N3" s="2135"/>
      <c r="O3" s="2135"/>
      <c r="P3" s="2135"/>
      <c r="Q3" s="2135"/>
      <c r="R3" s="2135"/>
      <c r="S3" s="2135"/>
      <c r="T3" s="2135"/>
      <c r="U3" s="845"/>
      <c r="V3" s="845"/>
    </row>
    <row r="4" spans="1:37" s="871" customFormat="1" ht="42.75" hidden="1" customHeight="1">
      <c r="A4" s="2135" t="s">
        <v>1071</v>
      </c>
      <c r="B4" s="2135"/>
      <c r="C4" s="2135"/>
      <c r="D4" s="2135"/>
      <c r="E4" s="2135"/>
      <c r="F4" s="2135"/>
      <c r="G4" s="2135"/>
      <c r="H4" s="2135"/>
      <c r="I4" s="2135"/>
      <c r="J4" s="2135"/>
      <c r="K4" s="2135"/>
      <c r="L4" s="2135"/>
      <c r="M4" s="2135"/>
      <c r="N4" s="2135"/>
      <c r="O4" s="2135"/>
      <c r="P4" s="2135"/>
      <c r="Q4" s="2135"/>
      <c r="R4" s="2135"/>
      <c r="S4" s="2135"/>
      <c r="T4" s="2135"/>
      <c r="U4" s="845"/>
      <c r="V4" s="845"/>
    </row>
    <row r="5" spans="1:37" s="856" customFormat="1" ht="20.25" customHeight="1">
      <c r="A5" s="2136" t="s">
        <v>1316</v>
      </c>
      <c r="B5" s="2136"/>
      <c r="C5" s="2136"/>
      <c r="D5" s="817"/>
      <c r="E5" s="817"/>
      <c r="F5" s="919"/>
      <c r="G5" s="919"/>
      <c r="H5" s="919"/>
      <c r="I5" s="919"/>
      <c r="J5" s="919"/>
      <c r="K5" s="919"/>
      <c r="L5" s="2136" t="s">
        <v>2347</v>
      </c>
      <c r="M5" s="2136"/>
      <c r="N5" s="2136"/>
      <c r="O5" s="2136"/>
      <c r="P5" s="2136"/>
      <c r="Q5" s="2136"/>
      <c r="R5" s="2136"/>
      <c r="S5" s="817"/>
      <c r="T5" s="817"/>
      <c r="U5" s="817"/>
      <c r="V5" s="817"/>
      <c r="W5" s="855"/>
    </row>
    <row r="6" spans="1:37" s="871" customFormat="1" ht="63.75" customHeight="1">
      <c r="A6" s="820" t="s">
        <v>252</v>
      </c>
      <c r="B6" s="820" t="s">
        <v>1072</v>
      </c>
      <c r="C6" s="820" t="s">
        <v>1073</v>
      </c>
      <c r="D6" s="820" t="s">
        <v>254</v>
      </c>
      <c r="E6" s="821" t="s">
        <v>227</v>
      </c>
      <c r="F6" s="2138" t="s">
        <v>1074</v>
      </c>
      <c r="G6" s="2139"/>
      <c r="H6" s="2139"/>
      <c r="I6" s="2139"/>
      <c r="J6" s="2139"/>
      <c r="K6" s="2139"/>
      <c r="L6" s="2139"/>
      <c r="M6" s="2139"/>
      <c r="N6" s="2139"/>
      <c r="O6" s="2139"/>
      <c r="P6" s="2139"/>
      <c r="Q6" s="2140"/>
      <c r="R6" s="822" t="s">
        <v>1075</v>
      </c>
      <c r="S6" s="900" t="s">
        <v>1076</v>
      </c>
      <c r="T6" s="822" t="s">
        <v>1077</v>
      </c>
      <c r="U6" s="850" t="s">
        <v>1535</v>
      </c>
      <c r="V6" s="850" t="s">
        <v>1182</v>
      </c>
      <c r="W6" s="823" t="s">
        <v>1078</v>
      </c>
      <c r="X6" s="504"/>
    </row>
    <row r="7" spans="1:37" s="839" customFormat="1" ht="42" customHeight="1">
      <c r="A7" s="858" t="s">
        <v>41</v>
      </c>
      <c r="B7" s="858" t="s">
        <v>42</v>
      </c>
      <c r="C7" s="858" t="s">
        <v>1079</v>
      </c>
      <c r="D7" s="858" t="s">
        <v>1080</v>
      </c>
      <c r="E7" s="859" t="s">
        <v>1081</v>
      </c>
      <c r="F7" s="930" t="s">
        <v>1082</v>
      </c>
      <c r="G7" s="930" t="s">
        <v>1083</v>
      </c>
      <c r="H7" s="930" t="s">
        <v>1084</v>
      </c>
      <c r="I7" s="930" t="s">
        <v>1085</v>
      </c>
      <c r="J7" s="930" t="s">
        <v>1086</v>
      </c>
      <c r="K7" s="920" t="s">
        <v>1087</v>
      </c>
      <c r="L7" s="920" t="s">
        <v>1088</v>
      </c>
      <c r="M7" s="920" t="s">
        <v>1089</v>
      </c>
      <c r="N7" s="920" t="s">
        <v>1090</v>
      </c>
      <c r="O7" s="920" t="s">
        <v>1091</v>
      </c>
      <c r="P7" s="920" t="s">
        <v>1092</v>
      </c>
      <c r="Q7" s="920" t="s">
        <v>1093</v>
      </c>
      <c r="R7" s="826" t="s">
        <v>1094</v>
      </c>
      <c r="S7" s="901" t="s">
        <v>1095</v>
      </c>
      <c r="T7" s="827" t="s">
        <v>1096</v>
      </c>
      <c r="U7" s="892" t="s">
        <v>1183</v>
      </c>
      <c r="V7" s="892" t="s">
        <v>1184</v>
      </c>
      <c r="W7" s="861" t="s">
        <v>1097</v>
      </c>
      <c r="X7" s="893"/>
      <c r="Y7" s="1701">
        <v>1</v>
      </c>
      <c r="Z7" s="1701">
        <v>2</v>
      </c>
      <c r="AA7" s="1701">
        <v>3</v>
      </c>
      <c r="AB7" s="1701">
        <v>4</v>
      </c>
      <c r="AC7" s="1701">
        <v>5</v>
      </c>
      <c r="AD7" s="1701">
        <v>6</v>
      </c>
      <c r="AE7" s="1701">
        <v>7</v>
      </c>
      <c r="AF7" s="1701">
        <v>8</v>
      </c>
      <c r="AG7" s="1701">
        <v>9</v>
      </c>
      <c r="AH7" s="1701">
        <v>10</v>
      </c>
      <c r="AI7" s="1701">
        <v>11</v>
      </c>
      <c r="AJ7" s="1701">
        <v>12</v>
      </c>
      <c r="AK7" s="1701" t="s">
        <v>74</v>
      </c>
    </row>
    <row r="8" spans="1:37" s="1441" customFormat="1" ht="54.75" customHeight="1">
      <c r="A8" s="502">
        <v>1</v>
      </c>
      <c r="B8" s="1460" t="s">
        <v>1888</v>
      </c>
      <c r="C8" s="798" t="s">
        <v>1889</v>
      </c>
      <c r="D8" s="1484">
        <v>45040</v>
      </c>
      <c r="E8" s="880" t="s">
        <v>1317</v>
      </c>
      <c r="F8" s="1718">
        <v>261.02279202279203</v>
      </c>
      <c r="G8" s="1718">
        <v>295.9039997450713</v>
      </c>
      <c r="H8" s="1719">
        <v>254.12595754942174</v>
      </c>
      <c r="I8" s="1718">
        <v>294.81744719302395</v>
      </c>
      <c r="J8" s="1718">
        <v>351.25190403655745</v>
      </c>
      <c r="K8" s="1718">
        <v>388.7779893373953</v>
      </c>
      <c r="L8" s="1718">
        <v>359.76184854179513</v>
      </c>
      <c r="M8" s="1718">
        <v>305.04182163728194</v>
      </c>
      <c r="N8" s="1718">
        <v>266.82810694607872</v>
      </c>
      <c r="O8" s="1306">
        <v>226.78771352618583</v>
      </c>
      <c r="P8" s="1306">
        <v>199.23076923076923</v>
      </c>
      <c r="Q8" s="1306">
        <v>30</v>
      </c>
      <c r="R8" s="882">
        <f>SUM(F8:Q8)</f>
        <v>3233.5503497663726</v>
      </c>
      <c r="S8" s="882">
        <f>R8/12</f>
        <v>269.4625291471977</v>
      </c>
      <c r="T8" s="882">
        <f>S8/26</f>
        <v>10.363943428738374</v>
      </c>
      <c r="U8" s="883">
        <f>T!W7</f>
        <v>0</v>
      </c>
      <c r="V8" s="882">
        <f t="shared" ref="V8:V11" si="0">T8*U8</f>
        <v>0</v>
      </c>
      <c r="W8" s="502"/>
      <c r="X8" s="505"/>
      <c r="Y8" s="1708">
        <v>0</v>
      </c>
      <c r="Z8" s="883">
        <v>2</v>
      </c>
      <c r="AA8" s="1694">
        <v>2</v>
      </c>
      <c r="AB8" s="883">
        <v>1.5</v>
      </c>
      <c r="AC8" s="1694"/>
      <c r="AD8" s="883">
        <v>0</v>
      </c>
      <c r="AE8" s="883">
        <v>1</v>
      </c>
      <c r="AF8" s="883">
        <v>1</v>
      </c>
      <c r="AG8" s="883">
        <v>1</v>
      </c>
      <c r="AH8" s="1694"/>
      <c r="AI8" s="1694"/>
      <c r="AJ8" s="1694"/>
      <c r="AK8" s="1699">
        <f t="shared" ref="AK8:AK11" si="1">SUM(Y8:AJ8)</f>
        <v>8.5</v>
      </c>
    </row>
    <row r="9" spans="1:37" s="1441" customFormat="1" ht="54.75" customHeight="1">
      <c r="A9" s="502">
        <v>2</v>
      </c>
      <c r="B9" s="972" t="s">
        <v>1950</v>
      </c>
      <c r="C9" s="805" t="s">
        <v>1951</v>
      </c>
      <c r="D9" s="1485">
        <v>45098</v>
      </c>
      <c r="E9" s="880" t="s">
        <v>1317</v>
      </c>
      <c r="F9" s="1718">
        <v>261.02279202279203</v>
      </c>
      <c r="G9" s="1718">
        <v>297.07459710333808</v>
      </c>
      <c r="H9" s="1719">
        <v>215.32682088673803</v>
      </c>
      <c r="I9" s="1718">
        <v>308.69932711258463</v>
      </c>
      <c r="J9" s="1718">
        <v>409.79093678598622</v>
      </c>
      <c r="K9" s="1718">
        <v>480.01037699923836</v>
      </c>
      <c r="L9" s="1718">
        <v>449.20902804092458</v>
      </c>
      <c r="M9" s="1718">
        <v>340.56854531607007</v>
      </c>
      <c r="N9" s="1718">
        <v>259.9483699471034</v>
      </c>
      <c r="O9" s="1306">
        <v>250.16738090343094</v>
      </c>
      <c r="P9" s="1306">
        <v>199.23076923076923</v>
      </c>
      <c r="Q9" s="1306">
        <v>30</v>
      </c>
      <c r="R9" s="882">
        <f t="shared" ref="R9:R11" si="2">SUM(F9:Q9)</f>
        <v>3501.0489443489755</v>
      </c>
      <c r="S9" s="882">
        <f>R9/12</f>
        <v>291.75407869574798</v>
      </c>
      <c r="T9" s="882">
        <f t="shared" ref="T9:T11" si="3">S9/26</f>
        <v>11.22131071906723</v>
      </c>
      <c r="U9" s="883">
        <f>T!W8</f>
        <v>0</v>
      </c>
      <c r="V9" s="882">
        <f t="shared" si="0"/>
        <v>0</v>
      </c>
      <c r="W9" s="502"/>
      <c r="X9" s="505"/>
      <c r="Y9" s="1708">
        <v>0</v>
      </c>
      <c r="Z9" s="883">
        <v>1</v>
      </c>
      <c r="AA9" s="1694">
        <v>3</v>
      </c>
      <c r="AB9" s="883">
        <v>1.5</v>
      </c>
      <c r="AC9" s="1694"/>
      <c r="AD9" s="883">
        <v>0</v>
      </c>
      <c r="AE9" s="883">
        <v>0</v>
      </c>
      <c r="AF9" s="1694"/>
      <c r="AG9" s="883">
        <v>1</v>
      </c>
      <c r="AH9" s="1694"/>
      <c r="AI9" s="1694"/>
      <c r="AJ9" s="1694"/>
      <c r="AK9" s="1699">
        <f t="shared" si="1"/>
        <v>6.5</v>
      </c>
    </row>
    <row r="10" spans="1:37" s="1818" customFormat="1" ht="54.75" customHeight="1">
      <c r="A10" s="502">
        <v>3</v>
      </c>
      <c r="B10" s="1460" t="s">
        <v>1985</v>
      </c>
      <c r="C10" s="1435" t="s">
        <v>1986</v>
      </c>
      <c r="D10" s="1484">
        <v>45121</v>
      </c>
      <c r="E10" s="880" t="s">
        <v>1317</v>
      </c>
      <c r="F10" s="1718">
        <v>243.20086075455731</v>
      </c>
      <c r="G10" s="1718">
        <v>280.77568280673069</v>
      </c>
      <c r="H10" s="1719">
        <v>246.30358770711024</v>
      </c>
      <c r="I10" s="1718">
        <v>293.78797035423884</v>
      </c>
      <c r="J10" s="1718">
        <v>381.13918507235331</v>
      </c>
      <c r="K10" s="1718">
        <v>446.20818435494328</v>
      </c>
      <c r="L10" s="1718">
        <v>337.8277626818587</v>
      </c>
      <c r="M10" s="1718">
        <v>302.89070830159943</v>
      </c>
      <c r="N10" s="1718">
        <v>252.44787053815648</v>
      </c>
      <c r="O10" s="1306">
        <v>219.54309080085395</v>
      </c>
      <c r="P10" s="1306">
        <v>183.19230769230771</v>
      </c>
      <c r="Q10" s="1306">
        <v>30</v>
      </c>
      <c r="R10" s="882">
        <f t="shared" ref="R10" si="4">SUM(F10:Q10)</f>
        <v>3217.3172110647097</v>
      </c>
      <c r="S10" s="882">
        <f>R10/12</f>
        <v>268.10976758872579</v>
      </c>
      <c r="T10" s="882">
        <f t="shared" ref="T10" si="5">S10/26</f>
        <v>10.311914138027914</v>
      </c>
      <c r="U10" s="883">
        <f>T!W9</f>
        <v>0.5</v>
      </c>
      <c r="V10" s="882">
        <f t="shared" si="0"/>
        <v>5.1559570690139571</v>
      </c>
      <c r="W10" s="502"/>
      <c r="X10" s="505"/>
      <c r="Y10" s="1708">
        <v>2</v>
      </c>
      <c r="Z10" s="883">
        <v>2</v>
      </c>
      <c r="AA10" s="1694">
        <v>2.5</v>
      </c>
      <c r="AB10" s="883">
        <v>1.5</v>
      </c>
      <c r="AC10" s="1694"/>
      <c r="AD10" s="883">
        <v>1</v>
      </c>
      <c r="AE10" s="883">
        <v>1</v>
      </c>
      <c r="AF10" s="1694"/>
      <c r="AG10" s="883">
        <v>1</v>
      </c>
      <c r="AH10" s="1694"/>
      <c r="AI10" s="1694"/>
      <c r="AJ10" s="1694"/>
      <c r="AK10" s="1699">
        <f t="shared" ref="AK10" si="6">SUM(Y10:AJ10)</f>
        <v>11</v>
      </c>
    </row>
    <row r="11" spans="1:37" s="1090" customFormat="1" ht="54.75" customHeight="1">
      <c r="A11" s="502">
        <v>4</v>
      </c>
      <c r="B11" s="626" t="s">
        <v>2335</v>
      </c>
      <c r="C11" s="625" t="s">
        <v>2297</v>
      </c>
      <c r="D11" s="1473">
        <v>42829</v>
      </c>
      <c r="E11" s="1820" t="s">
        <v>1113</v>
      </c>
      <c r="F11" s="1719">
        <v>276.56149097815768</v>
      </c>
      <c r="G11" s="1719">
        <v>292.5631623792998</v>
      </c>
      <c r="H11" s="1719">
        <v>300.51443098148923</v>
      </c>
      <c r="I11" s="1719">
        <v>194.78003153457544</v>
      </c>
      <c r="J11" s="1788" t="s">
        <v>1102</v>
      </c>
      <c r="K11" s="1788" t="s">
        <v>1102</v>
      </c>
      <c r="L11" s="1719">
        <v>220.75056264647409</v>
      </c>
      <c r="M11" s="1719">
        <v>386.83320051153845</v>
      </c>
      <c r="N11" s="1718">
        <v>348.90419872494306</v>
      </c>
      <c r="O11" s="1306">
        <v>360.84559234149702</v>
      </c>
      <c r="P11" s="1306">
        <v>272.73925061425064</v>
      </c>
      <c r="Q11" s="1306">
        <v>30</v>
      </c>
      <c r="R11" s="882">
        <f t="shared" si="2"/>
        <v>2684.4919207122252</v>
      </c>
      <c r="S11" s="882">
        <f>R11/10</f>
        <v>268.44919207122251</v>
      </c>
      <c r="T11" s="882">
        <f t="shared" si="3"/>
        <v>10.32496892581625</v>
      </c>
      <c r="U11" s="883">
        <f>T!W10</f>
        <v>0</v>
      </c>
      <c r="V11" s="882">
        <f t="shared" si="0"/>
        <v>0</v>
      </c>
      <c r="W11" s="502"/>
      <c r="X11" s="505"/>
      <c r="Y11" s="1708"/>
      <c r="Z11" s="883"/>
      <c r="AA11" s="1694"/>
      <c r="AB11" s="883"/>
      <c r="AC11" s="1694"/>
      <c r="AD11" s="883"/>
      <c r="AE11" s="883"/>
      <c r="AF11" s="1694"/>
      <c r="AG11" s="883">
        <v>1</v>
      </c>
      <c r="AH11" s="1694"/>
      <c r="AI11" s="1694"/>
      <c r="AJ11" s="1694"/>
      <c r="AK11" s="1699">
        <f t="shared" si="1"/>
        <v>1</v>
      </c>
    </row>
    <row r="12" spans="1:37" s="871" customFormat="1" ht="38.25" customHeight="1">
      <c r="A12" s="2142"/>
      <c r="B12" s="2142"/>
      <c r="C12" s="2142"/>
      <c r="D12" s="2142"/>
      <c r="E12" s="2142"/>
      <c r="F12" s="2142"/>
      <c r="G12" s="2142"/>
      <c r="H12" s="2142"/>
      <c r="I12" s="2142"/>
      <c r="J12" s="2142"/>
      <c r="K12" s="2141"/>
      <c r="L12" s="2141"/>
      <c r="M12" s="2141"/>
      <c r="N12" s="2141"/>
      <c r="O12" s="2141"/>
      <c r="P12" s="2141"/>
      <c r="Q12" s="2141"/>
      <c r="R12" s="2142"/>
      <c r="S12" s="868"/>
      <c r="T12" s="869"/>
      <c r="U12" s="917"/>
      <c r="V12" s="952">
        <f>SUM(V8:V11)</f>
        <v>5.1559570690139571</v>
      </c>
      <c r="W12" s="504"/>
      <c r="X12" s="842"/>
    </row>
    <row r="13" spans="1:37" s="871" customFormat="1" ht="15.75">
      <c r="A13" s="842"/>
      <c r="B13" s="842"/>
      <c r="C13" s="842"/>
      <c r="D13" s="567"/>
      <c r="E13" s="842"/>
      <c r="F13" s="934"/>
      <c r="G13" s="934"/>
      <c r="H13" s="934"/>
      <c r="I13" s="934"/>
      <c r="J13" s="934"/>
      <c r="K13" s="934"/>
      <c r="L13" s="934"/>
      <c r="M13" s="934"/>
      <c r="N13" s="934"/>
      <c r="O13" s="934"/>
      <c r="P13" s="934"/>
      <c r="Q13" s="934"/>
      <c r="R13" s="870"/>
      <c r="S13" s="897"/>
      <c r="T13" s="870"/>
      <c r="U13" s="896"/>
      <c r="V13" s="896"/>
      <c r="W13" s="842"/>
      <c r="X13" s="842"/>
    </row>
    <row r="14" spans="1:37" s="871" customFormat="1" ht="27" customHeight="1">
      <c r="A14" s="2132" t="s">
        <v>1155</v>
      </c>
      <c r="B14" s="2132"/>
      <c r="C14" s="2132"/>
      <c r="D14" s="872"/>
      <c r="F14" s="921"/>
      <c r="G14" s="921"/>
      <c r="H14" s="2186" t="s">
        <v>1156</v>
      </c>
      <c r="I14" s="2186"/>
      <c r="J14" s="2186"/>
      <c r="K14" s="2186"/>
      <c r="L14" s="921"/>
      <c r="M14" s="921"/>
      <c r="N14" s="921"/>
      <c r="O14" s="921"/>
      <c r="P14" s="921"/>
      <c r="Q14" s="921"/>
      <c r="R14" s="2133" t="s">
        <v>1157</v>
      </c>
      <c r="S14" s="2133"/>
      <c r="T14" s="2133"/>
      <c r="U14" s="898"/>
      <c r="V14" s="898"/>
      <c r="X14" s="843"/>
    </row>
  </sheetData>
  <mergeCells count="11">
    <mergeCell ref="A1:T1"/>
    <mergeCell ref="A2:T2"/>
    <mergeCell ref="A3:T3"/>
    <mergeCell ref="A4:T4"/>
    <mergeCell ref="A5:C5"/>
    <mergeCell ref="L5:R5"/>
    <mergeCell ref="F6:Q6"/>
    <mergeCell ref="A12:R12"/>
    <mergeCell ref="A14:C14"/>
    <mergeCell ref="H14:K14"/>
    <mergeCell ref="R14:T14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L17"/>
  <sheetViews>
    <sheetView view="pageBreakPreview" topLeftCell="A3" zoomScale="80" zoomScaleNormal="100" zoomScaleSheetLayoutView="80" workbookViewId="0">
      <pane xSplit="6" ySplit="4" topLeftCell="G11" activePane="bottomRight" state="frozen"/>
      <selection activeCell="C4" sqref="C4"/>
      <selection pane="topRight" activeCell="C4" sqref="C4"/>
      <selection pane="bottomLeft" activeCell="C4" sqref="C4"/>
      <selection pane="bottomRight" activeCell="Q11" sqref="Q11"/>
    </sheetView>
  </sheetViews>
  <sheetFormatPr defaultRowHeight="15.75"/>
  <cols>
    <col min="1" max="1" width="4.625" style="544" customWidth="1"/>
    <col min="2" max="2" width="10.75" style="755" customWidth="1"/>
    <col min="3" max="3" width="11.875" style="555" customWidth="1"/>
    <col min="4" max="4" width="11.75" style="555" customWidth="1"/>
    <col min="5" max="5" width="9" style="544" customWidth="1"/>
    <col min="6" max="6" width="8.375" style="556" customWidth="1"/>
    <col min="7" max="7" width="5.75" style="544" customWidth="1"/>
    <col min="8" max="8" width="5.5" style="544" customWidth="1"/>
    <col min="9" max="9" width="8.375" style="544" customWidth="1"/>
    <col min="10" max="10" width="9.125" style="544" customWidth="1"/>
    <col min="11" max="11" width="5.75" style="544" customWidth="1"/>
    <col min="12" max="12" width="6.125" style="544" customWidth="1"/>
    <col min="13" max="13" width="8.375" style="544" customWidth="1"/>
    <col min="14" max="14" width="5" style="544" customWidth="1"/>
    <col min="15" max="15" width="5.625" style="544" customWidth="1"/>
    <col min="16" max="16" width="7" style="544" customWidth="1"/>
    <col min="17" max="17" width="5.125" style="544" customWidth="1"/>
    <col min="18" max="18" width="5.625" style="544" customWidth="1"/>
    <col min="19" max="19" width="8.75" style="544" customWidth="1"/>
    <col min="20" max="20" width="5.125" style="544" customWidth="1"/>
    <col min="21" max="21" width="5.75" style="544" customWidth="1"/>
    <col min="22" max="22" width="9.375" style="544" customWidth="1"/>
    <col min="23" max="23" width="6.375" style="544" customWidth="1"/>
    <col min="24" max="24" width="8.75" style="544" customWidth="1"/>
    <col min="25" max="25" width="5.375" style="544" customWidth="1"/>
    <col min="26" max="26" width="5.625" style="544" customWidth="1"/>
    <col min="27" max="27" width="9.25" style="544" customWidth="1"/>
    <col min="28" max="28" width="5.5" style="544" customWidth="1"/>
    <col min="29" max="29" width="6.25" style="544" customWidth="1"/>
    <col min="30" max="30" width="8.125" style="544" customWidth="1"/>
    <col min="31" max="31" width="7.625" style="544" customWidth="1"/>
    <col min="32" max="33" width="6.25" style="544" customWidth="1"/>
    <col min="34" max="34" width="7.125" style="544" customWidth="1"/>
    <col min="35" max="35" width="7.5" style="544" customWidth="1"/>
    <col min="36" max="36" width="7.125" style="544" customWidth="1"/>
    <col min="37" max="37" width="7.625" style="544" customWidth="1"/>
    <col min="38" max="38" width="12.875" style="544" customWidth="1"/>
    <col min="39" max="39" width="7.875" style="544" customWidth="1"/>
    <col min="40" max="40" width="9.875" style="544" customWidth="1"/>
    <col min="41" max="41" width="7.375" style="544" customWidth="1"/>
    <col min="42" max="42" width="8.25" style="544" customWidth="1"/>
    <col min="43" max="43" width="10.75" style="544" customWidth="1"/>
    <col min="44" max="44" width="15.125" style="544" customWidth="1"/>
    <col min="45" max="45" width="10.25" style="544" customWidth="1"/>
    <col min="46" max="46" width="19.875" style="544" customWidth="1"/>
    <col min="47" max="47" width="15.25" style="544" customWidth="1"/>
    <col min="48" max="48" width="10.5" style="544" hidden="1" customWidth="1"/>
    <col min="49" max="50" width="9" style="544"/>
    <col min="51" max="53" width="8.875" style="544" customWidth="1"/>
    <col min="54" max="54" width="8.75" style="544" customWidth="1"/>
    <col min="55" max="59" width="9" style="544"/>
    <col min="60" max="60" width="16" style="544" customWidth="1"/>
    <col min="61" max="61" width="9" style="544"/>
    <col min="62" max="64" width="14" style="544" customWidth="1"/>
    <col min="65" max="16384" width="9" style="544"/>
  </cols>
  <sheetData>
    <row r="1" spans="1:64" s="541" customFormat="1" ht="29.25" customHeight="1">
      <c r="A1" s="2110" t="s">
        <v>222</v>
      </c>
      <c r="B1" s="2110"/>
      <c r="C1" s="2110"/>
      <c r="D1" s="2110"/>
      <c r="E1" s="2110"/>
      <c r="F1" s="2110"/>
      <c r="G1" s="2110"/>
      <c r="H1" s="2110"/>
      <c r="I1" s="2110"/>
      <c r="J1" s="2110"/>
      <c r="K1" s="2110"/>
      <c r="L1" s="2110"/>
      <c r="M1" s="2110"/>
      <c r="N1" s="2110"/>
      <c r="O1" s="2110"/>
      <c r="P1" s="2110"/>
      <c r="Q1" s="2110"/>
      <c r="R1" s="2110"/>
      <c r="S1" s="2110"/>
      <c r="T1" s="2110"/>
      <c r="U1" s="2110"/>
      <c r="V1" s="2110"/>
      <c r="W1" s="2110"/>
      <c r="X1" s="2110"/>
      <c r="Y1" s="2110"/>
      <c r="Z1" s="2110"/>
      <c r="AA1" s="2110"/>
      <c r="AB1" s="2110"/>
      <c r="AC1" s="2110"/>
      <c r="AD1" s="2110"/>
      <c r="AE1" s="2110"/>
      <c r="AF1" s="2110"/>
      <c r="AG1" s="2110"/>
      <c r="AH1" s="2110"/>
      <c r="AI1" s="2110"/>
      <c r="AJ1" s="2110"/>
      <c r="AK1" s="2110"/>
      <c r="AL1" s="2110"/>
      <c r="AM1" s="2110"/>
      <c r="AN1" s="2110"/>
      <c r="AO1" s="2110"/>
      <c r="AP1" s="2110"/>
      <c r="AQ1" s="2110"/>
      <c r="AR1" s="2110"/>
      <c r="AS1" s="2110"/>
      <c r="AT1" s="2110"/>
      <c r="AU1" s="751"/>
    </row>
    <row r="2" spans="1:64" s="541" customFormat="1" ht="20.25" customHeight="1">
      <c r="A2" s="2110" t="s">
        <v>221</v>
      </c>
      <c r="B2" s="2110"/>
      <c r="C2" s="2110"/>
      <c r="D2" s="2110"/>
      <c r="E2" s="2110"/>
      <c r="F2" s="2110"/>
      <c r="G2" s="2110"/>
      <c r="H2" s="2110"/>
      <c r="I2" s="2110"/>
      <c r="J2" s="2110"/>
      <c r="K2" s="2110"/>
      <c r="L2" s="2110"/>
      <c r="M2" s="2110"/>
      <c r="N2" s="2110"/>
      <c r="O2" s="2110"/>
      <c r="P2" s="2110"/>
      <c r="Q2" s="2110"/>
      <c r="R2" s="2110"/>
      <c r="S2" s="2110"/>
      <c r="T2" s="2110"/>
      <c r="U2" s="2110"/>
      <c r="V2" s="2110"/>
      <c r="W2" s="2110"/>
      <c r="X2" s="2110"/>
      <c r="Y2" s="2110"/>
      <c r="Z2" s="2110"/>
      <c r="AA2" s="2110"/>
      <c r="AB2" s="2110"/>
      <c r="AC2" s="2110"/>
      <c r="AD2" s="2110"/>
      <c r="AE2" s="2110"/>
      <c r="AF2" s="2110"/>
      <c r="AG2" s="2110"/>
      <c r="AH2" s="2110"/>
      <c r="AI2" s="2110"/>
      <c r="AJ2" s="2110"/>
      <c r="AK2" s="2110"/>
      <c r="AL2" s="2110"/>
      <c r="AM2" s="2110"/>
      <c r="AN2" s="2110"/>
      <c r="AO2" s="2110"/>
      <c r="AP2" s="2110"/>
      <c r="AQ2" s="2110"/>
      <c r="AR2" s="2110"/>
      <c r="AS2" s="2110"/>
      <c r="AT2" s="2110"/>
      <c r="AU2" s="751"/>
    </row>
    <row r="3" spans="1:64" s="541" customFormat="1" ht="19.5" customHeight="1">
      <c r="A3" s="2111" t="s">
        <v>2342</v>
      </c>
      <c r="B3" s="2111"/>
      <c r="C3" s="2111"/>
      <c r="D3" s="2111"/>
      <c r="E3" s="2111"/>
      <c r="F3" s="2111"/>
      <c r="G3" s="2111"/>
      <c r="H3" s="2111"/>
      <c r="I3" s="2111"/>
      <c r="J3" s="2111"/>
      <c r="K3" s="2111"/>
      <c r="L3" s="2111"/>
      <c r="M3" s="2111"/>
      <c r="N3" s="2111"/>
      <c r="O3" s="2111"/>
      <c r="P3" s="2111"/>
      <c r="Q3" s="2111"/>
      <c r="R3" s="2111"/>
      <c r="S3" s="2111"/>
      <c r="T3" s="2111"/>
      <c r="U3" s="2111"/>
      <c r="V3" s="2111"/>
      <c r="W3" s="2111"/>
      <c r="X3" s="2111"/>
      <c r="Y3" s="2111"/>
      <c r="Z3" s="2111"/>
      <c r="AA3" s="2111"/>
      <c r="AB3" s="2111"/>
      <c r="AC3" s="2111"/>
      <c r="AD3" s="2111"/>
      <c r="AE3" s="2111"/>
      <c r="AF3" s="2111"/>
      <c r="AG3" s="2111"/>
      <c r="AH3" s="2111"/>
      <c r="AI3" s="2111"/>
      <c r="AJ3" s="2111"/>
      <c r="AK3" s="2111"/>
      <c r="AL3" s="2111"/>
      <c r="AM3" s="2111"/>
      <c r="AN3" s="2111"/>
      <c r="AO3" s="2111"/>
      <c r="AP3" s="2111"/>
      <c r="AQ3" s="2111"/>
      <c r="AR3" s="2111"/>
      <c r="AS3" s="2111"/>
      <c r="AT3" s="2111"/>
      <c r="AU3" s="752"/>
    </row>
    <row r="4" spans="1:64" s="1040" customFormat="1" ht="20.25" customHeight="1">
      <c r="A4" s="1373" t="s">
        <v>371</v>
      </c>
      <c r="B4" s="1373"/>
      <c r="C4" s="2091" t="s">
        <v>2341</v>
      </c>
      <c r="D4" s="2092"/>
      <c r="E4" s="2092"/>
      <c r="F4" s="2092"/>
      <c r="G4" s="1373"/>
      <c r="H4" s="1373"/>
      <c r="I4" s="1373"/>
      <c r="J4" s="1373"/>
      <c r="K4" s="1373"/>
      <c r="L4" s="1373"/>
      <c r="M4" s="1373"/>
      <c r="N4" s="1373"/>
      <c r="O4" s="1373"/>
      <c r="P4" s="1373"/>
      <c r="Q4" s="1373"/>
      <c r="R4" s="1373"/>
      <c r="S4" s="1373"/>
      <c r="T4" s="1373"/>
      <c r="U4" s="1373"/>
      <c r="V4" s="1373"/>
      <c r="W4" s="1373"/>
      <c r="X4" s="1373"/>
      <c r="Y4" s="1373"/>
      <c r="Z4" s="1373"/>
      <c r="AA4" s="1373"/>
      <c r="AB4" s="1373"/>
      <c r="AC4" s="1373"/>
      <c r="AD4" s="1373"/>
      <c r="AE4" s="1373"/>
      <c r="AF4" s="1373"/>
      <c r="AG4" s="1373"/>
      <c r="AH4" s="1373"/>
      <c r="AI4" s="1373"/>
      <c r="AJ4" s="1373"/>
      <c r="AK4" s="1373"/>
      <c r="AL4" s="1373"/>
      <c r="AM4" s="1373"/>
      <c r="AN4" s="1373"/>
      <c r="AO4" s="1373"/>
      <c r="AP4" s="1373"/>
      <c r="AQ4" s="1373"/>
      <c r="AR4" s="1373"/>
      <c r="AS4" s="1373"/>
      <c r="AT4" s="1373"/>
      <c r="AU4" s="1372"/>
      <c r="AW4" s="2075" t="s">
        <v>472</v>
      </c>
      <c r="AX4" s="2075"/>
      <c r="AY4" s="2075"/>
      <c r="AZ4" s="2075"/>
      <c r="BA4" s="2075"/>
      <c r="BB4" s="2075"/>
      <c r="BC4" s="2075"/>
      <c r="BD4" s="2075"/>
      <c r="BE4" s="2075"/>
      <c r="BF4" s="2075"/>
    </row>
    <row r="5" spans="1:64" ht="69.95" customHeight="1">
      <c r="A5" s="722" t="s">
        <v>252</v>
      </c>
      <c r="B5" s="722" t="s">
        <v>253</v>
      </c>
      <c r="C5" s="722" t="s">
        <v>911</v>
      </c>
      <c r="D5" s="722" t="s">
        <v>254</v>
      </c>
      <c r="E5" s="1138" t="s">
        <v>227</v>
      </c>
      <c r="F5" s="724" t="s">
        <v>255</v>
      </c>
      <c r="G5" s="643" t="s">
        <v>256</v>
      </c>
      <c r="H5" s="2120" t="s">
        <v>1748</v>
      </c>
      <c r="I5" s="2094"/>
      <c r="J5" s="2095"/>
      <c r="K5" s="2120" t="s">
        <v>1734</v>
      </c>
      <c r="L5" s="2094"/>
      <c r="M5" s="2095"/>
      <c r="N5" s="2120" t="s">
        <v>1749</v>
      </c>
      <c r="O5" s="2094"/>
      <c r="P5" s="2095"/>
      <c r="Q5" s="2120" t="s">
        <v>1760</v>
      </c>
      <c r="R5" s="2094"/>
      <c r="S5" s="2095"/>
      <c r="T5" s="2117" t="s">
        <v>1775</v>
      </c>
      <c r="U5" s="2118"/>
      <c r="V5" s="2119"/>
      <c r="W5" s="2102" t="s">
        <v>1674</v>
      </c>
      <c r="X5" s="2103"/>
      <c r="Y5" s="2093" t="s">
        <v>1675</v>
      </c>
      <c r="Z5" s="2094"/>
      <c r="AA5" s="2095"/>
      <c r="AB5" s="2096" t="s">
        <v>1739</v>
      </c>
      <c r="AC5" s="1126" t="s">
        <v>258</v>
      </c>
      <c r="AD5" s="2098" t="s">
        <v>220</v>
      </c>
      <c r="AE5" s="1117" t="s">
        <v>1835</v>
      </c>
      <c r="AF5" s="2100" t="s">
        <v>1840</v>
      </c>
      <c r="AG5" s="1268" t="s">
        <v>1832</v>
      </c>
      <c r="AH5" s="2080" t="s">
        <v>1666</v>
      </c>
      <c r="AI5" s="2080" t="s">
        <v>1665</v>
      </c>
      <c r="AJ5" s="2076" t="s">
        <v>1767</v>
      </c>
      <c r="AK5" s="2078" t="s">
        <v>1774</v>
      </c>
      <c r="AL5" s="2114" t="s">
        <v>1742</v>
      </c>
      <c r="AM5" s="2084" t="s">
        <v>1668</v>
      </c>
      <c r="AN5" s="2121" t="s">
        <v>1669</v>
      </c>
      <c r="AO5" s="2116" t="s">
        <v>1670</v>
      </c>
      <c r="AP5" s="2089" t="s">
        <v>1805</v>
      </c>
      <c r="AQ5" s="2112" t="s">
        <v>1936</v>
      </c>
      <c r="AR5" s="2112"/>
      <c r="AS5" s="2113"/>
      <c r="AT5" s="2153" t="s">
        <v>1672</v>
      </c>
      <c r="AU5" s="543"/>
      <c r="AV5" s="501"/>
      <c r="AW5" s="2081" t="s">
        <v>219</v>
      </c>
      <c r="AX5" s="2082"/>
      <c r="AY5" s="2083"/>
      <c r="AZ5" s="750"/>
      <c r="BA5" s="750"/>
      <c r="BB5" s="2086"/>
      <c r="BC5" s="2086"/>
      <c r="BD5" s="2086"/>
      <c r="BE5" s="2086"/>
      <c r="BF5" s="2087"/>
      <c r="BH5" s="690" t="s">
        <v>789</v>
      </c>
      <c r="BI5" s="2156" t="s">
        <v>568</v>
      </c>
      <c r="BJ5" s="2156" t="s">
        <v>569</v>
      </c>
      <c r="BK5" s="2156" t="s">
        <v>570</v>
      </c>
      <c r="BL5" s="2158" t="s">
        <v>713</v>
      </c>
    </row>
    <row r="6" spans="1:64" ht="99.95" customHeight="1">
      <c r="A6" s="725" t="s">
        <v>111</v>
      </c>
      <c r="B6" s="725" t="s">
        <v>1732</v>
      </c>
      <c r="C6" s="725" t="s">
        <v>1741</v>
      </c>
      <c r="D6" s="725" t="s">
        <v>1698</v>
      </c>
      <c r="E6" s="607" t="s">
        <v>1655</v>
      </c>
      <c r="F6" s="1124" t="s">
        <v>1641</v>
      </c>
      <c r="G6" s="607" t="s">
        <v>1656</v>
      </c>
      <c r="H6" s="545" t="s">
        <v>1657</v>
      </c>
      <c r="I6" s="546" t="s">
        <v>1658</v>
      </c>
      <c r="J6" s="546" t="s">
        <v>1644</v>
      </c>
      <c r="K6" s="1142" t="s">
        <v>1679</v>
      </c>
      <c r="L6" s="546" t="s">
        <v>1681</v>
      </c>
      <c r="M6" s="546" t="s">
        <v>1662</v>
      </c>
      <c r="N6" s="1142" t="s">
        <v>1660</v>
      </c>
      <c r="O6" s="546" t="s">
        <v>1681</v>
      </c>
      <c r="P6" s="546" t="s">
        <v>1745</v>
      </c>
      <c r="Q6" s="547" t="s">
        <v>1660</v>
      </c>
      <c r="R6" s="546" t="s">
        <v>1681</v>
      </c>
      <c r="S6" s="546" t="s">
        <v>1662</v>
      </c>
      <c r="T6" s="1143" t="s">
        <v>1682</v>
      </c>
      <c r="U6" s="546" t="s">
        <v>1661</v>
      </c>
      <c r="V6" s="546" t="s">
        <v>1662</v>
      </c>
      <c r="W6" s="546" t="s">
        <v>1683</v>
      </c>
      <c r="X6" s="546" t="s">
        <v>1663</v>
      </c>
      <c r="Y6" s="546" t="s">
        <v>1649</v>
      </c>
      <c r="Z6" s="546" t="s">
        <v>1661</v>
      </c>
      <c r="AA6" s="546" t="s">
        <v>1650</v>
      </c>
      <c r="AB6" s="2097"/>
      <c r="AC6" s="1127" t="s">
        <v>1651</v>
      </c>
      <c r="AD6" s="2099"/>
      <c r="AE6" s="1118" t="s">
        <v>1678</v>
      </c>
      <c r="AF6" s="2101"/>
      <c r="AG6" s="1269" t="s">
        <v>1833</v>
      </c>
      <c r="AH6" s="2077"/>
      <c r="AI6" s="2077"/>
      <c r="AJ6" s="2077"/>
      <c r="AK6" s="2079"/>
      <c r="AL6" s="2115"/>
      <c r="AM6" s="2085"/>
      <c r="AN6" s="2122"/>
      <c r="AO6" s="2116"/>
      <c r="AP6" s="2090"/>
      <c r="AQ6" s="1135" t="s">
        <v>1671</v>
      </c>
      <c r="AR6" s="1134" t="s">
        <v>1707</v>
      </c>
      <c r="AS6" s="1136" t="s">
        <v>1702</v>
      </c>
      <c r="AT6" s="2153"/>
      <c r="AU6" s="543"/>
      <c r="AV6" s="501"/>
      <c r="AW6" s="539" t="s">
        <v>215</v>
      </c>
      <c r="AX6" s="539" t="s">
        <v>217</v>
      </c>
      <c r="AY6" s="573" t="s">
        <v>125</v>
      </c>
      <c r="AZ6" s="502" t="s">
        <v>728</v>
      </c>
      <c r="BA6" s="502" t="s">
        <v>729</v>
      </c>
      <c r="BB6" s="548" t="s">
        <v>723</v>
      </c>
      <c r="BC6" s="548" t="s">
        <v>732</v>
      </c>
      <c r="BD6" s="548" t="s">
        <v>731</v>
      </c>
      <c r="BE6" s="548" t="s">
        <v>215</v>
      </c>
      <c r="BF6" s="549" t="s">
        <v>125</v>
      </c>
      <c r="BH6" s="730" t="s">
        <v>761</v>
      </c>
      <c r="BI6" s="2157"/>
      <c r="BJ6" s="2157"/>
      <c r="BK6" s="2157"/>
      <c r="BL6" s="2173"/>
    </row>
    <row r="7" spans="1:64" s="755" customFormat="1" ht="60" customHeight="1">
      <c r="A7" s="1369">
        <v>1</v>
      </c>
      <c r="B7" s="1577" t="s">
        <v>2077</v>
      </c>
      <c r="C7" s="1079" t="s">
        <v>1889</v>
      </c>
      <c r="D7" s="1475">
        <v>45038</v>
      </c>
      <c r="E7" s="1636" t="s">
        <v>1317</v>
      </c>
      <c r="F7" s="617">
        <f>200+4</f>
        <v>204</v>
      </c>
      <c r="G7" s="619">
        <v>0</v>
      </c>
      <c r="H7" s="1001">
        <v>21.5</v>
      </c>
      <c r="I7" s="1408">
        <f t="shared" ref="I7:I10" si="0">F7/26*H7</f>
        <v>168.69230769230768</v>
      </c>
      <c r="J7" s="618">
        <f t="shared" ref="J7:J10" si="1">F7/26*H7</f>
        <v>168.69230769230768</v>
      </c>
      <c r="K7" s="1001">
        <v>56</v>
      </c>
      <c r="L7" s="510">
        <f t="shared" ref="L7:L10" si="2">F7/26/8*1.5</f>
        <v>1.471153846153846</v>
      </c>
      <c r="M7" s="618">
        <f t="shared" ref="M7:M10" si="3">K7*L7</f>
        <v>82.384615384615373</v>
      </c>
      <c r="N7" s="1001">
        <v>0</v>
      </c>
      <c r="O7" s="510">
        <f t="shared" ref="O7:O10" si="4">F7/26/8*2</f>
        <v>1.9615384615384615</v>
      </c>
      <c r="P7" s="503">
        <f t="shared" ref="P7:P10" si="5">N7*O7</f>
        <v>0</v>
      </c>
      <c r="Q7" s="1001">
        <v>24</v>
      </c>
      <c r="R7" s="510">
        <f t="shared" ref="R7:R10" si="6">F7/26/8*2</f>
        <v>1.9615384615384615</v>
      </c>
      <c r="S7" s="618">
        <f t="shared" ref="S7:S10" si="7">R7*Q7</f>
        <v>47.076923076923073</v>
      </c>
      <c r="T7" s="1001">
        <v>5.5</v>
      </c>
      <c r="U7" s="510">
        <f t="shared" ref="U7:U10" si="8">F7/26</f>
        <v>7.8461538461538458</v>
      </c>
      <c r="V7" s="618">
        <f t="shared" ref="V7:V10" si="9">U7*T7</f>
        <v>43.153846153846153</v>
      </c>
      <c r="W7" s="1001">
        <v>0</v>
      </c>
      <c r="X7" s="618">
        <f>'T Salary'!T8*T!W7</f>
        <v>0</v>
      </c>
      <c r="Y7" s="1001">
        <v>0</v>
      </c>
      <c r="Z7" s="510">
        <f t="shared" ref="Z7:Z10" si="10">F7/26/2</f>
        <v>3.9230769230769229</v>
      </c>
      <c r="AA7" s="618">
        <f t="shared" ref="AA7:AA10" si="11">Y7*Z7</f>
        <v>0</v>
      </c>
      <c r="AB7" s="1001">
        <v>0</v>
      </c>
      <c r="AC7" s="1468">
        <f>H7+T7+Y7+AB7+W7</f>
        <v>27</v>
      </c>
      <c r="AD7" s="1724">
        <v>0</v>
      </c>
      <c r="AE7" s="1121">
        <v>0</v>
      </c>
      <c r="AF7" s="1629">
        <v>0</v>
      </c>
      <c r="AG7" s="511">
        <v>0</v>
      </c>
      <c r="AH7" s="618">
        <v>10</v>
      </c>
      <c r="AI7" s="1410">
        <v>2</v>
      </c>
      <c r="AJ7" s="1410">
        <v>10</v>
      </c>
      <c r="AK7" s="1410">
        <v>10</v>
      </c>
      <c r="AL7" s="1928">
        <f t="shared" ref="AL7:AL10" si="12">G7+J7+M7+P7+S7+V7+AA7+AD7+AF7+AH7+AI7+AJ7+AK7+X7+AE7+AG7</f>
        <v>373.30769230769226</v>
      </c>
      <c r="AM7" s="1631">
        <v>0.5</v>
      </c>
      <c r="AN7" s="1018">
        <v>102</v>
      </c>
      <c r="AO7" s="1096">
        <f>'Tax Calulation        '!P7</f>
        <v>0</v>
      </c>
      <c r="AP7" s="1148">
        <f>'Tax Calulation        '!W7</f>
        <v>5.9084194977843429</v>
      </c>
      <c r="AQ7" s="1686">
        <f t="shared" ref="AQ7:AQ10" si="13">AL7-AO7-AN7-AP7-AM7</f>
        <v>264.89927280990793</v>
      </c>
      <c r="AR7" s="1682">
        <f>ROUND((AQ7-AS7)*4040,-2)</f>
        <v>262200</v>
      </c>
      <c r="AS7" s="1683">
        <f t="shared" ref="AS7:AS9" si="14">CEILING(AQ7,(100))-100</f>
        <v>200</v>
      </c>
      <c r="AT7" s="502"/>
      <c r="AU7" s="504"/>
      <c r="AV7" s="505">
        <f>(J7+M7+P7+S7+V7+AA7+AH7+AI7+AJ7+AK7)*4000</f>
        <v>1493230.769230769</v>
      </c>
      <c r="AW7" s="502">
        <f>INT(AS7/100)</f>
        <v>2</v>
      </c>
      <c r="AX7" s="502">
        <f>INT((AS7-AW7*100)/50)</f>
        <v>0</v>
      </c>
      <c r="AY7" s="1113">
        <f t="shared" ref="AY7:AY9" si="15">AW7*100+AX7*50</f>
        <v>200</v>
      </c>
      <c r="AZ7" s="1113">
        <f>INT((AR7/50000))</f>
        <v>5</v>
      </c>
      <c r="BA7" s="548">
        <f>INT((AR7-AZ7*50000)/10000)</f>
        <v>1</v>
      </c>
      <c r="BB7" s="548">
        <f>INT((AR7-AZ7*50000-BA7*10000)/5000)</f>
        <v>0</v>
      </c>
      <c r="BC7" s="548">
        <f>INT((AR7-AZ7*50000-BA7*10000-BB7*5000)/1000)</f>
        <v>2</v>
      </c>
      <c r="BD7" s="548">
        <f>INT((AR7-AZ7*50000-BA7*10000-BB7*5000-BC7*1000)/500)</f>
        <v>0</v>
      </c>
      <c r="BE7" s="548">
        <f>INT((AR7-AZ7*50000-BA7*10000-BB7*5000-BC7*1000-BD7*500)/100)</f>
        <v>2</v>
      </c>
      <c r="BF7" s="549">
        <f t="shared" ref="BF7:BF9" si="16">AZ7*50000+BA7*10000+BB7*5000+BC7*1000+BD7*500+BE7*100</f>
        <v>262200</v>
      </c>
      <c r="BH7" s="578" t="s">
        <v>1890</v>
      </c>
      <c r="BI7" s="578" t="s">
        <v>572</v>
      </c>
      <c r="BJ7" s="1385">
        <v>37364</v>
      </c>
      <c r="BK7" s="1386" t="s">
        <v>1882</v>
      </c>
      <c r="BL7" s="1396" t="s">
        <v>1903</v>
      </c>
    </row>
    <row r="8" spans="1:64" s="755" customFormat="1" ht="60" customHeight="1">
      <c r="A8" s="1369">
        <v>2</v>
      </c>
      <c r="B8" s="1577" t="s">
        <v>1950</v>
      </c>
      <c r="C8" s="1079" t="s">
        <v>1951</v>
      </c>
      <c r="D8" s="1475">
        <v>45098</v>
      </c>
      <c r="E8" s="1636" t="s">
        <v>1317</v>
      </c>
      <c r="F8" s="617">
        <f>200+4</f>
        <v>204</v>
      </c>
      <c r="G8" s="619">
        <v>0</v>
      </c>
      <c r="H8" s="1001">
        <v>22</v>
      </c>
      <c r="I8" s="1408">
        <f t="shared" si="0"/>
        <v>172.61538461538461</v>
      </c>
      <c r="J8" s="618">
        <f t="shared" si="1"/>
        <v>172.61538461538461</v>
      </c>
      <c r="K8" s="1001">
        <v>60</v>
      </c>
      <c r="L8" s="510">
        <f t="shared" si="2"/>
        <v>1.471153846153846</v>
      </c>
      <c r="M8" s="618">
        <f t="shared" si="3"/>
        <v>88.269230769230759</v>
      </c>
      <c r="N8" s="1001">
        <v>0</v>
      </c>
      <c r="O8" s="510">
        <f t="shared" si="4"/>
        <v>1.9615384615384615</v>
      </c>
      <c r="P8" s="503">
        <f t="shared" si="5"/>
        <v>0</v>
      </c>
      <c r="Q8" s="1001">
        <v>24</v>
      </c>
      <c r="R8" s="510">
        <f t="shared" si="6"/>
        <v>1.9615384615384615</v>
      </c>
      <c r="S8" s="618">
        <f t="shared" si="7"/>
        <v>47.076923076923073</v>
      </c>
      <c r="T8" s="1001">
        <v>5</v>
      </c>
      <c r="U8" s="510">
        <f t="shared" si="8"/>
        <v>7.8461538461538458</v>
      </c>
      <c r="V8" s="618">
        <f t="shared" si="9"/>
        <v>39.230769230769226</v>
      </c>
      <c r="W8" s="1001">
        <v>0</v>
      </c>
      <c r="X8" s="618">
        <f>'T Salary'!T9*T!W8</f>
        <v>0</v>
      </c>
      <c r="Y8" s="1001">
        <v>0</v>
      </c>
      <c r="Z8" s="510">
        <f t="shared" si="10"/>
        <v>3.9230769230769229</v>
      </c>
      <c r="AA8" s="618">
        <f t="shared" si="11"/>
        <v>0</v>
      </c>
      <c r="AB8" s="1001">
        <v>0</v>
      </c>
      <c r="AC8" s="1468">
        <f>H8+T8+Y8+AB8+W8</f>
        <v>27</v>
      </c>
      <c r="AD8" s="1724">
        <v>0</v>
      </c>
      <c r="AE8" s="1121">
        <v>0</v>
      </c>
      <c r="AF8" s="1629">
        <v>0</v>
      </c>
      <c r="AG8" s="511">
        <v>0</v>
      </c>
      <c r="AH8" s="618">
        <v>10</v>
      </c>
      <c r="AI8" s="1410">
        <v>2</v>
      </c>
      <c r="AJ8" s="1410">
        <v>10</v>
      </c>
      <c r="AK8" s="1410">
        <v>10</v>
      </c>
      <c r="AL8" s="1928">
        <f t="shared" si="12"/>
        <v>379.19230769230768</v>
      </c>
      <c r="AM8" s="1631">
        <v>0.5</v>
      </c>
      <c r="AN8" s="1018">
        <v>102</v>
      </c>
      <c r="AO8" s="1096">
        <f>'Tax Calulation        '!P8</f>
        <v>0</v>
      </c>
      <c r="AP8" s="1148">
        <f>'Tax Calulation        '!W8</f>
        <v>5.9084194977843429</v>
      </c>
      <c r="AQ8" s="1686">
        <f t="shared" si="13"/>
        <v>270.78388819452334</v>
      </c>
      <c r="AR8" s="1682">
        <f t="shared" ref="AR8:AR10" si="17">ROUND((AQ8-AS8)*4040,-2)</f>
        <v>286000</v>
      </c>
      <c r="AS8" s="1683">
        <f t="shared" si="14"/>
        <v>200</v>
      </c>
      <c r="AT8" s="502"/>
      <c r="AU8" s="504"/>
      <c r="AV8" s="505">
        <f>(J8+M8+P8+S8+V8+AA8+AH8+AI8+AJ8+AK8)*4000</f>
        <v>1516769.2307692308</v>
      </c>
      <c r="AW8" s="502">
        <f>INT(AS8/100)</f>
        <v>2</v>
      </c>
      <c r="AX8" s="502">
        <f>INT((AS8-AW8*100)/50)</f>
        <v>0</v>
      </c>
      <c r="AY8" s="1113">
        <f t="shared" si="15"/>
        <v>200</v>
      </c>
      <c r="AZ8" s="1113">
        <f>INT((AR8/50000))</f>
        <v>5</v>
      </c>
      <c r="BA8" s="548">
        <f>INT((AR8-AZ8*50000)/10000)</f>
        <v>3</v>
      </c>
      <c r="BB8" s="548">
        <f>INT((AR8-AZ8*50000-BA8*10000)/5000)</f>
        <v>1</v>
      </c>
      <c r="BC8" s="548">
        <f>INT((AR8-AZ8*50000-BA8*10000-BB8*5000)/1000)</f>
        <v>1</v>
      </c>
      <c r="BD8" s="548">
        <f>INT((AR8-AZ8*50000-BA8*10000-BB8*5000-BC8*1000)/500)</f>
        <v>0</v>
      </c>
      <c r="BE8" s="548">
        <f>INT((AR8-AZ8*50000-BA8*10000-BB8*5000-BC8*1000-BD8*500)/100)</f>
        <v>0</v>
      </c>
      <c r="BF8" s="549">
        <f t="shared" si="16"/>
        <v>286000</v>
      </c>
      <c r="BH8" s="578" t="s">
        <v>1952</v>
      </c>
      <c r="BI8" s="578" t="s">
        <v>943</v>
      </c>
      <c r="BJ8" s="1455">
        <v>29846</v>
      </c>
      <c r="BK8" s="1102" t="s">
        <v>1953</v>
      </c>
      <c r="BL8" s="1396">
        <v>61823280</v>
      </c>
    </row>
    <row r="9" spans="1:64" s="755" customFormat="1" ht="60" customHeight="1">
      <c r="A9" s="1369">
        <v>3</v>
      </c>
      <c r="B9" s="1577" t="s">
        <v>1985</v>
      </c>
      <c r="C9" s="1384" t="s">
        <v>1986</v>
      </c>
      <c r="D9" s="1475">
        <v>45121</v>
      </c>
      <c r="E9" s="1636" t="s">
        <v>1317</v>
      </c>
      <c r="F9" s="617">
        <f>200+4</f>
        <v>204</v>
      </c>
      <c r="G9" s="619">
        <v>0</v>
      </c>
      <c r="H9" s="1001">
        <v>21</v>
      </c>
      <c r="I9" s="1408">
        <f t="shared" ref="I9" si="18">F9/26*H9</f>
        <v>164.76923076923077</v>
      </c>
      <c r="J9" s="618">
        <f t="shared" si="1"/>
        <v>164.76923076923077</v>
      </c>
      <c r="K9" s="1001">
        <v>48</v>
      </c>
      <c r="L9" s="510">
        <f t="shared" ref="L9" si="19">F9/26/8*1.5</f>
        <v>1.471153846153846</v>
      </c>
      <c r="M9" s="618">
        <f t="shared" si="3"/>
        <v>70.615384615384613</v>
      </c>
      <c r="N9" s="1001">
        <v>0</v>
      </c>
      <c r="O9" s="510">
        <f t="shared" ref="O9" si="20">F9/26/8*2</f>
        <v>1.9615384615384615</v>
      </c>
      <c r="P9" s="503">
        <f t="shared" ref="P9" si="21">N9*O9</f>
        <v>0</v>
      </c>
      <c r="Q9" s="1001">
        <v>24</v>
      </c>
      <c r="R9" s="510">
        <f t="shared" ref="R9" si="22">F9/26/8*2</f>
        <v>1.9615384615384615</v>
      </c>
      <c r="S9" s="618">
        <f t="shared" ref="S9" si="23">R9*Q9</f>
        <v>47.076923076923073</v>
      </c>
      <c r="T9" s="1001">
        <v>5.5</v>
      </c>
      <c r="U9" s="510">
        <f t="shared" ref="U9" si="24">F9/26</f>
        <v>7.8461538461538458</v>
      </c>
      <c r="V9" s="618">
        <f t="shared" ref="V9" si="25">U9*T9</f>
        <v>43.153846153846153</v>
      </c>
      <c r="W9" s="1001">
        <v>0.5</v>
      </c>
      <c r="X9" s="618">
        <f>'T Salary'!T10*T!W9</f>
        <v>5.1559570690139571</v>
      </c>
      <c r="Y9" s="1001">
        <v>0</v>
      </c>
      <c r="Z9" s="510">
        <f t="shared" ref="Z9" si="26">F9/26/2</f>
        <v>3.9230769230769229</v>
      </c>
      <c r="AA9" s="618">
        <f t="shared" ref="AA9" si="27">Y9*Z9</f>
        <v>0</v>
      </c>
      <c r="AB9" s="1001">
        <v>0</v>
      </c>
      <c r="AC9" s="1468">
        <f>H9+T9+Y9+AB9+W9</f>
        <v>27</v>
      </c>
      <c r="AD9" s="1724">
        <v>0</v>
      </c>
      <c r="AE9" s="1121">
        <v>0</v>
      </c>
      <c r="AF9" s="1629">
        <v>0</v>
      </c>
      <c r="AG9" s="511">
        <v>0</v>
      </c>
      <c r="AH9" s="618">
        <v>10</v>
      </c>
      <c r="AI9" s="1410">
        <v>2</v>
      </c>
      <c r="AJ9" s="1410">
        <v>10</v>
      </c>
      <c r="AK9" s="1410">
        <v>10</v>
      </c>
      <c r="AL9" s="1928">
        <f t="shared" si="12"/>
        <v>362.77134168439852</v>
      </c>
      <c r="AM9" s="1631">
        <v>0.5</v>
      </c>
      <c r="AN9" s="1018">
        <v>102</v>
      </c>
      <c r="AO9" s="1096">
        <f>'Tax Calulation        '!P9</f>
        <v>0</v>
      </c>
      <c r="AP9" s="1148">
        <f>'Tax Calulation        '!W9</f>
        <v>5.9084194977843429</v>
      </c>
      <c r="AQ9" s="1686">
        <f t="shared" si="13"/>
        <v>254.36292218661418</v>
      </c>
      <c r="AR9" s="1682">
        <f t="shared" si="17"/>
        <v>219600</v>
      </c>
      <c r="AS9" s="1683">
        <f t="shared" si="14"/>
        <v>200</v>
      </c>
      <c r="AT9" s="502"/>
      <c r="AU9" s="504"/>
      <c r="AV9" s="505">
        <f>(J9+M9+P9+S9+V9+AA9+AH9+AI9+AJ9+AK9)*4000</f>
        <v>1430461.5384615383</v>
      </c>
      <c r="AW9" s="502">
        <f>INT(AS9/100)</f>
        <v>2</v>
      </c>
      <c r="AX9" s="502">
        <f>INT((AS9-AW9*100)/50)</f>
        <v>0</v>
      </c>
      <c r="AY9" s="1113">
        <f t="shared" si="15"/>
        <v>200</v>
      </c>
      <c r="AZ9" s="1113">
        <f>INT((AR9/50000))</f>
        <v>4</v>
      </c>
      <c r="BA9" s="548">
        <f>INT((AR9-AZ9*50000)/10000)</f>
        <v>1</v>
      </c>
      <c r="BB9" s="548">
        <f>INT((AR9-AZ9*50000-BA9*10000)/5000)</f>
        <v>1</v>
      </c>
      <c r="BC9" s="548">
        <f>INT((AR9-AZ9*50000-BA9*10000-BB9*5000)/1000)</f>
        <v>4</v>
      </c>
      <c r="BD9" s="548">
        <f>INT((AR9-AZ9*50000-BA9*10000-BB9*5000-BC9*1000)/500)</f>
        <v>1</v>
      </c>
      <c r="BE9" s="548">
        <f>INT((AR9-AZ9*50000-BA9*10000-BB9*5000-BC9*1000-BD9*500)/100)</f>
        <v>1</v>
      </c>
      <c r="BF9" s="549">
        <f t="shared" si="16"/>
        <v>219600</v>
      </c>
      <c r="BH9" s="1456" t="s">
        <v>1987</v>
      </c>
      <c r="BI9" s="1439" t="s">
        <v>943</v>
      </c>
      <c r="BJ9" s="1457">
        <v>36198</v>
      </c>
      <c r="BK9" s="1438"/>
      <c r="BL9" s="1458" t="s">
        <v>1988</v>
      </c>
    </row>
    <row r="10" spans="1:64" s="755" customFormat="1" ht="60" customHeight="1">
      <c r="A10" s="1369">
        <v>4</v>
      </c>
      <c r="B10" s="1418" t="s">
        <v>2335</v>
      </c>
      <c r="C10" s="1417" t="s">
        <v>2297</v>
      </c>
      <c r="D10" s="1473">
        <v>42829</v>
      </c>
      <c r="E10" s="1820" t="s">
        <v>1113</v>
      </c>
      <c r="F10" s="758">
        <f>200+12+8+2+10</f>
        <v>232</v>
      </c>
      <c r="G10" s="769">
        <f>25+2</f>
        <v>27</v>
      </c>
      <c r="H10" s="1001">
        <v>21.5</v>
      </c>
      <c r="I10" s="1408">
        <f t="shared" si="0"/>
        <v>191.84615384615384</v>
      </c>
      <c r="J10" s="618">
        <f t="shared" si="1"/>
        <v>191.84615384615384</v>
      </c>
      <c r="K10" s="1001">
        <v>60</v>
      </c>
      <c r="L10" s="510">
        <f t="shared" si="2"/>
        <v>1.6730769230769231</v>
      </c>
      <c r="M10" s="618">
        <f t="shared" si="3"/>
        <v>100.38461538461539</v>
      </c>
      <c r="N10" s="1001">
        <v>0</v>
      </c>
      <c r="O10" s="510">
        <f t="shared" si="4"/>
        <v>2.2307692307692308</v>
      </c>
      <c r="P10" s="503">
        <f t="shared" si="5"/>
        <v>0</v>
      </c>
      <c r="Q10" s="1001">
        <v>24</v>
      </c>
      <c r="R10" s="510">
        <f t="shared" si="6"/>
        <v>2.2307692307692308</v>
      </c>
      <c r="S10" s="618">
        <f t="shared" si="7"/>
        <v>53.53846153846154</v>
      </c>
      <c r="T10" s="1001">
        <v>5.5</v>
      </c>
      <c r="U10" s="510">
        <f t="shared" si="8"/>
        <v>8.9230769230769234</v>
      </c>
      <c r="V10" s="618">
        <f t="shared" si="9"/>
        <v>49.07692307692308</v>
      </c>
      <c r="W10" s="1001">
        <v>0</v>
      </c>
      <c r="X10" s="618">
        <f>'T Salary'!T11*T!W10</f>
        <v>0</v>
      </c>
      <c r="Y10" s="1001">
        <v>0</v>
      </c>
      <c r="Z10" s="510">
        <f t="shared" si="10"/>
        <v>4.4615384615384617</v>
      </c>
      <c r="AA10" s="618">
        <f t="shared" si="11"/>
        <v>0</v>
      </c>
      <c r="AB10" s="1001">
        <v>0</v>
      </c>
      <c r="AC10" s="1468">
        <f>H10+T10+Y10+AB10+W10</f>
        <v>27</v>
      </c>
      <c r="AD10" s="1724">
        <v>0</v>
      </c>
      <c r="AE10" s="1121">
        <v>0</v>
      </c>
      <c r="AF10" s="1629">
        <v>20</v>
      </c>
      <c r="AG10" s="511">
        <v>0</v>
      </c>
      <c r="AH10" s="618">
        <v>10</v>
      </c>
      <c r="AI10" s="1410">
        <v>8</v>
      </c>
      <c r="AJ10" s="1410">
        <v>10</v>
      </c>
      <c r="AK10" s="1410">
        <v>10</v>
      </c>
      <c r="AL10" s="1928">
        <f t="shared" si="12"/>
        <v>479.84615384615387</v>
      </c>
      <c r="AM10" s="1632">
        <v>0.5</v>
      </c>
      <c r="AN10" s="1018">
        <v>102</v>
      </c>
      <c r="AO10" s="1096">
        <f>'Tax Calulation        '!P10</f>
        <v>0.54031360072719092</v>
      </c>
      <c r="AP10" s="1148">
        <f>'Tax Calulation        '!W10</f>
        <v>5.9084194977843429</v>
      </c>
      <c r="AQ10" s="1686">
        <f t="shared" si="13"/>
        <v>370.89742074764234</v>
      </c>
      <c r="AR10" s="1682">
        <f t="shared" si="17"/>
        <v>286400</v>
      </c>
      <c r="AS10" s="1683">
        <f t="shared" ref="AS10" si="28">CEILING(AQ10,(100))-100</f>
        <v>300</v>
      </c>
      <c r="AT10" s="502"/>
      <c r="AU10" s="504"/>
      <c r="AV10" s="505">
        <f>(J10+M10+P10+S10+V10+AA10+AH10+AI10+AJ10+AK10)*4000</f>
        <v>1731384.6153846155</v>
      </c>
      <c r="AW10" s="502">
        <f>INT(AS10/100)</f>
        <v>3</v>
      </c>
      <c r="AX10" s="502">
        <f>INT((AS10-AW10*100)/50)</f>
        <v>0</v>
      </c>
      <c r="AY10" s="1091">
        <f t="shared" ref="AY10" si="29">AW10*100+AX10*50</f>
        <v>300</v>
      </c>
      <c r="AZ10" s="1091">
        <f>INT((AR10/50000))</f>
        <v>5</v>
      </c>
      <c r="BA10" s="548">
        <f>INT((AR10-AZ10*50000)/10000)</f>
        <v>3</v>
      </c>
      <c r="BB10" s="548">
        <f>INT((AR10-AZ10*50000-BA10*10000)/5000)</f>
        <v>1</v>
      </c>
      <c r="BC10" s="548">
        <f>INT((AR10-AZ10*50000-BA10*10000-BB10*5000)/1000)</f>
        <v>1</v>
      </c>
      <c r="BD10" s="548">
        <f>INT((AR10-AZ10*50000-BA10*10000-BB10*5000-BC10*1000)/500)</f>
        <v>0</v>
      </c>
      <c r="BE10" s="548">
        <f>INT((AR10-AZ10*50000-BA10*10000-BB10*5000-BC10*1000-BD10*500)/100)</f>
        <v>4</v>
      </c>
      <c r="BF10" s="549">
        <f t="shared" ref="BF10" si="30">AZ10*50000+BA10*10000+BB10*5000+BC10*1000+BD10*500+BE10*100</f>
        <v>286400</v>
      </c>
      <c r="BH10" s="1786" t="s">
        <v>2298</v>
      </c>
      <c r="BI10" s="625" t="s">
        <v>572</v>
      </c>
      <c r="BJ10" s="1787">
        <v>35188</v>
      </c>
      <c r="BK10" s="625"/>
      <c r="BL10" s="1782" t="s">
        <v>2299</v>
      </c>
    </row>
    <row r="11" spans="1:64" ht="61.5" customHeight="1">
      <c r="A11" s="1369"/>
      <c r="B11" s="536"/>
      <c r="C11" s="536"/>
      <c r="D11" s="536"/>
      <c r="E11" s="536"/>
      <c r="F11" s="536"/>
      <c r="G11" s="536"/>
      <c r="H11" s="536"/>
      <c r="I11" s="536"/>
      <c r="J11" s="536"/>
      <c r="K11" s="536"/>
      <c r="L11" s="536"/>
      <c r="M11" s="536"/>
      <c r="N11" s="536"/>
      <c r="O11" s="536"/>
      <c r="P11" s="536"/>
      <c r="Q11" s="536"/>
      <c r="R11" s="536"/>
      <c r="S11" s="536"/>
      <c r="T11" s="536"/>
      <c r="U11" s="536"/>
      <c r="V11" s="536"/>
      <c r="W11" s="536"/>
      <c r="X11" s="950">
        <f>SUM(X7:X10)</f>
        <v>5.1559570690139571</v>
      </c>
      <c r="Y11" s="536"/>
      <c r="Z11" s="536"/>
      <c r="AA11" s="536"/>
      <c r="AB11" s="536"/>
      <c r="AC11" s="536"/>
      <c r="AD11" s="558">
        <f>SUM(AD7:AD10)</f>
        <v>0</v>
      </c>
      <c r="AE11" s="1795">
        <f>SUM(AE7:AE10)</f>
        <v>0</v>
      </c>
      <c r="AF11" s="536"/>
      <c r="AG11" s="1290">
        <f>SUM(AG7:AG10)</f>
        <v>0</v>
      </c>
      <c r="AH11" s="536"/>
      <c r="AI11" s="536"/>
      <c r="AJ11" s="622">
        <f t="shared" ref="AJ11:AS11" si="31">SUM(AJ7:AJ10)</f>
        <v>40</v>
      </c>
      <c r="AK11" s="622">
        <f t="shared" si="31"/>
        <v>40</v>
      </c>
      <c r="AL11" s="1620">
        <f t="shared" si="31"/>
        <v>1595.1174955305523</v>
      </c>
      <c r="AM11" s="1276">
        <f t="shared" si="31"/>
        <v>2</v>
      </c>
      <c r="AN11" s="809">
        <f t="shared" si="31"/>
        <v>408</v>
      </c>
      <c r="AO11" s="623">
        <f t="shared" si="31"/>
        <v>0.54031360072719092</v>
      </c>
      <c r="AP11" s="623">
        <f t="shared" si="31"/>
        <v>23.633677991137372</v>
      </c>
      <c r="AQ11" s="1611">
        <f t="shared" si="31"/>
        <v>1160.9435039386879</v>
      </c>
      <c r="AR11" s="1753">
        <f t="shared" si="31"/>
        <v>1054200</v>
      </c>
      <c r="AS11" s="1919">
        <f t="shared" si="31"/>
        <v>900</v>
      </c>
      <c r="AT11" s="506"/>
      <c r="AU11" s="501"/>
      <c r="AV11" s="552"/>
      <c r="AW11" s="573">
        <f t="shared" ref="AW11:BF11" si="32">SUM(AW7:AW10)</f>
        <v>9</v>
      </c>
      <c r="AX11" s="573">
        <f t="shared" si="32"/>
        <v>0</v>
      </c>
      <c r="AY11" s="507">
        <f t="shared" si="32"/>
        <v>900</v>
      </c>
      <c r="AZ11" s="573">
        <f t="shared" si="32"/>
        <v>19</v>
      </c>
      <c r="BA11" s="573">
        <f t="shared" si="32"/>
        <v>8</v>
      </c>
      <c r="BB11" s="573">
        <f t="shared" si="32"/>
        <v>3</v>
      </c>
      <c r="BC11" s="573">
        <f t="shared" si="32"/>
        <v>8</v>
      </c>
      <c r="BD11" s="573">
        <f t="shared" si="32"/>
        <v>1</v>
      </c>
      <c r="BE11" s="573">
        <f t="shared" si="32"/>
        <v>7</v>
      </c>
      <c r="BF11" s="579">
        <f t="shared" si="32"/>
        <v>1054200</v>
      </c>
    </row>
    <row r="12" spans="1:64">
      <c r="A12" s="552"/>
      <c r="B12" s="567"/>
      <c r="C12" s="508"/>
      <c r="D12" s="508"/>
      <c r="E12" s="552"/>
      <c r="F12" s="554"/>
      <c r="G12" s="552"/>
      <c r="H12" s="552"/>
      <c r="I12" s="552"/>
      <c r="J12" s="552"/>
      <c r="K12" s="552"/>
      <c r="L12" s="552"/>
      <c r="M12" s="552"/>
      <c r="N12" s="552"/>
      <c r="O12" s="552"/>
      <c r="P12" s="552"/>
      <c r="Q12" s="552"/>
      <c r="R12" s="552"/>
      <c r="S12" s="552"/>
      <c r="T12" s="552"/>
      <c r="U12" s="552"/>
      <c r="V12" s="552"/>
      <c r="W12" s="552"/>
      <c r="X12" s="552"/>
      <c r="Y12" s="552"/>
      <c r="Z12" s="552"/>
      <c r="AA12" s="552"/>
      <c r="AB12" s="552"/>
      <c r="AC12" s="552"/>
      <c r="AD12" s="552"/>
      <c r="AE12" s="552"/>
      <c r="AF12" s="552"/>
      <c r="AG12" s="552"/>
      <c r="AH12" s="552"/>
      <c r="AI12" s="552"/>
      <c r="AJ12" s="552"/>
      <c r="AK12" s="552"/>
      <c r="AL12" s="552"/>
      <c r="AM12" s="552"/>
      <c r="AN12" s="552"/>
      <c r="AO12" s="552"/>
      <c r="AP12" s="552"/>
      <c r="AQ12" s="552"/>
      <c r="AR12" s="552"/>
      <c r="AS12" s="552"/>
      <c r="AT12" s="552"/>
      <c r="AU12" s="552"/>
      <c r="AV12" s="552"/>
      <c r="AW12" s="552"/>
      <c r="AX12" s="552"/>
      <c r="AY12" s="552"/>
      <c r="AZ12" s="552"/>
      <c r="BA12" s="552"/>
    </row>
    <row r="13" spans="1:64" s="1355" customFormat="1" ht="27" customHeight="1">
      <c r="A13" s="1355" t="s">
        <v>213</v>
      </c>
      <c r="B13" s="1358"/>
      <c r="F13" s="1359"/>
      <c r="L13" s="1355" t="s">
        <v>2168</v>
      </c>
      <c r="AF13" s="1357" t="s">
        <v>445</v>
      </c>
      <c r="AG13" s="1357"/>
      <c r="AS13" s="1355" t="s">
        <v>212</v>
      </c>
    </row>
    <row r="14" spans="1:64">
      <c r="A14" s="552"/>
      <c r="B14" s="567"/>
      <c r="C14" s="508"/>
      <c r="D14" s="508"/>
      <c r="E14" s="552"/>
      <c r="F14" s="554"/>
      <c r="G14" s="552"/>
      <c r="H14" s="552"/>
      <c r="I14" s="552"/>
      <c r="J14" s="552"/>
      <c r="K14" s="552"/>
      <c r="L14" s="552"/>
      <c r="M14" s="552"/>
      <c r="N14" s="552"/>
      <c r="O14" s="552"/>
      <c r="P14" s="552"/>
      <c r="Q14" s="552"/>
      <c r="R14" s="552"/>
      <c r="S14" s="552"/>
      <c r="T14" s="552"/>
      <c r="U14" s="552"/>
      <c r="V14" s="552"/>
      <c r="W14" s="552"/>
      <c r="X14" s="552"/>
      <c r="Y14" s="552"/>
      <c r="Z14" s="552"/>
      <c r="AA14" s="552"/>
      <c r="AB14" s="552"/>
      <c r="AC14" s="552"/>
      <c r="AD14" s="552"/>
      <c r="AE14" s="552"/>
      <c r="AF14" s="552"/>
      <c r="AG14" s="552"/>
      <c r="AH14" s="552"/>
      <c r="AI14" s="552"/>
      <c r="AJ14" s="552"/>
      <c r="AK14" s="552"/>
      <c r="AL14" s="552"/>
      <c r="AM14" s="552"/>
      <c r="AN14" s="552"/>
      <c r="AO14" s="552"/>
      <c r="AP14" s="552"/>
      <c r="AQ14" s="552"/>
      <c r="AR14" s="552"/>
      <c r="AS14" s="552"/>
      <c r="AT14" s="552"/>
      <c r="AU14" s="552"/>
      <c r="AV14" s="552"/>
      <c r="AW14" s="552"/>
      <c r="AX14" s="552"/>
      <c r="AY14" s="552"/>
      <c r="AZ14" s="552"/>
      <c r="BA14" s="552"/>
    </row>
    <row r="15" spans="1:64" ht="27.75" customHeight="1"/>
    <row r="16" spans="1:64" ht="27.75" customHeight="1"/>
    <row r="17" ht="27.75" customHeight="1"/>
  </sheetData>
  <mergeCells count="32">
    <mergeCell ref="BI5:BI6"/>
    <mergeCell ref="BJ5:BJ6"/>
    <mergeCell ref="BK5:BK6"/>
    <mergeCell ref="BL5:BL6"/>
    <mergeCell ref="AI5:AI6"/>
    <mergeCell ref="AP5:AP6"/>
    <mergeCell ref="Y5:AA5"/>
    <mergeCell ref="AB5:AB6"/>
    <mergeCell ref="AD5:AD6"/>
    <mergeCell ref="AF5:AF6"/>
    <mergeCell ref="AH5:AH6"/>
    <mergeCell ref="H5:J5"/>
    <mergeCell ref="K5:M5"/>
    <mergeCell ref="N5:P5"/>
    <mergeCell ref="Q5:S5"/>
    <mergeCell ref="T5:V5"/>
    <mergeCell ref="W5:X5"/>
    <mergeCell ref="A1:AT1"/>
    <mergeCell ref="A2:AT2"/>
    <mergeCell ref="A3:AT3"/>
    <mergeCell ref="AW4:BF4"/>
    <mergeCell ref="C4:F4"/>
    <mergeCell ref="AT5:AT6"/>
    <mergeCell ref="AW5:AY5"/>
    <mergeCell ref="BB5:BF5"/>
    <mergeCell ref="AJ5:AJ6"/>
    <mergeCell ref="AK5:AK6"/>
    <mergeCell ref="AL5:AL6"/>
    <mergeCell ref="AM5:AM6"/>
    <mergeCell ref="AO5:AO6"/>
    <mergeCell ref="AQ5:AS5"/>
    <mergeCell ref="AN5:AN6"/>
  </mergeCells>
  <phoneticPr fontId="171" type="noConversion"/>
  <dataValidations count="1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BK8:BK10">
      <formula1>9</formula1>
    </dataValidation>
  </dataValidations>
  <pageMargins left="0" right="0" top="0.5" bottom="0.5" header="0" footer="0"/>
  <pageSetup paperSize="9" scale="36" orientation="landscape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11"/>
  <sheetViews>
    <sheetView zoomScaleNormal="100" workbookViewId="0">
      <pane xSplit="4" ySplit="6" topLeftCell="R7" activePane="bottomRight" state="frozen"/>
      <selection pane="topRight" activeCell="E1" sqref="E1"/>
      <selection pane="bottomLeft" activeCell="A7" sqref="A7"/>
      <selection pane="bottomRight" activeCell="A4" sqref="A4:E4"/>
    </sheetView>
  </sheetViews>
  <sheetFormatPr defaultRowHeight="15.75"/>
  <cols>
    <col min="1" max="1" width="4.25" style="474" customWidth="1"/>
    <col min="2" max="2" width="8.125" style="474" customWidth="1"/>
    <col min="3" max="3" width="11.625" style="476" customWidth="1"/>
    <col min="4" max="4" width="9.625" style="475" customWidth="1"/>
    <col min="5" max="5" width="7.75" style="500" customWidth="1"/>
    <col min="6" max="6" width="11.625" style="474" customWidth="1"/>
    <col min="7" max="7" width="9.125" style="474" bestFit="1" customWidth="1"/>
    <col min="8" max="8" width="13.75" style="474" bestFit="1" customWidth="1"/>
    <col min="9" max="10" width="7.375" style="474" customWidth="1"/>
    <col min="11" max="11" width="9" style="474"/>
    <col min="12" max="12" width="10.875" style="474" customWidth="1"/>
    <col min="13" max="13" width="9" style="474"/>
    <col min="14" max="14" width="11.875" style="474" customWidth="1"/>
    <col min="15" max="15" width="12.125" style="474" customWidth="1"/>
    <col min="16" max="16" width="15.125" style="474" customWidth="1"/>
    <col min="17" max="17" width="9" style="474"/>
    <col min="18" max="19" width="14.625" style="474" customWidth="1"/>
    <col min="20" max="20" width="13.25" style="474" customWidth="1"/>
    <col min="21" max="21" width="12.5" style="474" customWidth="1"/>
    <col min="22" max="23" width="14.625" style="474" customWidth="1"/>
    <col min="24" max="16384" width="9" style="474"/>
  </cols>
  <sheetData>
    <row r="1" spans="1:39" s="479" customFormat="1" ht="29.25" customHeight="1">
      <c r="A1" s="2127" t="s">
        <v>222</v>
      </c>
      <c r="B1" s="2127"/>
      <c r="C1" s="2127"/>
      <c r="D1" s="2127"/>
      <c r="E1" s="2127"/>
      <c r="F1" s="2127"/>
      <c r="G1" s="2127"/>
      <c r="H1" s="2127"/>
      <c r="I1" s="2127"/>
      <c r="J1" s="2127"/>
      <c r="K1" s="2127"/>
      <c r="L1" s="2127"/>
      <c r="M1" s="2127"/>
      <c r="N1" s="2127"/>
      <c r="O1" s="2127"/>
      <c r="P1" s="2127"/>
      <c r="R1" s="2169" t="s">
        <v>222</v>
      </c>
      <c r="S1" s="2169"/>
      <c r="T1" s="2169"/>
      <c r="U1" s="2169"/>
      <c r="V1" s="2169"/>
      <c r="W1" s="2169"/>
    </row>
    <row r="2" spans="1:39" s="479" customFormat="1" ht="20.25" customHeight="1">
      <c r="A2" s="2127" t="s">
        <v>221</v>
      </c>
      <c r="B2" s="2127"/>
      <c r="C2" s="2127"/>
      <c r="D2" s="2127"/>
      <c r="E2" s="2127"/>
      <c r="F2" s="2127"/>
      <c r="G2" s="2127"/>
      <c r="H2" s="2127"/>
      <c r="I2" s="2127"/>
      <c r="J2" s="2127"/>
      <c r="K2" s="2127"/>
      <c r="L2" s="2127"/>
      <c r="M2" s="2127"/>
      <c r="N2" s="2127"/>
      <c r="O2" s="2127"/>
      <c r="P2" s="2127"/>
      <c r="R2" s="2126" t="s">
        <v>1807</v>
      </c>
      <c r="S2" s="2126"/>
      <c r="T2" s="2126"/>
      <c r="U2" s="2126"/>
      <c r="V2" s="2126"/>
      <c r="W2" s="2126"/>
    </row>
    <row r="3" spans="1:39" s="479" customFormat="1" ht="19.5" customHeight="1">
      <c r="A3" s="2126" t="s">
        <v>2354</v>
      </c>
      <c r="B3" s="2126"/>
      <c r="C3" s="2126"/>
      <c r="D3" s="2126"/>
      <c r="E3" s="2126"/>
      <c r="F3" s="2126"/>
      <c r="G3" s="2126"/>
      <c r="H3" s="2126"/>
      <c r="I3" s="2126"/>
      <c r="J3" s="2126"/>
      <c r="K3" s="2126"/>
      <c r="L3" s="2126"/>
      <c r="M3" s="2126"/>
      <c r="N3" s="2126"/>
      <c r="O3" s="2126"/>
      <c r="P3" s="2126"/>
      <c r="R3" s="2126" t="s">
        <v>2353</v>
      </c>
      <c r="S3" s="2126"/>
      <c r="T3" s="2126"/>
      <c r="U3" s="2126"/>
      <c r="V3" s="2126"/>
      <c r="W3" s="2126"/>
    </row>
    <row r="4" spans="1:39" s="479" customFormat="1" ht="20.25" customHeight="1" thickBot="1">
      <c r="A4" s="2128" t="s">
        <v>371</v>
      </c>
      <c r="B4" s="2128"/>
      <c r="C4" s="2128"/>
      <c r="D4" s="2128"/>
      <c r="E4" s="2128"/>
    </row>
    <row r="5" spans="1:39" s="473" customFormat="1" ht="63" customHeight="1" thickTop="1">
      <c r="A5" s="482" t="s">
        <v>223</v>
      </c>
      <c r="B5" s="482" t="s">
        <v>224</v>
      </c>
      <c r="C5" s="482" t="s">
        <v>225</v>
      </c>
      <c r="D5" s="482" t="s">
        <v>226</v>
      </c>
      <c r="E5" s="498" t="s">
        <v>227</v>
      </c>
      <c r="F5" s="482" t="s">
        <v>228</v>
      </c>
      <c r="G5" s="482" t="s">
        <v>229</v>
      </c>
      <c r="H5" s="482" t="s">
        <v>230</v>
      </c>
      <c r="I5" s="482" t="s">
        <v>231</v>
      </c>
      <c r="J5" s="482" t="s">
        <v>232</v>
      </c>
      <c r="K5" s="482" t="s">
        <v>233</v>
      </c>
      <c r="L5" s="482" t="s">
        <v>234</v>
      </c>
      <c r="M5" s="482" t="s">
        <v>235</v>
      </c>
      <c r="N5" s="482" t="s">
        <v>236</v>
      </c>
      <c r="O5" s="482" t="s">
        <v>237</v>
      </c>
      <c r="P5" s="482" t="s">
        <v>238</v>
      </c>
      <c r="Q5" s="483"/>
      <c r="R5" s="1203" t="s">
        <v>1810</v>
      </c>
      <c r="S5" s="1203" t="s">
        <v>1811</v>
      </c>
      <c r="T5" s="498" t="s">
        <v>1812</v>
      </c>
      <c r="U5" s="498" t="s">
        <v>1809</v>
      </c>
      <c r="V5" s="498" t="s">
        <v>1813</v>
      </c>
      <c r="W5" s="498" t="s">
        <v>1814</v>
      </c>
      <c r="X5" s="483"/>
      <c r="Y5" s="483"/>
      <c r="Z5" s="483"/>
      <c r="AA5" s="484"/>
      <c r="AB5" s="484"/>
      <c r="AC5" s="484"/>
      <c r="AD5" s="484"/>
      <c r="AE5" s="484"/>
      <c r="AF5" s="484"/>
      <c r="AG5" s="484"/>
      <c r="AH5" s="484"/>
      <c r="AI5" s="484"/>
      <c r="AJ5" s="484"/>
      <c r="AK5" s="484"/>
      <c r="AL5" s="484"/>
      <c r="AM5" s="484"/>
    </row>
    <row r="6" spans="1:39" s="473" customFormat="1" ht="33" customHeight="1">
      <c r="A6" s="485" t="s">
        <v>111</v>
      </c>
      <c r="B6" s="485" t="s">
        <v>239</v>
      </c>
      <c r="C6" s="485" t="s">
        <v>87</v>
      </c>
      <c r="D6" s="486" t="s">
        <v>240</v>
      </c>
      <c r="E6" s="499" t="s">
        <v>218</v>
      </c>
      <c r="F6" s="492" t="s">
        <v>241</v>
      </c>
      <c r="G6" s="492" t="s">
        <v>242</v>
      </c>
      <c r="H6" s="492" t="s">
        <v>243</v>
      </c>
      <c r="I6" s="492" t="s">
        <v>244</v>
      </c>
      <c r="J6" s="493" t="s">
        <v>245</v>
      </c>
      <c r="K6" s="492" t="s">
        <v>246</v>
      </c>
      <c r="L6" s="493" t="s">
        <v>247</v>
      </c>
      <c r="M6" s="492" t="s">
        <v>248</v>
      </c>
      <c r="N6" s="492"/>
      <c r="O6" s="492" t="s">
        <v>249</v>
      </c>
      <c r="P6" s="492" t="s">
        <v>250</v>
      </c>
      <c r="Q6" s="487"/>
      <c r="R6" s="1154"/>
      <c r="S6" s="1169"/>
      <c r="T6" s="1169"/>
      <c r="U6" s="488">
        <v>4062</v>
      </c>
      <c r="V6" s="1183">
        <v>0.02</v>
      </c>
      <c r="W6" s="1351">
        <v>4062</v>
      </c>
      <c r="X6" s="487"/>
      <c r="Y6" s="487"/>
      <c r="Z6" s="487"/>
      <c r="AA6" s="481"/>
      <c r="AB6" s="481"/>
      <c r="AC6" s="481"/>
      <c r="AD6" s="481"/>
      <c r="AE6" s="481"/>
      <c r="AF6" s="481"/>
      <c r="AG6" s="484"/>
      <c r="AH6" s="484"/>
      <c r="AI6" s="484"/>
      <c r="AJ6" s="484"/>
      <c r="AK6" s="484"/>
      <c r="AL6" s="484"/>
      <c r="AM6" s="484"/>
    </row>
    <row r="7" spans="1:39" s="477" customFormat="1" ht="31.5" customHeight="1">
      <c r="A7" s="478">
        <v>1</v>
      </c>
      <c r="B7" s="1386" t="s">
        <v>2019</v>
      </c>
      <c r="C7" s="956" t="s">
        <v>1889</v>
      </c>
      <c r="D7" s="1478">
        <v>45040</v>
      </c>
      <c r="E7" s="639" t="s">
        <v>372</v>
      </c>
      <c r="F7" s="522">
        <f>T!AL7-T!AD7-T!AJ7-T!AK7-T!AE7-T!AG7-W7</f>
        <v>347.39927280990793</v>
      </c>
      <c r="G7" s="495">
        <v>4062</v>
      </c>
      <c r="H7" s="488">
        <f t="shared" ref="H7:H9" si="0">F7*G7</f>
        <v>1411135.846153846</v>
      </c>
      <c r="I7" s="480">
        <v>0</v>
      </c>
      <c r="J7" s="1267">
        <v>0</v>
      </c>
      <c r="K7" s="488">
        <f t="shared" ref="K7:K9" si="1">150000*(J7+I7)</f>
        <v>0</v>
      </c>
      <c r="L7" s="488">
        <f t="shared" ref="L7:L9" si="2">H7-K7</f>
        <v>1411135.846153846</v>
      </c>
      <c r="M7" s="489">
        <f t="shared" ref="M7:M10" si="3">IF(L7&gt;=12500000,20%,IF(L7&gt;=8500001,15%,IF(L7&gt;=2000001,10%,IF(L7&gt;=1500001,5%,0%))))</f>
        <v>0</v>
      </c>
      <c r="N7" s="488">
        <f t="shared" ref="N7:N10" si="4">IF(M7=5%,75000,IF(M7=10%,175000,0))</f>
        <v>0</v>
      </c>
      <c r="O7" s="490">
        <f t="shared" ref="O7:O10" si="5">L7*M7-N7</f>
        <v>0</v>
      </c>
      <c r="P7" s="491">
        <f>O7/4062</f>
        <v>0</v>
      </c>
      <c r="R7" s="1557">
        <v>37364</v>
      </c>
      <c r="S7" s="1170">
        <v>44835</v>
      </c>
      <c r="T7" s="1174">
        <f>T!AL7-T!AE7</f>
        <v>373.30769230769226</v>
      </c>
      <c r="U7" s="1177">
        <f>T7*4062</f>
        <v>1516375.846153846</v>
      </c>
      <c r="V7" s="1206">
        <f t="shared" ref="V7:V10" si="6">IF(YEARFRAC(R7,S7)&gt;=60,"0",IF(U7&lt;400000,400000*2%,IF(U7&gt;1200000,1200000*2%,U7*2%)))</f>
        <v>24000</v>
      </c>
      <c r="W7" s="1194">
        <f>V7/4062</f>
        <v>5.9084194977843429</v>
      </c>
    </row>
    <row r="8" spans="1:39" s="477" customFormat="1" ht="31.5" customHeight="1">
      <c r="A8" s="478">
        <v>2</v>
      </c>
      <c r="B8" s="1386" t="s">
        <v>2020</v>
      </c>
      <c r="C8" s="956" t="s">
        <v>1951</v>
      </c>
      <c r="D8" s="1478">
        <v>45098</v>
      </c>
      <c r="E8" s="639" t="s">
        <v>372</v>
      </c>
      <c r="F8" s="522">
        <f>T!AL8-T!AD8-T!AJ8-T!AK8-T!AE8-T!AG8-W8</f>
        <v>353.28388819452334</v>
      </c>
      <c r="G8" s="495">
        <v>4062</v>
      </c>
      <c r="H8" s="488">
        <f t="shared" si="0"/>
        <v>1435039.1538461538</v>
      </c>
      <c r="I8" s="480">
        <v>0</v>
      </c>
      <c r="J8" s="1267">
        <v>0</v>
      </c>
      <c r="K8" s="488">
        <f t="shared" si="1"/>
        <v>0</v>
      </c>
      <c r="L8" s="488">
        <f t="shared" si="2"/>
        <v>1435039.1538461538</v>
      </c>
      <c r="M8" s="489">
        <f t="shared" ref="M8:M9" si="7">IF(L8&gt;=12500000,20%,IF(L8&gt;=8500001,15%,IF(L8&gt;=2000001,10%,IF(L8&gt;=1500001,5%,0%))))</f>
        <v>0</v>
      </c>
      <c r="N8" s="488">
        <f t="shared" ref="N8:N9" si="8">IF(M8=5%,75000,IF(M8=10%,175000,0))</f>
        <v>0</v>
      </c>
      <c r="O8" s="490">
        <f t="shared" ref="O8:O9" si="9">L8*M8-N8</f>
        <v>0</v>
      </c>
      <c r="P8" s="491">
        <f t="shared" ref="P8:P10" si="10">O8/4062</f>
        <v>0</v>
      </c>
      <c r="R8" s="1557">
        <v>29846</v>
      </c>
      <c r="S8" s="1170">
        <v>44835</v>
      </c>
      <c r="T8" s="1174">
        <f>T!AL8-T!AE8</f>
        <v>379.19230769230768</v>
      </c>
      <c r="U8" s="1177">
        <f t="shared" ref="U8:U10" si="11">T8*4062</f>
        <v>1540279.1538461538</v>
      </c>
      <c r="V8" s="1206">
        <f t="shared" si="6"/>
        <v>24000</v>
      </c>
      <c r="W8" s="1194">
        <f t="shared" ref="W8:W10" si="12">V8/4062</f>
        <v>5.9084194977843429</v>
      </c>
    </row>
    <row r="9" spans="1:39" s="477" customFormat="1" ht="31.5" customHeight="1">
      <c r="A9" s="478">
        <v>3</v>
      </c>
      <c r="B9" s="1386" t="s">
        <v>2021</v>
      </c>
      <c r="C9" s="1384" t="s">
        <v>1986</v>
      </c>
      <c r="D9" s="1475">
        <v>45121</v>
      </c>
      <c r="E9" s="639" t="s">
        <v>372</v>
      </c>
      <c r="F9" s="522">
        <f>T!AL9-T!AD9-T!AJ9-T!AK9-T!AE9-T!AG9-W9</f>
        <v>336.86292218661418</v>
      </c>
      <c r="G9" s="495">
        <v>4062</v>
      </c>
      <c r="H9" s="488">
        <f t="shared" si="0"/>
        <v>1368337.1899220268</v>
      </c>
      <c r="I9" s="480">
        <v>1</v>
      </c>
      <c r="J9" s="1267">
        <v>1</v>
      </c>
      <c r="K9" s="488">
        <f t="shared" si="1"/>
        <v>300000</v>
      </c>
      <c r="L9" s="488">
        <f t="shared" si="2"/>
        <v>1068337.1899220268</v>
      </c>
      <c r="M9" s="489">
        <f t="shared" si="7"/>
        <v>0</v>
      </c>
      <c r="N9" s="488">
        <f t="shared" si="8"/>
        <v>0</v>
      </c>
      <c r="O9" s="490">
        <f t="shared" si="9"/>
        <v>0</v>
      </c>
      <c r="P9" s="491">
        <f t="shared" si="10"/>
        <v>0</v>
      </c>
      <c r="R9" s="1558">
        <v>36198</v>
      </c>
      <c r="S9" s="1170">
        <v>44835</v>
      </c>
      <c r="T9" s="1174">
        <f>T!AL9-T!AE9</f>
        <v>362.77134168439852</v>
      </c>
      <c r="U9" s="1177">
        <f t="shared" si="11"/>
        <v>1473577.1899220268</v>
      </c>
      <c r="V9" s="1206">
        <f t="shared" ref="V9" si="13">IF(YEARFRAC(R9,S9)&gt;=60,"0",IF(U9&lt;400000,400000*2%,IF(U9&gt;1200000,1200000*2%,U9*2%)))</f>
        <v>24000</v>
      </c>
      <c r="W9" s="1194">
        <f t="shared" si="12"/>
        <v>5.9084194977843429</v>
      </c>
    </row>
    <row r="10" spans="1:39" s="477" customFormat="1" ht="31.5" customHeight="1">
      <c r="A10" s="478">
        <v>4</v>
      </c>
      <c r="B10" s="1507" t="s">
        <v>2335</v>
      </c>
      <c r="C10" s="625" t="s">
        <v>2297</v>
      </c>
      <c r="D10" s="1473">
        <v>42829</v>
      </c>
      <c r="E10" s="1820" t="s">
        <v>1113</v>
      </c>
      <c r="F10" s="522">
        <f>T!AL10-T!AD10-T!AJ10-T!AK10-T!AE10-T!AG10-W10</f>
        <v>453.93773434836953</v>
      </c>
      <c r="G10" s="495">
        <v>4062</v>
      </c>
      <c r="H10" s="488">
        <f t="shared" ref="H10" si="14">F10*G10</f>
        <v>1843895.076923077</v>
      </c>
      <c r="I10" s="480">
        <v>1</v>
      </c>
      <c r="J10" s="1267">
        <v>1</v>
      </c>
      <c r="K10" s="488">
        <f t="shared" ref="K10" si="15">150000*(J10+I10)</f>
        <v>300000</v>
      </c>
      <c r="L10" s="488">
        <f t="shared" ref="L10" si="16">H10-K10</f>
        <v>1543895.076923077</v>
      </c>
      <c r="M10" s="489">
        <f t="shared" si="3"/>
        <v>0.05</v>
      </c>
      <c r="N10" s="488">
        <f t="shared" si="4"/>
        <v>75000</v>
      </c>
      <c r="O10" s="490">
        <f t="shared" si="5"/>
        <v>2194.7538461538497</v>
      </c>
      <c r="P10" s="491">
        <f t="shared" si="10"/>
        <v>0.54031360072719092</v>
      </c>
      <c r="R10" s="1186">
        <v>35188</v>
      </c>
      <c r="S10" s="1170">
        <v>44835</v>
      </c>
      <c r="T10" s="1174">
        <f>T!AL10-T!AE10</f>
        <v>479.84615384615387</v>
      </c>
      <c r="U10" s="1177">
        <f t="shared" si="11"/>
        <v>1949135.076923077</v>
      </c>
      <c r="V10" s="1206">
        <f t="shared" si="6"/>
        <v>24000</v>
      </c>
      <c r="W10" s="1194">
        <f t="shared" si="12"/>
        <v>5.9084194977843429</v>
      </c>
    </row>
    <row r="11" spans="1:39" ht="38.25" customHeight="1">
      <c r="A11" s="1338"/>
      <c r="B11" s="1339"/>
      <c r="C11" s="1339"/>
      <c r="D11" s="1339"/>
      <c r="E11" s="1339"/>
      <c r="F11" s="1340">
        <f>SUM(F7:F10)</f>
        <v>1491.483817539415</v>
      </c>
      <c r="G11" s="1339"/>
      <c r="H11" s="1339"/>
      <c r="I11" s="1339"/>
      <c r="J11" s="1339"/>
      <c r="K11" s="1339"/>
      <c r="L11" s="2129" t="s">
        <v>251</v>
      </c>
      <c r="M11" s="2130"/>
      <c r="N11" s="2131"/>
      <c r="O11" s="496">
        <f>SUM(O7:O10)</f>
        <v>2194.7538461538497</v>
      </c>
      <c r="P11" s="497">
        <f>SUM(P7:P10)</f>
        <v>0.54031360072719092</v>
      </c>
      <c r="R11" s="1178"/>
      <c r="S11" s="1178"/>
      <c r="T11" s="1193"/>
      <c r="U11" s="1193"/>
      <c r="V11" s="1201">
        <f>SUM(V7:V10)</f>
        <v>96000</v>
      </c>
      <c r="W11" s="1204">
        <f>SUM(W7:W10)</f>
        <v>23.633677991137372</v>
      </c>
    </row>
  </sheetData>
  <mergeCells count="8">
    <mergeCell ref="L11:N11"/>
    <mergeCell ref="A4:E4"/>
    <mergeCell ref="R1:W1"/>
    <mergeCell ref="R2:W2"/>
    <mergeCell ref="R3:W3"/>
    <mergeCell ref="A1:P1"/>
    <mergeCell ref="A2:P2"/>
    <mergeCell ref="A3:P3"/>
  </mergeCells>
  <phoneticPr fontId="171" type="noConversion"/>
  <conditionalFormatting sqref="M10">
    <cfRule type="cellIs" dxfId="6" priority="12" stopIfTrue="1" operator="equal">
      <formula>0</formula>
    </cfRule>
  </conditionalFormatting>
  <conditionalFormatting sqref="M7">
    <cfRule type="cellIs" dxfId="5" priority="5" stopIfTrue="1" operator="equal">
      <formula>0</formula>
    </cfRule>
  </conditionalFormatting>
  <conditionalFormatting sqref="M8">
    <cfRule type="cellIs" dxfId="4" priority="4" stopIfTrue="1" operator="equal">
      <formula>0</formula>
    </cfRule>
  </conditionalFormatting>
  <conditionalFormatting sqref="M8">
    <cfRule type="cellIs" dxfId="3" priority="3" stopIfTrue="1" operator="equal">
      <formula>0</formula>
    </cfRule>
  </conditionalFormatting>
  <conditionalFormatting sqref="M7">
    <cfRule type="cellIs" dxfId="2" priority="2" stopIfTrue="1" operator="equal">
      <formula>0</formula>
    </cfRule>
  </conditionalFormatting>
  <conditionalFormatting sqref="M9">
    <cfRule type="cellIs" dxfId="1" priority="1" stopIfTrue="1" operator="equal">
      <formula>0</formula>
    </cfRule>
  </conditionalFormatting>
  <printOptions horizontalCentered="1"/>
  <pageMargins left="0.2" right="0.19" top="0.2" bottom="0.2" header="0.3" footer="0.31"/>
  <pageSetup paperSize="9" scale="75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23"/>
  <sheetViews>
    <sheetView zoomScaleNormal="100" workbookViewId="0">
      <pane xSplit="3" ySplit="7" topLeftCell="O18" activePane="bottomRight" state="frozen"/>
      <selection pane="topRight" activeCell="D1" sqref="D1"/>
      <selection pane="bottomLeft" activeCell="A8" sqref="A8"/>
      <selection pane="bottomRight" activeCell="U20" sqref="U20"/>
    </sheetView>
  </sheetViews>
  <sheetFormatPr defaultRowHeight="14.25"/>
  <cols>
    <col min="1" max="1" width="5.125" customWidth="1"/>
  </cols>
  <sheetData>
    <row r="1" spans="1:37" s="856" customFormat="1" ht="19.5">
      <c r="A1" s="2134" t="s">
        <v>222</v>
      </c>
      <c r="B1" s="2134"/>
      <c r="C1" s="2134"/>
      <c r="D1" s="2134"/>
      <c r="E1" s="2134"/>
      <c r="F1" s="2134"/>
      <c r="G1" s="2134"/>
      <c r="H1" s="2134"/>
      <c r="I1" s="2134"/>
      <c r="J1" s="2134"/>
      <c r="K1" s="2134"/>
      <c r="L1" s="2134"/>
      <c r="M1" s="2134"/>
      <c r="N1" s="2134"/>
      <c r="O1" s="2134"/>
      <c r="P1" s="2134"/>
      <c r="Q1" s="2134"/>
      <c r="R1" s="2134"/>
      <c r="S1" s="2134"/>
      <c r="T1" s="2134"/>
      <c r="U1" s="2134"/>
      <c r="V1" s="978"/>
      <c r="W1" s="978"/>
      <c r="X1" s="978"/>
    </row>
    <row r="2" spans="1:37" s="856" customFormat="1" ht="19.5">
      <c r="A2" s="2134" t="s">
        <v>221</v>
      </c>
      <c r="B2" s="2134"/>
      <c r="C2" s="2134"/>
      <c r="D2" s="2134"/>
      <c r="E2" s="2134"/>
      <c r="F2" s="2134"/>
      <c r="G2" s="2134"/>
      <c r="H2" s="2134"/>
      <c r="I2" s="2134"/>
      <c r="J2" s="2134"/>
      <c r="K2" s="2134"/>
      <c r="L2" s="2134"/>
      <c r="M2" s="2134"/>
      <c r="N2" s="2134"/>
      <c r="O2" s="2134"/>
      <c r="P2" s="2134"/>
      <c r="Q2" s="2134"/>
      <c r="R2" s="2134"/>
      <c r="S2" s="2134"/>
      <c r="T2" s="2134"/>
      <c r="U2" s="2134"/>
      <c r="V2" s="978"/>
      <c r="W2" s="978"/>
      <c r="X2" s="978"/>
    </row>
    <row r="3" spans="1:37" s="856" customFormat="1" ht="29.25">
      <c r="A3" s="2135" t="s">
        <v>2110</v>
      </c>
      <c r="B3" s="2135"/>
      <c r="C3" s="2135"/>
      <c r="D3" s="2135"/>
      <c r="E3" s="2135"/>
      <c r="F3" s="2135"/>
      <c r="G3" s="2135"/>
      <c r="H3" s="2135"/>
      <c r="I3" s="2135"/>
      <c r="J3" s="2135"/>
      <c r="K3" s="2135"/>
      <c r="L3" s="2135"/>
      <c r="M3" s="2135"/>
      <c r="N3" s="2135"/>
      <c r="O3" s="2135"/>
      <c r="P3" s="2135"/>
      <c r="Q3" s="2135"/>
      <c r="R3" s="2135"/>
      <c r="S3" s="2135"/>
      <c r="T3" s="2135"/>
      <c r="U3" s="2135"/>
      <c r="V3" s="979"/>
      <c r="W3" s="979"/>
      <c r="X3" s="979"/>
    </row>
    <row r="4" spans="1:37" s="856" customFormat="1" ht="29.25">
      <c r="A4" s="2135" t="s">
        <v>2109</v>
      </c>
      <c r="B4" s="2135"/>
      <c r="C4" s="2135"/>
      <c r="D4" s="2135"/>
      <c r="E4" s="2135"/>
      <c r="F4" s="2135"/>
      <c r="G4" s="2135"/>
      <c r="H4" s="2135"/>
      <c r="I4" s="2135"/>
      <c r="J4" s="2135"/>
      <c r="K4" s="2135"/>
      <c r="L4" s="2135"/>
      <c r="M4" s="2135"/>
      <c r="N4" s="2135"/>
      <c r="O4" s="2135"/>
      <c r="P4" s="2135"/>
      <c r="Q4" s="2135"/>
      <c r="R4" s="2135"/>
      <c r="S4" s="2135"/>
      <c r="T4" s="2135"/>
      <c r="U4" s="2135"/>
      <c r="V4" s="979"/>
      <c r="W4" s="979"/>
      <c r="X4" s="979"/>
    </row>
    <row r="5" spans="1:37" s="856" customFormat="1" ht="15.75">
      <c r="A5" s="2136" t="s">
        <v>1409</v>
      </c>
      <c r="B5" s="2136"/>
      <c r="C5" s="2136"/>
      <c r="D5" s="2136" t="s">
        <v>2348</v>
      </c>
      <c r="E5" s="2136"/>
      <c r="F5" s="2136"/>
      <c r="G5" s="2136"/>
      <c r="H5" s="2136"/>
      <c r="I5" s="2136"/>
      <c r="J5" s="2136"/>
      <c r="K5" s="2136"/>
      <c r="L5" s="2136"/>
      <c r="M5" s="2136"/>
      <c r="N5" s="2136"/>
      <c r="O5" s="2136"/>
      <c r="P5" s="2136"/>
      <c r="Q5" s="2136"/>
      <c r="R5" s="2136"/>
      <c r="S5" s="2136"/>
      <c r="T5" s="2136"/>
      <c r="U5" s="2136"/>
      <c r="V5" s="855"/>
      <c r="W5" s="819"/>
      <c r="X5" s="819"/>
    </row>
    <row r="6" spans="1:37" s="982" customFormat="1" ht="33">
      <c r="A6" s="820" t="s">
        <v>252</v>
      </c>
      <c r="B6" s="820" t="s">
        <v>1072</v>
      </c>
      <c r="C6" s="820" t="s">
        <v>1073</v>
      </c>
      <c r="D6" s="820" t="s">
        <v>254</v>
      </c>
      <c r="E6" s="821" t="s">
        <v>227</v>
      </c>
      <c r="F6" s="2178"/>
      <c r="G6" s="2179"/>
      <c r="H6" s="2179"/>
      <c r="I6" s="2179"/>
      <c r="J6" s="2179"/>
      <c r="K6" s="2179"/>
      <c r="L6" s="2179"/>
      <c r="M6" s="2179"/>
      <c r="N6" s="2179"/>
      <c r="O6" s="2179"/>
      <c r="P6" s="2179"/>
      <c r="Q6" s="2180"/>
      <c r="R6" s="822" t="s">
        <v>1075</v>
      </c>
      <c r="S6" s="900" t="s">
        <v>1076</v>
      </c>
      <c r="T6" s="822" t="s">
        <v>1077</v>
      </c>
      <c r="U6" s="850" t="s">
        <v>1181</v>
      </c>
      <c r="V6" s="850" t="s">
        <v>1182</v>
      </c>
      <c r="W6" s="823" t="s">
        <v>1078</v>
      </c>
      <c r="X6" s="877"/>
    </row>
    <row r="7" spans="1:37" s="839" customFormat="1" ht="24">
      <c r="A7" s="824" t="s">
        <v>41</v>
      </c>
      <c r="B7" s="824" t="s">
        <v>42</v>
      </c>
      <c r="C7" s="824" t="s">
        <v>1079</v>
      </c>
      <c r="D7" s="824" t="s">
        <v>1080</v>
      </c>
      <c r="E7" s="825" t="s">
        <v>1081</v>
      </c>
      <c r="F7" s="860" t="s">
        <v>1082</v>
      </c>
      <c r="G7" s="860" t="s">
        <v>1083</v>
      </c>
      <c r="H7" s="860" t="s">
        <v>1084</v>
      </c>
      <c r="I7" s="860" t="s">
        <v>1085</v>
      </c>
      <c r="J7" s="860" t="s">
        <v>1086</v>
      </c>
      <c r="K7" s="826" t="s">
        <v>1087</v>
      </c>
      <c r="L7" s="826" t="s">
        <v>1088</v>
      </c>
      <c r="M7" s="826" t="s">
        <v>1089</v>
      </c>
      <c r="N7" s="826" t="s">
        <v>1090</v>
      </c>
      <c r="O7" s="826" t="s">
        <v>1091</v>
      </c>
      <c r="P7" s="826" t="s">
        <v>1092</v>
      </c>
      <c r="Q7" s="826" t="s">
        <v>1093</v>
      </c>
      <c r="R7" s="826" t="s">
        <v>1094</v>
      </c>
      <c r="S7" s="901" t="s">
        <v>1095</v>
      </c>
      <c r="T7" s="827" t="s">
        <v>1096</v>
      </c>
      <c r="U7" s="892" t="s">
        <v>1183</v>
      </c>
      <c r="V7" s="892" t="s">
        <v>1184</v>
      </c>
      <c r="W7" s="828" t="s">
        <v>1097</v>
      </c>
      <c r="X7" s="878"/>
      <c r="Y7" s="1701">
        <v>1</v>
      </c>
      <c r="Z7" s="1701">
        <v>2</v>
      </c>
      <c r="AA7" s="1701">
        <v>3</v>
      </c>
      <c r="AB7" s="1701">
        <v>4</v>
      </c>
      <c r="AC7" s="1701">
        <v>5</v>
      </c>
      <c r="AD7" s="1701">
        <v>6</v>
      </c>
      <c r="AE7" s="1701">
        <v>7</v>
      </c>
      <c r="AF7" s="1701">
        <v>8</v>
      </c>
      <c r="AG7" s="1701">
        <v>9</v>
      </c>
      <c r="AH7" s="1701">
        <v>10</v>
      </c>
      <c r="AI7" s="1701">
        <v>11</v>
      </c>
      <c r="AJ7" s="1701">
        <v>12</v>
      </c>
      <c r="AK7" s="1701" t="s">
        <v>74</v>
      </c>
    </row>
    <row r="8" spans="1:37" s="982" customFormat="1" ht="51.75" customHeight="1">
      <c r="A8" s="994">
        <v>1</v>
      </c>
      <c r="B8" s="1442" t="s">
        <v>1597</v>
      </c>
      <c r="C8" s="1579" t="s">
        <v>1431</v>
      </c>
      <c r="D8" s="1489">
        <v>41263</v>
      </c>
      <c r="E8" s="995" t="s">
        <v>1411</v>
      </c>
      <c r="F8" s="1719">
        <v>682.96153846153845</v>
      </c>
      <c r="G8" s="1719">
        <v>691.45227057812417</v>
      </c>
      <c r="H8" s="1719">
        <v>697.78932076742274</v>
      </c>
      <c r="I8" s="1719">
        <v>684.28601706503014</v>
      </c>
      <c r="J8" s="1719">
        <v>692.02780431412418</v>
      </c>
      <c r="K8" s="1719">
        <v>697.82572592508529</v>
      </c>
      <c r="L8" s="1719">
        <v>777.23619005427554</v>
      </c>
      <c r="M8" s="1719">
        <v>782.87543312080356</v>
      </c>
      <c r="N8" s="1718">
        <v>756.23748895962433</v>
      </c>
      <c r="O8" s="1306">
        <v>676.80827751673701</v>
      </c>
      <c r="P8" s="1306">
        <v>609.09021215271207</v>
      </c>
      <c r="Q8" s="1306">
        <v>619.59615384615381</v>
      </c>
      <c r="R8" s="1679">
        <f>SUM(F8:Q8)</f>
        <v>8368.1864327616313</v>
      </c>
      <c r="S8" s="1002">
        <f>R8/12</f>
        <v>697.34886939680257</v>
      </c>
      <c r="T8" s="1002">
        <f t="shared" ref="T8:T19" si="0">S8/26</f>
        <v>26.821110361415485</v>
      </c>
      <c r="U8" s="1041">
        <f>OFFICE!W7</f>
        <v>0</v>
      </c>
      <c r="V8" s="1044">
        <f>T8*U8</f>
        <v>0</v>
      </c>
      <c r="W8" s="1042"/>
      <c r="X8" s="1003"/>
      <c r="Y8" s="1700">
        <v>0</v>
      </c>
      <c r="Z8" s="1737">
        <v>3</v>
      </c>
      <c r="AA8" s="1738">
        <v>3.5</v>
      </c>
      <c r="AB8" s="1737">
        <v>2</v>
      </c>
      <c r="AC8" s="1041">
        <v>1</v>
      </c>
      <c r="AD8" s="1041">
        <v>3.5</v>
      </c>
      <c r="AE8" s="1041">
        <v>2</v>
      </c>
      <c r="AF8" s="1041">
        <v>0.5</v>
      </c>
      <c r="AG8" s="1041">
        <v>2</v>
      </c>
      <c r="AH8" s="1738"/>
      <c r="AI8" s="1738"/>
      <c r="AJ8" s="1738"/>
      <c r="AK8" s="1699">
        <f>SUM(Y8:AJ8)</f>
        <v>17.5</v>
      </c>
    </row>
    <row r="9" spans="1:37" s="982" customFormat="1" ht="51.75" customHeight="1">
      <c r="A9" s="994">
        <v>2</v>
      </c>
      <c r="B9" s="1443" t="s">
        <v>1596</v>
      </c>
      <c r="C9" s="1580" t="s">
        <v>1432</v>
      </c>
      <c r="D9" s="1490">
        <v>41335</v>
      </c>
      <c r="E9" s="996" t="s">
        <v>1413</v>
      </c>
      <c r="F9" s="1719">
        <v>751.4809268402405</v>
      </c>
      <c r="G9" s="1719">
        <v>768.23611111111109</v>
      </c>
      <c r="H9" s="1719">
        <v>731.21212082836166</v>
      </c>
      <c r="I9" s="1719">
        <v>774.22073000490639</v>
      </c>
      <c r="J9" s="1719">
        <v>860.25123762376234</v>
      </c>
      <c r="K9" s="1719">
        <v>975.67665840332415</v>
      </c>
      <c r="L9" s="1719">
        <v>997.67118226600985</v>
      </c>
      <c r="M9" s="1719">
        <v>890.74009900990097</v>
      </c>
      <c r="N9" s="1718">
        <v>764.63799504950498</v>
      </c>
      <c r="O9" s="1306">
        <v>754.19397518666744</v>
      </c>
      <c r="P9" s="1306">
        <v>636.59375</v>
      </c>
      <c r="Q9" s="1306">
        <v>633.77976568627332</v>
      </c>
      <c r="R9" s="1679">
        <f t="shared" ref="R9:R19" si="1">SUM(F9:Q9)</f>
        <v>9538.6945520100617</v>
      </c>
      <c r="S9" s="1002">
        <f t="shared" ref="S9:S12" si="2">R9/12</f>
        <v>794.8912126675051</v>
      </c>
      <c r="T9" s="1002">
        <f t="shared" si="0"/>
        <v>30.572738948750196</v>
      </c>
      <c r="U9" s="1041">
        <f>OFFICE!W8</f>
        <v>0</v>
      </c>
      <c r="V9" s="1044">
        <f t="shared" ref="V9:V19" si="3">T9*U9</f>
        <v>0</v>
      </c>
      <c r="W9" s="1043"/>
      <c r="X9" s="878"/>
      <c r="Y9" s="1700">
        <v>0.5</v>
      </c>
      <c r="Z9" s="1737">
        <v>0</v>
      </c>
      <c r="AA9" s="1738">
        <v>2</v>
      </c>
      <c r="AB9" s="1737">
        <v>1.5</v>
      </c>
      <c r="AC9" s="1041">
        <v>0</v>
      </c>
      <c r="AD9" s="1041">
        <v>1.5</v>
      </c>
      <c r="AE9" s="1041">
        <v>0</v>
      </c>
      <c r="AF9" s="1041">
        <v>0</v>
      </c>
      <c r="AG9" s="1041">
        <v>0</v>
      </c>
      <c r="AH9" s="1738"/>
      <c r="AI9" s="1738"/>
      <c r="AJ9" s="1738"/>
      <c r="AK9" s="1699">
        <f>SUM(Y9:AJ9)</f>
        <v>5.5</v>
      </c>
    </row>
    <row r="10" spans="1:37" s="982" customFormat="1" ht="51.75" customHeight="1">
      <c r="A10" s="994">
        <v>3</v>
      </c>
      <c r="B10" s="1443" t="s">
        <v>1414</v>
      </c>
      <c r="C10" s="1580" t="s">
        <v>1433</v>
      </c>
      <c r="D10" s="1490">
        <v>41771</v>
      </c>
      <c r="E10" s="996" t="s">
        <v>1416</v>
      </c>
      <c r="F10" s="1719">
        <v>543.09199905033233</v>
      </c>
      <c r="G10" s="1719">
        <v>562.32181997175405</v>
      </c>
      <c r="H10" s="1719">
        <v>563.75751260693312</v>
      </c>
      <c r="I10" s="1719">
        <v>686.95050580358554</v>
      </c>
      <c r="J10" s="1719">
        <v>715.48438065453342</v>
      </c>
      <c r="K10" s="1719">
        <v>788.02856054836252</v>
      </c>
      <c r="L10" s="1719">
        <v>661.42022394931666</v>
      </c>
      <c r="M10" s="1719">
        <v>597.2554789490639</v>
      </c>
      <c r="N10" s="1718">
        <v>515.19135985851881</v>
      </c>
      <c r="O10" s="1306">
        <v>553.90163247344185</v>
      </c>
      <c r="P10" s="1306">
        <v>416.46153846153845</v>
      </c>
      <c r="Q10" s="1306">
        <v>30</v>
      </c>
      <c r="R10" s="1679">
        <f t="shared" si="1"/>
        <v>6633.865012327381</v>
      </c>
      <c r="S10" s="1002">
        <f t="shared" si="2"/>
        <v>552.82208436061512</v>
      </c>
      <c r="T10" s="1002">
        <f t="shared" si="0"/>
        <v>21.262387860023658</v>
      </c>
      <c r="U10" s="1041">
        <f>OFFICE!W9</f>
        <v>1</v>
      </c>
      <c r="V10" s="1044">
        <f t="shared" si="3"/>
        <v>21.262387860023658</v>
      </c>
      <c r="W10" s="1043"/>
      <c r="X10" s="878"/>
      <c r="Y10" s="1700">
        <v>0</v>
      </c>
      <c r="Z10" s="1737">
        <v>2.5</v>
      </c>
      <c r="AA10" s="1738">
        <v>2</v>
      </c>
      <c r="AB10" s="1737">
        <v>2.5</v>
      </c>
      <c r="AC10" s="1041">
        <v>1</v>
      </c>
      <c r="AD10" s="1041">
        <v>0</v>
      </c>
      <c r="AE10" s="1041">
        <v>2</v>
      </c>
      <c r="AF10" s="1041">
        <v>1</v>
      </c>
      <c r="AG10" s="1041">
        <v>5</v>
      </c>
      <c r="AH10" s="1738"/>
      <c r="AI10" s="1738"/>
      <c r="AJ10" s="1738"/>
      <c r="AK10" s="1699">
        <f t="shared" ref="AK10:AK19" si="4">SUM(Y10:AJ10)</f>
        <v>16</v>
      </c>
    </row>
    <row r="11" spans="1:37" s="982" customFormat="1" ht="51.75" customHeight="1">
      <c r="A11" s="994">
        <v>4</v>
      </c>
      <c r="B11" s="1443" t="s">
        <v>1434</v>
      </c>
      <c r="C11" s="1580" t="s">
        <v>1435</v>
      </c>
      <c r="D11" s="1490">
        <v>41841</v>
      </c>
      <c r="E11" s="996" t="s">
        <v>1419</v>
      </c>
      <c r="F11" s="1719">
        <v>655.00274313980788</v>
      </c>
      <c r="G11" s="1719">
        <v>653.20076962376038</v>
      </c>
      <c r="H11" s="1719">
        <v>654.49974752531421</v>
      </c>
      <c r="I11" s="1719">
        <v>698.02823985340592</v>
      </c>
      <c r="J11" s="1719">
        <v>655.25110916904748</v>
      </c>
      <c r="K11" s="1719">
        <v>679.40113067368134</v>
      </c>
      <c r="L11" s="1719">
        <v>668.44678181852134</v>
      </c>
      <c r="M11" s="1719">
        <v>669.91880190189045</v>
      </c>
      <c r="N11" s="1718">
        <v>665.7968947396223</v>
      </c>
      <c r="O11" s="1306">
        <v>676.99331731254563</v>
      </c>
      <c r="P11" s="1306">
        <v>618.01923076923072</v>
      </c>
      <c r="Q11" s="1306">
        <v>554.65384615384619</v>
      </c>
      <c r="R11" s="1679">
        <f t="shared" si="1"/>
        <v>7849.2126126806725</v>
      </c>
      <c r="S11" s="1002">
        <f t="shared" si="2"/>
        <v>654.10105105672267</v>
      </c>
      <c r="T11" s="1002">
        <f t="shared" si="0"/>
        <v>25.157732732950873</v>
      </c>
      <c r="U11" s="1041">
        <f>OFFICE!W10</f>
        <v>0</v>
      </c>
      <c r="V11" s="1044">
        <f t="shared" si="3"/>
        <v>0</v>
      </c>
      <c r="W11" s="1043"/>
      <c r="X11" s="878"/>
      <c r="Y11" s="1700">
        <v>1</v>
      </c>
      <c r="Z11" s="1737">
        <v>1.5</v>
      </c>
      <c r="AA11" s="1738">
        <v>2</v>
      </c>
      <c r="AB11" s="1737">
        <v>5.5</v>
      </c>
      <c r="AC11" s="1041">
        <v>1</v>
      </c>
      <c r="AD11" s="1041">
        <v>4</v>
      </c>
      <c r="AE11" s="1041">
        <v>2</v>
      </c>
      <c r="AF11" s="1041">
        <v>1</v>
      </c>
      <c r="AG11" s="1041">
        <v>1.5</v>
      </c>
      <c r="AH11" s="1738"/>
      <c r="AI11" s="1738"/>
      <c r="AJ11" s="1738"/>
      <c r="AK11" s="1699">
        <f t="shared" si="4"/>
        <v>19.5</v>
      </c>
    </row>
    <row r="12" spans="1:37" s="982" customFormat="1" ht="51.75" customHeight="1">
      <c r="A12" s="994">
        <v>5</v>
      </c>
      <c r="B12" s="1443" t="s">
        <v>1436</v>
      </c>
      <c r="C12" s="1580" t="s">
        <v>1437</v>
      </c>
      <c r="D12" s="1490">
        <v>41869</v>
      </c>
      <c r="E12" s="996" t="s">
        <v>1422</v>
      </c>
      <c r="F12" s="1719">
        <v>721.94396961063626</v>
      </c>
      <c r="G12" s="1719">
        <v>751.29163385886943</v>
      </c>
      <c r="H12" s="1719">
        <v>706.43925761155356</v>
      </c>
      <c r="I12" s="1719">
        <v>754.52609862474719</v>
      </c>
      <c r="J12" s="1719">
        <v>852.90026640207088</v>
      </c>
      <c r="K12" s="1719">
        <v>956.3899466869766</v>
      </c>
      <c r="L12" s="1719">
        <v>961.25956801818882</v>
      </c>
      <c r="M12" s="1719">
        <v>868.95163747143954</v>
      </c>
      <c r="N12" s="1718">
        <v>769.18125155169867</v>
      </c>
      <c r="O12" s="1306">
        <v>771.55092900465866</v>
      </c>
      <c r="P12" s="1306">
        <v>610.29647812598216</v>
      </c>
      <c r="Q12" s="1306">
        <v>596.23766867897643</v>
      </c>
      <c r="R12" s="1679">
        <f t="shared" si="1"/>
        <v>9320.9687056457969</v>
      </c>
      <c r="S12" s="1002">
        <f t="shared" si="2"/>
        <v>776.74739213714975</v>
      </c>
      <c r="T12" s="1002">
        <f t="shared" si="0"/>
        <v>29.874899697582684</v>
      </c>
      <c r="U12" s="1041">
        <f>OFFICE!W11</f>
        <v>0</v>
      </c>
      <c r="V12" s="1044">
        <f t="shared" si="3"/>
        <v>0</v>
      </c>
      <c r="W12" s="1043"/>
      <c r="X12" s="878"/>
      <c r="Y12" s="1700">
        <v>0</v>
      </c>
      <c r="Z12" s="1737">
        <v>0.5</v>
      </c>
      <c r="AA12" s="1738">
        <v>2</v>
      </c>
      <c r="AB12" s="1737">
        <v>2</v>
      </c>
      <c r="AC12" s="1041">
        <v>2</v>
      </c>
      <c r="AD12" s="1041">
        <v>0</v>
      </c>
      <c r="AE12" s="1041">
        <v>0</v>
      </c>
      <c r="AF12" s="1041">
        <v>0</v>
      </c>
      <c r="AG12" s="1041">
        <v>0.5</v>
      </c>
      <c r="AH12" s="1738"/>
      <c r="AI12" s="1738"/>
      <c r="AJ12" s="1738"/>
      <c r="AK12" s="1699">
        <f>SUM(Y12:AJ12)</f>
        <v>7</v>
      </c>
    </row>
    <row r="13" spans="1:37" s="982" customFormat="1" ht="51.75" customHeight="1">
      <c r="A13" s="994">
        <v>6</v>
      </c>
      <c r="B13" s="1443" t="s">
        <v>1423</v>
      </c>
      <c r="C13" s="1580" t="s">
        <v>1438</v>
      </c>
      <c r="D13" s="1490">
        <v>42971</v>
      </c>
      <c r="E13" s="996" t="s">
        <v>1439</v>
      </c>
      <c r="F13" s="1719">
        <v>296</v>
      </c>
      <c r="G13" s="1719">
        <v>296</v>
      </c>
      <c r="H13" s="1719">
        <v>296</v>
      </c>
      <c r="I13" s="1719">
        <v>296</v>
      </c>
      <c r="J13" s="1719">
        <v>296</v>
      </c>
      <c r="K13" s="1719">
        <v>296</v>
      </c>
      <c r="L13" s="1719">
        <v>296</v>
      </c>
      <c r="M13" s="1719">
        <v>297</v>
      </c>
      <c r="N13" s="1718">
        <v>297</v>
      </c>
      <c r="O13" s="1306">
        <v>296</v>
      </c>
      <c r="P13" s="1306">
        <v>296</v>
      </c>
      <c r="Q13" s="1306">
        <v>30</v>
      </c>
      <c r="R13" s="1679">
        <f t="shared" si="1"/>
        <v>3288</v>
      </c>
      <c r="S13" s="1002">
        <f t="shared" ref="S13:S18" si="5">R13/12</f>
        <v>274</v>
      </c>
      <c r="T13" s="1002">
        <f t="shared" si="0"/>
        <v>10.538461538461538</v>
      </c>
      <c r="U13" s="1041">
        <f>OFFICE!W12</f>
        <v>0</v>
      </c>
      <c r="V13" s="1044">
        <f t="shared" si="3"/>
        <v>0</v>
      </c>
      <c r="W13" s="1043"/>
      <c r="X13" s="878"/>
      <c r="Y13" s="1700">
        <v>0</v>
      </c>
      <c r="Z13" s="1737">
        <v>0</v>
      </c>
      <c r="AA13" s="1738">
        <v>0</v>
      </c>
      <c r="AB13" s="1737">
        <v>0</v>
      </c>
      <c r="AC13" s="1041">
        <v>0</v>
      </c>
      <c r="AD13" s="1041">
        <v>0</v>
      </c>
      <c r="AE13" s="1041">
        <v>0</v>
      </c>
      <c r="AF13" s="1041">
        <v>0</v>
      </c>
      <c r="AG13" s="1041">
        <v>0</v>
      </c>
      <c r="AH13" s="1738"/>
      <c r="AI13" s="1738"/>
      <c r="AJ13" s="1738"/>
      <c r="AK13" s="1699">
        <f t="shared" si="4"/>
        <v>0</v>
      </c>
    </row>
    <row r="14" spans="1:37" s="1733" customFormat="1" ht="51.75" customHeight="1">
      <c r="A14" s="994">
        <v>7</v>
      </c>
      <c r="B14" s="518" t="s">
        <v>1426</v>
      </c>
      <c r="C14" s="578" t="s">
        <v>1427</v>
      </c>
      <c r="D14" s="1476">
        <v>43052</v>
      </c>
      <c r="E14" s="1639" t="s">
        <v>1428</v>
      </c>
      <c r="F14" s="1719">
        <v>531.3337270317171</v>
      </c>
      <c r="G14" s="1719">
        <v>389.34375</v>
      </c>
      <c r="H14" s="1719">
        <v>528.77782841251508</v>
      </c>
      <c r="I14" s="1719">
        <v>480.33465279179575</v>
      </c>
      <c r="J14" s="1719">
        <v>530.10096153846143</v>
      </c>
      <c r="K14" s="1719">
        <v>462.88221153846143</v>
      </c>
      <c r="L14" s="1719">
        <v>595.63029442745471</v>
      </c>
      <c r="M14" s="1719">
        <v>525.03331249240682</v>
      </c>
      <c r="N14" s="1718">
        <v>463.15778823917077</v>
      </c>
      <c r="O14" s="1306">
        <v>438.57437313831849</v>
      </c>
      <c r="P14" s="1306">
        <v>449.66826923076923</v>
      </c>
      <c r="Q14" s="1306">
        <v>394.51442307692309</v>
      </c>
      <c r="R14" s="1679">
        <f t="shared" si="1"/>
        <v>5789.3515919179936</v>
      </c>
      <c r="S14" s="1002">
        <f t="shared" si="5"/>
        <v>482.44596599316611</v>
      </c>
      <c r="T14" s="1002">
        <f t="shared" si="0"/>
        <v>18.555614076660234</v>
      </c>
      <c r="U14" s="1041">
        <f>OFFICE!W13</f>
        <v>0</v>
      </c>
      <c r="V14" s="1044">
        <f t="shared" si="3"/>
        <v>0</v>
      </c>
      <c r="W14" s="1043"/>
      <c r="X14" s="878"/>
      <c r="Y14" s="1041">
        <v>1</v>
      </c>
      <c r="Z14" s="1737"/>
      <c r="AA14" s="1041">
        <v>1</v>
      </c>
      <c r="AB14" s="1737">
        <v>1.5</v>
      </c>
      <c r="AC14" s="1041">
        <v>0</v>
      </c>
      <c r="AD14" s="1041">
        <v>0</v>
      </c>
      <c r="AE14" s="1041">
        <v>2</v>
      </c>
      <c r="AF14" s="1041">
        <v>1</v>
      </c>
      <c r="AG14" s="1041">
        <v>1</v>
      </c>
      <c r="AH14" s="1738"/>
      <c r="AI14" s="1738"/>
      <c r="AJ14" s="1738"/>
      <c r="AK14" s="1699">
        <f t="shared" si="4"/>
        <v>7.5</v>
      </c>
    </row>
    <row r="15" spans="1:37" s="1464" customFormat="1" ht="51.75" customHeight="1">
      <c r="A15" s="994">
        <v>8</v>
      </c>
      <c r="B15" s="518" t="s">
        <v>2005</v>
      </c>
      <c r="C15" s="731" t="s">
        <v>2006</v>
      </c>
      <c r="D15" s="1446">
        <v>41388</v>
      </c>
      <c r="E15" s="985" t="s">
        <v>1419</v>
      </c>
      <c r="F15" s="1719">
        <v>377.07740118971225</v>
      </c>
      <c r="G15" s="1719">
        <v>363.43939933523268</v>
      </c>
      <c r="H15" s="1719">
        <v>371.41210617044464</v>
      </c>
      <c r="I15" s="1719">
        <v>379.03080603726306</v>
      </c>
      <c r="J15" s="1719">
        <v>373.42307692307696</v>
      </c>
      <c r="K15" s="1719">
        <v>383.46496572734196</v>
      </c>
      <c r="L15" s="1719">
        <v>377.77108313865665</v>
      </c>
      <c r="M15" s="1719">
        <v>377.57554265041887</v>
      </c>
      <c r="N15" s="1718">
        <v>381.33363185755627</v>
      </c>
      <c r="O15" s="1306">
        <v>391.98174696113654</v>
      </c>
      <c r="P15" s="1306">
        <v>352.34374999999994</v>
      </c>
      <c r="Q15" s="1306">
        <v>336.44230769230768</v>
      </c>
      <c r="R15" s="1679">
        <f t="shared" si="1"/>
        <v>4465.2958176831471</v>
      </c>
      <c r="S15" s="1002">
        <f t="shared" si="5"/>
        <v>372.10798480692893</v>
      </c>
      <c r="T15" s="1002">
        <f t="shared" si="0"/>
        <v>14.311845569497267</v>
      </c>
      <c r="U15" s="1041">
        <f>OFFICE!W14</f>
        <v>0</v>
      </c>
      <c r="V15" s="1044">
        <f t="shared" si="3"/>
        <v>0</v>
      </c>
      <c r="W15" s="1043"/>
      <c r="X15" s="878"/>
      <c r="Y15" s="1700">
        <v>1</v>
      </c>
      <c r="Z15" s="1737">
        <v>0</v>
      </c>
      <c r="AA15" s="1738">
        <v>2</v>
      </c>
      <c r="AB15" s="1737">
        <v>1.5</v>
      </c>
      <c r="AC15" s="1041">
        <v>0</v>
      </c>
      <c r="AD15" s="1041">
        <v>0</v>
      </c>
      <c r="AE15" s="1041">
        <v>1</v>
      </c>
      <c r="AF15" s="1041">
        <v>0</v>
      </c>
      <c r="AG15" s="1041">
        <v>1</v>
      </c>
      <c r="AH15" s="1738"/>
      <c r="AI15" s="1738"/>
      <c r="AJ15" s="1738"/>
      <c r="AK15" s="1699">
        <f t="shared" si="4"/>
        <v>6.5</v>
      </c>
    </row>
    <row r="16" spans="1:37" s="982" customFormat="1" ht="51.75" customHeight="1">
      <c r="A16" s="994">
        <v>9</v>
      </c>
      <c r="B16" s="1444" t="s">
        <v>1429</v>
      </c>
      <c r="C16" s="1510" t="s">
        <v>1440</v>
      </c>
      <c r="D16" s="1491">
        <v>43211</v>
      </c>
      <c r="E16" s="996" t="s">
        <v>2079</v>
      </c>
      <c r="F16" s="1719">
        <v>412.33173076923077</v>
      </c>
      <c r="G16" s="1719">
        <v>441.79873739823296</v>
      </c>
      <c r="H16" s="1719">
        <v>439.45166435015119</v>
      </c>
      <c r="I16" s="1719">
        <v>516.75927325106602</v>
      </c>
      <c r="J16" s="1719">
        <v>602.93174028941371</v>
      </c>
      <c r="K16" s="1719">
        <v>728.3140251227203</v>
      </c>
      <c r="L16" s="1719">
        <v>727.33468095821377</v>
      </c>
      <c r="M16" s="1719">
        <v>564.42345773038846</v>
      </c>
      <c r="N16" s="1718">
        <v>485.07479218342479</v>
      </c>
      <c r="O16" s="1306">
        <v>436.64351172361222</v>
      </c>
      <c r="P16" s="1306">
        <v>391.38787935387433</v>
      </c>
      <c r="Q16" s="1306">
        <v>375.51922302537344</v>
      </c>
      <c r="R16" s="1679">
        <f t="shared" si="1"/>
        <v>6121.9707161557017</v>
      </c>
      <c r="S16" s="1002">
        <f t="shared" si="5"/>
        <v>510.16422634630845</v>
      </c>
      <c r="T16" s="1002">
        <f t="shared" si="0"/>
        <v>19.621701013319555</v>
      </c>
      <c r="U16" s="1041">
        <f>OFFICE!W15</f>
        <v>1</v>
      </c>
      <c r="V16" s="1044">
        <f t="shared" si="3"/>
        <v>19.621701013319555</v>
      </c>
      <c r="W16" s="853"/>
      <c r="X16" s="941"/>
      <c r="Y16" s="1700">
        <v>0</v>
      </c>
      <c r="Z16" s="1737">
        <v>0.5</v>
      </c>
      <c r="AA16" s="1738">
        <v>2</v>
      </c>
      <c r="AB16" s="1737">
        <v>2.5</v>
      </c>
      <c r="AC16" s="1041">
        <v>0</v>
      </c>
      <c r="AD16" s="1041">
        <v>1</v>
      </c>
      <c r="AE16" s="1041">
        <v>3</v>
      </c>
      <c r="AF16" s="1041">
        <v>0</v>
      </c>
      <c r="AG16" s="1041">
        <v>0.5</v>
      </c>
      <c r="AH16" s="1738"/>
      <c r="AI16" s="1738"/>
      <c r="AJ16" s="1738"/>
      <c r="AK16" s="1699">
        <f t="shared" si="4"/>
        <v>9.5</v>
      </c>
    </row>
    <row r="17" spans="1:37" s="1120" customFormat="1" ht="51.75" customHeight="1">
      <c r="A17" s="994">
        <v>10</v>
      </c>
      <c r="B17" s="572" t="s">
        <v>1598</v>
      </c>
      <c r="C17" s="956" t="s">
        <v>1500</v>
      </c>
      <c r="D17" s="1446">
        <v>44622</v>
      </c>
      <c r="E17" s="996" t="s">
        <v>1501</v>
      </c>
      <c r="F17" s="1719">
        <v>420.90930674264013</v>
      </c>
      <c r="G17" s="1719">
        <v>458.14660581789252</v>
      </c>
      <c r="H17" s="1719">
        <v>413.08276515853095</v>
      </c>
      <c r="I17" s="1719">
        <v>458.86235169749494</v>
      </c>
      <c r="J17" s="1719">
        <v>515.27735191793772</v>
      </c>
      <c r="K17" s="1719">
        <v>535.68698682209106</v>
      </c>
      <c r="L17" s="1719">
        <v>505.58904888215233</v>
      </c>
      <c r="M17" s="1719">
        <v>478.21210967250562</v>
      </c>
      <c r="N17" s="1718">
        <v>396.06954940382991</v>
      </c>
      <c r="O17" s="1306">
        <v>372.45360045360047</v>
      </c>
      <c r="P17" s="1306">
        <v>352.07692307692309</v>
      </c>
      <c r="Q17" s="1306">
        <v>30</v>
      </c>
      <c r="R17" s="1679">
        <f t="shared" si="1"/>
        <v>4936.3665996455984</v>
      </c>
      <c r="S17" s="1002">
        <f t="shared" si="5"/>
        <v>411.36388330379987</v>
      </c>
      <c r="T17" s="1002">
        <f t="shared" si="0"/>
        <v>15.821687819376917</v>
      </c>
      <c r="U17" s="1041">
        <f>OFFICE!W16</f>
        <v>1.5</v>
      </c>
      <c r="V17" s="1044">
        <f t="shared" si="3"/>
        <v>23.732531729065375</v>
      </c>
      <c r="W17" s="853"/>
      <c r="X17" s="941"/>
      <c r="Y17" s="1700">
        <v>0</v>
      </c>
      <c r="Z17" s="1737">
        <v>2.5</v>
      </c>
      <c r="AA17" s="1738">
        <v>2</v>
      </c>
      <c r="AB17" s="1737">
        <v>3</v>
      </c>
      <c r="AC17" s="1041">
        <v>3</v>
      </c>
      <c r="AD17" s="1041">
        <v>1</v>
      </c>
      <c r="AE17" s="1041">
        <v>0</v>
      </c>
      <c r="AF17" s="1041">
        <v>0</v>
      </c>
      <c r="AG17" s="1041">
        <v>1</v>
      </c>
      <c r="AH17" s="1738"/>
      <c r="AI17" s="1738"/>
      <c r="AJ17" s="1738"/>
      <c r="AK17" s="1699">
        <f t="shared" si="4"/>
        <v>12.5</v>
      </c>
    </row>
    <row r="18" spans="1:37" s="1582" customFormat="1" ht="51.75" customHeight="1">
      <c r="A18" s="994">
        <v>11</v>
      </c>
      <c r="B18" s="572" t="s">
        <v>1842</v>
      </c>
      <c r="C18" s="956" t="s">
        <v>1843</v>
      </c>
      <c r="D18" s="1472">
        <v>44958</v>
      </c>
      <c r="E18" s="985" t="s">
        <v>1844</v>
      </c>
      <c r="F18" s="1719">
        <v>387.5035612535612</v>
      </c>
      <c r="G18" s="1719">
        <v>395.53228869895537</v>
      </c>
      <c r="H18" s="1719">
        <v>381.42516341659098</v>
      </c>
      <c r="I18" s="1719">
        <v>401.49045708228783</v>
      </c>
      <c r="J18" s="1719">
        <v>445.62414318354905</v>
      </c>
      <c r="K18" s="1719">
        <v>468.90575019040364</v>
      </c>
      <c r="L18" s="1719">
        <v>461.60524820007578</v>
      </c>
      <c r="M18" s="1719">
        <v>437.67743334565711</v>
      </c>
      <c r="N18" s="1718">
        <v>363.88125990413107</v>
      </c>
      <c r="O18" s="1306">
        <v>402.07312226766123</v>
      </c>
      <c r="P18" s="1306">
        <v>310.76923076923072</v>
      </c>
      <c r="Q18" s="1306">
        <v>30</v>
      </c>
      <c r="R18" s="1679">
        <f t="shared" si="1"/>
        <v>4486.487658312104</v>
      </c>
      <c r="S18" s="1002">
        <f t="shared" si="5"/>
        <v>373.87397152600869</v>
      </c>
      <c r="T18" s="1002">
        <f t="shared" si="0"/>
        <v>14.379768135615718</v>
      </c>
      <c r="U18" s="1041">
        <f>OFFICE!W17</f>
        <v>1</v>
      </c>
      <c r="V18" s="1044">
        <f t="shared" si="3"/>
        <v>14.379768135615718</v>
      </c>
      <c r="W18" s="853"/>
      <c r="X18" s="941"/>
      <c r="Y18" s="1700">
        <v>0</v>
      </c>
      <c r="Z18" s="1737">
        <v>0</v>
      </c>
      <c r="AA18" s="1738">
        <v>5.5</v>
      </c>
      <c r="AB18" s="1737">
        <v>1.5</v>
      </c>
      <c r="AC18" s="1041">
        <v>0</v>
      </c>
      <c r="AD18" s="1041">
        <v>0</v>
      </c>
      <c r="AE18" s="1041">
        <v>0</v>
      </c>
      <c r="AF18" s="1041">
        <v>1</v>
      </c>
      <c r="AG18" s="1041">
        <v>1</v>
      </c>
      <c r="AH18" s="1738"/>
      <c r="AI18" s="1738"/>
      <c r="AJ18" s="1738"/>
      <c r="AK18" s="1699">
        <f t="shared" si="4"/>
        <v>9</v>
      </c>
    </row>
    <row r="19" spans="1:37" s="982" customFormat="1" ht="51.75" customHeight="1">
      <c r="A19" s="994">
        <v>12</v>
      </c>
      <c r="B19" s="785" t="s">
        <v>2080</v>
      </c>
      <c r="C19" s="966" t="s">
        <v>2081</v>
      </c>
      <c r="D19" s="624">
        <v>45187</v>
      </c>
      <c r="E19" s="1052" t="s">
        <v>2089</v>
      </c>
      <c r="F19" s="1719">
        <v>359.61538461538464</v>
      </c>
      <c r="G19" s="1719">
        <v>350</v>
      </c>
      <c r="H19" s="1719">
        <v>359.61538461538464</v>
      </c>
      <c r="I19" s="1719">
        <v>354.97150134149399</v>
      </c>
      <c r="J19" s="1719">
        <v>360.92307692307691</v>
      </c>
      <c r="K19" s="1719">
        <v>350</v>
      </c>
      <c r="L19" s="1719">
        <v>357.61538461538458</v>
      </c>
      <c r="M19" s="1719">
        <v>359.61538461538458</v>
      </c>
      <c r="N19" s="1718">
        <v>350</v>
      </c>
      <c r="O19" s="1306">
        <v>358.07054810054808</v>
      </c>
      <c r="P19" s="1306">
        <v>350</v>
      </c>
      <c r="Q19" s="1306">
        <v>366.07326148903076</v>
      </c>
      <c r="R19" s="1679">
        <f t="shared" si="1"/>
        <v>4276.4999263156878</v>
      </c>
      <c r="S19" s="1002">
        <f>R19/12</f>
        <v>356.37499385964065</v>
      </c>
      <c r="T19" s="1002">
        <f t="shared" si="0"/>
        <v>13.706730533063102</v>
      </c>
      <c r="U19" s="1041">
        <f>OFFICE!W18</f>
        <v>0</v>
      </c>
      <c r="V19" s="1044">
        <f t="shared" si="3"/>
        <v>0</v>
      </c>
      <c r="W19" s="853"/>
      <c r="X19" s="941"/>
      <c r="Y19" s="1700">
        <v>0</v>
      </c>
      <c r="Z19" s="1737">
        <v>0</v>
      </c>
      <c r="AA19" s="1738">
        <v>0</v>
      </c>
      <c r="AB19" s="1737">
        <v>1.5</v>
      </c>
      <c r="AC19" s="1041">
        <v>0</v>
      </c>
      <c r="AD19" s="1041">
        <v>0</v>
      </c>
      <c r="AE19" s="1041">
        <v>0</v>
      </c>
      <c r="AF19" s="1041">
        <v>0</v>
      </c>
      <c r="AG19" s="1041">
        <v>0</v>
      </c>
      <c r="AH19" s="1738"/>
      <c r="AI19" s="1738"/>
      <c r="AJ19" s="1738"/>
      <c r="AK19" s="1699">
        <f t="shared" si="4"/>
        <v>1.5</v>
      </c>
    </row>
    <row r="20" spans="1:37" s="1008" customFormat="1" ht="60" customHeight="1">
      <c r="A20" s="2203" t="s">
        <v>214</v>
      </c>
      <c r="B20" s="2203"/>
      <c r="C20" s="2203"/>
      <c r="D20" s="2203"/>
      <c r="E20" s="2203"/>
      <c r="F20" s="2204"/>
      <c r="G20" s="2204"/>
      <c r="H20" s="2204"/>
      <c r="I20" s="2204"/>
      <c r="J20" s="2204"/>
      <c r="K20" s="2203"/>
      <c r="L20" s="2203"/>
      <c r="M20" s="2203"/>
      <c r="N20" s="2203"/>
      <c r="O20" s="2203"/>
      <c r="P20" s="2203"/>
      <c r="Q20" s="2203"/>
      <c r="R20" s="2203"/>
      <c r="S20" s="1004"/>
      <c r="T20" s="1005"/>
      <c r="U20" s="1006"/>
      <c r="V20" s="1069">
        <f>SUM(V8:V19)</f>
        <v>78.996388738024308</v>
      </c>
      <c r="W20" s="1007"/>
      <c r="X20" s="1007"/>
    </row>
    <row r="21" spans="1:37" s="982" customFormat="1" ht="15.75">
      <c r="A21" s="842"/>
      <c r="B21" s="842"/>
      <c r="C21" s="842"/>
      <c r="D21" s="567"/>
      <c r="E21" s="842"/>
      <c r="F21" s="870"/>
      <c r="G21" s="870"/>
      <c r="H21" s="870"/>
      <c r="I21" s="870"/>
      <c r="J21" s="870"/>
      <c r="K21" s="870"/>
      <c r="L21" s="870"/>
      <c r="M21" s="870"/>
      <c r="N21" s="870"/>
      <c r="O21" s="870"/>
      <c r="P21" s="870"/>
      <c r="Q21" s="870"/>
      <c r="R21" s="870"/>
      <c r="S21" s="897"/>
      <c r="T21" s="870"/>
      <c r="U21" s="896"/>
      <c r="V21" s="896"/>
      <c r="W21" s="842"/>
      <c r="X21" s="842"/>
    </row>
    <row r="22" spans="1:37" s="982" customFormat="1" ht="15.75">
      <c r="A22" s="2132" t="s">
        <v>1155</v>
      </c>
      <c r="B22" s="2132"/>
      <c r="C22" s="2132"/>
      <c r="D22" s="872"/>
      <c r="G22" s="982" t="s">
        <v>1455</v>
      </c>
      <c r="H22" s="2132" t="s">
        <v>1156</v>
      </c>
      <c r="I22" s="2132"/>
      <c r="J22" s="2132"/>
      <c r="K22" s="2132"/>
      <c r="R22" s="2133" t="s">
        <v>1157</v>
      </c>
      <c r="S22" s="2133"/>
      <c r="T22" s="2133"/>
      <c r="U22" s="898"/>
      <c r="V22" s="898"/>
    </row>
    <row r="23" spans="1:37" s="982" customFormat="1" ht="15.75">
      <c r="A23" s="842"/>
      <c r="B23" s="842"/>
      <c r="C23" s="842"/>
      <c r="D23" s="567"/>
      <c r="E23" s="842"/>
      <c r="F23" s="870"/>
      <c r="G23" s="870"/>
      <c r="H23" s="870"/>
      <c r="I23" s="870"/>
      <c r="J23" s="870"/>
      <c r="K23" s="870"/>
      <c r="L23" s="870"/>
      <c r="M23" s="870"/>
      <c r="N23" s="870"/>
      <c r="O23" s="870"/>
      <c r="P23" s="870"/>
      <c r="Q23" s="870"/>
      <c r="R23" s="870"/>
      <c r="S23" s="897"/>
      <c r="T23" s="870"/>
      <c r="U23" s="896"/>
      <c r="V23" s="896"/>
      <c r="W23" s="842"/>
      <c r="X23" s="842"/>
    </row>
  </sheetData>
  <mergeCells count="11">
    <mergeCell ref="A1:U1"/>
    <mergeCell ref="A2:U2"/>
    <mergeCell ref="A3:U3"/>
    <mergeCell ref="A4:U4"/>
    <mergeCell ref="A5:C5"/>
    <mergeCell ref="D5:U5"/>
    <mergeCell ref="F6:Q6"/>
    <mergeCell ref="A20:R20"/>
    <mergeCell ref="A22:C22"/>
    <mergeCell ref="H22:K22"/>
    <mergeCell ref="R22:T22"/>
  </mergeCells>
  <pageMargins left="0.7" right="0.7" top="0.25" bottom="0" header="0.3" footer="0.3"/>
  <pageSetup paperSize="9" scale="59" orientation="landscape" verticalDpi="0" r:id="rId1"/>
  <colBreaks count="1" manualBreakCount="1">
    <brk id="23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R22"/>
  <sheetViews>
    <sheetView view="pageBreakPreview" zoomScaleNormal="100" zoomScaleSheetLayoutView="100" workbookViewId="0">
      <pane xSplit="7" ySplit="5" topLeftCell="H18" activePane="bottomRight" state="frozen"/>
      <selection pane="topRight" activeCell="H1" sqref="H1"/>
      <selection pane="bottomLeft" activeCell="A6" sqref="A6"/>
      <selection pane="bottomRight" activeCell="H12" sqref="H12"/>
    </sheetView>
  </sheetViews>
  <sheetFormatPr defaultRowHeight="14.25"/>
  <cols>
    <col min="1" max="1" width="5.75" customWidth="1"/>
    <col min="2" max="2" width="11.75" customWidth="1"/>
    <col min="3" max="3" width="13.75" customWidth="1"/>
    <col min="4" max="4" width="10.625" customWidth="1"/>
    <col min="5" max="5" width="8.875" customWidth="1"/>
    <col min="6" max="6" width="7.5" customWidth="1"/>
    <col min="7" max="7" width="7.125" customWidth="1"/>
    <col min="8" max="8" width="5.75" customWidth="1"/>
    <col min="9" max="9" width="7.75" customWidth="1"/>
    <col min="10" max="10" width="8.75" customWidth="1"/>
    <col min="11" max="11" width="6" customWidth="1"/>
    <col min="12" max="12" width="5.375" customWidth="1"/>
    <col min="13" max="13" width="8.25" customWidth="1"/>
    <col min="14" max="14" width="6.125" customWidth="1"/>
    <col min="15" max="15" width="5.375" customWidth="1"/>
    <col min="16" max="16" width="7.625" customWidth="1"/>
    <col min="17" max="17" width="5.875" customWidth="1"/>
    <col min="18" max="18" width="5.75" customWidth="1"/>
    <col min="19" max="19" width="8.75" customWidth="1"/>
    <col min="20" max="20" width="5.125" customWidth="1"/>
    <col min="21" max="21" width="6" customWidth="1"/>
    <col min="22" max="22" width="8.75" customWidth="1"/>
    <col min="23" max="23" width="5" customWidth="1"/>
    <col min="24" max="24" width="9" customWidth="1"/>
    <col min="25" max="25" width="5.25" customWidth="1"/>
    <col min="26" max="26" width="6.625" customWidth="1"/>
    <col min="27" max="27" width="7.875" customWidth="1"/>
    <col min="28" max="28" width="5.625" customWidth="1"/>
    <col min="29" max="29" width="6.125" customWidth="1"/>
    <col min="30" max="30" width="8.125" customWidth="1"/>
    <col min="31" max="31" width="7.375" customWidth="1"/>
    <col min="32" max="32" width="6.375" customWidth="1"/>
    <col min="33" max="33" width="5.625" customWidth="1"/>
    <col min="34" max="34" width="7.375" customWidth="1"/>
    <col min="35" max="35" width="6.625" customWidth="1"/>
    <col min="36" max="36" width="7.25" customWidth="1"/>
    <col min="37" max="37" width="7.375" customWidth="1"/>
    <col min="38" max="38" width="14" customWidth="1"/>
    <col min="39" max="39" width="5.375" customWidth="1"/>
    <col min="40" max="40" width="8.375" customWidth="1"/>
    <col min="41" max="42" width="8.625" customWidth="1"/>
    <col min="43" max="43" width="10" customWidth="1"/>
    <col min="44" max="44" width="14.5" customWidth="1"/>
    <col min="45" max="45" width="11.5" customWidth="1"/>
    <col min="46" max="46" width="19.25" customWidth="1"/>
    <col min="59" max="59" width="15.25" customWidth="1"/>
    <col min="63" max="63" width="9.875" bestFit="1" customWidth="1"/>
    <col min="64" max="64" width="12.75" customWidth="1"/>
    <col min="65" max="65" width="12.375" customWidth="1"/>
    <col min="66" max="66" width="11.375" customWidth="1"/>
    <col min="68" max="68" width="13" customWidth="1"/>
  </cols>
  <sheetData>
    <row r="1" spans="1:70" s="541" customFormat="1" ht="29.25" customHeight="1">
      <c r="A1" s="2110" t="s">
        <v>222</v>
      </c>
      <c r="B1" s="2110"/>
      <c r="C1" s="2110"/>
      <c r="D1" s="2110"/>
      <c r="E1" s="2110"/>
      <c r="F1" s="2110"/>
      <c r="G1" s="2110"/>
      <c r="H1" s="2110"/>
      <c r="I1" s="2110"/>
      <c r="J1" s="2110"/>
      <c r="K1" s="2110"/>
      <c r="L1" s="2110"/>
      <c r="M1" s="2110"/>
      <c r="N1" s="2110"/>
      <c r="O1" s="2110"/>
      <c r="P1" s="2110"/>
      <c r="Q1" s="2110"/>
      <c r="R1" s="2110"/>
      <c r="S1" s="2110"/>
      <c r="T1" s="2110"/>
      <c r="U1" s="2110"/>
      <c r="V1" s="2110"/>
      <c r="W1" s="2110"/>
      <c r="X1" s="2110"/>
      <c r="Y1" s="2110"/>
      <c r="Z1" s="2110"/>
      <c r="AA1" s="2110"/>
      <c r="AB1" s="2110"/>
      <c r="AC1" s="2110"/>
      <c r="AD1" s="2110"/>
      <c r="AE1" s="2110"/>
      <c r="AF1" s="2110"/>
      <c r="AG1" s="2110"/>
      <c r="AH1" s="2110"/>
      <c r="AI1" s="2110"/>
      <c r="AJ1" s="2110"/>
      <c r="AK1" s="2110"/>
      <c r="AL1" s="2110"/>
      <c r="AM1" s="2110"/>
      <c r="AN1" s="2110"/>
      <c r="AO1" s="2110"/>
      <c r="AP1" s="2110"/>
      <c r="AQ1" s="2110"/>
      <c r="AR1" s="2110"/>
      <c r="AS1" s="2110"/>
      <c r="AT1" s="2110"/>
      <c r="AU1" s="1039"/>
      <c r="AV1" s="1039"/>
      <c r="AW1" s="1039"/>
      <c r="AX1" s="1039"/>
      <c r="AY1" s="1039"/>
      <c r="AZ1" s="597"/>
      <c r="BA1" s="597"/>
      <c r="BB1" s="597"/>
      <c r="BC1" s="597"/>
      <c r="BD1" s="980"/>
    </row>
    <row r="2" spans="1:70" s="541" customFormat="1" ht="20.25" customHeight="1">
      <c r="A2" s="2110" t="s">
        <v>221</v>
      </c>
      <c r="B2" s="2110"/>
      <c r="C2" s="2110"/>
      <c r="D2" s="2110"/>
      <c r="E2" s="2110"/>
      <c r="F2" s="2110"/>
      <c r="G2" s="2110"/>
      <c r="H2" s="2110"/>
      <c r="I2" s="2110"/>
      <c r="J2" s="2110"/>
      <c r="K2" s="2110"/>
      <c r="L2" s="2110"/>
      <c r="M2" s="2110"/>
      <c r="N2" s="2110"/>
      <c r="O2" s="2110"/>
      <c r="P2" s="2110"/>
      <c r="Q2" s="2110"/>
      <c r="R2" s="2110"/>
      <c r="S2" s="2110"/>
      <c r="T2" s="2110"/>
      <c r="U2" s="2110"/>
      <c r="V2" s="2110"/>
      <c r="W2" s="2110"/>
      <c r="X2" s="2110"/>
      <c r="Y2" s="2110"/>
      <c r="Z2" s="2110"/>
      <c r="AA2" s="2110"/>
      <c r="AB2" s="2110"/>
      <c r="AC2" s="2110"/>
      <c r="AD2" s="2110"/>
      <c r="AE2" s="2110"/>
      <c r="AF2" s="2110"/>
      <c r="AG2" s="2110"/>
      <c r="AH2" s="2110"/>
      <c r="AI2" s="2110"/>
      <c r="AJ2" s="2110"/>
      <c r="AK2" s="2110"/>
      <c r="AL2" s="2110"/>
      <c r="AM2" s="2110"/>
      <c r="AN2" s="2110"/>
      <c r="AO2" s="2110"/>
      <c r="AP2" s="2110"/>
      <c r="AQ2" s="2110"/>
      <c r="AR2" s="2110"/>
      <c r="AS2" s="2110"/>
      <c r="AT2" s="2110"/>
      <c r="AU2" s="1039"/>
      <c r="AV2" s="1039"/>
      <c r="AW2" s="1039"/>
      <c r="AX2" s="1039"/>
      <c r="AY2" s="1039"/>
      <c r="AZ2" s="597"/>
      <c r="BA2" s="597"/>
      <c r="BB2" s="597"/>
      <c r="BC2" s="597"/>
      <c r="BD2" s="980"/>
    </row>
    <row r="3" spans="1:70" s="541" customFormat="1" ht="19.5" customHeight="1">
      <c r="A3" s="2111" t="s">
        <v>2346</v>
      </c>
      <c r="B3" s="2111"/>
      <c r="C3" s="2111"/>
      <c r="D3" s="2111"/>
      <c r="E3" s="2111"/>
      <c r="F3" s="2111"/>
      <c r="G3" s="2111"/>
      <c r="H3" s="2111"/>
      <c r="I3" s="2111"/>
      <c r="J3" s="2111"/>
      <c r="K3" s="2111"/>
      <c r="L3" s="2111"/>
      <c r="M3" s="2111"/>
      <c r="N3" s="2111"/>
      <c r="O3" s="2111"/>
      <c r="P3" s="2111"/>
      <c r="Q3" s="2111"/>
      <c r="R3" s="2111"/>
      <c r="S3" s="2111"/>
      <c r="T3" s="2111"/>
      <c r="U3" s="2111"/>
      <c r="V3" s="2111"/>
      <c r="W3" s="2111"/>
      <c r="X3" s="2111"/>
      <c r="Y3" s="2111"/>
      <c r="Z3" s="2111"/>
      <c r="AA3" s="2111"/>
      <c r="AB3" s="2111"/>
      <c r="AC3" s="2111"/>
      <c r="AD3" s="2111"/>
      <c r="AE3" s="2111"/>
      <c r="AF3" s="2111"/>
      <c r="AG3" s="2111"/>
      <c r="AH3" s="2111"/>
      <c r="AI3" s="2111"/>
      <c r="AJ3" s="2111"/>
      <c r="AK3" s="2111"/>
      <c r="AL3" s="2111"/>
      <c r="AM3" s="2111"/>
      <c r="AN3" s="2111"/>
      <c r="AO3" s="2111"/>
      <c r="AP3" s="2111"/>
      <c r="AQ3" s="2111"/>
      <c r="AR3" s="2111"/>
      <c r="AS3" s="2111"/>
      <c r="AT3" s="2111"/>
      <c r="AU3" s="1040"/>
      <c r="AV3" s="1040"/>
      <c r="AW3" s="1040"/>
      <c r="AX3" s="1040"/>
      <c r="AY3" s="981"/>
      <c r="AZ3" s="598"/>
      <c r="BA3" s="598"/>
      <c r="BB3" s="598"/>
      <c r="BC3" s="598"/>
    </row>
    <row r="4" spans="1:70" s="1647" customFormat="1" ht="20.25" customHeight="1">
      <c r="A4" s="2211" t="s">
        <v>1564</v>
      </c>
      <c r="B4" s="2211"/>
      <c r="C4" s="2211"/>
      <c r="D4" s="1641" t="s">
        <v>2341</v>
      </c>
      <c r="E4" s="1641"/>
      <c r="F4" s="1641"/>
      <c r="G4" s="1641"/>
      <c r="H4" s="1641"/>
      <c r="I4" s="1642"/>
      <c r="J4" s="1642"/>
      <c r="K4" s="1642"/>
      <c r="L4" s="1642"/>
      <c r="M4" s="1642"/>
      <c r="N4" s="1642"/>
      <c r="O4" s="1643"/>
      <c r="P4" s="1642"/>
      <c r="Q4" s="1642"/>
      <c r="R4" s="1642"/>
      <c r="S4" s="1642"/>
      <c r="T4" s="1642"/>
      <c r="U4" s="1642"/>
      <c r="V4" s="1642"/>
      <c r="W4" s="1642"/>
      <c r="X4" s="1642"/>
      <c r="Y4" s="1642"/>
      <c r="Z4" s="1642"/>
      <c r="AA4" s="1642"/>
      <c r="AB4" s="1642"/>
      <c r="AC4" s="1642"/>
      <c r="AD4" s="1642"/>
      <c r="AE4" s="1642"/>
      <c r="AF4" s="1642"/>
      <c r="AG4" s="1642"/>
      <c r="AH4" s="1642"/>
      <c r="AI4" s="1642"/>
      <c r="AJ4" s="1642"/>
      <c r="AK4" s="1642"/>
      <c r="AL4" s="1642"/>
      <c r="AM4" s="1642"/>
      <c r="AN4" s="1642"/>
      <c r="AO4" s="1642"/>
      <c r="AP4" s="1642"/>
      <c r="AQ4" s="1642"/>
      <c r="AR4" s="1642"/>
      <c r="AS4" s="1642"/>
      <c r="AT4" s="1642"/>
      <c r="AU4" s="1642"/>
      <c r="AV4" s="1642"/>
      <c r="AW4" s="1642"/>
      <c r="AX4" s="1642"/>
      <c r="AY4" s="1642"/>
      <c r="AZ4" s="1644"/>
      <c r="BA4" s="1645"/>
      <c r="BB4" s="1645"/>
      <c r="BC4" s="1645"/>
      <c r="BD4" s="1646"/>
      <c r="BF4" s="2213" t="s">
        <v>472</v>
      </c>
      <c r="BG4" s="2213"/>
      <c r="BH4" s="2213"/>
      <c r="BI4" s="2213"/>
      <c r="BJ4" s="2213"/>
      <c r="BK4" s="2213"/>
      <c r="BL4" s="2213"/>
      <c r="BM4" s="2213"/>
      <c r="BN4" s="2213"/>
      <c r="BO4" s="2213"/>
    </row>
    <row r="5" spans="1:70" s="544" customFormat="1" ht="69.95" customHeight="1">
      <c r="A5" s="722" t="s">
        <v>252</v>
      </c>
      <c r="B5" s="722" t="s">
        <v>253</v>
      </c>
      <c r="C5" s="722" t="s">
        <v>911</v>
      </c>
      <c r="D5" s="722" t="s">
        <v>254</v>
      </c>
      <c r="E5" s="1138" t="s">
        <v>227</v>
      </c>
      <c r="F5" s="724" t="s">
        <v>255</v>
      </c>
      <c r="G5" s="643" t="s">
        <v>256</v>
      </c>
      <c r="H5" s="2120" t="s">
        <v>1748</v>
      </c>
      <c r="I5" s="2094"/>
      <c r="J5" s="2095"/>
      <c r="K5" s="2120" t="s">
        <v>1734</v>
      </c>
      <c r="L5" s="2094"/>
      <c r="M5" s="2095"/>
      <c r="N5" s="2120" t="s">
        <v>1749</v>
      </c>
      <c r="O5" s="2094"/>
      <c r="P5" s="2095"/>
      <c r="Q5" s="2120" t="s">
        <v>1760</v>
      </c>
      <c r="R5" s="2094"/>
      <c r="S5" s="2095"/>
      <c r="T5" s="2117" t="s">
        <v>1775</v>
      </c>
      <c r="U5" s="2118"/>
      <c r="V5" s="2119"/>
      <c r="W5" s="2102" t="s">
        <v>1674</v>
      </c>
      <c r="X5" s="2103"/>
      <c r="Y5" s="2093" t="s">
        <v>1675</v>
      </c>
      <c r="Z5" s="2094"/>
      <c r="AA5" s="2095"/>
      <c r="AB5" s="2096" t="s">
        <v>1739</v>
      </c>
      <c r="AC5" s="1149" t="s">
        <v>258</v>
      </c>
      <c r="AD5" s="2098" t="s">
        <v>220</v>
      </c>
      <c r="AE5" s="1117" t="s">
        <v>1835</v>
      </c>
      <c r="AF5" s="2100" t="s">
        <v>1840</v>
      </c>
      <c r="AG5" s="1268" t="s">
        <v>1832</v>
      </c>
      <c r="AH5" s="2080" t="s">
        <v>1666</v>
      </c>
      <c r="AI5" s="2080" t="s">
        <v>1665</v>
      </c>
      <c r="AJ5" s="2076" t="s">
        <v>1767</v>
      </c>
      <c r="AK5" s="2078" t="s">
        <v>1774</v>
      </c>
      <c r="AL5" s="2114" t="s">
        <v>1742</v>
      </c>
      <c r="AM5" s="2084" t="s">
        <v>1668</v>
      </c>
      <c r="AN5" s="2121" t="s">
        <v>1669</v>
      </c>
      <c r="AO5" s="2116" t="s">
        <v>1670</v>
      </c>
      <c r="AP5" s="2089" t="s">
        <v>1805</v>
      </c>
      <c r="AQ5" s="2112" t="s">
        <v>1936</v>
      </c>
      <c r="AR5" s="2112"/>
      <c r="AS5" s="2113"/>
      <c r="AT5" s="2205" t="s">
        <v>1672</v>
      </c>
      <c r="AU5" s="1009"/>
      <c r="AV5" s="2206" t="s">
        <v>219</v>
      </c>
      <c r="AW5" s="2207"/>
      <c r="AX5" s="2207"/>
      <c r="AY5" s="2207"/>
      <c r="AZ5" s="2208"/>
      <c r="BA5" s="1010"/>
      <c r="BB5" s="2209"/>
      <c r="BC5" s="2209"/>
      <c r="BD5" s="2209"/>
      <c r="BE5" s="2209"/>
      <c r="BF5" s="2209"/>
      <c r="BG5" s="2210"/>
      <c r="BH5" s="1011"/>
      <c r="BJ5" s="1307" t="s">
        <v>1456</v>
      </c>
      <c r="BK5" s="1308" t="s">
        <v>1457</v>
      </c>
      <c r="BL5" s="1309" t="s">
        <v>1458</v>
      </c>
      <c r="BM5" s="1310" t="s">
        <v>1459</v>
      </c>
      <c r="BN5" s="1309" t="s">
        <v>1460</v>
      </c>
      <c r="BO5" s="1311" t="s">
        <v>1461</v>
      </c>
      <c r="BP5" s="1311"/>
      <c r="BQ5" s="1312" t="s">
        <v>1462</v>
      </c>
      <c r="BR5" s="1312" t="s">
        <v>1463</v>
      </c>
    </row>
    <row r="6" spans="1:70" s="544" customFormat="1" ht="99.95" customHeight="1">
      <c r="A6" s="725" t="s">
        <v>111</v>
      </c>
      <c r="B6" s="725" t="s">
        <v>1732</v>
      </c>
      <c r="C6" s="725" t="s">
        <v>1741</v>
      </c>
      <c r="D6" s="725" t="s">
        <v>1698</v>
      </c>
      <c r="E6" s="607" t="s">
        <v>1655</v>
      </c>
      <c r="F6" s="1124" t="s">
        <v>1641</v>
      </c>
      <c r="G6" s="607" t="s">
        <v>1656</v>
      </c>
      <c r="H6" s="545" t="s">
        <v>1657</v>
      </c>
      <c r="I6" s="546" t="s">
        <v>1658</v>
      </c>
      <c r="J6" s="546" t="s">
        <v>1644</v>
      </c>
      <c r="K6" s="1142" t="s">
        <v>1679</v>
      </c>
      <c r="L6" s="546" t="s">
        <v>1681</v>
      </c>
      <c r="M6" s="546" t="s">
        <v>1662</v>
      </c>
      <c r="N6" s="1142" t="s">
        <v>1660</v>
      </c>
      <c r="O6" s="546" t="s">
        <v>1681</v>
      </c>
      <c r="P6" s="546" t="s">
        <v>1745</v>
      </c>
      <c r="Q6" s="547" t="s">
        <v>1660</v>
      </c>
      <c r="R6" s="546" t="s">
        <v>1681</v>
      </c>
      <c r="S6" s="546" t="s">
        <v>1662</v>
      </c>
      <c r="T6" s="1143" t="s">
        <v>1682</v>
      </c>
      <c r="U6" s="546" t="s">
        <v>1661</v>
      </c>
      <c r="V6" s="546" t="s">
        <v>1662</v>
      </c>
      <c r="W6" s="546" t="s">
        <v>1683</v>
      </c>
      <c r="X6" s="546" t="s">
        <v>1663</v>
      </c>
      <c r="Y6" s="546" t="s">
        <v>1649</v>
      </c>
      <c r="Z6" s="546" t="s">
        <v>1661</v>
      </c>
      <c r="AA6" s="546" t="s">
        <v>1650</v>
      </c>
      <c r="AB6" s="2097"/>
      <c r="AC6" s="1150" t="s">
        <v>1651</v>
      </c>
      <c r="AD6" s="2099"/>
      <c r="AE6" s="1118" t="s">
        <v>1678</v>
      </c>
      <c r="AF6" s="2101"/>
      <c r="AG6" s="1269" t="s">
        <v>1833</v>
      </c>
      <c r="AH6" s="2077"/>
      <c r="AI6" s="2077"/>
      <c r="AJ6" s="2077"/>
      <c r="AK6" s="2079"/>
      <c r="AL6" s="2115"/>
      <c r="AM6" s="2085"/>
      <c r="AN6" s="2122"/>
      <c r="AO6" s="2116"/>
      <c r="AP6" s="2090"/>
      <c r="AQ6" s="1135" t="s">
        <v>1671</v>
      </c>
      <c r="AR6" s="1134" t="s">
        <v>1707</v>
      </c>
      <c r="AS6" s="1136" t="s">
        <v>1702</v>
      </c>
      <c r="AT6" s="2205"/>
      <c r="AU6" s="1009"/>
      <c r="AV6" s="1255" t="s">
        <v>215</v>
      </c>
      <c r="AW6" s="1255" t="s">
        <v>217</v>
      </c>
      <c r="AX6" s="1255" t="s">
        <v>1464</v>
      </c>
      <c r="AY6" s="1255" t="s">
        <v>1465</v>
      </c>
      <c r="AZ6" s="1256" t="s">
        <v>125</v>
      </c>
      <c r="BA6" s="1257" t="s">
        <v>1466</v>
      </c>
      <c r="BB6" s="1258" t="s">
        <v>1467</v>
      </c>
      <c r="BC6" s="1257" t="s">
        <v>1468</v>
      </c>
      <c r="BD6" s="1257" t="s">
        <v>1469</v>
      </c>
      <c r="BE6" s="1257" t="s">
        <v>216</v>
      </c>
      <c r="BF6" s="1257" t="s">
        <v>215</v>
      </c>
      <c r="BG6" s="1013" t="s">
        <v>125</v>
      </c>
      <c r="BH6" s="1011"/>
      <c r="BJ6" s="1014"/>
      <c r="BK6" s="1015" t="s">
        <v>1470</v>
      </c>
      <c r="BL6" s="1015" t="s">
        <v>1471</v>
      </c>
      <c r="BM6" s="1016" t="s">
        <v>1472</v>
      </c>
      <c r="BN6" s="1015" t="s">
        <v>1473</v>
      </c>
      <c r="BO6" s="1017" t="s">
        <v>1073</v>
      </c>
      <c r="BP6" s="1017"/>
      <c r="BQ6" s="1017" t="s">
        <v>1474</v>
      </c>
      <c r="BR6" s="1017" t="s">
        <v>1475</v>
      </c>
    </row>
    <row r="7" spans="1:70" s="755" customFormat="1" ht="60" customHeight="1">
      <c r="A7" s="1404">
        <v>1</v>
      </c>
      <c r="B7" s="1888" t="s">
        <v>1597</v>
      </c>
      <c r="C7" s="1329" t="s">
        <v>1410</v>
      </c>
      <c r="D7" s="1474">
        <v>41263</v>
      </c>
      <c r="E7" s="1639" t="s">
        <v>1411</v>
      </c>
      <c r="F7" s="1614">
        <f>249+28+12+13+17+12+8+100+2</f>
        <v>441</v>
      </c>
      <c r="G7" s="1614">
        <f>108+50</f>
        <v>158</v>
      </c>
      <c r="H7" s="1001">
        <v>22</v>
      </c>
      <c r="I7" s="509">
        <f t="shared" ref="I7:I11" si="0">F7/26*H7</f>
        <v>373.15384615384613</v>
      </c>
      <c r="J7" s="618">
        <f>F7/26*H7</f>
        <v>373.15384615384613</v>
      </c>
      <c r="K7" s="1001">
        <v>0</v>
      </c>
      <c r="L7" s="510">
        <f>F7/26/8*1.5</f>
        <v>3.1802884615384612</v>
      </c>
      <c r="M7" s="618">
        <f>K7*L7</f>
        <v>0</v>
      </c>
      <c r="N7" s="1001">
        <v>0</v>
      </c>
      <c r="O7" s="510">
        <f t="shared" ref="O7:O11" si="1">F7/26/8*2</f>
        <v>4.240384615384615</v>
      </c>
      <c r="P7" s="503">
        <f t="shared" ref="P7:P18" si="2">N7*O7</f>
        <v>0</v>
      </c>
      <c r="Q7" s="1001">
        <v>0</v>
      </c>
      <c r="R7" s="510">
        <f t="shared" ref="R7:R11" si="3">F7/26/8*2</f>
        <v>4.240384615384615</v>
      </c>
      <c r="S7" s="503">
        <f t="shared" ref="S7:S18" si="4">R7*Q7</f>
        <v>0</v>
      </c>
      <c r="T7" s="1001">
        <v>5</v>
      </c>
      <c r="U7" s="510">
        <f t="shared" ref="U7:U11" si="5">F7/26</f>
        <v>16.96153846153846</v>
      </c>
      <c r="V7" s="618">
        <f>U7*T7</f>
        <v>84.807692307692292</v>
      </c>
      <c r="W7" s="1001">
        <v>0</v>
      </c>
      <c r="X7" s="618">
        <f>'12 Salary'!T8*OFFICE!W7</f>
        <v>0</v>
      </c>
      <c r="Y7" s="1001">
        <v>0</v>
      </c>
      <c r="Z7" s="510">
        <f t="shared" ref="Z7:Z11" si="6">F7/26/2</f>
        <v>8.4807692307692299</v>
      </c>
      <c r="AA7" s="1096">
        <f>Y7*Z7</f>
        <v>0</v>
      </c>
      <c r="AB7" s="1001">
        <v>0</v>
      </c>
      <c r="AC7" s="1467">
        <f t="shared" ref="AC7:AC18" si="7">H7+T7+Y7+AB7+W7</f>
        <v>27</v>
      </c>
      <c r="AD7" s="1724">
        <v>0</v>
      </c>
      <c r="AE7" s="1121">
        <v>0</v>
      </c>
      <c r="AF7" s="1412">
        <f>18+4+4+50+50</f>
        <v>126</v>
      </c>
      <c r="AG7" s="1412">
        <v>0</v>
      </c>
      <c r="AH7" s="618">
        <v>10</v>
      </c>
      <c r="AI7" s="1045">
        <v>11</v>
      </c>
      <c r="AJ7" s="1045">
        <v>10</v>
      </c>
      <c r="AK7" s="1045">
        <v>10</v>
      </c>
      <c r="AL7" s="1822">
        <f t="shared" ref="AL7:AL18" si="8">G7+J7+M7+P7+S7+V7+AA7+AD7+AF7+AH7+AI7+AJ7+AK7+X7+AE7+AG7</f>
        <v>782.96153846153845</v>
      </c>
      <c r="AM7" s="986">
        <v>0</v>
      </c>
      <c r="AN7" s="1817">
        <v>102</v>
      </c>
      <c r="AO7" s="1096">
        <f>'Tax Calulation       '!P7</f>
        <v>17.852037647237051</v>
      </c>
      <c r="AP7" s="1096">
        <f>'Tax Calulation       '!W7</f>
        <v>5.9084194977843429</v>
      </c>
      <c r="AQ7" s="1148">
        <f t="shared" ref="AQ7:AQ18" si="9">AL7-AN7-AO7-AP7-AM7</f>
        <v>657.20108131651705</v>
      </c>
      <c r="AR7" s="1682">
        <f>ROUND((AQ7-AS7)*4040,-2)</f>
        <v>231100</v>
      </c>
      <c r="AS7" s="1683">
        <f>CEILING(AQ7,(100))-100</f>
        <v>600</v>
      </c>
      <c r="AT7" s="502"/>
      <c r="AU7" s="504"/>
      <c r="AV7" s="1018">
        <f t="shared" ref="AV7:AV18" si="10">INT(AS7/100)</f>
        <v>6</v>
      </c>
      <c r="AW7" s="1018">
        <f t="shared" ref="AW7:AW18" si="11">INT((AS7-AV7*100)/50)</f>
        <v>0</v>
      </c>
      <c r="AX7" s="1018">
        <f t="shared" ref="AX7:AX18" si="12">INT((AS7-AV7*100-AW7*50)/20)</f>
        <v>0</v>
      </c>
      <c r="AY7" s="1018">
        <f t="shared" ref="AY7:AY18" si="13">INT((AS7-AV7*100-AW7*50-AX7*20)/10)</f>
        <v>0</v>
      </c>
      <c r="AZ7" s="1012">
        <f>AV7*100+AW7*50+AX7*20+AY7*10</f>
        <v>600</v>
      </c>
      <c r="BA7" s="1019">
        <f t="shared" ref="BA7:BA18" si="14">INT(AR7/50000)</f>
        <v>4</v>
      </c>
      <c r="BB7" s="1020">
        <f t="shared" ref="BB7:BB18" si="15">INT((AR7-BA7*50000)/10000)</f>
        <v>3</v>
      </c>
      <c r="BC7" s="1020">
        <f t="shared" ref="BC7:BC18" si="16">INT((AR7-BA7*50000-BB7*10000)/5000)</f>
        <v>0</v>
      </c>
      <c r="BD7" s="1020">
        <f t="shared" ref="BD7:BD18" si="17">INT((AR7-BA7*50000-BB7*10000-BC7*5000)/1000)</f>
        <v>1</v>
      </c>
      <c r="BE7" s="1020">
        <f t="shared" ref="BE7:BE18" si="18">INT((AR7-BA7*50000-BB7*10000-BC7*5000-BD7*1000)/500)</f>
        <v>0</v>
      </c>
      <c r="BF7" s="1020">
        <f t="shared" ref="BF7:BF18" si="19">INT((AR7-BA7*50000-BB7*10000-BC7*5000-BD7*1000-BE7*500)/100)</f>
        <v>1</v>
      </c>
      <c r="BG7" s="1013">
        <f>BA7*50000+BB7*10000+BC7*5000+BD7*1000+BE7*500+BF7*100</f>
        <v>231100</v>
      </c>
      <c r="BH7" s="1011"/>
      <c r="BJ7" s="1021">
        <v>1</v>
      </c>
      <c r="BK7" s="1022">
        <v>10541689</v>
      </c>
      <c r="BL7" s="1167">
        <v>31694</v>
      </c>
      <c r="BM7" s="1024" t="s">
        <v>1476</v>
      </c>
      <c r="BN7" s="1025"/>
      <c r="BO7" s="1023" t="s">
        <v>1410</v>
      </c>
      <c r="BP7" s="997" t="s">
        <v>1441</v>
      </c>
      <c r="BQ7" s="504" t="s">
        <v>943</v>
      </c>
      <c r="BR7" s="1023" t="s">
        <v>1477</v>
      </c>
    </row>
    <row r="8" spans="1:70" s="755" customFormat="1" ht="60" customHeight="1">
      <c r="A8" s="1404">
        <v>2</v>
      </c>
      <c r="B8" s="1604" t="s">
        <v>1596</v>
      </c>
      <c r="C8" s="1329" t="s">
        <v>1412</v>
      </c>
      <c r="D8" s="1474">
        <v>41335</v>
      </c>
      <c r="E8" s="1639" t="s">
        <v>1413</v>
      </c>
      <c r="F8" s="1614">
        <f>188+28+12+13+49+17+12+8+100+2+50</f>
        <v>479</v>
      </c>
      <c r="G8" s="1614">
        <f>108+50</f>
        <v>158</v>
      </c>
      <c r="H8" s="1001">
        <v>22</v>
      </c>
      <c r="I8" s="509">
        <f t="shared" si="0"/>
        <v>405.30769230769232</v>
      </c>
      <c r="J8" s="618">
        <f t="shared" ref="J8:J11" si="20">F8/26*H8</f>
        <v>405.30769230769232</v>
      </c>
      <c r="K8" s="1001">
        <v>29</v>
      </c>
      <c r="L8" s="510">
        <f t="shared" ref="L8:L11" si="21">F8/26/8*1.5</f>
        <v>3.4543269230769234</v>
      </c>
      <c r="M8" s="618">
        <f t="shared" ref="M8:M11" si="22">K8*L8</f>
        <v>100.17548076923077</v>
      </c>
      <c r="N8" s="1001">
        <v>0</v>
      </c>
      <c r="O8" s="510">
        <f t="shared" si="1"/>
        <v>4.6057692307692308</v>
      </c>
      <c r="P8" s="503">
        <f>N8*O8</f>
        <v>0</v>
      </c>
      <c r="Q8" s="1001">
        <v>20</v>
      </c>
      <c r="R8" s="510">
        <f t="shared" si="3"/>
        <v>4.6057692307692308</v>
      </c>
      <c r="S8" s="503">
        <f t="shared" si="4"/>
        <v>92.115384615384613</v>
      </c>
      <c r="T8" s="1001">
        <v>5</v>
      </c>
      <c r="U8" s="510">
        <f t="shared" si="5"/>
        <v>18.423076923076923</v>
      </c>
      <c r="V8" s="618">
        <f t="shared" ref="V8:V11" si="23">U8*T8</f>
        <v>92.115384615384613</v>
      </c>
      <c r="W8" s="1001">
        <v>0</v>
      </c>
      <c r="X8" s="618">
        <f>'12 Salary'!T9*OFFICE!W8</f>
        <v>0</v>
      </c>
      <c r="Y8" s="1001">
        <v>0</v>
      </c>
      <c r="Z8" s="510">
        <f t="shared" si="6"/>
        <v>9.2115384615384617</v>
      </c>
      <c r="AA8" s="1096">
        <f t="shared" ref="AA8:AA18" si="24">Y8*Z8</f>
        <v>0</v>
      </c>
      <c r="AB8" s="1001">
        <v>0</v>
      </c>
      <c r="AC8" s="1467">
        <f t="shared" si="7"/>
        <v>27</v>
      </c>
      <c r="AD8" s="1724">
        <v>0</v>
      </c>
      <c r="AE8" s="1121">
        <v>0</v>
      </c>
      <c r="AF8" s="1412">
        <f>18+4+4+50+50</f>
        <v>126</v>
      </c>
      <c r="AG8" s="1412">
        <v>0</v>
      </c>
      <c r="AH8" s="618">
        <v>10</v>
      </c>
      <c r="AI8" s="1045">
        <v>11</v>
      </c>
      <c r="AJ8" s="1045">
        <v>10</v>
      </c>
      <c r="AK8" s="1045">
        <v>10</v>
      </c>
      <c r="AL8" s="1822">
        <f t="shared" si="8"/>
        <v>1014.7139423076924</v>
      </c>
      <c r="AM8" s="986">
        <v>0</v>
      </c>
      <c r="AN8" s="1817">
        <v>102</v>
      </c>
      <c r="AO8" s="1096">
        <f>'Tax Calulation       '!P8</f>
        <v>44.720040217967657</v>
      </c>
      <c r="AP8" s="1096">
        <f>'Tax Calulation       '!W8</f>
        <v>5.9084194977843429</v>
      </c>
      <c r="AQ8" s="1148">
        <f t="shared" si="9"/>
        <v>862.08548259194038</v>
      </c>
      <c r="AR8" s="1682">
        <f t="shared" ref="AR8:AR18" si="25">ROUND((AQ8-AS8)*4040,-2)</f>
        <v>250800</v>
      </c>
      <c r="AS8" s="1683">
        <f t="shared" ref="AS8:AS18" si="26">CEILING(AQ8,(100))-100</f>
        <v>800</v>
      </c>
      <c r="AT8" s="502"/>
      <c r="AU8" s="504"/>
      <c r="AV8" s="1018">
        <f t="shared" si="10"/>
        <v>8</v>
      </c>
      <c r="AW8" s="1018">
        <f t="shared" si="11"/>
        <v>0</v>
      </c>
      <c r="AX8" s="1018">
        <f t="shared" si="12"/>
        <v>0</v>
      </c>
      <c r="AY8" s="1018">
        <f t="shared" si="13"/>
        <v>0</v>
      </c>
      <c r="AZ8" s="1012">
        <f t="shared" ref="AZ8:AZ18" si="27">AV8*100+AW8*50+AX8*20+AY8*10</f>
        <v>800</v>
      </c>
      <c r="BA8" s="1019">
        <f t="shared" si="14"/>
        <v>5</v>
      </c>
      <c r="BB8" s="1020">
        <f t="shared" si="15"/>
        <v>0</v>
      </c>
      <c r="BC8" s="1020">
        <f t="shared" si="16"/>
        <v>0</v>
      </c>
      <c r="BD8" s="1020">
        <f t="shared" si="17"/>
        <v>0</v>
      </c>
      <c r="BE8" s="1020">
        <f t="shared" si="18"/>
        <v>1</v>
      </c>
      <c r="BF8" s="1020">
        <f t="shared" si="19"/>
        <v>3</v>
      </c>
      <c r="BG8" s="1013">
        <f t="shared" ref="BG8:BG18" si="28">BA8*50000+BB8*10000+BC8*5000+BD8*1000+BE8*500+BF8*100</f>
        <v>250800</v>
      </c>
      <c r="BH8" s="1011"/>
      <c r="BJ8" s="1021">
        <v>3</v>
      </c>
      <c r="BK8" s="1160">
        <v>120017980</v>
      </c>
      <c r="BL8" s="1167">
        <v>31827</v>
      </c>
      <c r="BM8" s="1024" t="s">
        <v>1478</v>
      </c>
      <c r="BN8" s="1025"/>
      <c r="BO8" s="1023" t="s">
        <v>1412</v>
      </c>
      <c r="BP8" s="997" t="s">
        <v>1442</v>
      </c>
      <c r="BQ8" s="504" t="s">
        <v>572</v>
      </c>
      <c r="BR8" s="1023" t="s">
        <v>1477</v>
      </c>
    </row>
    <row r="9" spans="1:70" s="755" customFormat="1" ht="60" customHeight="1">
      <c r="A9" s="1404">
        <v>3</v>
      </c>
      <c r="B9" s="1604" t="s">
        <v>1414</v>
      </c>
      <c r="C9" s="1329" t="s">
        <v>1415</v>
      </c>
      <c r="D9" s="1474">
        <v>41771</v>
      </c>
      <c r="E9" s="1639" t="s">
        <v>1416</v>
      </c>
      <c r="F9" s="1614">
        <f>180+28+12+20+13+17+12+8+30+2</f>
        <v>322</v>
      </c>
      <c r="G9" s="1614">
        <f>50+20+10+20</f>
        <v>100</v>
      </c>
      <c r="H9" s="1001">
        <v>21</v>
      </c>
      <c r="I9" s="509">
        <f t="shared" si="0"/>
        <v>260.07692307692309</v>
      </c>
      <c r="J9" s="618">
        <f t="shared" si="20"/>
        <v>260.07692307692309</v>
      </c>
      <c r="K9" s="1001">
        <v>60</v>
      </c>
      <c r="L9" s="510">
        <f t="shared" si="21"/>
        <v>2.3221153846153846</v>
      </c>
      <c r="M9" s="618">
        <f t="shared" si="22"/>
        <v>139.32692307692307</v>
      </c>
      <c r="N9" s="1001">
        <v>0</v>
      </c>
      <c r="O9" s="510">
        <f t="shared" si="1"/>
        <v>3.0961538461538463</v>
      </c>
      <c r="P9" s="503">
        <f t="shared" ref="P9" si="29">N9*O9</f>
        <v>0</v>
      </c>
      <c r="Q9" s="1001">
        <v>24</v>
      </c>
      <c r="R9" s="510">
        <f t="shared" si="3"/>
        <v>3.0961538461538463</v>
      </c>
      <c r="S9" s="503">
        <f t="shared" si="4"/>
        <v>74.307692307692307</v>
      </c>
      <c r="T9" s="1001">
        <v>5</v>
      </c>
      <c r="U9" s="510">
        <f t="shared" si="5"/>
        <v>12.384615384615385</v>
      </c>
      <c r="V9" s="618">
        <f t="shared" si="23"/>
        <v>61.923076923076927</v>
      </c>
      <c r="W9" s="1001">
        <v>1</v>
      </c>
      <c r="X9" s="618">
        <f>'12 Salary'!T10*OFFICE!W9</f>
        <v>21.262387860023658</v>
      </c>
      <c r="Y9" s="1001">
        <v>0</v>
      </c>
      <c r="Z9" s="510">
        <f t="shared" si="6"/>
        <v>6.1923076923076925</v>
      </c>
      <c r="AA9" s="1096">
        <f t="shared" si="24"/>
        <v>0</v>
      </c>
      <c r="AB9" s="1001">
        <v>0</v>
      </c>
      <c r="AC9" s="1467">
        <f>H9+T9+Y9+AB9+W9</f>
        <v>27</v>
      </c>
      <c r="AD9" s="1724">
        <v>0</v>
      </c>
      <c r="AE9" s="1121">
        <v>0</v>
      </c>
      <c r="AF9" s="1412">
        <f>4+4</f>
        <v>8</v>
      </c>
      <c r="AG9" s="1412">
        <v>0</v>
      </c>
      <c r="AH9" s="618">
        <v>10</v>
      </c>
      <c r="AI9" s="1045">
        <v>11</v>
      </c>
      <c r="AJ9" s="1045">
        <v>10</v>
      </c>
      <c r="AK9" s="1045">
        <v>10</v>
      </c>
      <c r="AL9" s="1822">
        <f t="shared" si="8"/>
        <v>705.897003244639</v>
      </c>
      <c r="AM9" s="986">
        <v>0</v>
      </c>
      <c r="AN9" s="1817">
        <v>102</v>
      </c>
      <c r="AO9" s="1096">
        <f>'Tax Calulation       '!P9</f>
        <v>10.145584125547105</v>
      </c>
      <c r="AP9" s="1096">
        <f>'Tax Calulation       '!W9</f>
        <v>5.9084194977843429</v>
      </c>
      <c r="AQ9" s="1148">
        <f t="shared" si="9"/>
        <v>587.84299962130751</v>
      </c>
      <c r="AR9" s="1682">
        <f t="shared" si="25"/>
        <v>354900</v>
      </c>
      <c r="AS9" s="1683">
        <f t="shared" si="26"/>
        <v>500</v>
      </c>
      <c r="AT9" s="502"/>
      <c r="AU9" s="504"/>
      <c r="AV9" s="1018">
        <f t="shared" si="10"/>
        <v>5</v>
      </c>
      <c r="AW9" s="1018">
        <f t="shared" si="11"/>
        <v>0</v>
      </c>
      <c r="AX9" s="1018">
        <f t="shared" si="12"/>
        <v>0</v>
      </c>
      <c r="AY9" s="1018">
        <f t="shared" si="13"/>
        <v>0</v>
      </c>
      <c r="AZ9" s="1012">
        <f t="shared" si="27"/>
        <v>500</v>
      </c>
      <c r="BA9" s="1019">
        <f t="shared" si="14"/>
        <v>7</v>
      </c>
      <c r="BB9" s="1020">
        <f t="shared" si="15"/>
        <v>0</v>
      </c>
      <c r="BC9" s="1020">
        <f t="shared" si="16"/>
        <v>0</v>
      </c>
      <c r="BD9" s="1020">
        <f t="shared" si="17"/>
        <v>4</v>
      </c>
      <c r="BE9" s="1020">
        <f t="shared" si="18"/>
        <v>1</v>
      </c>
      <c r="BF9" s="1020">
        <f t="shared" si="19"/>
        <v>4</v>
      </c>
      <c r="BG9" s="1013">
        <f t="shared" si="28"/>
        <v>354900</v>
      </c>
      <c r="BH9" s="1011"/>
      <c r="BJ9" s="1021">
        <v>4</v>
      </c>
      <c r="BK9" s="1022">
        <v>30823262</v>
      </c>
      <c r="BL9" s="1167">
        <v>30106</v>
      </c>
      <c r="BM9" s="1024" t="s">
        <v>1479</v>
      </c>
      <c r="BN9" s="1023"/>
      <c r="BO9" s="1023" t="s">
        <v>1415</v>
      </c>
      <c r="BP9" s="997" t="s">
        <v>1443</v>
      </c>
      <c r="BQ9" s="504" t="s">
        <v>943</v>
      </c>
      <c r="BR9" s="1023" t="s">
        <v>1477</v>
      </c>
    </row>
    <row r="10" spans="1:70" s="755" customFormat="1" ht="60" customHeight="1">
      <c r="A10" s="1404">
        <v>4</v>
      </c>
      <c r="B10" s="1604" t="s">
        <v>1417</v>
      </c>
      <c r="C10" s="1329" t="s">
        <v>1418</v>
      </c>
      <c r="D10" s="1474">
        <v>41841</v>
      </c>
      <c r="E10" s="1639" t="s">
        <v>1419</v>
      </c>
      <c r="F10" s="1614">
        <f>150+28+12+13+40+17+12+8+2+50</f>
        <v>332</v>
      </c>
      <c r="G10" s="1614">
        <f>100+150</f>
        <v>250</v>
      </c>
      <c r="H10" s="1001">
        <v>22</v>
      </c>
      <c r="I10" s="509">
        <f t="shared" si="0"/>
        <v>280.92307692307696</v>
      </c>
      <c r="J10" s="618">
        <f t="shared" si="20"/>
        <v>280.92307692307696</v>
      </c>
      <c r="K10" s="1001">
        <v>0</v>
      </c>
      <c r="L10" s="510">
        <f t="shared" si="21"/>
        <v>2.3942307692307692</v>
      </c>
      <c r="M10" s="618">
        <f t="shared" si="22"/>
        <v>0</v>
      </c>
      <c r="N10" s="1001">
        <v>0</v>
      </c>
      <c r="O10" s="510">
        <f t="shared" si="1"/>
        <v>3.1923076923076925</v>
      </c>
      <c r="P10" s="503">
        <f t="shared" si="2"/>
        <v>0</v>
      </c>
      <c r="Q10" s="1001">
        <v>0</v>
      </c>
      <c r="R10" s="510">
        <f t="shared" si="3"/>
        <v>3.1923076923076925</v>
      </c>
      <c r="S10" s="503">
        <f t="shared" si="4"/>
        <v>0</v>
      </c>
      <c r="T10" s="1001">
        <v>5</v>
      </c>
      <c r="U10" s="510">
        <f t="shared" si="5"/>
        <v>12.76923076923077</v>
      </c>
      <c r="V10" s="618">
        <f t="shared" si="23"/>
        <v>63.846153846153854</v>
      </c>
      <c r="W10" s="1001">
        <v>0</v>
      </c>
      <c r="X10" s="618">
        <f>'12 Salary'!T11*OFFICE!W10</f>
        <v>0</v>
      </c>
      <c r="Y10" s="1001">
        <v>0</v>
      </c>
      <c r="Z10" s="510">
        <f t="shared" si="6"/>
        <v>6.384615384615385</v>
      </c>
      <c r="AA10" s="1096">
        <f t="shared" si="24"/>
        <v>0</v>
      </c>
      <c r="AB10" s="1001">
        <v>0</v>
      </c>
      <c r="AC10" s="1467">
        <f t="shared" si="7"/>
        <v>27</v>
      </c>
      <c r="AD10" s="1724">
        <v>0</v>
      </c>
      <c r="AE10" s="1121">
        <v>0</v>
      </c>
      <c r="AF10" s="1412">
        <f>4+4</f>
        <v>8</v>
      </c>
      <c r="AG10" s="1412">
        <v>0</v>
      </c>
      <c r="AH10" s="618">
        <v>10</v>
      </c>
      <c r="AI10" s="1045">
        <v>11</v>
      </c>
      <c r="AJ10" s="1045">
        <v>10</v>
      </c>
      <c r="AK10" s="1045">
        <v>10</v>
      </c>
      <c r="AL10" s="1822">
        <f t="shared" si="8"/>
        <v>643.76923076923072</v>
      </c>
      <c r="AM10" s="986">
        <v>0</v>
      </c>
      <c r="AN10" s="1817">
        <v>102</v>
      </c>
      <c r="AO10" s="1096">
        <f>'Tax Calulation       '!P10</f>
        <v>5.0437052607658179</v>
      </c>
      <c r="AP10" s="1096">
        <f>'Tax Calulation       '!W10</f>
        <v>5.9084194977843429</v>
      </c>
      <c r="AQ10" s="1148">
        <f t="shared" si="9"/>
        <v>530.8171060106805</v>
      </c>
      <c r="AR10" s="1682">
        <f t="shared" si="25"/>
        <v>124500</v>
      </c>
      <c r="AS10" s="1683">
        <f t="shared" si="26"/>
        <v>500</v>
      </c>
      <c r="AT10" s="502"/>
      <c r="AU10" s="504"/>
      <c r="AV10" s="1018">
        <f t="shared" si="10"/>
        <v>5</v>
      </c>
      <c r="AW10" s="1018">
        <f t="shared" si="11"/>
        <v>0</v>
      </c>
      <c r="AX10" s="1018">
        <f t="shared" si="12"/>
        <v>0</v>
      </c>
      <c r="AY10" s="1018">
        <f t="shared" si="13"/>
        <v>0</v>
      </c>
      <c r="AZ10" s="1012">
        <f t="shared" si="27"/>
        <v>500</v>
      </c>
      <c r="BA10" s="1019">
        <f t="shared" si="14"/>
        <v>2</v>
      </c>
      <c r="BB10" s="1020">
        <f t="shared" si="15"/>
        <v>2</v>
      </c>
      <c r="BC10" s="1020">
        <f t="shared" si="16"/>
        <v>0</v>
      </c>
      <c r="BD10" s="1020">
        <f t="shared" si="17"/>
        <v>4</v>
      </c>
      <c r="BE10" s="1020">
        <f t="shared" si="18"/>
        <v>1</v>
      </c>
      <c r="BF10" s="1020">
        <f t="shared" si="19"/>
        <v>0</v>
      </c>
      <c r="BG10" s="1013">
        <f t="shared" si="28"/>
        <v>124500</v>
      </c>
      <c r="BH10" s="1011"/>
      <c r="BJ10" s="1021">
        <v>5</v>
      </c>
      <c r="BK10" s="1022">
        <v>30897166</v>
      </c>
      <c r="BL10" s="1167">
        <v>31541</v>
      </c>
      <c r="BM10" s="1024" t="s">
        <v>1480</v>
      </c>
      <c r="BN10" s="1023"/>
      <c r="BO10" s="1023" t="s">
        <v>1418</v>
      </c>
      <c r="BP10" s="997" t="s">
        <v>1444</v>
      </c>
      <c r="BQ10" s="504" t="s">
        <v>943</v>
      </c>
      <c r="BR10" s="1023" t="s">
        <v>1477</v>
      </c>
    </row>
    <row r="11" spans="1:70" s="755" customFormat="1" ht="60" customHeight="1">
      <c r="A11" s="1404">
        <v>5</v>
      </c>
      <c r="B11" s="1604" t="s">
        <v>1420</v>
      </c>
      <c r="C11" s="1329" t="s">
        <v>1421</v>
      </c>
      <c r="D11" s="1474">
        <v>41869</v>
      </c>
      <c r="E11" s="1639" t="s">
        <v>1422</v>
      </c>
      <c r="F11" s="1614">
        <f>159+28+12+10+13+30+41+17+12+8+100+2+50</f>
        <v>482</v>
      </c>
      <c r="G11" s="1614">
        <f>88+12+50</f>
        <v>150</v>
      </c>
      <c r="H11" s="1001">
        <v>22</v>
      </c>
      <c r="I11" s="509">
        <f t="shared" si="0"/>
        <v>407.84615384615387</v>
      </c>
      <c r="J11" s="618">
        <f t="shared" si="20"/>
        <v>407.84615384615387</v>
      </c>
      <c r="K11" s="1001">
        <v>30</v>
      </c>
      <c r="L11" s="510">
        <f t="shared" si="21"/>
        <v>3.4759615384615388</v>
      </c>
      <c r="M11" s="618">
        <f t="shared" si="22"/>
        <v>104.27884615384616</v>
      </c>
      <c r="N11" s="1001">
        <v>0</v>
      </c>
      <c r="O11" s="510">
        <f t="shared" si="1"/>
        <v>4.634615384615385</v>
      </c>
      <c r="P11" s="503">
        <f t="shared" si="2"/>
        <v>0</v>
      </c>
      <c r="Q11" s="1001">
        <v>24</v>
      </c>
      <c r="R11" s="510">
        <f t="shared" si="3"/>
        <v>4.634615384615385</v>
      </c>
      <c r="S11" s="503">
        <f t="shared" si="4"/>
        <v>111.23076923076924</v>
      </c>
      <c r="T11" s="1001">
        <v>5</v>
      </c>
      <c r="U11" s="510">
        <f t="shared" si="5"/>
        <v>18.53846153846154</v>
      </c>
      <c r="V11" s="618">
        <f t="shared" si="23"/>
        <v>92.692307692307708</v>
      </c>
      <c r="W11" s="1001">
        <v>0</v>
      </c>
      <c r="X11" s="618">
        <f>'12 Salary'!T12*OFFICE!W11</f>
        <v>0</v>
      </c>
      <c r="Y11" s="1001">
        <v>0</v>
      </c>
      <c r="Z11" s="510">
        <f t="shared" si="6"/>
        <v>9.2692307692307701</v>
      </c>
      <c r="AA11" s="1096">
        <f t="shared" si="24"/>
        <v>0</v>
      </c>
      <c r="AB11" s="1001">
        <v>0</v>
      </c>
      <c r="AC11" s="1467">
        <f t="shared" si="7"/>
        <v>27</v>
      </c>
      <c r="AD11" s="1724">
        <v>0</v>
      </c>
      <c r="AE11" s="1121">
        <v>0</v>
      </c>
      <c r="AF11" s="1412">
        <f>4+4+50+20+50</f>
        <v>128</v>
      </c>
      <c r="AG11" s="1412">
        <v>0</v>
      </c>
      <c r="AH11" s="618">
        <v>10</v>
      </c>
      <c r="AI11" s="1045">
        <v>11</v>
      </c>
      <c r="AJ11" s="1045">
        <v>10</v>
      </c>
      <c r="AK11" s="1045">
        <v>10</v>
      </c>
      <c r="AL11" s="1822">
        <f t="shared" si="8"/>
        <v>1035.0480769230771</v>
      </c>
      <c r="AM11" s="986">
        <v>0</v>
      </c>
      <c r="AN11" s="1817">
        <v>102</v>
      </c>
      <c r="AO11" s="1096">
        <f>'Tax Calulation       '!P11</f>
        <v>46.753453679506137</v>
      </c>
      <c r="AP11" s="1096">
        <f>'Tax Calulation       '!W11</f>
        <v>5.9084194977843429</v>
      </c>
      <c r="AQ11" s="1148">
        <f t="shared" si="9"/>
        <v>880.38620374578659</v>
      </c>
      <c r="AR11" s="1682">
        <f t="shared" si="25"/>
        <v>324800</v>
      </c>
      <c r="AS11" s="1683">
        <f t="shared" si="26"/>
        <v>800</v>
      </c>
      <c r="AT11" s="502"/>
      <c r="AU11" s="504"/>
      <c r="AV11" s="1018">
        <f t="shared" si="10"/>
        <v>8</v>
      </c>
      <c r="AW11" s="1018">
        <f t="shared" si="11"/>
        <v>0</v>
      </c>
      <c r="AX11" s="1018">
        <f t="shared" si="12"/>
        <v>0</v>
      </c>
      <c r="AY11" s="1018">
        <f t="shared" si="13"/>
        <v>0</v>
      </c>
      <c r="AZ11" s="1012">
        <f t="shared" si="27"/>
        <v>800</v>
      </c>
      <c r="BA11" s="1019">
        <f t="shared" si="14"/>
        <v>6</v>
      </c>
      <c r="BB11" s="1020">
        <f t="shared" si="15"/>
        <v>2</v>
      </c>
      <c r="BC11" s="1020">
        <f t="shared" si="16"/>
        <v>0</v>
      </c>
      <c r="BD11" s="1020">
        <f t="shared" si="17"/>
        <v>4</v>
      </c>
      <c r="BE11" s="1020">
        <f t="shared" si="18"/>
        <v>1</v>
      </c>
      <c r="BF11" s="1020">
        <f t="shared" si="19"/>
        <v>3</v>
      </c>
      <c r="BG11" s="1013">
        <f t="shared" si="28"/>
        <v>324800</v>
      </c>
      <c r="BH11" s="1011"/>
      <c r="BJ11" s="1021">
        <v>6</v>
      </c>
      <c r="BK11" s="1022">
        <v>170766486</v>
      </c>
      <c r="BL11" s="1167">
        <v>34272</v>
      </c>
      <c r="BM11" s="1024" t="s">
        <v>1481</v>
      </c>
      <c r="BN11" s="1023" t="s">
        <v>1482</v>
      </c>
      <c r="BO11" s="1023" t="s">
        <v>1421</v>
      </c>
      <c r="BP11" s="997" t="s">
        <v>1445</v>
      </c>
      <c r="BQ11" s="504" t="s">
        <v>572</v>
      </c>
      <c r="BR11" s="1023" t="s">
        <v>1477</v>
      </c>
    </row>
    <row r="12" spans="1:70" s="768" customFormat="1" ht="60" customHeight="1">
      <c r="A12" s="1404">
        <v>6</v>
      </c>
      <c r="B12" s="1605" t="s">
        <v>1423</v>
      </c>
      <c r="C12" s="1330" t="s">
        <v>1424</v>
      </c>
      <c r="D12" s="1473">
        <v>42971</v>
      </c>
      <c r="E12" s="1640" t="s">
        <v>1425</v>
      </c>
      <c r="F12" s="1635">
        <f>220+17+12+8+2</f>
        <v>259</v>
      </c>
      <c r="G12" s="1635">
        <v>0</v>
      </c>
      <c r="H12" s="1001">
        <v>12</v>
      </c>
      <c r="I12" s="759">
        <f>F12/12*H12</f>
        <v>259</v>
      </c>
      <c r="J12" s="788">
        <f>F12/12*H12</f>
        <v>259</v>
      </c>
      <c r="K12" s="1001">
        <v>0</v>
      </c>
      <c r="L12" s="761">
        <f>F12/12/3*1.5</f>
        <v>10.791666666666666</v>
      </c>
      <c r="M12" s="788">
        <f t="shared" ref="M12:M18" si="30">K12*L12</f>
        <v>0</v>
      </c>
      <c r="N12" s="1001">
        <v>0</v>
      </c>
      <c r="O12" s="761">
        <f>F12/12/3*2</f>
        <v>14.388888888888888</v>
      </c>
      <c r="P12" s="760">
        <f t="shared" si="2"/>
        <v>0</v>
      </c>
      <c r="Q12" s="1001">
        <v>0</v>
      </c>
      <c r="R12" s="761">
        <f>F12/12/3*2</f>
        <v>14.388888888888888</v>
      </c>
      <c r="S12" s="760">
        <f t="shared" si="4"/>
        <v>0</v>
      </c>
      <c r="T12" s="1001">
        <v>0</v>
      </c>
      <c r="U12" s="761">
        <f>F12/12</f>
        <v>21.583333333333332</v>
      </c>
      <c r="V12" s="788">
        <f>U12*T12</f>
        <v>0</v>
      </c>
      <c r="W12" s="1001">
        <v>0</v>
      </c>
      <c r="X12" s="618">
        <f>'12 Salary'!T13*OFFICE!W12</f>
        <v>0</v>
      </c>
      <c r="Y12" s="1001">
        <v>0</v>
      </c>
      <c r="Z12" s="761">
        <f>F12/12/2</f>
        <v>10.791666666666666</v>
      </c>
      <c r="AA12" s="1097">
        <f t="shared" si="24"/>
        <v>0</v>
      </c>
      <c r="AB12" s="1001">
        <v>0</v>
      </c>
      <c r="AC12" s="1468">
        <f t="shared" si="7"/>
        <v>12</v>
      </c>
      <c r="AD12" s="1724">
        <v>0</v>
      </c>
      <c r="AE12" s="1121">
        <v>0</v>
      </c>
      <c r="AF12" s="1412">
        <v>0</v>
      </c>
      <c r="AG12" s="1413">
        <v>0</v>
      </c>
      <c r="AH12" s="618">
        <v>10</v>
      </c>
      <c r="AI12" s="1055">
        <v>8</v>
      </c>
      <c r="AJ12" s="1045">
        <v>10</v>
      </c>
      <c r="AK12" s="1045">
        <v>10</v>
      </c>
      <c r="AL12" s="1822">
        <f t="shared" si="8"/>
        <v>297</v>
      </c>
      <c r="AM12" s="1054">
        <v>0</v>
      </c>
      <c r="AN12" s="1817">
        <v>102</v>
      </c>
      <c r="AO12" s="1096">
        <f>'Tax Calulation       '!P12</f>
        <v>0</v>
      </c>
      <c r="AP12" s="1096">
        <f>'Tax Calulation       '!W12</f>
        <v>5.9084194977843429</v>
      </c>
      <c r="AQ12" s="1148">
        <f t="shared" si="9"/>
        <v>189.09158050221566</v>
      </c>
      <c r="AR12" s="1682">
        <f t="shared" si="25"/>
        <v>359900</v>
      </c>
      <c r="AS12" s="1683">
        <f t="shared" si="26"/>
        <v>100</v>
      </c>
      <c r="AT12" s="612"/>
      <c r="AU12" s="763"/>
      <c r="AV12" s="1056">
        <f t="shared" si="10"/>
        <v>1</v>
      </c>
      <c r="AW12" s="1056">
        <f t="shared" si="11"/>
        <v>0</v>
      </c>
      <c r="AX12" s="1056">
        <f t="shared" si="12"/>
        <v>0</v>
      </c>
      <c r="AY12" s="1056">
        <f t="shared" si="13"/>
        <v>0</v>
      </c>
      <c r="AZ12" s="1057">
        <f t="shared" si="27"/>
        <v>100</v>
      </c>
      <c r="BA12" s="1058">
        <f t="shared" si="14"/>
        <v>7</v>
      </c>
      <c r="BB12" s="1059">
        <f t="shared" si="15"/>
        <v>0</v>
      </c>
      <c r="BC12" s="1059">
        <f t="shared" si="16"/>
        <v>1</v>
      </c>
      <c r="BD12" s="1059">
        <f t="shared" si="17"/>
        <v>4</v>
      </c>
      <c r="BE12" s="1059">
        <f t="shared" si="18"/>
        <v>1</v>
      </c>
      <c r="BF12" s="1059">
        <f t="shared" si="19"/>
        <v>4</v>
      </c>
      <c r="BG12" s="1013">
        <f t="shared" si="28"/>
        <v>359900</v>
      </c>
      <c r="BH12" s="1060"/>
      <c r="BJ12" s="1021">
        <v>7</v>
      </c>
      <c r="BK12" s="1061">
        <v>10297300</v>
      </c>
      <c r="BL12" s="1168">
        <v>26579</v>
      </c>
      <c r="BM12" s="1063" t="s">
        <v>1483</v>
      </c>
      <c r="BN12" s="1062"/>
      <c r="BO12" s="1062" t="s">
        <v>1424</v>
      </c>
      <c r="BP12" s="1051" t="s">
        <v>1446</v>
      </c>
      <c r="BQ12" s="763" t="s">
        <v>572</v>
      </c>
      <c r="BR12" s="1062" t="s">
        <v>1477</v>
      </c>
    </row>
    <row r="13" spans="1:70" s="755" customFormat="1" ht="60" customHeight="1">
      <c r="A13" s="1404">
        <v>7</v>
      </c>
      <c r="B13" s="1604" t="s">
        <v>1426</v>
      </c>
      <c r="C13" s="1329" t="s">
        <v>1427</v>
      </c>
      <c r="D13" s="1474">
        <v>43052</v>
      </c>
      <c r="E13" s="1639" t="s">
        <v>1428</v>
      </c>
      <c r="F13" s="1614">
        <f>200+17+12+8+2</f>
        <v>239</v>
      </c>
      <c r="G13" s="1614">
        <f>20+30</f>
        <v>50</v>
      </c>
      <c r="H13" s="1001">
        <v>22</v>
      </c>
      <c r="I13" s="509">
        <f t="shared" ref="I13:I16" si="31">F13/26*H13</f>
        <v>202.23076923076923</v>
      </c>
      <c r="J13" s="618">
        <f t="shared" ref="J13:J16" si="32">F13/26*H13</f>
        <v>202.23076923076923</v>
      </c>
      <c r="K13" s="1001">
        <v>99</v>
      </c>
      <c r="L13" s="510">
        <f t="shared" ref="L13" si="33">F13/26/8*1.5</f>
        <v>1.7235576923076921</v>
      </c>
      <c r="M13" s="618">
        <f t="shared" si="30"/>
        <v>170.63221153846152</v>
      </c>
      <c r="N13" s="1001">
        <v>0</v>
      </c>
      <c r="O13" s="510">
        <f t="shared" ref="O13:O18" si="34">F13/26/8*2</f>
        <v>2.2980769230769229</v>
      </c>
      <c r="P13" s="503">
        <f t="shared" si="2"/>
        <v>0</v>
      </c>
      <c r="Q13" s="1001">
        <v>0</v>
      </c>
      <c r="R13" s="510">
        <f t="shared" ref="R13:R18" si="35">F13/26/8*2</f>
        <v>2.2980769230769229</v>
      </c>
      <c r="S13" s="503">
        <f t="shared" si="4"/>
        <v>0</v>
      </c>
      <c r="T13" s="1001">
        <v>5</v>
      </c>
      <c r="U13" s="510">
        <f t="shared" ref="U13:U16" si="36">F13/26</f>
        <v>9.1923076923076916</v>
      </c>
      <c r="V13" s="618">
        <f t="shared" ref="V13:V18" si="37">U13*T13</f>
        <v>45.96153846153846</v>
      </c>
      <c r="W13" s="1001">
        <v>0</v>
      </c>
      <c r="X13" s="618">
        <f>'12 Salary'!T14*OFFICE!W13</f>
        <v>0</v>
      </c>
      <c r="Y13" s="1001">
        <v>0</v>
      </c>
      <c r="Z13" s="510">
        <f t="shared" ref="Z13:Z18" si="38">F13/26/2</f>
        <v>4.5961538461538458</v>
      </c>
      <c r="AA13" s="1096">
        <f t="shared" si="24"/>
        <v>0</v>
      </c>
      <c r="AB13" s="1001">
        <v>0</v>
      </c>
      <c r="AC13" s="1467">
        <f t="shared" si="7"/>
        <v>27</v>
      </c>
      <c r="AD13" s="1724">
        <v>0</v>
      </c>
      <c r="AE13" s="1121">
        <v>0</v>
      </c>
      <c r="AF13" s="1412">
        <v>26</v>
      </c>
      <c r="AG13" s="1412">
        <v>0</v>
      </c>
      <c r="AH13" s="618">
        <v>10</v>
      </c>
      <c r="AI13" s="1045">
        <v>7</v>
      </c>
      <c r="AJ13" s="1045">
        <v>10</v>
      </c>
      <c r="AK13" s="1045">
        <v>10</v>
      </c>
      <c r="AL13" s="1822">
        <f t="shared" si="8"/>
        <v>531.82451923076917</v>
      </c>
      <c r="AM13" s="986">
        <v>0</v>
      </c>
      <c r="AN13" s="1817">
        <v>102</v>
      </c>
      <c r="AO13" s="1096">
        <f>'Tax Calulation       '!P13</f>
        <v>1.2928507769003481</v>
      </c>
      <c r="AP13" s="1096">
        <f>'Tax Calulation       '!W13</f>
        <v>5.9084194977843429</v>
      </c>
      <c r="AQ13" s="1148">
        <f t="shared" si="9"/>
        <v>422.62324895608447</v>
      </c>
      <c r="AR13" s="1682">
        <f t="shared" si="25"/>
        <v>91400</v>
      </c>
      <c r="AS13" s="1683">
        <f t="shared" si="26"/>
        <v>400</v>
      </c>
      <c r="AT13" s="502"/>
      <c r="AU13" s="504"/>
      <c r="AV13" s="1018">
        <f t="shared" si="10"/>
        <v>4</v>
      </c>
      <c r="AW13" s="1018">
        <f t="shared" si="11"/>
        <v>0</v>
      </c>
      <c r="AX13" s="1018">
        <f t="shared" si="12"/>
        <v>0</v>
      </c>
      <c r="AY13" s="1018">
        <f t="shared" si="13"/>
        <v>0</v>
      </c>
      <c r="AZ13" s="1012">
        <f t="shared" si="27"/>
        <v>400</v>
      </c>
      <c r="BA13" s="1019">
        <f t="shared" si="14"/>
        <v>1</v>
      </c>
      <c r="BB13" s="1020">
        <f t="shared" si="15"/>
        <v>4</v>
      </c>
      <c r="BC13" s="1020">
        <f t="shared" si="16"/>
        <v>0</v>
      </c>
      <c r="BD13" s="1020">
        <f t="shared" si="17"/>
        <v>1</v>
      </c>
      <c r="BE13" s="1020">
        <f t="shared" si="18"/>
        <v>0</v>
      </c>
      <c r="BF13" s="1020">
        <f t="shared" si="19"/>
        <v>4</v>
      </c>
      <c r="BG13" s="1013">
        <f t="shared" si="28"/>
        <v>91400</v>
      </c>
      <c r="BH13" s="1011"/>
      <c r="BJ13" s="1021">
        <v>8</v>
      </c>
      <c r="BK13" s="1022">
        <v>100688958</v>
      </c>
      <c r="BL13" s="1167">
        <v>34820</v>
      </c>
      <c r="BM13" s="1024" t="s">
        <v>1484</v>
      </c>
      <c r="BN13" s="1023"/>
      <c r="BO13" s="1023" t="s">
        <v>1427</v>
      </c>
      <c r="BP13" s="984" t="s">
        <v>1447</v>
      </c>
      <c r="BQ13" s="504" t="s">
        <v>943</v>
      </c>
      <c r="BR13" s="1023" t="s">
        <v>1477</v>
      </c>
    </row>
    <row r="14" spans="1:70" s="755" customFormat="1" ht="60" customHeight="1">
      <c r="A14" s="1404">
        <v>8</v>
      </c>
      <c r="B14" s="1604" t="s">
        <v>2005</v>
      </c>
      <c r="C14" s="1329" t="s">
        <v>2006</v>
      </c>
      <c r="D14" s="1474">
        <v>41388</v>
      </c>
      <c r="E14" s="1639" t="s">
        <v>1419</v>
      </c>
      <c r="F14" s="1614">
        <f>235+8+2</f>
        <v>245</v>
      </c>
      <c r="G14" s="1614">
        <v>70</v>
      </c>
      <c r="H14" s="1001">
        <v>21</v>
      </c>
      <c r="I14" s="509">
        <f t="shared" si="31"/>
        <v>197.88461538461539</v>
      </c>
      <c r="J14" s="618">
        <f t="shared" si="32"/>
        <v>197.88461538461539</v>
      </c>
      <c r="K14" s="1001">
        <v>2</v>
      </c>
      <c r="L14" s="510">
        <f t="shared" ref="L14" si="39">F14/26/8*1.5</f>
        <v>1.7668269230769231</v>
      </c>
      <c r="M14" s="618">
        <f t="shared" si="30"/>
        <v>3.5336538461538463</v>
      </c>
      <c r="N14" s="1001">
        <v>0</v>
      </c>
      <c r="O14" s="510">
        <f t="shared" ref="O14" si="40">F14/26/8*2</f>
        <v>2.3557692307692308</v>
      </c>
      <c r="P14" s="503">
        <f t="shared" ref="P14" si="41">N14*O14</f>
        <v>0</v>
      </c>
      <c r="Q14" s="1001">
        <v>24</v>
      </c>
      <c r="R14" s="510">
        <f t="shared" ref="R14" si="42">F14/26/8*2</f>
        <v>2.3557692307692308</v>
      </c>
      <c r="S14" s="503">
        <f t="shared" ref="S14" si="43">R14*Q14</f>
        <v>56.53846153846154</v>
      </c>
      <c r="T14" s="1001">
        <v>6</v>
      </c>
      <c r="U14" s="510">
        <f t="shared" ref="U14" si="44">F14/26</f>
        <v>9.4230769230769234</v>
      </c>
      <c r="V14" s="618">
        <f t="shared" si="37"/>
        <v>56.53846153846154</v>
      </c>
      <c r="W14" s="1001">
        <v>0</v>
      </c>
      <c r="X14" s="618">
        <f>'12 Salary'!T15*OFFICE!W14</f>
        <v>0</v>
      </c>
      <c r="Y14" s="1001">
        <v>0</v>
      </c>
      <c r="Z14" s="510">
        <f t="shared" ref="Z14" si="45">F14/26/2</f>
        <v>4.7115384615384617</v>
      </c>
      <c r="AA14" s="1096">
        <f t="shared" ref="AA14" si="46">Y14*Z14</f>
        <v>0</v>
      </c>
      <c r="AB14" s="1001">
        <v>0</v>
      </c>
      <c r="AC14" s="1468">
        <f t="shared" ref="AC14" si="47">H14+T14+Y14+AB14+W14</f>
        <v>27</v>
      </c>
      <c r="AD14" s="1724">
        <v>0</v>
      </c>
      <c r="AE14" s="1121">
        <v>0</v>
      </c>
      <c r="AF14" s="1412">
        <f>4+4</f>
        <v>8</v>
      </c>
      <c r="AG14" s="1412">
        <v>0</v>
      </c>
      <c r="AH14" s="618">
        <v>10</v>
      </c>
      <c r="AI14" s="1045">
        <v>11</v>
      </c>
      <c r="AJ14" s="1045">
        <v>10</v>
      </c>
      <c r="AK14" s="1045">
        <v>10</v>
      </c>
      <c r="AL14" s="1822">
        <f t="shared" si="8"/>
        <v>433.49519230769232</v>
      </c>
      <c r="AM14" s="986">
        <v>0</v>
      </c>
      <c r="AN14" s="1817">
        <v>102</v>
      </c>
      <c r="AO14" s="1096">
        <f>'Tax Calulation       '!P14</f>
        <v>0</v>
      </c>
      <c r="AP14" s="1096">
        <f>'Tax Calulation       '!W14</f>
        <v>5.9084194977843429</v>
      </c>
      <c r="AQ14" s="1148">
        <f t="shared" si="9"/>
        <v>325.58677280990798</v>
      </c>
      <c r="AR14" s="1682">
        <f t="shared" si="25"/>
        <v>103400</v>
      </c>
      <c r="AS14" s="1683">
        <f t="shared" si="26"/>
        <v>300</v>
      </c>
      <c r="AT14" s="502"/>
      <c r="AU14" s="504"/>
      <c r="AV14" s="1018">
        <f>INT(AS14/100)</f>
        <v>3</v>
      </c>
      <c r="AW14" s="1018">
        <f t="shared" ref="AW14" si="48">INT((AS14-AV14*100)/50)</f>
        <v>0</v>
      </c>
      <c r="AX14" s="1018">
        <f t="shared" ref="AX14" si="49">INT((AS14-AV14*100-AW14*50)/20)</f>
        <v>0</v>
      </c>
      <c r="AY14" s="1018">
        <f t="shared" ref="AY14" si="50">INT((AS14-AV14*100-AW14*50-AX14*20)/10)</f>
        <v>0</v>
      </c>
      <c r="AZ14" s="1012">
        <f t="shared" ref="AZ14" si="51">AV14*100+AW14*50+AX14*20+AY14*10</f>
        <v>300</v>
      </c>
      <c r="BA14" s="1019">
        <f t="shared" ref="BA14" si="52">INT(AR14/50000)</f>
        <v>2</v>
      </c>
      <c r="BB14" s="1020">
        <f t="shared" ref="BB14" si="53">INT((AR14-BA14*50000)/10000)</f>
        <v>0</v>
      </c>
      <c r="BC14" s="1020">
        <f t="shared" ref="BC14" si="54">INT((AR14-BA14*50000-BB14*10000)/5000)</f>
        <v>0</v>
      </c>
      <c r="BD14" s="1020">
        <f t="shared" ref="BD14" si="55">INT((AR14-BA14*50000-BB14*10000-BC14*5000)/1000)</f>
        <v>3</v>
      </c>
      <c r="BE14" s="1020">
        <f t="shared" ref="BE14" si="56">INT((AR14-BA14*50000-BB14*10000-BC14*5000-BD14*1000)/500)</f>
        <v>0</v>
      </c>
      <c r="BF14" s="1020">
        <f t="shared" ref="BF14" si="57">INT((AR14-BA14*50000-BB14*10000-BC14*5000-BD14*1000-BE14*500)/100)</f>
        <v>4</v>
      </c>
      <c r="BG14" s="1013">
        <f t="shared" ref="BG14" si="58">BA14*50000+BB14*10000+BC14*5000+BD14*1000+BE14*500+BF14*100</f>
        <v>103400</v>
      </c>
      <c r="BH14" s="1463"/>
      <c r="BJ14" s="1021">
        <v>9</v>
      </c>
      <c r="BK14" s="1022">
        <v>21047171</v>
      </c>
      <c r="BL14" s="1167">
        <v>35896</v>
      </c>
      <c r="BM14" s="1024" t="s">
        <v>2007</v>
      </c>
      <c r="BN14" s="1023"/>
      <c r="BO14" s="1023" t="s">
        <v>2006</v>
      </c>
      <c r="BP14" s="984" t="s">
        <v>2008</v>
      </c>
      <c r="BQ14" s="504" t="s">
        <v>572</v>
      </c>
      <c r="BR14" s="1023" t="s">
        <v>1477</v>
      </c>
    </row>
    <row r="15" spans="1:70" s="755" customFormat="1" ht="60" customHeight="1">
      <c r="A15" s="1404">
        <v>9</v>
      </c>
      <c r="B15" s="1604" t="s">
        <v>1429</v>
      </c>
      <c r="C15" s="1329" t="s">
        <v>1430</v>
      </c>
      <c r="D15" s="1474">
        <v>43211</v>
      </c>
      <c r="E15" s="1639" t="s">
        <v>1849</v>
      </c>
      <c r="F15" s="1614">
        <f>191+8+20+40+2+10</f>
        <v>271</v>
      </c>
      <c r="G15" s="1614">
        <f>30+20+28</f>
        <v>78</v>
      </c>
      <c r="H15" s="1001">
        <v>21</v>
      </c>
      <c r="I15" s="509">
        <f t="shared" si="31"/>
        <v>218.88461538461539</v>
      </c>
      <c r="J15" s="618">
        <f t="shared" si="32"/>
        <v>218.88461538461539</v>
      </c>
      <c r="K15" s="1001">
        <v>68</v>
      </c>
      <c r="L15" s="510">
        <f t="shared" ref="L15:L18" si="59">F15/26/8*1.5</f>
        <v>1.9543269230769231</v>
      </c>
      <c r="M15" s="618">
        <f t="shared" si="30"/>
        <v>132.89423076923077</v>
      </c>
      <c r="N15" s="1001">
        <v>0</v>
      </c>
      <c r="O15" s="510">
        <f t="shared" si="34"/>
        <v>2.6057692307692308</v>
      </c>
      <c r="P15" s="503">
        <f t="shared" si="2"/>
        <v>0</v>
      </c>
      <c r="Q15" s="1001">
        <v>24</v>
      </c>
      <c r="R15" s="510">
        <f>F15/26/8*2</f>
        <v>2.6057692307692308</v>
      </c>
      <c r="S15" s="503">
        <f>R15*Q15</f>
        <v>62.53846153846154</v>
      </c>
      <c r="T15" s="1001">
        <v>5</v>
      </c>
      <c r="U15" s="510">
        <f t="shared" si="36"/>
        <v>10.423076923076923</v>
      </c>
      <c r="V15" s="618">
        <f t="shared" si="37"/>
        <v>52.115384615384613</v>
      </c>
      <c r="W15" s="1001">
        <v>1</v>
      </c>
      <c r="X15" s="618">
        <f>'12 Salary'!T16*OFFICE!W15</f>
        <v>19.621701013319555</v>
      </c>
      <c r="Y15" s="1001">
        <v>0</v>
      </c>
      <c r="Z15" s="761">
        <f t="shared" si="38"/>
        <v>5.2115384615384617</v>
      </c>
      <c r="AA15" s="1096">
        <f t="shared" si="24"/>
        <v>0</v>
      </c>
      <c r="AB15" s="1001">
        <v>0</v>
      </c>
      <c r="AC15" s="1467">
        <f t="shared" si="7"/>
        <v>27</v>
      </c>
      <c r="AD15" s="1724">
        <v>0</v>
      </c>
      <c r="AE15" s="1121">
        <v>0</v>
      </c>
      <c r="AF15" s="1412">
        <f>4+4+25</f>
        <v>33</v>
      </c>
      <c r="AG15" s="1412">
        <v>0</v>
      </c>
      <c r="AH15" s="618">
        <v>10</v>
      </c>
      <c r="AI15" s="1045">
        <v>7</v>
      </c>
      <c r="AJ15" s="1045">
        <v>10</v>
      </c>
      <c r="AK15" s="1045">
        <v>10</v>
      </c>
      <c r="AL15" s="1822">
        <f t="shared" si="8"/>
        <v>634.05439332101184</v>
      </c>
      <c r="AM15" s="986">
        <v>0</v>
      </c>
      <c r="AN15" s="1817">
        <v>102</v>
      </c>
      <c r="AO15" s="1096">
        <f>'Tax Calulation       '!P15</f>
        <v>6.6540853192996074</v>
      </c>
      <c r="AP15" s="1096">
        <f>'Tax Calulation       '!W15</f>
        <v>5.9084194977843429</v>
      </c>
      <c r="AQ15" s="1148">
        <f t="shared" si="9"/>
        <v>519.49188850392784</v>
      </c>
      <c r="AR15" s="1682">
        <f t="shared" si="25"/>
        <v>78700</v>
      </c>
      <c r="AS15" s="1683">
        <f t="shared" si="26"/>
        <v>500</v>
      </c>
      <c r="AT15" s="987"/>
      <c r="AU15" s="504"/>
      <c r="AV15" s="1018">
        <f t="shared" si="10"/>
        <v>5</v>
      </c>
      <c r="AW15" s="1018">
        <f t="shared" si="11"/>
        <v>0</v>
      </c>
      <c r="AX15" s="1018">
        <f t="shared" si="12"/>
        <v>0</v>
      </c>
      <c r="AY15" s="1018">
        <f t="shared" si="13"/>
        <v>0</v>
      </c>
      <c r="AZ15" s="1012">
        <f t="shared" si="27"/>
        <v>500</v>
      </c>
      <c r="BA15" s="1019">
        <f t="shared" si="14"/>
        <v>1</v>
      </c>
      <c r="BB15" s="1020">
        <f t="shared" si="15"/>
        <v>2</v>
      </c>
      <c r="BC15" s="1020">
        <f t="shared" si="16"/>
        <v>1</v>
      </c>
      <c r="BD15" s="1020">
        <f t="shared" si="17"/>
        <v>3</v>
      </c>
      <c r="BE15" s="1020">
        <f t="shared" si="18"/>
        <v>1</v>
      </c>
      <c r="BF15" s="1020">
        <f t="shared" si="19"/>
        <v>2</v>
      </c>
      <c r="BG15" s="1013">
        <f t="shared" si="28"/>
        <v>78700</v>
      </c>
      <c r="BH15" s="1011"/>
      <c r="BJ15" s="1021">
        <v>10</v>
      </c>
      <c r="BK15" s="1313">
        <v>40357003</v>
      </c>
      <c r="BL15" s="1314">
        <v>34717</v>
      </c>
      <c r="BM15" s="1315" t="s">
        <v>1485</v>
      </c>
      <c r="BN15" s="1316" t="s">
        <v>1486</v>
      </c>
      <c r="BO15" s="1316" t="s">
        <v>1430</v>
      </c>
      <c r="BP15" s="1317" t="s">
        <v>1448</v>
      </c>
      <c r="BQ15" s="504" t="s">
        <v>572</v>
      </c>
      <c r="BR15" s="1316" t="s">
        <v>1477</v>
      </c>
    </row>
    <row r="16" spans="1:70" s="755" customFormat="1" ht="60" customHeight="1">
      <c r="A16" s="1404">
        <v>10</v>
      </c>
      <c r="B16" s="1607" t="s">
        <v>1598</v>
      </c>
      <c r="C16" s="1153" t="s">
        <v>1500</v>
      </c>
      <c r="D16" s="1474">
        <v>44622</v>
      </c>
      <c r="E16" s="1639" t="s">
        <v>1501</v>
      </c>
      <c r="F16" s="617">
        <f>200+4</f>
        <v>204</v>
      </c>
      <c r="G16" s="617">
        <v>150</v>
      </c>
      <c r="H16" s="1001">
        <v>20.5</v>
      </c>
      <c r="I16" s="509">
        <f t="shared" si="31"/>
        <v>160.84615384615384</v>
      </c>
      <c r="J16" s="618">
        <f t="shared" si="32"/>
        <v>160.84615384615384</v>
      </c>
      <c r="K16" s="1001">
        <v>40</v>
      </c>
      <c r="L16" s="510">
        <f t="shared" ref="L16:L17" si="60">F16/26/8*1.5</f>
        <v>1.471153846153846</v>
      </c>
      <c r="M16" s="618">
        <f t="shared" si="30"/>
        <v>58.84615384615384</v>
      </c>
      <c r="N16" s="1001">
        <v>0</v>
      </c>
      <c r="O16" s="510">
        <f t="shared" si="34"/>
        <v>1.9615384615384615</v>
      </c>
      <c r="P16" s="503">
        <f t="shared" ref="P16:P17" si="61">N16*O16</f>
        <v>0</v>
      </c>
      <c r="Q16" s="1001">
        <v>16</v>
      </c>
      <c r="R16" s="510">
        <f t="shared" si="35"/>
        <v>1.9615384615384615</v>
      </c>
      <c r="S16" s="503">
        <f t="shared" ref="S16:S17" si="62">R16*Q16</f>
        <v>31.384615384615383</v>
      </c>
      <c r="T16" s="1001">
        <v>5</v>
      </c>
      <c r="U16" s="510">
        <f t="shared" si="36"/>
        <v>7.8461538461538458</v>
      </c>
      <c r="V16" s="618">
        <f t="shared" si="37"/>
        <v>39.230769230769226</v>
      </c>
      <c r="W16" s="1001">
        <v>1.5</v>
      </c>
      <c r="X16" s="618">
        <f>'12 Salary'!T17*OFFICE!W16</f>
        <v>23.732531729065375</v>
      </c>
      <c r="Y16" s="1001">
        <v>0</v>
      </c>
      <c r="Z16" s="510">
        <f t="shared" si="38"/>
        <v>3.9230769230769229</v>
      </c>
      <c r="AA16" s="1096">
        <f t="shared" ref="AA16:AA17" si="63">Y16*Z16</f>
        <v>0</v>
      </c>
      <c r="AB16" s="1001">
        <v>0</v>
      </c>
      <c r="AC16" s="1468">
        <f t="shared" ref="AC16:AC17" si="64">H16+T16+Y16+AB16+W16</f>
        <v>27</v>
      </c>
      <c r="AD16" s="1724">
        <v>0</v>
      </c>
      <c r="AE16" s="1121">
        <v>0</v>
      </c>
      <c r="AF16" s="1412">
        <v>20</v>
      </c>
      <c r="AG16" s="1412">
        <v>0</v>
      </c>
      <c r="AH16" s="618">
        <v>10</v>
      </c>
      <c r="AI16" s="1045">
        <v>3</v>
      </c>
      <c r="AJ16" s="1045">
        <v>10</v>
      </c>
      <c r="AK16" s="1045">
        <v>10</v>
      </c>
      <c r="AL16" s="1822">
        <f t="shared" si="8"/>
        <v>517.04022403675754</v>
      </c>
      <c r="AM16" s="986">
        <v>0</v>
      </c>
      <c r="AN16" s="1817">
        <v>102</v>
      </c>
      <c r="AO16" s="1096">
        <f>'Tax Calulation       '!P16</f>
        <v>4.2463982033149845</v>
      </c>
      <c r="AP16" s="1096">
        <f>'Tax Calulation       '!W16</f>
        <v>5.9084194977843429</v>
      </c>
      <c r="AQ16" s="1148">
        <f t="shared" si="9"/>
        <v>404.88540633565822</v>
      </c>
      <c r="AR16" s="1682">
        <f t="shared" si="25"/>
        <v>19700</v>
      </c>
      <c r="AS16" s="1683">
        <f t="shared" si="26"/>
        <v>400</v>
      </c>
      <c r="AT16" s="502"/>
      <c r="AU16" s="504"/>
      <c r="AV16" s="1018">
        <f t="shared" si="10"/>
        <v>4</v>
      </c>
      <c r="AW16" s="1018">
        <f t="shared" si="11"/>
        <v>0</v>
      </c>
      <c r="AX16" s="1018">
        <f t="shared" si="12"/>
        <v>0</v>
      </c>
      <c r="AY16" s="1018">
        <f t="shared" si="13"/>
        <v>0</v>
      </c>
      <c r="AZ16" s="1012">
        <f t="shared" ref="AZ16:AZ17" si="65">AV16*100+AW16*50+AX16*20+AY16*10</f>
        <v>400</v>
      </c>
      <c r="BA16" s="1019">
        <f t="shared" si="14"/>
        <v>0</v>
      </c>
      <c r="BB16" s="1020">
        <f t="shared" si="15"/>
        <v>1</v>
      </c>
      <c r="BC16" s="1020">
        <f t="shared" si="16"/>
        <v>1</v>
      </c>
      <c r="BD16" s="1020">
        <f t="shared" si="17"/>
        <v>4</v>
      </c>
      <c r="BE16" s="1020">
        <f t="shared" si="18"/>
        <v>1</v>
      </c>
      <c r="BF16" s="1020">
        <f t="shared" si="19"/>
        <v>2</v>
      </c>
      <c r="BG16" s="1013">
        <f t="shared" si="28"/>
        <v>19700</v>
      </c>
      <c r="BH16" s="1011"/>
      <c r="BJ16" s="1021">
        <v>11</v>
      </c>
      <c r="BK16" s="1318">
        <v>11210049</v>
      </c>
      <c r="BL16" s="1319">
        <v>30194</v>
      </c>
      <c r="BM16" s="1320" t="s">
        <v>1786</v>
      </c>
      <c r="BN16" s="1102"/>
      <c r="BO16" s="956" t="s">
        <v>1500</v>
      </c>
      <c r="BP16" s="984" t="s">
        <v>1785</v>
      </c>
      <c r="BQ16" s="502" t="s">
        <v>572</v>
      </c>
      <c r="BR16" s="1102" t="s">
        <v>1477</v>
      </c>
    </row>
    <row r="17" spans="1:70" s="755" customFormat="1" ht="60" customHeight="1">
      <c r="A17" s="1404">
        <v>11</v>
      </c>
      <c r="B17" s="1607" t="s">
        <v>1842</v>
      </c>
      <c r="C17" s="1153" t="s">
        <v>1843</v>
      </c>
      <c r="D17" s="1473">
        <v>44958</v>
      </c>
      <c r="E17" s="1639" t="s">
        <v>1844</v>
      </c>
      <c r="F17" s="617">
        <f>194+6+4</f>
        <v>204</v>
      </c>
      <c r="G17" s="617">
        <v>0</v>
      </c>
      <c r="H17" s="1001">
        <v>21</v>
      </c>
      <c r="I17" s="509">
        <f t="shared" ref="I17" si="66">F17/26*H17</f>
        <v>164.76923076923077</v>
      </c>
      <c r="J17" s="618">
        <f t="shared" ref="J17" si="67">F17/26*H17</f>
        <v>164.76923076923077</v>
      </c>
      <c r="K17" s="1001">
        <v>30</v>
      </c>
      <c r="L17" s="510">
        <f t="shared" si="60"/>
        <v>1.471153846153846</v>
      </c>
      <c r="M17" s="618">
        <f t="shared" si="30"/>
        <v>44.13461538461538</v>
      </c>
      <c r="N17" s="1001">
        <v>0</v>
      </c>
      <c r="O17" s="510">
        <f t="shared" ref="O17" si="68">F17/26/8*2</f>
        <v>1.9615384615384615</v>
      </c>
      <c r="P17" s="503">
        <f t="shared" si="61"/>
        <v>0</v>
      </c>
      <c r="Q17" s="1001">
        <v>24</v>
      </c>
      <c r="R17" s="510">
        <f t="shared" ref="R17" si="69">F17/26/8*2</f>
        <v>1.9615384615384615</v>
      </c>
      <c r="S17" s="503">
        <f t="shared" si="62"/>
        <v>47.076923076923073</v>
      </c>
      <c r="T17" s="1001">
        <v>5</v>
      </c>
      <c r="U17" s="510">
        <f t="shared" ref="U17" si="70">F17/26</f>
        <v>7.8461538461538458</v>
      </c>
      <c r="V17" s="618">
        <f t="shared" ref="V17" si="71">U17*T17</f>
        <v>39.230769230769226</v>
      </c>
      <c r="W17" s="1001">
        <v>1</v>
      </c>
      <c r="X17" s="618">
        <f>'12 Salary'!T18*OFFICE!W17</f>
        <v>14.379768135615718</v>
      </c>
      <c r="Y17" s="1001">
        <v>0</v>
      </c>
      <c r="Z17" s="510">
        <f t="shared" ref="Z17" si="72">F17/26/2</f>
        <v>3.9230769230769229</v>
      </c>
      <c r="AA17" s="1096">
        <f t="shared" si="63"/>
        <v>0</v>
      </c>
      <c r="AB17" s="1001">
        <v>0</v>
      </c>
      <c r="AC17" s="1468">
        <f t="shared" si="64"/>
        <v>27</v>
      </c>
      <c r="AD17" s="1724">
        <v>0</v>
      </c>
      <c r="AE17" s="1121">
        <v>0</v>
      </c>
      <c r="AF17" s="1412">
        <v>100</v>
      </c>
      <c r="AG17" s="1412">
        <v>0</v>
      </c>
      <c r="AH17" s="618">
        <v>10</v>
      </c>
      <c r="AI17" s="1045">
        <v>2</v>
      </c>
      <c r="AJ17" s="1045">
        <v>10</v>
      </c>
      <c r="AK17" s="1045">
        <v>10</v>
      </c>
      <c r="AL17" s="1822">
        <f t="shared" si="8"/>
        <v>441.59130659715419</v>
      </c>
      <c r="AM17" s="986">
        <v>0</v>
      </c>
      <c r="AN17" s="1817">
        <v>102</v>
      </c>
      <c r="AO17" s="1096">
        <f>'Tax Calulation       '!P17</f>
        <v>2.3203334243924236</v>
      </c>
      <c r="AP17" s="1096">
        <f>'Tax Calulation       '!W17</f>
        <v>5.9084194977843429</v>
      </c>
      <c r="AQ17" s="1148">
        <f t="shared" si="9"/>
        <v>331.36255367497745</v>
      </c>
      <c r="AR17" s="1682">
        <f t="shared" si="25"/>
        <v>126700</v>
      </c>
      <c r="AS17" s="1683">
        <f t="shared" si="26"/>
        <v>300</v>
      </c>
      <c r="AT17" s="502"/>
      <c r="AU17" s="504"/>
      <c r="AV17" s="1018">
        <f t="shared" ref="AV17" si="73">INT(AS17/100)</f>
        <v>3</v>
      </c>
      <c r="AW17" s="1018">
        <f t="shared" ref="AW17" si="74">INT((AS17-AV17*100)/50)</f>
        <v>0</v>
      </c>
      <c r="AX17" s="1018">
        <f t="shared" ref="AX17" si="75">INT((AS17-AV17*100-AW17*50)/20)</f>
        <v>0</v>
      </c>
      <c r="AY17" s="1018">
        <f t="shared" ref="AY17" si="76">INT((AS17-AV17*100-AW17*50-AX17*20)/10)</f>
        <v>0</v>
      </c>
      <c r="AZ17" s="1012">
        <f t="shared" si="65"/>
        <v>300</v>
      </c>
      <c r="BA17" s="1019">
        <f t="shared" ref="BA17" si="77">INT(AR17/50000)</f>
        <v>2</v>
      </c>
      <c r="BB17" s="1020">
        <f t="shared" ref="BB17" si="78">INT((AR17-BA17*50000)/10000)</f>
        <v>2</v>
      </c>
      <c r="BC17" s="1020">
        <f t="shared" ref="BC17" si="79">INT((AR17-BA17*50000-BB17*10000)/5000)</f>
        <v>1</v>
      </c>
      <c r="BD17" s="1020">
        <f t="shared" ref="BD17" si="80">INT((AR17-BA17*50000-BB17*10000-BC17*5000)/1000)</f>
        <v>1</v>
      </c>
      <c r="BE17" s="1020">
        <f t="shared" ref="BE17" si="81">INT((AR17-BA17*50000-BB17*10000-BC17*5000-BD17*1000)/500)</f>
        <v>1</v>
      </c>
      <c r="BF17" s="1020">
        <f t="shared" ref="BF17" si="82">INT((AR17-BA17*50000-BB17*10000-BC17*5000-BD17*1000-BE17*500)/100)</f>
        <v>2</v>
      </c>
      <c r="BG17" s="1013">
        <f t="shared" ref="BG17" si="83">BA17*50000+BB17*10000+BC17*5000+BD17*1000+BE17*500+BF17*100</f>
        <v>126700</v>
      </c>
      <c r="BH17" s="1581"/>
      <c r="BJ17" s="1021">
        <v>12</v>
      </c>
      <c r="BK17" s="1321" t="s">
        <v>1845</v>
      </c>
      <c r="BL17" s="1212">
        <v>36188</v>
      </c>
      <c r="BM17" s="1320" t="s">
        <v>1846</v>
      </c>
      <c r="BN17" s="1102"/>
      <c r="BO17" s="956" t="s">
        <v>1843</v>
      </c>
      <c r="BP17" s="984" t="s">
        <v>1847</v>
      </c>
      <c r="BQ17" s="502" t="s">
        <v>572</v>
      </c>
      <c r="BR17" s="1102" t="s">
        <v>1477</v>
      </c>
    </row>
    <row r="18" spans="1:70" s="755" customFormat="1" ht="60" customHeight="1">
      <c r="A18" s="1404">
        <v>12</v>
      </c>
      <c r="B18" s="1608" t="s">
        <v>2082</v>
      </c>
      <c r="C18" s="1448" t="s">
        <v>2081</v>
      </c>
      <c r="D18" s="688">
        <v>45187</v>
      </c>
      <c r="E18" s="1640" t="s">
        <v>2089</v>
      </c>
      <c r="F18" s="1635">
        <v>250</v>
      </c>
      <c r="G18" s="617">
        <v>0</v>
      </c>
      <c r="H18" s="1001">
        <v>22</v>
      </c>
      <c r="I18" s="509">
        <f>F18/26*H18</f>
        <v>211.53846153846152</v>
      </c>
      <c r="J18" s="618">
        <f>F18/26*H18</f>
        <v>211.53846153846152</v>
      </c>
      <c r="K18" s="1001">
        <v>0</v>
      </c>
      <c r="L18" s="510">
        <f t="shared" si="59"/>
        <v>1.8028846153846154</v>
      </c>
      <c r="M18" s="618">
        <f t="shared" si="30"/>
        <v>0</v>
      </c>
      <c r="N18" s="1001">
        <v>0</v>
      </c>
      <c r="O18" s="510">
        <f t="shared" si="34"/>
        <v>2.4038461538461537</v>
      </c>
      <c r="P18" s="503">
        <f t="shared" si="2"/>
        <v>0</v>
      </c>
      <c r="Q18" s="1001">
        <v>0</v>
      </c>
      <c r="R18" s="510">
        <f t="shared" si="35"/>
        <v>2.4038461538461537</v>
      </c>
      <c r="S18" s="503">
        <f t="shared" si="4"/>
        <v>0</v>
      </c>
      <c r="T18" s="1001">
        <v>5</v>
      </c>
      <c r="U18" s="510">
        <f>F18/26</f>
        <v>9.615384615384615</v>
      </c>
      <c r="V18" s="618">
        <f t="shared" si="37"/>
        <v>48.076923076923073</v>
      </c>
      <c r="W18" s="1001">
        <v>0</v>
      </c>
      <c r="X18" s="618">
        <f>'12 Salary'!T19*OFFICE!W18</f>
        <v>0</v>
      </c>
      <c r="Y18" s="1001">
        <v>0</v>
      </c>
      <c r="Z18" s="510">
        <f t="shared" si="38"/>
        <v>4.8076923076923075</v>
      </c>
      <c r="AA18" s="1096">
        <f t="shared" si="24"/>
        <v>0</v>
      </c>
      <c r="AB18" s="1001">
        <v>0</v>
      </c>
      <c r="AC18" s="1468">
        <f t="shared" si="7"/>
        <v>27</v>
      </c>
      <c r="AD18" s="1724">
        <v>0</v>
      </c>
      <c r="AE18" s="1121">
        <v>0</v>
      </c>
      <c r="AF18" s="1412">
        <v>70</v>
      </c>
      <c r="AG18" s="1412">
        <v>0</v>
      </c>
      <c r="AH18" s="618">
        <v>10</v>
      </c>
      <c r="AI18" s="1045">
        <v>2</v>
      </c>
      <c r="AJ18" s="1045">
        <v>10</v>
      </c>
      <c r="AK18" s="1045">
        <v>10</v>
      </c>
      <c r="AL18" s="1822">
        <f t="shared" si="8"/>
        <v>361.61538461538458</v>
      </c>
      <c r="AM18" s="986">
        <v>0</v>
      </c>
      <c r="AN18" s="1817">
        <v>102</v>
      </c>
      <c r="AO18" s="1096">
        <f>'Tax Calulation       '!P18</f>
        <v>0</v>
      </c>
      <c r="AP18" s="1096">
        <f>'Tax Calulation       '!W18</f>
        <v>5.9084194977843429</v>
      </c>
      <c r="AQ18" s="1148">
        <f t="shared" si="9"/>
        <v>253.70696511760025</v>
      </c>
      <c r="AR18" s="1682">
        <f t="shared" si="25"/>
        <v>217000</v>
      </c>
      <c r="AS18" s="1683">
        <f t="shared" si="26"/>
        <v>200</v>
      </c>
      <c r="AT18" s="502"/>
      <c r="AU18" s="504"/>
      <c r="AV18" s="1018">
        <f t="shared" si="10"/>
        <v>2</v>
      </c>
      <c r="AW18" s="1018">
        <f t="shared" si="11"/>
        <v>0</v>
      </c>
      <c r="AX18" s="1018">
        <f t="shared" si="12"/>
        <v>0</v>
      </c>
      <c r="AY18" s="1018">
        <f t="shared" si="13"/>
        <v>0</v>
      </c>
      <c r="AZ18" s="1012">
        <f t="shared" si="27"/>
        <v>200</v>
      </c>
      <c r="BA18" s="1019">
        <f t="shared" si="14"/>
        <v>4</v>
      </c>
      <c r="BB18" s="1020">
        <f t="shared" si="15"/>
        <v>1</v>
      </c>
      <c r="BC18" s="1020">
        <f t="shared" si="16"/>
        <v>1</v>
      </c>
      <c r="BD18" s="1020">
        <f t="shared" si="17"/>
        <v>2</v>
      </c>
      <c r="BE18" s="1020">
        <f t="shared" si="18"/>
        <v>0</v>
      </c>
      <c r="BF18" s="1020">
        <f t="shared" si="19"/>
        <v>0</v>
      </c>
      <c r="BG18" s="1013">
        <f t="shared" si="28"/>
        <v>217000</v>
      </c>
      <c r="BH18" s="1011"/>
      <c r="BJ18" s="1021">
        <v>13</v>
      </c>
      <c r="BK18" s="1588" t="s">
        <v>2091</v>
      </c>
      <c r="BL18" s="1212">
        <v>28037</v>
      </c>
      <c r="BM18" s="1386" t="s">
        <v>2088</v>
      </c>
      <c r="BN18" s="1102"/>
      <c r="BO18" s="966" t="s">
        <v>2081</v>
      </c>
      <c r="BP18" s="1332" t="s">
        <v>2090</v>
      </c>
      <c r="BQ18" s="502" t="s">
        <v>572</v>
      </c>
      <c r="BR18" s="1102" t="s">
        <v>1477</v>
      </c>
    </row>
    <row r="19" spans="1:70" s="544" customFormat="1" ht="65.099999999999994" customHeight="1">
      <c r="A19" s="502"/>
      <c r="B19" s="536"/>
      <c r="C19" s="536"/>
      <c r="D19" s="536"/>
      <c r="E19" s="536"/>
      <c r="F19" s="536"/>
      <c r="G19" s="536"/>
      <c r="H19" s="536"/>
      <c r="I19" s="536"/>
      <c r="J19" s="536"/>
      <c r="K19" s="536"/>
      <c r="L19" s="536"/>
      <c r="M19" s="536"/>
      <c r="N19" s="536"/>
      <c r="O19" s="536"/>
      <c r="P19" s="536"/>
      <c r="Q19" s="536"/>
      <c r="R19" s="536"/>
      <c r="S19" s="536"/>
      <c r="T19" s="536"/>
      <c r="U19" s="536"/>
      <c r="V19" s="536"/>
      <c r="W19" s="536"/>
      <c r="X19" s="950">
        <f>SUM(X7:X18)</f>
        <v>78.996388738024308</v>
      </c>
      <c r="Y19" s="536"/>
      <c r="Z19" s="536"/>
      <c r="AA19" s="536"/>
      <c r="AB19" s="536"/>
      <c r="AC19" s="536"/>
      <c r="AD19" s="1578">
        <f>SUM(AD7:AD18)</f>
        <v>0</v>
      </c>
      <c r="AE19" s="1793">
        <f>SUM(AE7:AE18)</f>
        <v>0</v>
      </c>
      <c r="AF19" s="536"/>
      <c r="AG19" s="1290">
        <f>SUM(AG7:AG18)</f>
        <v>0</v>
      </c>
      <c r="AH19" s="536"/>
      <c r="AI19" s="536"/>
      <c r="AJ19" s="988">
        <f t="shared" ref="AJ19:AS19" si="84">SUM(AJ7:AJ18)</f>
        <v>120</v>
      </c>
      <c r="AK19" s="988">
        <f t="shared" si="84"/>
        <v>120</v>
      </c>
      <c r="AL19" s="1823">
        <f t="shared" si="84"/>
        <v>7399.0108118149483</v>
      </c>
      <c r="AM19" s="989">
        <f t="shared" si="84"/>
        <v>0</v>
      </c>
      <c r="AN19" s="1297">
        <f t="shared" si="84"/>
        <v>1224</v>
      </c>
      <c r="AO19" s="989">
        <f>SUM(AO7:AO18)</f>
        <v>139.02848865493112</v>
      </c>
      <c r="AP19" s="1633">
        <f t="shared" si="84"/>
        <v>70.901033973412112</v>
      </c>
      <c r="AQ19" s="1622">
        <f t="shared" si="84"/>
        <v>5965.0812891866044</v>
      </c>
      <c r="AR19" s="1824">
        <f>SUM(AR7:AR18)</f>
        <v>2282900</v>
      </c>
      <c r="AS19" s="1621">
        <f t="shared" si="84"/>
        <v>5400</v>
      </c>
      <c r="AT19" s="990"/>
      <c r="AU19" s="501"/>
      <c r="AV19" s="1012">
        <f t="shared" ref="AV19:BG19" si="85">SUM(AV7:AV18)</f>
        <v>54</v>
      </c>
      <c r="AW19" s="1012">
        <f t="shared" si="85"/>
        <v>0</v>
      </c>
      <c r="AX19" s="1012">
        <f t="shared" si="85"/>
        <v>0</v>
      </c>
      <c r="AY19" s="1012">
        <f t="shared" si="85"/>
        <v>0</v>
      </c>
      <c r="AZ19" s="1012">
        <f>SUM(AZ7:AZ18)</f>
        <v>5400</v>
      </c>
      <c r="BA19" s="1026">
        <f t="shared" si="85"/>
        <v>41</v>
      </c>
      <c r="BB19" s="1026">
        <f t="shared" si="85"/>
        <v>17</v>
      </c>
      <c r="BC19" s="1026">
        <f t="shared" si="85"/>
        <v>5</v>
      </c>
      <c r="BD19" s="1026">
        <f t="shared" si="85"/>
        <v>31</v>
      </c>
      <c r="BE19" s="1026">
        <f t="shared" si="85"/>
        <v>8</v>
      </c>
      <c r="BF19" s="1026">
        <f t="shared" si="85"/>
        <v>29</v>
      </c>
      <c r="BG19" s="1027">
        <f t="shared" si="85"/>
        <v>2282900</v>
      </c>
      <c r="BH19" s="1028"/>
    </row>
    <row r="20" spans="1:70" s="555" customFormat="1" ht="39.75" customHeight="1">
      <c r="A20" s="552"/>
      <c r="C20" s="555" t="s">
        <v>1155</v>
      </c>
      <c r="F20" s="556"/>
      <c r="L20" s="1355" t="s">
        <v>2168</v>
      </c>
      <c r="AF20" s="540" t="s">
        <v>445</v>
      </c>
      <c r="AG20" s="540"/>
      <c r="AI20" s="991"/>
      <c r="AJ20" s="991"/>
      <c r="AK20" s="991"/>
      <c r="AM20" s="992"/>
      <c r="AN20" s="993"/>
      <c r="AS20" s="2212" t="s">
        <v>212</v>
      </c>
      <c r="AT20" s="2212"/>
      <c r="AU20" s="733"/>
      <c r="BB20" s="1029"/>
    </row>
    <row r="21" spans="1:70" s="544" customFormat="1" ht="30.75" customHeight="1">
      <c r="A21" s="552"/>
      <c r="B21" s="552"/>
      <c r="C21" s="508"/>
      <c r="D21" s="508"/>
      <c r="E21" s="552"/>
      <c r="F21" s="554"/>
      <c r="G21" s="552"/>
      <c r="H21" s="552"/>
      <c r="I21" s="552"/>
      <c r="J21" s="552"/>
      <c r="K21" s="552"/>
      <c r="L21" s="552"/>
      <c r="M21" s="552"/>
      <c r="N21" s="552"/>
      <c r="O21" s="552"/>
      <c r="P21" s="552"/>
      <c r="Q21" s="552"/>
      <c r="R21" s="552"/>
      <c r="S21" s="552"/>
      <c r="T21" s="552"/>
      <c r="U21" s="552"/>
      <c r="V21" s="552"/>
      <c r="W21" s="552"/>
      <c r="X21" s="552"/>
      <c r="Y21" s="552"/>
      <c r="Z21" s="552"/>
      <c r="AA21" s="552"/>
      <c r="AB21" s="552"/>
      <c r="AC21" s="552"/>
      <c r="AD21" s="552"/>
      <c r="AE21" s="552"/>
      <c r="AF21" s="1030"/>
      <c r="AG21" s="1030"/>
      <c r="AH21" s="552"/>
      <c r="AI21" s="1031"/>
      <c r="AJ21" s="1031"/>
      <c r="AK21" s="1031"/>
      <c r="AL21" s="552"/>
      <c r="AM21" s="1032"/>
      <c r="AN21" s="1033"/>
      <c r="AO21" s="552"/>
      <c r="AP21" s="552"/>
      <c r="AQ21" s="552"/>
      <c r="AR21" s="552"/>
      <c r="AS21" s="552"/>
      <c r="AT21" s="552"/>
      <c r="AU21" s="552"/>
      <c r="AV21" s="552"/>
      <c r="AW21" s="552"/>
      <c r="AX21" s="552"/>
      <c r="AY21" s="552"/>
      <c r="AZ21" s="552"/>
      <c r="BA21" s="552"/>
      <c r="BB21" s="1034"/>
    </row>
    <row r="22" spans="1:70" s="544" customFormat="1" ht="30.75" customHeight="1">
      <c r="C22" s="555"/>
      <c r="D22" s="555"/>
      <c r="F22" s="556"/>
      <c r="L22" s="1106"/>
      <c r="AF22" s="1035"/>
      <c r="AG22" s="1035"/>
      <c r="AI22" s="1036"/>
      <c r="AJ22" s="1036"/>
      <c r="AK22" s="1036"/>
      <c r="AM22" s="1037"/>
      <c r="AN22" s="1038"/>
      <c r="BB22" s="1034"/>
    </row>
  </sheetData>
  <mergeCells count="29">
    <mergeCell ref="AS20:AT20"/>
    <mergeCell ref="BF4:BO4"/>
    <mergeCell ref="A1:AT1"/>
    <mergeCell ref="AJ5:AJ6"/>
    <mergeCell ref="AK5:AK6"/>
    <mergeCell ref="AL5:AL6"/>
    <mergeCell ref="AM5:AM6"/>
    <mergeCell ref="AQ5:AS5"/>
    <mergeCell ref="AO5:AO6"/>
    <mergeCell ref="Y5:AA5"/>
    <mergeCell ref="AB5:AB6"/>
    <mergeCell ref="AD5:AD6"/>
    <mergeCell ref="AF5:AF6"/>
    <mergeCell ref="AH5:AH6"/>
    <mergeCell ref="AI5:AI6"/>
    <mergeCell ref="A2:AT2"/>
    <mergeCell ref="A3:AT3"/>
    <mergeCell ref="AT5:AT6"/>
    <mergeCell ref="AV5:AZ5"/>
    <mergeCell ref="BB5:BG5"/>
    <mergeCell ref="H5:J5"/>
    <mergeCell ref="K5:M5"/>
    <mergeCell ref="N5:P5"/>
    <mergeCell ref="Q5:S5"/>
    <mergeCell ref="T5:V5"/>
    <mergeCell ref="W5:X5"/>
    <mergeCell ref="AN5:AN6"/>
    <mergeCell ref="AP5:AP6"/>
    <mergeCell ref="A4:C4"/>
  </mergeCells>
  <pageMargins left="0.1" right="0.1" top="0" bottom="0" header="0.3" footer="0.3"/>
  <pageSetup paperSize="9" scale="36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"/>
  <sheetViews>
    <sheetView workbookViewId="0">
      <pane xSplit="4" ySplit="6" topLeftCell="U7" activePane="bottomRight" state="frozen"/>
      <selection pane="topRight" activeCell="E1" sqref="E1"/>
      <selection pane="bottomLeft" activeCell="A7" sqref="A7"/>
      <selection pane="bottomRight" activeCell="W7" sqref="W7:W36"/>
    </sheetView>
  </sheetViews>
  <sheetFormatPr defaultRowHeight="15.75"/>
  <cols>
    <col min="1" max="1" width="5" style="474" customWidth="1"/>
    <col min="2" max="2" width="8" style="474" customWidth="1"/>
    <col min="3" max="3" width="10.75" style="476" customWidth="1"/>
    <col min="4" max="4" width="12.25" style="475" customWidth="1"/>
    <col min="5" max="5" width="6.375" style="500" customWidth="1"/>
    <col min="6" max="6" width="13" style="1266" bestFit="1" customWidth="1"/>
    <col min="7" max="7" width="9.125" style="474" bestFit="1" customWidth="1"/>
    <col min="8" max="8" width="13.75" style="474" bestFit="1" customWidth="1"/>
    <col min="9" max="10" width="7.375" style="474" customWidth="1"/>
    <col min="11" max="11" width="9" style="474"/>
    <col min="12" max="12" width="10.875" style="474" customWidth="1"/>
    <col min="13" max="13" width="9" style="474" customWidth="1"/>
    <col min="14" max="14" width="11.875" style="474" customWidth="1"/>
    <col min="15" max="15" width="12.125" style="474" customWidth="1"/>
    <col min="16" max="16" width="15.125" style="474" customWidth="1"/>
    <col min="17" max="17" width="9" style="474"/>
    <col min="18" max="18" width="16.375" style="474" customWidth="1"/>
    <col min="19" max="19" width="15.875" style="474" customWidth="1"/>
    <col min="20" max="20" width="14.625" style="474" customWidth="1"/>
    <col min="21" max="21" width="14.375" style="474" customWidth="1"/>
    <col min="22" max="23" width="14.625" style="474" customWidth="1"/>
    <col min="24" max="16384" width="9" style="474"/>
  </cols>
  <sheetData>
    <row r="1" spans="1:39" s="479" customFormat="1" ht="29.25" customHeight="1">
      <c r="A1" s="2127" t="s">
        <v>222</v>
      </c>
      <c r="B1" s="2127"/>
      <c r="C1" s="2127"/>
      <c r="D1" s="2127"/>
      <c r="E1" s="2127"/>
      <c r="F1" s="2127"/>
      <c r="G1" s="2127"/>
      <c r="H1" s="2127"/>
      <c r="I1" s="2127"/>
      <c r="J1" s="2127"/>
      <c r="K1" s="2127"/>
      <c r="L1" s="2127"/>
      <c r="M1" s="2127"/>
      <c r="N1" s="2127"/>
      <c r="O1" s="2127"/>
      <c r="P1" s="2127"/>
      <c r="R1" s="2126" t="s">
        <v>222</v>
      </c>
      <c r="S1" s="2126"/>
      <c r="T1" s="2126"/>
      <c r="U1" s="2126"/>
      <c r="V1" s="2126"/>
      <c r="W1" s="2126"/>
    </row>
    <row r="2" spans="1:39" s="479" customFormat="1" ht="20.25" customHeight="1">
      <c r="A2" s="2127" t="s">
        <v>221</v>
      </c>
      <c r="B2" s="2127"/>
      <c r="C2" s="2127"/>
      <c r="D2" s="2127"/>
      <c r="E2" s="2127"/>
      <c r="F2" s="2127"/>
      <c r="G2" s="2127"/>
      <c r="H2" s="2127"/>
      <c r="I2" s="2127"/>
      <c r="J2" s="2127"/>
      <c r="K2" s="2127"/>
      <c r="L2" s="2127"/>
      <c r="M2" s="2127"/>
      <c r="N2" s="2127"/>
      <c r="O2" s="2127"/>
      <c r="P2" s="2127"/>
      <c r="R2" s="2126" t="s">
        <v>1807</v>
      </c>
      <c r="S2" s="2126"/>
      <c r="T2" s="2126"/>
      <c r="U2" s="2126"/>
      <c r="V2" s="2126"/>
      <c r="W2" s="2126"/>
    </row>
    <row r="3" spans="1:39" s="479" customFormat="1" ht="19.5" customHeight="1">
      <c r="A3" s="2126" t="s">
        <v>2354</v>
      </c>
      <c r="B3" s="2126"/>
      <c r="C3" s="2126"/>
      <c r="D3" s="2126"/>
      <c r="E3" s="2126"/>
      <c r="F3" s="2126"/>
      <c r="G3" s="2126"/>
      <c r="H3" s="2126"/>
      <c r="I3" s="2126"/>
      <c r="J3" s="2126"/>
      <c r="K3" s="2126"/>
      <c r="L3" s="2126"/>
      <c r="M3" s="2126"/>
      <c r="N3" s="2126"/>
      <c r="O3" s="2126"/>
      <c r="P3" s="2126"/>
      <c r="R3" s="2126" t="s">
        <v>2353</v>
      </c>
      <c r="S3" s="2126"/>
      <c r="T3" s="2126"/>
      <c r="U3" s="2126"/>
      <c r="V3" s="2126"/>
      <c r="W3" s="2126"/>
    </row>
    <row r="4" spans="1:39" s="479" customFormat="1" ht="20.25" customHeight="1" thickBot="1">
      <c r="A4" s="2128" t="s">
        <v>267</v>
      </c>
      <c r="B4" s="2128"/>
      <c r="C4" s="2128"/>
      <c r="D4" s="2128"/>
      <c r="E4" s="2128"/>
      <c r="F4" s="1262"/>
    </row>
    <row r="5" spans="1:39" s="473" customFormat="1" ht="63" customHeight="1" thickTop="1">
      <c r="A5" s="482" t="s">
        <v>223</v>
      </c>
      <c r="B5" s="482" t="s">
        <v>224</v>
      </c>
      <c r="C5" s="482" t="s">
        <v>225</v>
      </c>
      <c r="D5" s="482" t="s">
        <v>226</v>
      </c>
      <c r="E5" s="498" t="s">
        <v>227</v>
      </c>
      <c r="F5" s="1263" t="s">
        <v>228</v>
      </c>
      <c r="G5" s="482" t="s">
        <v>229</v>
      </c>
      <c r="H5" s="482" t="s">
        <v>230</v>
      </c>
      <c r="I5" s="482" t="s">
        <v>231</v>
      </c>
      <c r="J5" s="482" t="s">
        <v>232</v>
      </c>
      <c r="K5" s="482" t="s">
        <v>233</v>
      </c>
      <c r="L5" s="482" t="s">
        <v>234</v>
      </c>
      <c r="M5" s="482" t="s">
        <v>235</v>
      </c>
      <c r="N5" s="482" t="s">
        <v>236</v>
      </c>
      <c r="O5" s="482" t="s">
        <v>237</v>
      </c>
      <c r="P5" s="482" t="s">
        <v>238</v>
      </c>
      <c r="Q5" s="483"/>
      <c r="R5" s="1203" t="s">
        <v>1810</v>
      </c>
      <c r="S5" s="1203" t="s">
        <v>1811</v>
      </c>
      <c r="T5" s="498" t="s">
        <v>1812</v>
      </c>
      <c r="U5" s="498" t="s">
        <v>1809</v>
      </c>
      <c r="V5" s="498" t="s">
        <v>1813</v>
      </c>
      <c r="W5" s="498" t="s">
        <v>1814</v>
      </c>
      <c r="X5" s="483"/>
      <c r="Y5" s="483"/>
      <c r="Z5" s="483"/>
      <c r="AA5" s="484"/>
      <c r="AB5" s="484"/>
      <c r="AC5" s="484"/>
      <c r="AD5" s="484"/>
      <c r="AE5" s="484"/>
      <c r="AF5" s="484"/>
      <c r="AG5" s="484"/>
      <c r="AH5" s="484"/>
      <c r="AI5" s="484"/>
      <c r="AJ5" s="484"/>
      <c r="AK5" s="484"/>
      <c r="AL5" s="484"/>
      <c r="AM5" s="484"/>
    </row>
    <row r="6" spans="1:39" s="473" customFormat="1" ht="33" customHeight="1">
      <c r="A6" s="485" t="s">
        <v>111</v>
      </c>
      <c r="B6" s="485" t="s">
        <v>239</v>
      </c>
      <c r="C6" s="485" t="s">
        <v>87</v>
      </c>
      <c r="D6" s="486" t="s">
        <v>240</v>
      </c>
      <c r="E6" s="499" t="s">
        <v>218</v>
      </c>
      <c r="F6" s="1264" t="s">
        <v>241</v>
      </c>
      <c r="G6" s="492" t="s">
        <v>242</v>
      </c>
      <c r="H6" s="492" t="s">
        <v>243</v>
      </c>
      <c r="I6" s="492" t="s">
        <v>244</v>
      </c>
      <c r="J6" s="493" t="s">
        <v>245</v>
      </c>
      <c r="K6" s="492" t="s">
        <v>246</v>
      </c>
      <c r="L6" s="493" t="s">
        <v>247</v>
      </c>
      <c r="M6" s="492" t="s">
        <v>248</v>
      </c>
      <c r="N6" s="492"/>
      <c r="O6" s="492" t="s">
        <v>249</v>
      </c>
      <c r="P6" s="492" t="s">
        <v>250</v>
      </c>
      <c r="Q6" s="487"/>
      <c r="R6" s="1154"/>
      <c r="S6" s="1169"/>
      <c r="T6" s="1169"/>
      <c r="U6" s="488">
        <v>4062</v>
      </c>
      <c r="V6" s="1183">
        <v>0.02</v>
      </c>
      <c r="W6" s="488">
        <v>4062</v>
      </c>
      <c r="X6" s="487"/>
      <c r="Y6" s="487"/>
      <c r="Z6" s="487"/>
      <c r="AA6" s="481"/>
      <c r="AB6" s="481"/>
      <c r="AC6" s="481"/>
      <c r="AD6" s="481"/>
      <c r="AE6" s="481"/>
      <c r="AF6" s="481"/>
      <c r="AG6" s="484"/>
      <c r="AH6" s="484"/>
      <c r="AI6" s="484"/>
      <c r="AJ6" s="484"/>
      <c r="AK6" s="484"/>
      <c r="AL6" s="484"/>
      <c r="AM6" s="484"/>
    </row>
    <row r="7" spans="1:39" s="477" customFormat="1" ht="31.5" customHeight="1">
      <c r="A7" s="478">
        <v>1</v>
      </c>
      <c r="B7" s="688" t="s">
        <v>2068</v>
      </c>
      <c r="C7" s="743" t="s">
        <v>912</v>
      </c>
      <c r="D7" s="1473">
        <v>44382</v>
      </c>
      <c r="E7" s="614" t="s">
        <v>260</v>
      </c>
      <c r="F7" s="1265">
        <f>'S1'!AL7-'S1'!AD7-'S1'!AJ7-'S1'!AK7-'S1'!AE7-'S1'!AG7-W7</f>
        <v>333.43292665606185</v>
      </c>
      <c r="G7" s="495">
        <v>4062</v>
      </c>
      <c r="H7" s="488">
        <f t="shared" ref="H7:H9" si="0">F7*G7</f>
        <v>1354404.5480769232</v>
      </c>
      <c r="I7" s="480"/>
      <c r="J7" s="495">
        <v>0</v>
      </c>
      <c r="K7" s="488">
        <f t="shared" ref="K7" si="1">150000*(J7+I7)</f>
        <v>0</v>
      </c>
      <c r="L7" s="488">
        <f t="shared" ref="L7:L36" si="2">H7-K7</f>
        <v>1354404.5480769232</v>
      </c>
      <c r="M7" s="489">
        <f t="shared" ref="M7:M36" si="3">IF(L7&gt;=12500000,20%,IF(L7&gt;=8500001,15%,IF(L7&gt;=2000001,10%,IF(L7&gt;=1500001,5%,0%))))</f>
        <v>0</v>
      </c>
      <c r="N7" s="488">
        <f t="shared" ref="N7:N36" si="4">IF(M7=5%,75000,IF(M7=10%,175000,0))</f>
        <v>0</v>
      </c>
      <c r="O7" s="490">
        <f t="shared" ref="O7:O36" si="5">L7*M7-N7</f>
        <v>0</v>
      </c>
      <c r="P7" s="491">
        <f>O7/4062</f>
        <v>0</v>
      </c>
      <c r="R7" s="1186">
        <v>35474</v>
      </c>
      <c r="S7" s="1170">
        <v>44835</v>
      </c>
      <c r="T7" s="1175">
        <f>'S1'!AL7-'S1'!AE7</f>
        <v>359.34134615384619</v>
      </c>
      <c r="U7" s="1176">
        <f>T7*4062</f>
        <v>1459644.5480769232</v>
      </c>
      <c r="V7" s="1181">
        <f t="shared" ref="V7:V36" si="6">IF(YEARFRAC(R7,S7)&gt;=60,"0",IF(U7&lt;400000,400000*2%,IF(U7&gt;1200000,1200000*2%,U7*2%)))</f>
        <v>24000</v>
      </c>
      <c r="W7" s="1194">
        <f>V7/4062</f>
        <v>5.9084194977843429</v>
      </c>
    </row>
    <row r="8" spans="1:39" s="477" customFormat="1" ht="31.5" customHeight="1">
      <c r="A8" s="478">
        <v>2</v>
      </c>
      <c r="B8" s="688" t="s">
        <v>2069</v>
      </c>
      <c r="C8" s="743" t="s">
        <v>955</v>
      </c>
      <c r="D8" s="1473">
        <v>44505</v>
      </c>
      <c r="E8" s="614" t="s">
        <v>260</v>
      </c>
      <c r="F8" s="1265">
        <f>'S1'!AL8-'S1'!AD8-'S1'!AJ8-'S1'!AK8-'S1'!AE8-'S1'!AG8-W8</f>
        <v>351.84158050221566</v>
      </c>
      <c r="G8" s="495">
        <v>4062</v>
      </c>
      <c r="H8" s="488">
        <f t="shared" si="0"/>
        <v>1429180.5</v>
      </c>
      <c r="I8" s="480"/>
      <c r="J8" s="495">
        <v>2</v>
      </c>
      <c r="K8" s="488">
        <f t="shared" ref="K8" si="7">150000*(J8+I8)</f>
        <v>300000</v>
      </c>
      <c r="L8" s="488">
        <f t="shared" si="2"/>
        <v>1129180.5</v>
      </c>
      <c r="M8" s="489">
        <f t="shared" si="3"/>
        <v>0</v>
      </c>
      <c r="N8" s="488">
        <f t="shared" si="4"/>
        <v>0</v>
      </c>
      <c r="O8" s="490">
        <f t="shared" si="5"/>
        <v>0</v>
      </c>
      <c r="P8" s="491">
        <f t="shared" ref="P8:P36" si="8">O8/4062</f>
        <v>0</v>
      </c>
      <c r="R8" s="1186">
        <v>30689</v>
      </c>
      <c r="S8" s="1170">
        <v>44835</v>
      </c>
      <c r="T8" s="1175">
        <f>'S1'!AL8-'S1'!AE8</f>
        <v>377.75</v>
      </c>
      <c r="U8" s="1176">
        <f t="shared" ref="U8:U36" si="9">T8*4062</f>
        <v>1534420.5</v>
      </c>
      <c r="V8" s="1181">
        <f t="shared" si="6"/>
        <v>24000</v>
      </c>
      <c r="W8" s="1194">
        <f t="shared" ref="W8:W36" si="10">V8/4062</f>
        <v>5.9084194977843429</v>
      </c>
    </row>
    <row r="9" spans="1:39" s="477" customFormat="1" ht="31.5" customHeight="1">
      <c r="A9" s="478">
        <v>3</v>
      </c>
      <c r="B9" s="688" t="s">
        <v>2070</v>
      </c>
      <c r="C9" s="743" t="s">
        <v>956</v>
      </c>
      <c r="D9" s="1473">
        <v>44523</v>
      </c>
      <c r="E9" s="614" t="s">
        <v>260</v>
      </c>
      <c r="F9" s="1265">
        <f>'S1'!AL9-'S1'!AD9-'S1'!AJ9-'S1'!AK9-'S1'!AE9-'S1'!AG9-W9</f>
        <v>381.62644502005804</v>
      </c>
      <c r="G9" s="495">
        <v>4062</v>
      </c>
      <c r="H9" s="488">
        <f t="shared" si="0"/>
        <v>1550166.6196714758</v>
      </c>
      <c r="I9" s="480"/>
      <c r="J9" s="495">
        <v>1</v>
      </c>
      <c r="K9" s="488">
        <f t="shared" ref="K9" si="11">150000*(J9+I9)</f>
        <v>150000</v>
      </c>
      <c r="L9" s="488">
        <f t="shared" si="2"/>
        <v>1400166.6196714758</v>
      </c>
      <c r="M9" s="489">
        <f t="shared" si="3"/>
        <v>0</v>
      </c>
      <c r="N9" s="488">
        <f t="shared" si="4"/>
        <v>0</v>
      </c>
      <c r="O9" s="490">
        <f t="shared" si="5"/>
        <v>0</v>
      </c>
      <c r="P9" s="491">
        <f t="shared" si="8"/>
        <v>0</v>
      </c>
      <c r="R9" s="1186">
        <v>36201</v>
      </c>
      <c r="S9" s="1170">
        <v>44835</v>
      </c>
      <c r="T9" s="1175">
        <f>'S1'!AL9-'S1'!AE9</f>
        <v>407.53486451784238</v>
      </c>
      <c r="U9" s="1176">
        <f t="shared" si="9"/>
        <v>1655406.6196714758</v>
      </c>
      <c r="V9" s="1181">
        <f t="shared" si="6"/>
        <v>24000</v>
      </c>
      <c r="W9" s="1194">
        <f t="shared" si="10"/>
        <v>5.9084194977843429</v>
      </c>
    </row>
    <row r="10" spans="1:39" s="477" customFormat="1" ht="31.5" customHeight="1">
      <c r="A10" s="478">
        <v>4</v>
      </c>
      <c r="B10" s="1381" t="s">
        <v>2071</v>
      </c>
      <c r="C10" s="1401" t="s">
        <v>1911</v>
      </c>
      <c r="D10" s="1475">
        <v>45048</v>
      </c>
      <c r="E10" s="614" t="s">
        <v>260</v>
      </c>
      <c r="F10" s="1265">
        <f>'S1'!AL10-'S1'!AD10-'S1'!AJ10-'S1'!AK10-'S1'!AE10-'S1'!AG10-W10</f>
        <v>375.05311896375412</v>
      </c>
      <c r="G10" s="495">
        <v>4062</v>
      </c>
      <c r="H10" s="488">
        <f t="shared" ref="H10:H11" si="12">F10*G10</f>
        <v>1523465.7692307692</v>
      </c>
      <c r="I10" s="480"/>
      <c r="J10" s="495">
        <v>2</v>
      </c>
      <c r="K10" s="488">
        <f t="shared" ref="K10:K11" si="13">150000*(J10+I10)</f>
        <v>300000</v>
      </c>
      <c r="L10" s="488">
        <f t="shared" si="2"/>
        <v>1223465.7692307692</v>
      </c>
      <c r="M10" s="489">
        <f t="shared" si="3"/>
        <v>0</v>
      </c>
      <c r="N10" s="488">
        <f t="shared" si="4"/>
        <v>0</v>
      </c>
      <c r="O10" s="490">
        <f t="shared" si="5"/>
        <v>0</v>
      </c>
      <c r="P10" s="491">
        <f t="shared" si="8"/>
        <v>0</v>
      </c>
      <c r="R10" s="1558">
        <v>32273</v>
      </c>
      <c r="S10" s="1170">
        <v>44835</v>
      </c>
      <c r="T10" s="1175">
        <f>'S1'!AL10-'S1'!AE10</f>
        <v>400.96153846153845</v>
      </c>
      <c r="U10" s="1176">
        <f t="shared" si="9"/>
        <v>1628705.7692307692</v>
      </c>
      <c r="V10" s="1181">
        <f t="shared" si="6"/>
        <v>24000</v>
      </c>
      <c r="W10" s="1194">
        <f t="shared" si="10"/>
        <v>5.9084194977843429</v>
      </c>
    </row>
    <row r="11" spans="1:39" s="477" customFormat="1" ht="31.5" customHeight="1">
      <c r="A11" s="478">
        <v>5</v>
      </c>
      <c r="B11" s="1381" t="s">
        <v>2072</v>
      </c>
      <c r="C11" s="1401" t="s">
        <v>1913</v>
      </c>
      <c r="D11" s="1475">
        <v>45048</v>
      </c>
      <c r="E11" s="614" t="s">
        <v>260</v>
      </c>
      <c r="F11" s="1265">
        <f>'S1'!AL11-'S1'!AD11-'S1'!AJ11-'S1'!AK11-'S1'!AE11-'S1'!AG11-W11</f>
        <v>357.39927280990798</v>
      </c>
      <c r="G11" s="495">
        <v>4062</v>
      </c>
      <c r="H11" s="488">
        <f t="shared" si="12"/>
        <v>1451755.8461538462</v>
      </c>
      <c r="I11" s="480"/>
      <c r="J11" s="495">
        <v>2</v>
      </c>
      <c r="K11" s="488">
        <f t="shared" si="13"/>
        <v>300000</v>
      </c>
      <c r="L11" s="488">
        <f t="shared" si="2"/>
        <v>1151755.8461538462</v>
      </c>
      <c r="M11" s="489">
        <f t="shared" si="3"/>
        <v>0</v>
      </c>
      <c r="N11" s="488">
        <f t="shared" si="4"/>
        <v>0</v>
      </c>
      <c r="O11" s="490">
        <f t="shared" si="5"/>
        <v>0</v>
      </c>
      <c r="P11" s="491">
        <f t="shared" si="8"/>
        <v>0</v>
      </c>
      <c r="R11" s="1558">
        <v>30937</v>
      </c>
      <c r="S11" s="1170">
        <v>44835</v>
      </c>
      <c r="T11" s="1175">
        <f>'S1'!AL11-'S1'!AE11</f>
        <v>383.30769230769232</v>
      </c>
      <c r="U11" s="1176">
        <f t="shared" si="9"/>
        <v>1556995.8461538462</v>
      </c>
      <c r="V11" s="1181">
        <f t="shared" si="6"/>
        <v>24000</v>
      </c>
      <c r="W11" s="1194">
        <f t="shared" si="10"/>
        <v>5.9084194977843429</v>
      </c>
    </row>
    <row r="12" spans="1:39" s="477" customFormat="1" ht="31.5" customHeight="1">
      <c r="A12" s="478">
        <v>6</v>
      </c>
      <c r="B12" s="785" t="s">
        <v>2073</v>
      </c>
      <c r="C12" s="1095" t="s">
        <v>1964</v>
      </c>
      <c r="D12" s="1473">
        <v>45120</v>
      </c>
      <c r="E12" s="614" t="s">
        <v>260</v>
      </c>
      <c r="F12" s="1265">
        <f>'S1'!AL12-'S1'!AD12-'S1'!AJ12-'S1'!AK12-'S1'!AE12-'S1'!AG12-W12</f>
        <v>368.58196511760025</v>
      </c>
      <c r="G12" s="495">
        <v>4062</v>
      </c>
      <c r="H12" s="488">
        <f t="shared" ref="H12" si="14">F12*G12</f>
        <v>1497179.9423076923</v>
      </c>
      <c r="I12" s="480"/>
      <c r="J12" s="495">
        <v>1</v>
      </c>
      <c r="K12" s="488">
        <f t="shared" ref="K12" si="15">150000*(J12+I12)</f>
        <v>150000</v>
      </c>
      <c r="L12" s="488">
        <f t="shared" si="2"/>
        <v>1347179.9423076923</v>
      </c>
      <c r="M12" s="489">
        <f t="shared" si="3"/>
        <v>0</v>
      </c>
      <c r="N12" s="488">
        <f t="shared" si="4"/>
        <v>0</v>
      </c>
      <c r="O12" s="490">
        <f t="shared" si="5"/>
        <v>0</v>
      </c>
      <c r="P12" s="491">
        <f t="shared" si="8"/>
        <v>0</v>
      </c>
      <c r="R12" s="1558">
        <v>36535</v>
      </c>
      <c r="S12" s="1170">
        <v>44835</v>
      </c>
      <c r="T12" s="1175">
        <f>'S1'!AL12-'S1'!AE12</f>
        <v>399.49038461538458</v>
      </c>
      <c r="U12" s="1176">
        <f t="shared" si="9"/>
        <v>1622729.9423076923</v>
      </c>
      <c r="V12" s="1181">
        <f t="shared" si="6"/>
        <v>24000</v>
      </c>
      <c r="W12" s="1194">
        <f t="shared" si="10"/>
        <v>5.9084194977843429</v>
      </c>
    </row>
    <row r="13" spans="1:39" s="477" customFormat="1" ht="31.5" customHeight="1">
      <c r="A13" s="478">
        <v>7</v>
      </c>
      <c r="B13" s="1381" t="s">
        <v>2257</v>
      </c>
      <c r="C13" s="1401" t="s">
        <v>2258</v>
      </c>
      <c r="D13" s="1774">
        <v>45476</v>
      </c>
      <c r="E13" s="614" t="s">
        <v>260</v>
      </c>
      <c r="F13" s="1265">
        <f>'S1'!AL13-'S1'!AD13-'S1'!AJ13-'S1'!AK13-'S1'!AE13-'S1'!AG13-W13</f>
        <v>370.11081127144644</v>
      </c>
      <c r="G13" s="495">
        <v>4062</v>
      </c>
      <c r="H13" s="488">
        <f t="shared" ref="H13:H36" si="16">F13*G13</f>
        <v>1503390.1153846155</v>
      </c>
      <c r="I13" s="480"/>
      <c r="J13" s="495">
        <v>1</v>
      </c>
      <c r="K13" s="488">
        <f t="shared" ref="K13" si="17">150000*(J13+I13)</f>
        <v>150000</v>
      </c>
      <c r="L13" s="488">
        <f t="shared" si="2"/>
        <v>1353390.1153846155</v>
      </c>
      <c r="M13" s="489">
        <f t="shared" si="3"/>
        <v>0</v>
      </c>
      <c r="N13" s="488">
        <f t="shared" si="4"/>
        <v>0</v>
      </c>
      <c r="O13" s="490">
        <f t="shared" si="5"/>
        <v>0</v>
      </c>
      <c r="P13" s="491">
        <f t="shared" si="8"/>
        <v>0</v>
      </c>
      <c r="R13" s="1774">
        <v>33763</v>
      </c>
      <c r="S13" s="1170">
        <v>44836</v>
      </c>
      <c r="T13" s="1175">
        <f>'S1'!AL13-'S1'!AE13</f>
        <v>396.01923076923077</v>
      </c>
      <c r="U13" s="1176">
        <f t="shared" si="9"/>
        <v>1608630.1153846155</v>
      </c>
      <c r="V13" s="1181">
        <f t="shared" si="6"/>
        <v>24000</v>
      </c>
      <c r="W13" s="1194">
        <f t="shared" si="10"/>
        <v>5.9084194977843429</v>
      </c>
    </row>
    <row r="14" spans="1:39" s="477" customFormat="1" ht="31.5" customHeight="1">
      <c r="A14" s="478">
        <v>8</v>
      </c>
      <c r="B14" s="1882" t="s">
        <v>2366</v>
      </c>
      <c r="C14" s="1881" t="s">
        <v>2367</v>
      </c>
      <c r="D14" s="1884">
        <v>45574</v>
      </c>
      <c r="E14" s="614" t="s">
        <v>260</v>
      </c>
      <c r="F14" s="1265">
        <f>'S1'!AL14-'S1'!AD14-'S1'!AJ14-'S1'!AK14-'S1'!AE14-'S1'!AG14-W14</f>
        <v>297.01234973298489</v>
      </c>
      <c r="G14" s="495">
        <v>4062</v>
      </c>
      <c r="H14" s="488">
        <f t="shared" si="16"/>
        <v>1206464.1646153845</v>
      </c>
      <c r="I14" s="480"/>
      <c r="J14" s="495">
        <v>0</v>
      </c>
      <c r="K14" s="488">
        <f t="shared" ref="K14:K17" si="18">150000*(J14+I14)</f>
        <v>0</v>
      </c>
      <c r="L14" s="488">
        <f t="shared" ref="L14:L17" si="19">H14-K14</f>
        <v>1206464.1646153845</v>
      </c>
      <c r="M14" s="489">
        <f t="shared" ref="M14:M17" si="20">IF(L14&gt;=12500000,20%,IF(L14&gt;=8500001,15%,IF(L14&gt;=2000001,10%,IF(L14&gt;=1500001,5%,0%))))</f>
        <v>0</v>
      </c>
      <c r="N14" s="488">
        <f t="shared" si="4"/>
        <v>0</v>
      </c>
      <c r="O14" s="490">
        <f t="shared" ref="O14:O17" si="21">L14*M14-N14</f>
        <v>0</v>
      </c>
      <c r="P14" s="491">
        <f t="shared" si="8"/>
        <v>0</v>
      </c>
      <c r="R14" s="1906">
        <v>35227</v>
      </c>
      <c r="S14" s="1170">
        <v>44837</v>
      </c>
      <c r="T14" s="1175">
        <f>'S1'!AL14-'S1'!AE14</f>
        <v>320.61076923076922</v>
      </c>
      <c r="U14" s="1176">
        <f t="shared" si="9"/>
        <v>1302320.9446153846</v>
      </c>
      <c r="V14" s="1181">
        <f t="shared" si="6"/>
        <v>24000</v>
      </c>
      <c r="W14" s="1194">
        <f t="shared" si="10"/>
        <v>5.9084194977843429</v>
      </c>
    </row>
    <row r="15" spans="1:39" s="477" customFormat="1" ht="31.5" customHeight="1">
      <c r="A15" s="478">
        <v>9</v>
      </c>
      <c r="B15" s="1882" t="s">
        <v>2358</v>
      </c>
      <c r="C15" s="1881" t="s">
        <v>2359</v>
      </c>
      <c r="D15" s="1884">
        <v>45574</v>
      </c>
      <c r="E15" s="614" t="s">
        <v>260</v>
      </c>
      <c r="F15" s="1265">
        <f>'S1'!AL15-'S1'!AD15-'S1'!AJ15-'S1'!AK15-'S1'!AE15-'S1'!AG15-W15</f>
        <v>286.81523434836947</v>
      </c>
      <c r="G15" s="495">
        <v>4062</v>
      </c>
      <c r="H15" s="488">
        <f t="shared" si="16"/>
        <v>1165043.4819230768</v>
      </c>
      <c r="I15" s="480"/>
      <c r="J15" s="495">
        <v>2</v>
      </c>
      <c r="K15" s="488">
        <f t="shared" si="18"/>
        <v>300000</v>
      </c>
      <c r="L15" s="488">
        <f t="shared" si="19"/>
        <v>865043.48192307679</v>
      </c>
      <c r="M15" s="489">
        <f t="shared" si="20"/>
        <v>0</v>
      </c>
      <c r="N15" s="488">
        <f t="shared" si="4"/>
        <v>0</v>
      </c>
      <c r="O15" s="490">
        <f t="shared" si="21"/>
        <v>0</v>
      </c>
      <c r="P15" s="491">
        <f t="shared" si="8"/>
        <v>0</v>
      </c>
      <c r="R15" s="1906">
        <v>38513</v>
      </c>
      <c r="S15" s="1170">
        <v>44838</v>
      </c>
      <c r="T15" s="1175">
        <f>'S1'!AL15-'S1'!AE15</f>
        <v>315.41365384615381</v>
      </c>
      <c r="U15" s="1176">
        <f t="shared" si="9"/>
        <v>1281210.2619230768</v>
      </c>
      <c r="V15" s="1181">
        <f t="shared" si="6"/>
        <v>24000</v>
      </c>
      <c r="W15" s="1194">
        <f t="shared" si="10"/>
        <v>5.9084194977843429</v>
      </c>
    </row>
    <row r="16" spans="1:39" s="477" customFormat="1" ht="31.5" customHeight="1">
      <c r="A16" s="478">
        <v>10</v>
      </c>
      <c r="B16" s="1882" t="s">
        <v>2360</v>
      </c>
      <c r="C16" s="1881" t="s">
        <v>2361</v>
      </c>
      <c r="D16" s="1884">
        <v>45575</v>
      </c>
      <c r="E16" s="614" t="s">
        <v>260</v>
      </c>
      <c r="F16" s="1265">
        <f>'S1'!AL16-'S1'!AD16-'S1'!AJ16-'S1'!AK16-'S1'!AE16-'S1'!AG16-W16</f>
        <v>281.56946511760032</v>
      </c>
      <c r="G16" s="495">
        <v>4062</v>
      </c>
      <c r="H16" s="488">
        <f t="shared" si="16"/>
        <v>1143735.1673076926</v>
      </c>
      <c r="I16" s="480"/>
      <c r="J16" s="495">
        <v>1</v>
      </c>
      <c r="K16" s="488">
        <f t="shared" si="18"/>
        <v>150000</v>
      </c>
      <c r="L16" s="488">
        <f t="shared" si="19"/>
        <v>993735.16730769258</v>
      </c>
      <c r="M16" s="489">
        <f t="shared" si="20"/>
        <v>0</v>
      </c>
      <c r="N16" s="488">
        <f t="shared" si="4"/>
        <v>0</v>
      </c>
      <c r="O16" s="490">
        <f t="shared" si="21"/>
        <v>0</v>
      </c>
      <c r="P16" s="491">
        <f t="shared" si="8"/>
        <v>0</v>
      </c>
      <c r="R16" s="1906">
        <v>31964</v>
      </c>
      <c r="S16" s="1170">
        <v>44839</v>
      </c>
      <c r="T16" s="1175">
        <f>'S1'!AL16-'S1'!AE16</f>
        <v>304.77788461538466</v>
      </c>
      <c r="U16" s="1176">
        <f t="shared" si="9"/>
        <v>1238007.7673076924</v>
      </c>
      <c r="V16" s="1181">
        <f t="shared" si="6"/>
        <v>24000</v>
      </c>
      <c r="W16" s="1194">
        <f t="shared" si="10"/>
        <v>5.9084194977843429</v>
      </c>
    </row>
    <row r="17" spans="1:23" s="477" customFormat="1" ht="31.5" customHeight="1">
      <c r="A17" s="478">
        <v>11</v>
      </c>
      <c r="B17" s="1882" t="s">
        <v>2362</v>
      </c>
      <c r="C17" s="1881" t="s">
        <v>2363</v>
      </c>
      <c r="D17" s="1884">
        <v>45576</v>
      </c>
      <c r="E17" s="614" t="s">
        <v>260</v>
      </c>
      <c r="F17" s="1265">
        <f>'S1'!AL17-'S1'!AD17-'S1'!AJ17-'S1'!AK17-'S1'!AE17-'S1'!AG17-W17</f>
        <v>224.38954615384614</v>
      </c>
      <c r="G17" s="495">
        <v>4062</v>
      </c>
      <c r="H17" s="488">
        <f t="shared" si="16"/>
        <v>911470.33647692297</v>
      </c>
      <c r="I17" s="480"/>
      <c r="J17" s="495">
        <v>2</v>
      </c>
      <c r="K17" s="488">
        <f t="shared" si="18"/>
        <v>300000</v>
      </c>
      <c r="L17" s="488">
        <f t="shared" si="19"/>
        <v>611470.33647692297</v>
      </c>
      <c r="M17" s="489">
        <f t="shared" si="20"/>
        <v>0</v>
      </c>
      <c r="N17" s="488">
        <f t="shared" si="4"/>
        <v>0</v>
      </c>
      <c r="O17" s="490">
        <f t="shared" si="21"/>
        <v>0</v>
      </c>
      <c r="P17" s="491">
        <f t="shared" si="8"/>
        <v>0</v>
      </c>
      <c r="R17" s="1906">
        <v>34439</v>
      </c>
      <c r="S17" s="1170">
        <v>44840</v>
      </c>
      <c r="T17" s="1175">
        <f>'S1'!AL17-'S1'!AE17</f>
        <v>246.23423076923075</v>
      </c>
      <c r="U17" s="1176">
        <f t="shared" si="9"/>
        <v>1000203.4453846153</v>
      </c>
      <c r="V17" s="1181">
        <f t="shared" si="6"/>
        <v>20004.068907692308</v>
      </c>
      <c r="W17" s="1194">
        <f t="shared" si="10"/>
        <v>4.9246846153846153</v>
      </c>
    </row>
    <row r="18" spans="1:23" s="477" customFormat="1" ht="31.5" customHeight="1">
      <c r="A18" s="478">
        <v>12</v>
      </c>
      <c r="B18" s="1882" t="s">
        <v>2364</v>
      </c>
      <c r="C18" s="1881" t="s">
        <v>2365</v>
      </c>
      <c r="D18" s="1884">
        <v>45577</v>
      </c>
      <c r="E18" s="614" t="s">
        <v>260</v>
      </c>
      <c r="F18" s="1265">
        <f>'S1'!AL18-'S1'!AD18-'S1'!AJ18-'S1'!AK18-'S1'!AE18-'S1'!AG18-W18</f>
        <v>249.71187692307691</v>
      </c>
      <c r="G18" s="495">
        <v>4062</v>
      </c>
      <c r="H18" s="488">
        <f t="shared" si="16"/>
        <v>1014329.6440615384</v>
      </c>
      <c r="I18" s="480"/>
      <c r="J18" s="495">
        <v>1</v>
      </c>
      <c r="K18" s="488">
        <f t="shared" ref="K18" si="22">150000*(J18+I18)</f>
        <v>150000</v>
      </c>
      <c r="L18" s="488">
        <f t="shared" ref="L18" si="23">H18-K18</f>
        <v>864329.64406153839</v>
      </c>
      <c r="M18" s="489">
        <f t="shared" ref="M18" si="24">IF(L18&gt;=12500000,20%,IF(L18&gt;=8500001,15%,IF(L18&gt;=2000001,10%,IF(L18&gt;=1500001,5%,0%))))</f>
        <v>0</v>
      </c>
      <c r="N18" s="488">
        <f t="shared" si="4"/>
        <v>0</v>
      </c>
      <c r="O18" s="490">
        <f t="shared" ref="O18" si="25">L18*M18-N18</f>
        <v>0</v>
      </c>
      <c r="P18" s="491">
        <f t="shared" si="8"/>
        <v>0</v>
      </c>
      <c r="R18" s="1906">
        <v>34313</v>
      </c>
      <c r="S18" s="1170">
        <v>44840</v>
      </c>
      <c r="T18" s="1175">
        <f>'S1'!AL18-'S1'!AE18</f>
        <v>271.67538461538459</v>
      </c>
      <c r="U18" s="1176">
        <f t="shared" si="9"/>
        <v>1103545.4123076922</v>
      </c>
      <c r="V18" s="1181">
        <f t="shared" si="6"/>
        <v>22070.908246153846</v>
      </c>
      <c r="W18" s="1194">
        <f t="shared" si="10"/>
        <v>5.4335076923076926</v>
      </c>
    </row>
    <row r="19" spans="1:23" s="804" customFormat="1" ht="31.5" customHeight="1">
      <c r="A19" s="478">
        <v>13</v>
      </c>
      <c r="B19" s="688" t="s">
        <v>1046</v>
      </c>
      <c r="C19" s="625" t="s">
        <v>1047</v>
      </c>
      <c r="D19" s="1473">
        <v>44565</v>
      </c>
      <c r="E19" s="614" t="s">
        <v>260</v>
      </c>
      <c r="F19" s="1265">
        <f>'S1'!AL19-'S1'!AD19-'S1'!AJ19-'S1'!AK19-'S1'!AE19-'S1'!AG19-W19</f>
        <v>371.64927280990804</v>
      </c>
      <c r="G19" s="495">
        <v>4062</v>
      </c>
      <c r="H19" s="488">
        <f t="shared" si="16"/>
        <v>1509639.3461538465</v>
      </c>
      <c r="I19" s="803"/>
      <c r="J19" s="801">
        <v>2</v>
      </c>
      <c r="K19" s="802">
        <f t="shared" ref="K19" si="26">150000*(J19+I19)</f>
        <v>300000</v>
      </c>
      <c r="L19" s="488">
        <f t="shared" si="2"/>
        <v>1209639.3461538465</v>
      </c>
      <c r="M19" s="489">
        <f t="shared" si="3"/>
        <v>0</v>
      </c>
      <c r="N19" s="488">
        <f t="shared" si="4"/>
        <v>0</v>
      </c>
      <c r="O19" s="490">
        <f t="shared" si="5"/>
        <v>0</v>
      </c>
      <c r="P19" s="491">
        <f t="shared" si="8"/>
        <v>0</v>
      </c>
      <c r="R19" s="1186">
        <v>33928</v>
      </c>
      <c r="S19" s="1170">
        <v>44835</v>
      </c>
      <c r="T19" s="1175">
        <f>'S1'!AL19-'S1'!AE19</f>
        <v>397.55769230769238</v>
      </c>
      <c r="U19" s="1176">
        <f t="shared" si="9"/>
        <v>1614879.3461538465</v>
      </c>
      <c r="V19" s="1181">
        <f t="shared" si="6"/>
        <v>24000</v>
      </c>
      <c r="W19" s="1194">
        <f t="shared" si="10"/>
        <v>5.9084194977843429</v>
      </c>
    </row>
    <row r="20" spans="1:23" s="804" customFormat="1" ht="31.5" customHeight="1">
      <c r="A20" s="478">
        <v>14</v>
      </c>
      <c r="B20" s="518" t="s">
        <v>1319</v>
      </c>
      <c r="C20" s="578" t="s">
        <v>1320</v>
      </c>
      <c r="D20" s="1474">
        <v>44579</v>
      </c>
      <c r="E20" s="614" t="s">
        <v>260</v>
      </c>
      <c r="F20" s="1265">
        <f>'S1'!AL20-'S1'!AD20-'S1'!AJ20-'S1'!AK20-'S1'!AE20-'S1'!AG20-W20</f>
        <v>363.72619588683102</v>
      </c>
      <c r="G20" s="495">
        <v>4062</v>
      </c>
      <c r="H20" s="488">
        <f t="shared" si="16"/>
        <v>1477455.8076923075</v>
      </c>
      <c r="I20" s="803">
        <v>1</v>
      </c>
      <c r="J20" s="801">
        <v>2</v>
      </c>
      <c r="K20" s="802">
        <f t="shared" ref="K20" si="27">150000*(J20+I20)</f>
        <v>450000</v>
      </c>
      <c r="L20" s="488">
        <f t="shared" si="2"/>
        <v>1027455.8076923075</v>
      </c>
      <c r="M20" s="489">
        <f t="shared" si="3"/>
        <v>0</v>
      </c>
      <c r="N20" s="488">
        <f t="shared" si="4"/>
        <v>0</v>
      </c>
      <c r="O20" s="490">
        <f t="shared" si="5"/>
        <v>0</v>
      </c>
      <c r="P20" s="491">
        <f t="shared" si="8"/>
        <v>0</v>
      </c>
      <c r="R20" s="1212">
        <v>33239</v>
      </c>
      <c r="S20" s="1170">
        <v>44835</v>
      </c>
      <c r="T20" s="1175">
        <f>'S1'!AL20-'S1'!AE20</f>
        <v>389.63461538461536</v>
      </c>
      <c r="U20" s="1176">
        <f t="shared" si="9"/>
        <v>1582695.8076923075</v>
      </c>
      <c r="V20" s="1181">
        <f t="shared" si="6"/>
        <v>24000</v>
      </c>
      <c r="W20" s="1194">
        <f t="shared" si="10"/>
        <v>5.9084194977843429</v>
      </c>
    </row>
    <row r="21" spans="1:23" s="804" customFormat="1" ht="31.5" customHeight="1">
      <c r="A21" s="478">
        <v>15</v>
      </c>
      <c r="B21" s="1110" t="s">
        <v>2074</v>
      </c>
      <c r="C21" s="966" t="s">
        <v>1366</v>
      </c>
      <c r="D21" s="1473">
        <v>44607</v>
      </c>
      <c r="E21" s="614" t="s">
        <v>260</v>
      </c>
      <c r="F21" s="1265">
        <f>'S1'!AL21-'S1'!AD21-'S1'!AJ21-'S1'!AK21-'S1'!AE21-'S1'!AG21-W21</f>
        <v>373.05311896375412</v>
      </c>
      <c r="G21" s="495">
        <v>4062</v>
      </c>
      <c r="H21" s="488">
        <f t="shared" si="16"/>
        <v>1515341.7692307692</v>
      </c>
      <c r="I21" s="803"/>
      <c r="J21" s="801">
        <v>1</v>
      </c>
      <c r="K21" s="802">
        <f t="shared" ref="K21" si="28">150000*(J21+I21)</f>
        <v>150000</v>
      </c>
      <c r="L21" s="488">
        <f t="shared" si="2"/>
        <v>1365341.7692307692</v>
      </c>
      <c r="M21" s="489">
        <f t="shared" si="3"/>
        <v>0</v>
      </c>
      <c r="N21" s="488">
        <f t="shared" si="4"/>
        <v>0</v>
      </c>
      <c r="O21" s="490">
        <f t="shared" si="5"/>
        <v>0</v>
      </c>
      <c r="P21" s="491">
        <f t="shared" si="8"/>
        <v>0</v>
      </c>
      <c r="R21" s="1212">
        <v>31533</v>
      </c>
      <c r="S21" s="1170">
        <v>44835</v>
      </c>
      <c r="T21" s="1175">
        <f>'S1'!AL21-'S1'!AE21</f>
        <v>398.96153846153845</v>
      </c>
      <c r="U21" s="1176">
        <f t="shared" si="9"/>
        <v>1620581.7692307692</v>
      </c>
      <c r="V21" s="1181">
        <f t="shared" si="6"/>
        <v>24000</v>
      </c>
      <c r="W21" s="1194">
        <f t="shared" si="10"/>
        <v>5.9084194977843429</v>
      </c>
    </row>
    <row r="22" spans="1:23" s="977" customFormat="1" ht="31.5" customHeight="1">
      <c r="A22" s="478">
        <v>16</v>
      </c>
      <c r="B22" s="518" t="s">
        <v>465</v>
      </c>
      <c r="C22" s="578" t="s">
        <v>958</v>
      </c>
      <c r="D22" s="1474">
        <v>43256</v>
      </c>
      <c r="E22" s="513" t="s">
        <v>260</v>
      </c>
      <c r="F22" s="1265">
        <f>'S1'!AL22-'S1'!AD22-'S1'!AJ22-'S1'!AK22-'S1'!AE22-'S1'!AG22-W22</f>
        <v>371.05311896375412</v>
      </c>
      <c r="G22" s="495">
        <v>4062</v>
      </c>
      <c r="H22" s="488">
        <f t="shared" si="16"/>
        <v>1507217.7692307692</v>
      </c>
      <c r="I22" s="976"/>
      <c r="J22" s="974">
        <v>0</v>
      </c>
      <c r="K22" s="975">
        <f t="shared" ref="K22:K23" si="29">150000*(J22+I22)</f>
        <v>0</v>
      </c>
      <c r="L22" s="488">
        <f t="shared" si="2"/>
        <v>1507217.7692307692</v>
      </c>
      <c r="M22" s="489">
        <f t="shared" si="3"/>
        <v>0.05</v>
      </c>
      <c r="N22" s="488">
        <f t="shared" si="4"/>
        <v>75000</v>
      </c>
      <c r="O22" s="490">
        <f t="shared" si="5"/>
        <v>360.88846153845952</v>
      </c>
      <c r="P22" s="491">
        <f t="shared" si="8"/>
        <v>8.8845017611634547E-2</v>
      </c>
      <c r="R22" s="1212">
        <v>34472</v>
      </c>
      <c r="S22" s="1170">
        <v>44835</v>
      </c>
      <c r="T22" s="1175">
        <f>'S1'!AL22-'S1'!AE22</f>
        <v>396.96153846153845</v>
      </c>
      <c r="U22" s="1176">
        <f t="shared" si="9"/>
        <v>1612457.7692307692</v>
      </c>
      <c r="V22" s="1181">
        <f t="shared" si="6"/>
        <v>24000</v>
      </c>
      <c r="W22" s="1194">
        <f t="shared" si="10"/>
        <v>5.9084194977843429</v>
      </c>
    </row>
    <row r="23" spans="1:23" s="477" customFormat="1" ht="31.5" customHeight="1">
      <c r="A23" s="478">
        <v>17</v>
      </c>
      <c r="B23" s="518" t="s">
        <v>466</v>
      </c>
      <c r="C23" s="578" t="s">
        <v>441</v>
      </c>
      <c r="D23" s="1474">
        <v>43256</v>
      </c>
      <c r="E23" s="513" t="s">
        <v>260</v>
      </c>
      <c r="F23" s="1265">
        <f>'S1'!AL23-'S1'!AD23-'S1'!AJ23-'S1'!AK23-'S1'!AE23-'S1'!AG23-W23</f>
        <v>368.22619588683108</v>
      </c>
      <c r="G23" s="495">
        <v>4062</v>
      </c>
      <c r="H23" s="488">
        <f t="shared" si="16"/>
        <v>1495734.8076923077</v>
      </c>
      <c r="I23" s="480"/>
      <c r="J23" s="495">
        <v>1</v>
      </c>
      <c r="K23" s="488">
        <f t="shared" si="29"/>
        <v>150000</v>
      </c>
      <c r="L23" s="488">
        <f t="shared" si="2"/>
        <v>1345734.8076923077</v>
      </c>
      <c r="M23" s="489">
        <f t="shared" si="3"/>
        <v>0</v>
      </c>
      <c r="N23" s="488">
        <f t="shared" si="4"/>
        <v>0</v>
      </c>
      <c r="O23" s="490">
        <f t="shared" si="5"/>
        <v>0</v>
      </c>
      <c r="P23" s="491">
        <f t="shared" si="8"/>
        <v>0</v>
      </c>
      <c r="R23" s="1186">
        <v>35983</v>
      </c>
      <c r="S23" s="1170">
        <v>44835</v>
      </c>
      <c r="T23" s="1175">
        <f>'S1'!AL23-'S1'!AE23</f>
        <v>394.13461538461542</v>
      </c>
      <c r="U23" s="1176">
        <f t="shared" si="9"/>
        <v>1600974.8076923077</v>
      </c>
      <c r="V23" s="1181">
        <f t="shared" si="6"/>
        <v>24000</v>
      </c>
      <c r="W23" s="1194">
        <f t="shared" si="10"/>
        <v>5.9084194977843429</v>
      </c>
    </row>
    <row r="24" spans="1:23" s="477" customFormat="1" ht="31.5" customHeight="1">
      <c r="A24" s="478">
        <v>18</v>
      </c>
      <c r="B24" s="1570" t="s">
        <v>478</v>
      </c>
      <c r="C24" s="578" t="s">
        <v>479</v>
      </c>
      <c r="D24" s="1474">
        <v>43649</v>
      </c>
      <c r="E24" s="557" t="s">
        <v>260</v>
      </c>
      <c r="F24" s="1265">
        <f>'S1'!AL24-'S1'!AD24-'S1'!AJ24-'S1'!AK24-'S1'!AE24-'S1'!AG24-W24</f>
        <v>332.92641393644152</v>
      </c>
      <c r="G24" s="495">
        <v>4062</v>
      </c>
      <c r="H24" s="488">
        <f t="shared" si="16"/>
        <v>1352347.0934098253</v>
      </c>
      <c r="I24" s="480"/>
      <c r="J24" s="495">
        <v>1</v>
      </c>
      <c r="K24" s="488">
        <f t="shared" ref="K24" si="30">150000*(J24+I24)</f>
        <v>150000</v>
      </c>
      <c r="L24" s="488">
        <f t="shared" si="2"/>
        <v>1202347.0934098253</v>
      </c>
      <c r="M24" s="489">
        <f t="shared" si="3"/>
        <v>0</v>
      </c>
      <c r="N24" s="488">
        <f t="shared" si="4"/>
        <v>0</v>
      </c>
      <c r="O24" s="490">
        <f t="shared" si="5"/>
        <v>0</v>
      </c>
      <c r="P24" s="491">
        <f t="shared" si="8"/>
        <v>0</v>
      </c>
      <c r="R24" s="1212">
        <v>34031</v>
      </c>
      <c r="S24" s="1170">
        <v>44835</v>
      </c>
      <c r="T24" s="1175">
        <f>'S1'!AL24-'S1'!AE24</f>
        <v>358.83483343422586</v>
      </c>
      <c r="U24" s="1176">
        <f t="shared" si="9"/>
        <v>1457587.0934098253</v>
      </c>
      <c r="V24" s="1181">
        <f t="shared" si="6"/>
        <v>24000</v>
      </c>
      <c r="W24" s="1194">
        <f t="shared" si="10"/>
        <v>5.9084194977843429</v>
      </c>
    </row>
    <row r="25" spans="1:23" s="477" customFormat="1" ht="31.5" customHeight="1">
      <c r="A25" s="478">
        <v>19</v>
      </c>
      <c r="B25" s="515" t="s">
        <v>2170</v>
      </c>
      <c r="C25" s="578" t="s">
        <v>2171</v>
      </c>
      <c r="D25" s="1476">
        <v>42888</v>
      </c>
      <c r="E25" s="557" t="s">
        <v>260</v>
      </c>
      <c r="F25" s="1265">
        <f>'S1'!AL25-'S1'!AD25-'S1'!AJ25-'S1'!AK25-'S1'!AE25-'S1'!AG25-W25</f>
        <v>342.06864263487751</v>
      </c>
      <c r="G25" s="495">
        <v>4062</v>
      </c>
      <c r="H25" s="488">
        <f t="shared" si="16"/>
        <v>1389482.8263828724</v>
      </c>
      <c r="I25" s="480"/>
      <c r="J25" s="495">
        <v>3</v>
      </c>
      <c r="K25" s="488">
        <f t="shared" ref="K25" si="31">150000*(J25+I25)</f>
        <v>450000</v>
      </c>
      <c r="L25" s="488">
        <f t="shared" si="2"/>
        <v>939482.82638287242</v>
      </c>
      <c r="M25" s="489">
        <f t="shared" si="3"/>
        <v>0</v>
      </c>
      <c r="N25" s="488">
        <f t="shared" si="4"/>
        <v>0</v>
      </c>
      <c r="O25" s="490">
        <f t="shared" si="5"/>
        <v>0</v>
      </c>
      <c r="P25" s="491">
        <f t="shared" si="8"/>
        <v>0</v>
      </c>
      <c r="R25" s="1186">
        <v>31048</v>
      </c>
      <c r="S25" s="1170">
        <v>44835</v>
      </c>
      <c r="T25" s="1175">
        <f>'S1'!AL25-'S1'!AE25</f>
        <v>367.97706213266184</v>
      </c>
      <c r="U25" s="1176">
        <f t="shared" si="9"/>
        <v>1494722.8263828724</v>
      </c>
      <c r="V25" s="1181">
        <f t="shared" si="6"/>
        <v>24000</v>
      </c>
      <c r="W25" s="1194">
        <f t="shared" si="10"/>
        <v>5.9084194977843429</v>
      </c>
    </row>
    <row r="26" spans="1:23" s="477" customFormat="1" ht="31.5" customHeight="1">
      <c r="A26" s="478">
        <v>20</v>
      </c>
      <c r="B26" s="688" t="s">
        <v>540</v>
      </c>
      <c r="C26" s="625" t="s">
        <v>541</v>
      </c>
      <c r="D26" s="1474">
        <v>43825</v>
      </c>
      <c r="E26" s="557" t="s">
        <v>544</v>
      </c>
      <c r="F26" s="1265">
        <f>'S1'!AL26-'S1'!AD26-'S1'!AJ26-'S1'!AK26-'S1'!AE26-'S1'!AG26-W26</f>
        <v>342.34164639458874</v>
      </c>
      <c r="G26" s="495">
        <v>4062</v>
      </c>
      <c r="H26" s="488">
        <f t="shared" si="16"/>
        <v>1390591.7676548194</v>
      </c>
      <c r="I26" s="480"/>
      <c r="J26" s="495">
        <v>1</v>
      </c>
      <c r="K26" s="488">
        <f t="shared" ref="K26:K27" si="32">150000*(J26+I26)</f>
        <v>150000</v>
      </c>
      <c r="L26" s="488">
        <f t="shared" si="2"/>
        <v>1240591.7676548194</v>
      </c>
      <c r="M26" s="489">
        <f t="shared" si="3"/>
        <v>0</v>
      </c>
      <c r="N26" s="488">
        <f t="shared" si="4"/>
        <v>0</v>
      </c>
      <c r="O26" s="490">
        <f t="shared" si="5"/>
        <v>0</v>
      </c>
      <c r="P26" s="491">
        <f t="shared" si="8"/>
        <v>0</v>
      </c>
      <c r="R26" s="1186">
        <v>35052</v>
      </c>
      <c r="S26" s="1170">
        <v>44835</v>
      </c>
      <c r="T26" s="1175">
        <f>'S1'!AL26-'S1'!AE26</f>
        <v>368.25006589237307</v>
      </c>
      <c r="U26" s="1176">
        <f t="shared" si="9"/>
        <v>1495831.7676548194</v>
      </c>
      <c r="V26" s="1181">
        <f t="shared" si="6"/>
        <v>24000</v>
      </c>
      <c r="W26" s="1194">
        <f t="shared" si="10"/>
        <v>5.9084194977843429</v>
      </c>
    </row>
    <row r="27" spans="1:23" s="477" customFormat="1" ht="31.5" customHeight="1">
      <c r="A27" s="478">
        <v>21</v>
      </c>
      <c r="B27" s="688" t="s">
        <v>542</v>
      </c>
      <c r="C27" s="625" t="s">
        <v>543</v>
      </c>
      <c r="D27" s="1474">
        <v>43825</v>
      </c>
      <c r="E27" s="557" t="s">
        <v>260</v>
      </c>
      <c r="F27" s="1265">
        <f>'S1'!AL27-'S1'!AD27-'S1'!AJ27-'S1'!AK27-'S1'!AE27-'S1'!AG27-W27</f>
        <v>348.57234973298489</v>
      </c>
      <c r="G27" s="495">
        <v>4062</v>
      </c>
      <c r="H27" s="488">
        <f t="shared" si="16"/>
        <v>1415900.8846153845</v>
      </c>
      <c r="I27" s="480"/>
      <c r="J27" s="495">
        <v>0</v>
      </c>
      <c r="K27" s="488">
        <f t="shared" si="32"/>
        <v>0</v>
      </c>
      <c r="L27" s="488">
        <f t="shared" si="2"/>
        <v>1415900.8846153845</v>
      </c>
      <c r="M27" s="489">
        <f t="shared" si="3"/>
        <v>0</v>
      </c>
      <c r="N27" s="488">
        <f t="shared" si="4"/>
        <v>0</v>
      </c>
      <c r="O27" s="490">
        <f t="shared" si="5"/>
        <v>0</v>
      </c>
      <c r="P27" s="491">
        <f t="shared" si="8"/>
        <v>0</v>
      </c>
      <c r="R27" s="1186">
        <v>35996</v>
      </c>
      <c r="S27" s="1170">
        <v>44835</v>
      </c>
      <c r="T27" s="1175">
        <f>'S1'!AL27-'S1'!AE27</f>
        <v>374.48076923076923</v>
      </c>
      <c r="U27" s="1176">
        <f t="shared" si="9"/>
        <v>1521140.8846153845</v>
      </c>
      <c r="V27" s="1181">
        <f t="shared" si="6"/>
        <v>24000</v>
      </c>
      <c r="W27" s="1194">
        <f t="shared" si="10"/>
        <v>5.9084194977843429</v>
      </c>
    </row>
    <row r="28" spans="1:23" s="477" customFormat="1" ht="31.5" customHeight="1">
      <c r="A28" s="478">
        <v>22</v>
      </c>
      <c r="B28" s="515" t="s">
        <v>1487</v>
      </c>
      <c r="C28" s="578" t="s">
        <v>1489</v>
      </c>
      <c r="D28" s="1474">
        <v>44635</v>
      </c>
      <c r="E28" s="557" t="s">
        <v>260</v>
      </c>
      <c r="F28" s="1265">
        <f>'S1'!AL28-'S1'!AD28-'S1'!AJ28-'S1'!AK28-'S1'!AE28-'S1'!AG28-W28</f>
        <v>359.2694651176003</v>
      </c>
      <c r="G28" s="495">
        <v>4062</v>
      </c>
      <c r="H28" s="488">
        <f t="shared" si="16"/>
        <v>1459352.5673076925</v>
      </c>
      <c r="I28" s="480"/>
      <c r="J28" s="495">
        <v>2</v>
      </c>
      <c r="K28" s="488">
        <f t="shared" ref="K28" si="33">150000*(J28+I28)</f>
        <v>300000</v>
      </c>
      <c r="L28" s="488">
        <f t="shared" si="2"/>
        <v>1159352.5673076925</v>
      </c>
      <c r="M28" s="489">
        <f t="shared" si="3"/>
        <v>0</v>
      </c>
      <c r="N28" s="488">
        <f t="shared" si="4"/>
        <v>0</v>
      </c>
      <c r="O28" s="490">
        <f t="shared" si="5"/>
        <v>0</v>
      </c>
      <c r="P28" s="491">
        <f t="shared" si="8"/>
        <v>0</v>
      </c>
      <c r="R28" s="1186">
        <v>35468</v>
      </c>
      <c r="S28" s="1170">
        <v>44835</v>
      </c>
      <c r="T28" s="1175">
        <f>'S1'!AL28-'S1'!AE28</f>
        <v>385.17788461538464</v>
      </c>
      <c r="U28" s="1176">
        <f t="shared" si="9"/>
        <v>1564592.5673076925</v>
      </c>
      <c r="V28" s="1181">
        <f t="shared" si="6"/>
        <v>24000</v>
      </c>
      <c r="W28" s="1194">
        <f t="shared" si="10"/>
        <v>5.9084194977843429</v>
      </c>
    </row>
    <row r="29" spans="1:23" s="477" customFormat="1" ht="31.5" customHeight="1">
      <c r="A29" s="478">
        <v>23</v>
      </c>
      <c r="B29" s="515" t="s">
        <v>1514</v>
      </c>
      <c r="C29" s="628" t="s">
        <v>1513</v>
      </c>
      <c r="D29" s="1474">
        <v>44652</v>
      </c>
      <c r="E29" s="557" t="s">
        <v>260</v>
      </c>
      <c r="F29" s="1265">
        <f>'S1'!AL29-'S1'!AD29-'S1'!AJ29-'S1'!AK29-'S1'!AE29-'S1'!AG29-W29</f>
        <v>373.05311896375412</v>
      </c>
      <c r="G29" s="495">
        <v>4062</v>
      </c>
      <c r="H29" s="488">
        <f t="shared" si="16"/>
        <v>1515341.7692307692</v>
      </c>
      <c r="I29" s="480"/>
      <c r="J29" s="495">
        <v>1</v>
      </c>
      <c r="K29" s="488">
        <f t="shared" ref="K29" si="34">150000*(J29+I29)</f>
        <v>150000</v>
      </c>
      <c r="L29" s="488">
        <f t="shared" si="2"/>
        <v>1365341.7692307692</v>
      </c>
      <c r="M29" s="489">
        <f t="shared" si="3"/>
        <v>0</v>
      </c>
      <c r="N29" s="488">
        <f t="shared" si="4"/>
        <v>0</v>
      </c>
      <c r="O29" s="490">
        <f t="shared" si="5"/>
        <v>0</v>
      </c>
      <c r="P29" s="491">
        <f t="shared" si="8"/>
        <v>0</v>
      </c>
      <c r="R29" s="1186">
        <v>32365</v>
      </c>
      <c r="S29" s="1170">
        <v>44835</v>
      </c>
      <c r="T29" s="1175">
        <f>'S1'!AL29-'S1'!AE29</f>
        <v>398.96153846153845</v>
      </c>
      <c r="U29" s="1176">
        <f t="shared" si="9"/>
        <v>1620581.7692307692</v>
      </c>
      <c r="V29" s="1181">
        <f t="shared" si="6"/>
        <v>24000</v>
      </c>
      <c r="W29" s="1194">
        <f t="shared" si="10"/>
        <v>5.9084194977843429</v>
      </c>
    </row>
    <row r="30" spans="1:23" s="477" customFormat="1" ht="31.5" customHeight="1">
      <c r="A30" s="478">
        <v>24</v>
      </c>
      <c r="B30" s="572" t="s">
        <v>1521</v>
      </c>
      <c r="C30" s="956" t="s">
        <v>1522</v>
      </c>
      <c r="D30" s="1474">
        <v>44691</v>
      </c>
      <c r="E30" s="513" t="s">
        <v>260</v>
      </c>
      <c r="F30" s="1265">
        <f>'S1'!AL30-'S1'!AD30-'S1'!AJ30-'S1'!AK30-'S1'!AE30-'S1'!AG30-W30</f>
        <v>354.32234973298483</v>
      </c>
      <c r="G30" s="495">
        <v>4062</v>
      </c>
      <c r="H30" s="488">
        <f t="shared" si="16"/>
        <v>1439257.3846153843</v>
      </c>
      <c r="I30" s="480"/>
      <c r="J30" s="495">
        <v>3</v>
      </c>
      <c r="K30" s="488">
        <f t="shared" ref="K30" si="35">150000*(J30+I30)</f>
        <v>450000</v>
      </c>
      <c r="L30" s="488">
        <f t="shared" si="2"/>
        <v>989257.38461538428</v>
      </c>
      <c r="M30" s="489">
        <f t="shared" si="3"/>
        <v>0</v>
      </c>
      <c r="N30" s="488">
        <f t="shared" si="4"/>
        <v>0</v>
      </c>
      <c r="O30" s="490">
        <f t="shared" si="5"/>
        <v>0</v>
      </c>
      <c r="P30" s="491">
        <f t="shared" si="8"/>
        <v>0</v>
      </c>
      <c r="R30" s="1186">
        <v>33641</v>
      </c>
      <c r="S30" s="1170">
        <v>44835</v>
      </c>
      <c r="T30" s="1175">
        <f>'S1'!AL30-'S1'!AE30</f>
        <v>380.23076923076917</v>
      </c>
      <c r="U30" s="1176">
        <f t="shared" si="9"/>
        <v>1544497.3846153843</v>
      </c>
      <c r="V30" s="1181">
        <f t="shared" si="6"/>
        <v>24000</v>
      </c>
      <c r="W30" s="1194">
        <f t="shared" si="10"/>
        <v>5.9084194977843429</v>
      </c>
    </row>
    <row r="31" spans="1:23" s="477" customFormat="1" ht="31.5" customHeight="1">
      <c r="A31" s="478">
        <v>25</v>
      </c>
      <c r="B31" s="518" t="s">
        <v>467</v>
      </c>
      <c r="C31" s="578" t="s">
        <v>484</v>
      </c>
      <c r="D31" s="1474">
        <v>41456</v>
      </c>
      <c r="E31" s="513" t="s">
        <v>260</v>
      </c>
      <c r="F31" s="1265">
        <f>'S1'!AL31-'S1'!AD31-'S1'!AJ31-'S1'!AK31-'S1'!AE31-'S1'!AG31-W31</f>
        <v>555.32234973298489</v>
      </c>
      <c r="G31" s="495">
        <v>4062</v>
      </c>
      <c r="H31" s="488">
        <f t="shared" si="16"/>
        <v>2255719.3846153845</v>
      </c>
      <c r="I31" s="480">
        <v>1</v>
      </c>
      <c r="J31" s="495">
        <v>2</v>
      </c>
      <c r="K31" s="488">
        <f t="shared" ref="K31:K32" si="36">150000*(J31+I31)</f>
        <v>450000</v>
      </c>
      <c r="L31" s="488">
        <f t="shared" si="2"/>
        <v>1805719.3846153845</v>
      </c>
      <c r="M31" s="489">
        <f t="shared" si="3"/>
        <v>0.05</v>
      </c>
      <c r="N31" s="488">
        <f t="shared" si="4"/>
        <v>75000</v>
      </c>
      <c r="O31" s="490">
        <f t="shared" si="5"/>
        <v>15285.969230769231</v>
      </c>
      <c r="P31" s="491">
        <f t="shared" si="8"/>
        <v>3.7631632769003525</v>
      </c>
      <c r="R31" s="1186">
        <v>33239</v>
      </c>
      <c r="S31" s="1170">
        <v>44835</v>
      </c>
      <c r="T31" s="1175">
        <f>'S1'!AL31-'S1'!AE31</f>
        <v>581.23076923076928</v>
      </c>
      <c r="U31" s="1176">
        <f t="shared" si="9"/>
        <v>2360959.384615385</v>
      </c>
      <c r="V31" s="1181">
        <f t="shared" si="6"/>
        <v>24000</v>
      </c>
      <c r="W31" s="1194">
        <f t="shared" si="10"/>
        <v>5.9084194977843429</v>
      </c>
    </row>
    <row r="32" spans="1:23" s="477" customFormat="1" ht="31.5" customHeight="1">
      <c r="A32" s="478">
        <v>26</v>
      </c>
      <c r="B32" s="1381" t="s">
        <v>2147</v>
      </c>
      <c r="C32" s="966" t="s">
        <v>2143</v>
      </c>
      <c r="D32" s="1385">
        <v>45316</v>
      </c>
      <c r="E32" s="513" t="s">
        <v>260</v>
      </c>
      <c r="F32" s="1265">
        <f>'S1'!AL32-'S1'!AD32-'S1'!AJ32-'S1'!AK32-'S1'!AE32-'S1'!AG32-W32</f>
        <v>371.58196511760025</v>
      </c>
      <c r="G32" s="495">
        <v>4062</v>
      </c>
      <c r="H32" s="488">
        <f t="shared" si="16"/>
        <v>1509365.9423076923</v>
      </c>
      <c r="I32" s="480"/>
      <c r="J32" s="519">
        <v>2</v>
      </c>
      <c r="K32" s="488">
        <f t="shared" si="36"/>
        <v>300000</v>
      </c>
      <c r="L32" s="488">
        <f t="shared" si="2"/>
        <v>1209365.9423076923</v>
      </c>
      <c r="M32" s="489">
        <f t="shared" si="3"/>
        <v>0</v>
      </c>
      <c r="N32" s="488">
        <f t="shared" si="4"/>
        <v>0</v>
      </c>
      <c r="O32" s="490">
        <f t="shared" si="5"/>
        <v>0</v>
      </c>
      <c r="P32" s="491">
        <f t="shared" si="8"/>
        <v>0</v>
      </c>
      <c r="R32" s="1558">
        <v>28857</v>
      </c>
      <c r="S32" s="1170">
        <v>44840</v>
      </c>
      <c r="T32" s="1175">
        <f>'S1'!AL32-'S1'!AE32</f>
        <v>397.49038461538458</v>
      </c>
      <c r="U32" s="1176">
        <f t="shared" si="9"/>
        <v>1614605.9423076923</v>
      </c>
      <c r="V32" s="1181">
        <f t="shared" si="6"/>
        <v>24000</v>
      </c>
      <c r="W32" s="1194">
        <f t="shared" si="10"/>
        <v>5.9084194977843429</v>
      </c>
    </row>
    <row r="33" spans="1:23" s="477" customFormat="1" ht="31.5" customHeight="1">
      <c r="A33" s="478">
        <v>27</v>
      </c>
      <c r="B33" s="1571" t="s">
        <v>427</v>
      </c>
      <c r="C33" s="582" t="s">
        <v>485</v>
      </c>
      <c r="D33" s="1562">
        <v>41568</v>
      </c>
      <c r="E33" s="513" t="s">
        <v>260</v>
      </c>
      <c r="F33" s="1265">
        <f>'S1'!AL33-'S1'!AD33-'S1'!AJ33-'S1'!AK33-'S1'!AE33-'S1'!AG33-W33</f>
        <v>325.14927280990798</v>
      </c>
      <c r="G33" s="495">
        <v>4062</v>
      </c>
      <c r="H33" s="488">
        <f t="shared" si="16"/>
        <v>1320756.3461538462</v>
      </c>
      <c r="I33" s="480"/>
      <c r="J33" s="495">
        <v>2</v>
      </c>
      <c r="K33" s="488">
        <f t="shared" ref="K33" si="37">150000*(J33+I33)</f>
        <v>300000</v>
      </c>
      <c r="L33" s="488">
        <f t="shared" si="2"/>
        <v>1020756.3461538462</v>
      </c>
      <c r="M33" s="489">
        <f t="shared" si="3"/>
        <v>0</v>
      </c>
      <c r="N33" s="488">
        <f t="shared" si="4"/>
        <v>0</v>
      </c>
      <c r="O33" s="490">
        <f t="shared" si="5"/>
        <v>0</v>
      </c>
      <c r="P33" s="491">
        <f t="shared" si="8"/>
        <v>0</v>
      </c>
      <c r="R33" s="1186">
        <v>31515</v>
      </c>
      <c r="S33" s="1170">
        <v>44835</v>
      </c>
      <c r="T33" s="1175">
        <f>'S1'!AL33-'S1'!AE33</f>
        <v>351.05769230769232</v>
      </c>
      <c r="U33" s="1176">
        <f t="shared" si="9"/>
        <v>1425996.3461538462</v>
      </c>
      <c r="V33" s="1181">
        <f t="shared" si="6"/>
        <v>24000</v>
      </c>
      <c r="W33" s="1194">
        <f t="shared" si="10"/>
        <v>5.9084194977843429</v>
      </c>
    </row>
    <row r="34" spans="1:23" s="477" customFormat="1" ht="31.5" customHeight="1">
      <c r="A34" s="478">
        <v>28</v>
      </c>
      <c r="B34" s="1571" t="s">
        <v>261</v>
      </c>
      <c r="C34" s="582" t="s">
        <v>262</v>
      </c>
      <c r="D34" s="1562">
        <v>41755</v>
      </c>
      <c r="E34" s="513" t="s">
        <v>260</v>
      </c>
      <c r="F34" s="1265">
        <f>'S1'!AL34-'S1'!AD34-'S1'!AJ34-'S1'!AK34-'S1'!AE34-'S1'!AG34-W34</f>
        <v>381.05311896375412</v>
      </c>
      <c r="G34" s="495">
        <v>4062</v>
      </c>
      <c r="H34" s="488">
        <f t="shared" si="16"/>
        <v>1547837.7692307692</v>
      </c>
      <c r="I34" s="480"/>
      <c r="J34" s="495">
        <v>2</v>
      </c>
      <c r="K34" s="488">
        <f t="shared" ref="K34:K36" si="38">150000*(J34+I34)</f>
        <v>300000</v>
      </c>
      <c r="L34" s="488">
        <f t="shared" si="2"/>
        <v>1247837.7692307692</v>
      </c>
      <c r="M34" s="489">
        <f t="shared" si="3"/>
        <v>0</v>
      </c>
      <c r="N34" s="488">
        <f t="shared" si="4"/>
        <v>0</v>
      </c>
      <c r="O34" s="490">
        <f t="shared" si="5"/>
        <v>0</v>
      </c>
      <c r="P34" s="491">
        <f t="shared" si="8"/>
        <v>0</v>
      </c>
      <c r="R34" s="1186">
        <v>30111</v>
      </c>
      <c r="S34" s="1170">
        <v>44835</v>
      </c>
      <c r="T34" s="1175">
        <f>'S1'!AL34-'S1'!AE34</f>
        <v>406.96153846153845</v>
      </c>
      <c r="U34" s="1176">
        <f t="shared" si="9"/>
        <v>1653077.7692307692</v>
      </c>
      <c r="V34" s="1181">
        <f t="shared" si="6"/>
        <v>24000</v>
      </c>
      <c r="W34" s="1194">
        <f t="shared" si="10"/>
        <v>5.9084194977843429</v>
      </c>
    </row>
    <row r="35" spans="1:23" s="477" customFormat="1" ht="31.5" customHeight="1">
      <c r="A35" s="478">
        <v>29</v>
      </c>
      <c r="B35" s="1571" t="s">
        <v>263</v>
      </c>
      <c r="C35" s="582" t="s">
        <v>264</v>
      </c>
      <c r="D35" s="1562">
        <v>41788</v>
      </c>
      <c r="E35" s="513" t="s">
        <v>260</v>
      </c>
      <c r="F35" s="1265">
        <f>'S1'!AL35-'S1'!AD35-'S1'!AJ35-'S1'!AK35-'S1'!AE35-'S1'!AG35-W35</f>
        <v>376.05311896375412</v>
      </c>
      <c r="G35" s="495">
        <v>4062</v>
      </c>
      <c r="H35" s="488">
        <f t="shared" si="16"/>
        <v>1527527.7692307692</v>
      </c>
      <c r="I35" s="480"/>
      <c r="J35" s="495">
        <v>1</v>
      </c>
      <c r="K35" s="488">
        <f t="shared" si="38"/>
        <v>150000</v>
      </c>
      <c r="L35" s="488">
        <f t="shared" si="2"/>
        <v>1377527.7692307692</v>
      </c>
      <c r="M35" s="489">
        <f t="shared" si="3"/>
        <v>0</v>
      </c>
      <c r="N35" s="488">
        <f t="shared" si="4"/>
        <v>0</v>
      </c>
      <c r="O35" s="490">
        <f t="shared" si="5"/>
        <v>0</v>
      </c>
      <c r="P35" s="491">
        <f t="shared" si="8"/>
        <v>0</v>
      </c>
      <c r="R35" s="1186">
        <v>30354</v>
      </c>
      <c r="S35" s="1170">
        <v>44835</v>
      </c>
      <c r="T35" s="1175">
        <f>'S1'!AL35-'S1'!AE35</f>
        <v>401.96153846153845</v>
      </c>
      <c r="U35" s="1176">
        <f t="shared" si="9"/>
        <v>1632767.7692307692</v>
      </c>
      <c r="V35" s="1181">
        <f t="shared" si="6"/>
        <v>24000</v>
      </c>
      <c r="W35" s="1194">
        <f t="shared" si="10"/>
        <v>5.9084194977843429</v>
      </c>
    </row>
    <row r="36" spans="1:23" s="477" customFormat="1" ht="31.5" customHeight="1">
      <c r="A36" s="478">
        <v>30</v>
      </c>
      <c r="B36" s="1571" t="s">
        <v>265</v>
      </c>
      <c r="C36" s="582" t="s">
        <v>266</v>
      </c>
      <c r="D36" s="1562">
        <v>42129</v>
      </c>
      <c r="E36" s="513" t="s">
        <v>260</v>
      </c>
      <c r="F36" s="1265">
        <f>'S1'!AL36-'S1'!AD36-'S1'!AJ36-'S1'!AK36-'S1'!AE36-'S1'!AG36-W36</f>
        <v>387.24888137746007</v>
      </c>
      <c r="G36" s="495">
        <v>4062</v>
      </c>
      <c r="H36" s="488">
        <f t="shared" si="16"/>
        <v>1573004.9561552429</v>
      </c>
      <c r="I36" s="480">
        <v>1</v>
      </c>
      <c r="J36" s="495">
        <v>2</v>
      </c>
      <c r="K36" s="488">
        <f t="shared" si="38"/>
        <v>450000</v>
      </c>
      <c r="L36" s="488">
        <f t="shared" si="2"/>
        <v>1123004.9561552429</v>
      </c>
      <c r="M36" s="489">
        <f t="shared" si="3"/>
        <v>0</v>
      </c>
      <c r="N36" s="488">
        <f t="shared" si="4"/>
        <v>0</v>
      </c>
      <c r="O36" s="490">
        <f t="shared" si="5"/>
        <v>0</v>
      </c>
      <c r="P36" s="491">
        <f t="shared" si="8"/>
        <v>0</v>
      </c>
      <c r="R36" s="1208">
        <v>33300</v>
      </c>
      <c r="S36" s="1179">
        <v>44835</v>
      </c>
      <c r="T36" s="1175">
        <f>'S1'!AL36-'S1'!AE36</f>
        <v>413.1573008752444</v>
      </c>
      <c r="U36" s="1176">
        <f t="shared" si="9"/>
        <v>1678244.9561552429</v>
      </c>
      <c r="V36" s="1181">
        <f t="shared" si="6"/>
        <v>24000</v>
      </c>
      <c r="W36" s="1194">
        <f t="shared" si="10"/>
        <v>5.9084194977843429</v>
      </c>
    </row>
    <row r="37" spans="1:23" ht="38.25" customHeight="1">
      <c r="A37" s="1338"/>
      <c r="B37" s="1339"/>
      <c r="C37" s="1339"/>
      <c r="D37" s="1339"/>
      <c r="E37" s="1339"/>
      <c r="F37" s="1387">
        <f>SUM(F7:F36)</f>
        <v>10574.215188606695</v>
      </c>
      <c r="G37" s="1339"/>
      <c r="H37" s="1339"/>
      <c r="I37" s="1339"/>
      <c r="J37" s="1339"/>
      <c r="K37" s="1339"/>
      <c r="L37" s="2129" t="s">
        <v>251</v>
      </c>
      <c r="M37" s="2130"/>
      <c r="N37" s="2131"/>
      <c r="O37" s="496">
        <f>SUM(O7:O36)</f>
        <v>15646.857692307691</v>
      </c>
      <c r="P37" s="1182">
        <f>SUM(P7:P36)</f>
        <v>3.8520082945119869</v>
      </c>
      <c r="R37" s="2123" t="s">
        <v>251</v>
      </c>
      <c r="S37" s="2124"/>
      <c r="T37" s="2124"/>
      <c r="U37" s="2125"/>
      <c r="V37" s="1185">
        <f>SUM(V7:V36)</f>
        <v>714074.97715384606</v>
      </c>
      <c r="W37" s="1184">
        <f>SUM(W7:W36)</f>
        <v>175.79393824565381</v>
      </c>
    </row>
  </sheetData>
  <mergeCells count="9">
    <mergeCell ref="R37:U37"/>
    <mergeCell ref="R1:W1"/>
    <mergeCell ref="R2:W2"/>
    <mergeCell ref="R3:W3"/>
    <mergeCell ref="A1:P1"/>
    <mergeCell ref="A2:P2"/>
    <mergeCell ref="A3:P3"/>
    <mergeCell ref="A4:E4"/>
    <mergeCell ref="L37:N37"/>
  </mergeCells>
  <phoneticPr fontId="171" type="noConversion"/>
  <conditionalFormatting sqref="M7:M13 M19:M36">
    <cfRule type="cellIs" dxfId="93" priority="64" stopIfTrue="1" operator="equal">
      <formula>0</formula>
    </cfRule>
  </conditionalFormatting>
  <conditionalFormatting sqref="M14">
    <cfRule type="cellIs" dxfId="92" priority="5" stopIfTrue="1" operator="equal">
      <formula>0</formula>
    </cfRule>
  </conditionalFormatting>
  <conditionalFormatting sqref="M15">
    <cfRule type="cellIs" dxfId="91" priority="4" stopIfTrue="1" operator="equal">
      <formula>0</formula>
    </cfRule>
  </conditionalFormatting>
  <conditionalFormatting sqref="M16">
    <cfRule type="cellIs" dxfId="90" priority="3" stopIfTrue="1" operator="equal">
      <formula>0</formula>
    </cfRule>
  </conditionalFormatting>
  <conditionalFormatting sqref="M17">
    <cfRule type="cellIs" dxfId="89" priority="2" stopIfTrue="1" operator="equal">
      <formula>0</formula>
    </cfRule>
  </conditionalFormatting>
  <conditionalFormatting sqref="M18">
    <cfRule type="cellIs" dxfId="88" priority="1" stopIfTrue="1" operator="equal">
      <formula>0</formula>
    </cfRule>
  </conditionalFormatting>
  <printOptions horizontalCentered="1"/>
  <pageMargins left="0.2" right="0.19" top="0.2" bottom="0.2" header="0.3" footer="0.31"/>
  <pageSetup paperSize="9" scale="75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"/>
  <sheetViews>
    <sheetView workbookViewId="0">
      <pane xSplit="3" ySplit="4" topLeftCell="F6" activePane="bottomRight" state="frozen"/>
      <selection pane="topRight" activeCell="D1" sqref="D1"/>
      <selection pane="bottomLeft" activeCell="A5" sqref="A5"/>
      <selection pane="bottomRight" activeCell="J12" sqref="J12"/>
    </sheetView>
  </sheetViews>
  <sheetFormatPr defaultRowHeight="14.25"/>
  <cols>
    <col min="1" max="1" width="6.625" customWidth="1"/>
    <col min="3" max="3" width="14.125" customWidth="1"/>
    <col min="4" max="4" width="10.75" customWidth="1"/>
    <col min="6" max="6" width="11.875" bestFit="1" customWidth="1"/>
    <col min="8" max="8" width="12.125" customWidth="1"/>
    <col min="12" max="12" width="11.75" customWidth="1"/>
    <col min="14" max="14" width="11.375" customWidth="1"/>
    <col min="15" max="15" width="11.875" customWidth="1"/>
    <col min="16" max="16" width="15.75" customWidth="1"/>
    <col min="18" max="19" width="14.625" customWidth="1"/>
    <col min="20" max="20" width="12" customWidth="1"/>
    <col min="21" max="21" width="12.25" customWidth="1"/>
    <col min="22" max="23" width="12.125" customWidth="1"/>
  </cols>
  <sheetData>
    <row r="1" spans="1:39" s="479" customFormat="1" ht="29.25" customHeight="1">
      <c r="A1" s="2127" t="s">
        <v>222</v>
      </c>
      <c r="B1" s="2127"/>
      <c r="C1" s="2127"/>
      <c r="D1" s="2127"/>
      <c r="E1" s="2127"/>
      <c r="F1" s="2127"/>
      <c r="G1" s="2127"/>
      <c r="H1" s="2127"/>
      <c r="I1" s="2127"/>
      <c r="J1" s="2127"/>
      <c r="K1" s="2127"/>
      <c r="L1" s="2127"/>
      <c r="M1" s="2127"/>
      <c r="N1" s="2127"/>
      <c r="O1" s="2127"/>
      <c r="P1" s="2127"/>
      <c r="R1" s="2169" t="s">
        <v>222</v>
      </c>
      <c r="S1" s="2169"/>
      <c r="T1" s="2169"/>
      <c r="U1" s="2169"/>
      <c r="V1" s="2169"/>
      <c r="W1" s="2169"/>
    </row>
    <row r="2" spans="1:39" s="479" customFormat="1" ht="20.25" customHeight="1">
      <c r="A2" s="2127" t="s">
        <v>221</v>
      </c>
      <c r="B2" s="2127"/>
      <c r="C2" s="2127"/>
      <c r="D2" s="2127"/>
      <c r="E2" s="2127"/>
      <c r="F2" s="2127"/>
      <c r="G2" s="2127"/>
      <c r="H2" s="2127"/>
      <c r="I2" s="2127"/>
      <c r="J2" s="2127"/>
      <c r="K2" s="2127"/>
      <c r="L2" s="2127"/>
      <c r="M2" s="2127"/>
      <c r="N2" s="2127"/>
      <c r="O2" s="2127"/>
      <c r="P2" s="2127"/>
      <c r="R2" s="2126" t="s">
        <v>1807</v>
      </c>
      <c r="S2" s="2126"/>
      <c r="T2" s="2126"/>
      <c r="U2" s="2126"/>
      <c r="V2" s="2126"/>
      <c r="W2" s="2126"/>
    </row>
    <row r="3" spans="1:39" s="479" customFormat="1" ht="19.5" customHeight="1">
      <c r="A3" s="2126" t="s">
        <v>2352</v>
      </c>
      <c r="B3" s="2126"/>
      <c r="C3" s="2126"/>
      <c r="D3" s="2126"/>
      <c r="E3" s="2126"/>
      <c r="F3" s="2126"/>
      <c r="G3" s="2126"/>
      <c r="H3" s="2126"/>
      <c r="I3" s="2126"/>
      <c r="J3" s="2126"/>
      <c r="K3" s="2126"/>
      <c r="L3" s="2126"/>
      <c r="M3" s="2126"/>
      <c r="N3" s="2126"/>
      <c r="O3" s="2126"/>
      <c r="P3" s="2126"/>
      <c r="R3" s="2126" t="s">
        <v>2351</v>
      </c>
      <c r="S3" s="2126"/>
      <c r="T3" s="2126"/>
      <c r="U3" s="2126"/>
      <c r="V3" s="2126"/>
      <c r="W3" s="2126"/>
    </row>
    <row r="4" spans="1:39" s="479" customFormat="1" ht="20.25" customHeight="1" thickBot="1">
      <c r="A4" s="2214" t="s">
        <v>1564</v>
      </c>
      <c r="B4" s="2214"/>
      <c r="C4" s="2214"/>
      <c r="D4" s="2214"/>
      <c r="E4" s="2214"/>
    </row>
    <row r="5" spans="1:39" s="473" customFormat="1" ht="63" customHeight="1" thickTop="1">
      <c r="A5" s="482" t="s">
        <v>223</v>
      </c>
      <c r="B5" s="482" t="s">
        <v>224</v>
      </c>
      <c r="C5" s="482" t="s">
        <v>225</v>
      </c>
      <c r="D5" s="482" t="s">
        <v>226</v>
      </c>
      <c r="E5" s="498" t="s">
        <v>227</v>
      </c>
      <c r="F5" s="482" t="s">
        <v>228</v>
      </c>
      <c r="G5" s="482" t="s">
        <v>229</v>
      </c>
      <c r="H5" s="482" t="s">
        <v>230</v>
      </c>
      <c r="I5" s="482" t="s">
        <v>231</v>
      </c>
      <c r="J5" s="482" t="s">
        <v>232</v>
      </c>
      <c r="K5" s="482" t="s">
        <v>233</v>
      </c>
      <c r="L5" s="482" t="s">
        <v>234</v>
      </c>
      <c r="M5" s="482" t="s">
        <v>235</v>
      </c>
      <c r="N5" s="482" t="s">
        <v>236</v>
      </c>
      <c r="O5" s="482" t="s">
        <v>237</v>
      </c>
      <c r="P5" s="482" t="s">
        <v>238</v>
      </c>
      <c r="Q5" s="483"/>
      <c r="R5" s="1203" t="s">
        <v>1810</v>
      </c>
      <c r="S5" s="1203" t="s">
        <v>1811</v>
      </c>
      <c r="T5" s="498" t="s">
        <v>1812</v>
      </c>
      <c r="U5" s="498" t="s">
        <v>1809</v>
      </c>
      <c r="V5" s="498" t="s">
        <v>1813</v>
      </c>
      <c r="W5" s="498" t="s">
        <v>1814</v>
      </c>
      <c r="X5" s="483"/>
      <c r="Y5" s="483"/>
      <c r="Z5" s="483"/>
      <c r="AA5" s="484"/>
      <c r="AB5" s="484"/>
      <c r="AC5" s="484"/>
      <c r="AD5" s="484"/>
      <c r="AE5" s="484"/>
      <c r="AF5" s="484"/>
      <c r="AG5" s="484"/>
      <c r="AH5" s="484"/>
      <c r="AI5" s="484"/>
      <c r="AJ5" s="484"/>
      <c r="AK5" s="484"/>
      <c r="AL5" s="484"/>
      <c r="AM5" s="484"/>
    </row>
    <row r="6" spans="1:39" s="473" customFormat="1" ht="40.5" customHeight="1">
      <c r="A6" s="485" t="s">
        <v>111</v>
      </c>
      <c r="B6" s="485" t="s">
        <v>239</v>
      </c>
      <c r="C6" s="485" t="s">
        <v>87</v>
      </c>
      <c r="D6" s="486" t="s">
        <v>240</v>
      </c>
      <c r="E6" s="499" t="s">
        <v>218</v>
      </c>
      <c r="F6" s="492" t="s">
        <v>241</v>
      </c>
      <c r="G6" s="492" t="s">
        <v>242</v>
      </c>
      <c r="H6" s="492" t="s">
        <v>243</v>
      </c>
      <c r="I6" s="492" t="s">
        <v>244</v>
      </c>
      <c r="J6" s="493" t="s">
        <v>245</v>
      </c>
      <c r="K6" s="492" t="s">
        <v>246</v>
      </c>
      <c r="L6" s="493" t="s">
        <v>247</v>
      </c>
      <c r="M6" s="492" t="s">
        <v>248</v>
      </c>
      <c r="N6" s="492"/>
      <c r="O6" s="492" t="s">
        <v>249</v>
      </c>
      <c r="P6" s="492" t="s">
        <v>250</v>
      </c>
      <c r="Q6" s="487"/>
      <c r="R6" s="1154"/>
      <c r="S6" s="1169"/>
      <c r="T6" s="1169"/>
      <c r="U6" s="488">
        <v>4062</v>
      </c>
      <c r="V6" s="1183">
        <v>0.02</v>
      </c>
      <c r="W6" s="488">
        <v>4062</v>
      </c>
      <c r="X6" s="487"/>
      <c r="Y6" s="487"/>
      <c r="Z6" s="487"/>
      <c r="AA6" s="481"/>
      <c r="AB6" s="481"/>
      <c r="AC6" s="481"/>
      <c r="AD6" s="481"/>
      <c r="AE6" s="481"/>
      <c r="AF6" s="481"/>
      <c r="AG6" s="484"/>
      <c r="AH6" s="484"/>
      <c r="AI6" s="484"/>
      <c r="AJ6" s="484"/>
      <c r="AK6" s="484"/>
      <c r="AL6" s="484"/>
      <c r="AM6" s="484"/>
    </row>
    <row r="7" spans="1:39" s="477" customFormat="1" ht="31.5" customHeight="1">
      <c r="A7" s="478">
        <v>1</v>
      </c>
      <c r="B7" s="1066" t="s">
        <v>1597</v>
      </c>
      <c r="C7" s="578" t="s">
        <v>1410</v>
      </c>
      <c r="D7" s="1568">
        <v>41263</v>
      </c>
      <c r="E7" s="998" t="s">
        <v>1449</v>
      </c>
      <c r="F7" s="494">
        <f>OFFICE!AL7-OFFICE!AD7-OFFICE!AJ7-OFFICE!AK7-OFFICE!AE7-OFFICE!AG7-W7</f>
        <v>757.05311896375406</v>
      </c>
      <c r="G7" s="495">
        <v>4062</v>
      </c>
      <c r="H7" s="488">
        <f>F7*G7</f>
        <v>3075149.769230769</v>
      </c>
      <c r="I7" s="480">
        <v>1</v>
      </c>
      <c r="J7" s="480">
        <v>3</v>
      </c>
      <c r="K7" s="488">
        <f>150000*(J7+I7)</f>
        <v>600000</v>
      </c>
      <c r="L7" s="488">
        <f>H7-K7</f>
        <v>2475149.769230769</v>
      </c>
      <c r="M7" s="489">
        <f>IF(L7&gt;=12500001,20%,IF(L7&gt;=8500001,15%,IF(L7&gt;=2000001,10%,IF(L7&gt;=1500001,5%,0%))))</f>
        <v>0.1</v>
      </c>
      <c r="N7" s="488">
        <f>IF(M7=5%,75000,IF(M7=10%,175000,0))</f>
        <v>175000</v>
      </c>
      <c r="O7" s="490">
        <f>L7*M7-N7</f>
        <v>72514.976923076902</v>
      </c>
      <c r="P7" s="491">
        <f>O7/4062</f>
        <v>17.852037647237051</v>
      </c>
      <c r="R7" s="1216">
        <v>31694</v>
      </c>
      <c r="S7" s="1170">
        <v>44835</v>
      </c>
      <c r="T7" s="1174">
        <f>OFFICE!AL7-OFFICE!AE7</f>
        <v>782.96153846153845</v>
      </c>
      <c r="U7" s="1177">
        <f>T7*4062</f>
        <v>3180389.769230769</v>
      </c>
      <c r="V7" s="1206">
        <f t="shared" ref="V7:V18" si="0">IF(YEARFRAC(R7,S7)&gt;=60,"0",IF(U7&lt;400000,400000*2%,IF(U7&gt;1200000,1200000*2%,U7*2%)))</f>
        <v>24000</v>
      </c>
      <c r="W7" s="1194">
        <f>V7/4062</f>
        <v>5.9084194977843429</v>
      </c>
    </row>
    <row r="8" spans="1:39" s="477" customFormat="1" ht="31.5" customHeight="1">
      <c r="A8" s="478">
        <v>2</v>
      </c>
      <c r="B8" s="1068" t="s">
        <v>1596</v>
      </c>
      <c r="C8" s="578" t="s">
        <v>1412</v>
      </c>
      <c r="D8" s="1569">
        <v>41335</v>
      </c>
      <c r="E8" s="1000" t="s">
        <v>1450</v>
      </c>
      <c r="F8" s="494">
        <f>OFFICE!AL8-OFFICE!AD8-OFFICE!AJ8-OFFICE!AK8-OFFICE!AE8-OFFICE!AG8-W8</f>
        <v>988.80552280990798</v>
      </c>
      <c r="G8" s="495">
        <v>4062</v>
      </c>
      <c r="H8" s="488">
        <f t="shared" ref="H8:H18" si="1">F8*G8</f>
        <v>4016528.033653846</v>
      </c>
      <c r="I8" s="480">
        <v>0</v>
      </c>
      <c r="J8" s="480">
        <v>3</v>
      </c>
      <c r="K8" s="488">
        <f t="shared" ref="K8:K18" si="2">150000*(J8+I8)</f>
        <v>450000</v>
      </c>
      <c r="L8" s="488">
        <f t="shared" ref="L8:L18" si="3">H8-K8</f>
        <v>3566528.033653846</v>
      </c>
      <c r="M8" s="489">
        <f t="shared" ref="M8:M18" si="4">IF(L8&gt;=12500001,20%,IF(L8&gt;=8500001,15%,IF(L8&gt;=2000001,10%,IF(L8&gt;=1500001,5%,0%))))</f>
        <v>0.1</v>
      </c>
      <c r="N8" s="488">
        <f t="shared" ref="N8:N18" si="5">IF(M8=5%,75000,IF(M8=10%,175000,0))</f>
        <v>175000</v>
      </c>
      <c r="O8" s="490">
        <f t="shared" ref="O8:O18" si="6">L8*M8-N8</f>
        <v>181652.80336538464</v>
      </c>
      <c r="P8" s="491">
        <f t="shared" ref="P8:P18" si="7">O8/4062</f>
        <v>44.720040217967657</v>
      </c>
      <c r="R8" s="1216">
        <v>31827</v>
      </c>
      <c r="S8" s="1170">
        <v>44835</v>
      </c>
      <c r="T8" s="1174">
        <f>OFFICE!AL8-OFFICE!AE8</f>
        <v>1014.7139423076924</v>
      </c>
      <c r="U8" s="1177">
        <f t="shared" ref="U8:U18" si="8">T8*4062</f>
        <v>4121768.0336538465</v>
      </c>
      <c r="V8" s="1206">
        <f t="shared" si="0"/>
        <v>24000</v>
      </c>
      <c r="W8" s="1194">
        <f t="shared" ref="W8:W18" si="9">V8/4062</f>
        <v>5.9084194977843429</v>
      </c>
    </row>
    <row r="9" spans="1:39" s="477" customFormat="1" ht="31.5" customHeight="1">
      <c r="A9" s="478">
        <v>3</v>
      </c>
      <c r="B9" s="1067" t="s">
        <v>1414</v>
      </c>
      <c r="C9" s="578" t="s">
        <v>1415</v>
      </c>
      <c r="D9" s="1568">
        <v>41771</v>
      </c>
      <c r="E9" s="998" t="s">
        <v>1451</v>
      </c>
      <c r="F9" s="494">
        <f>OFFICE!AL9-OFFICE!AD9-OFFICE!AJ9-OFFICE!AK9-OFFICE!AE9-OFFICE!AG9-W9</f>
        <v>679.9885837468546</v>
      </c>
      <c r="G9" s="495">
        <v>4062</v>
      </c>
      <c r="H9" s="488">
        <f t="shared" si="1"/>
        <v>2762113.6271797232</v>
      </c>
      <c r="I9" s="480">
        <v>1</v>
      </c>
      <c r="J9" s="480">
        <v>3</v>
      </c>
      <c r="K9" s="488">
        <f t="shared" si="2"/>
        <v>600000</v>
      </c>
      <c r="L9" s="488">
        <f t="shared" si="3"/>
        <v>2162113.6271797232</v>
      </c>
      <c r="M9" s="489">
        <f t="shared" si="4"/>
        <v>0.1</v>
      </c>
      <c r="N9" s="488">
        <f t="shared" si="5"/>
        <v>175000</v>
      </c>
      <c r="O9" s="490">
        <f t="shared" si="6"/>
        <v>41211.362717972341</v>
      </c>
      <c r="P9" s="491">
        <f t="shared" si="7"/>
        <v>10.145584125547105</v>
      </c>
      <c r="R9" s="1216">
        <v>30106</v>
      </c>
      <c r="S9" s="1170">
        <v>44835</v>
      </c>
      <c r="T9" s="1174">
        <f>OFFICE!AL9-OFFICE!AE9</f>
        <v>705.897003244639</v>
      </c>
      <c r="U9" s="1177">
        <f t="shared" si="8"/>
        <v>2867353.6271797237</v>
      </c>
      <c r="V9" s="1206">
        <f t="shared" si="0"/>
        <v>24000</v>
      </c>
      <c r="W9" s="1194">
        <f t="shared" si="9"/>
        <v>5.9084194977843429</v>
      </c>
    </row>
    <row r="10" spans="1:39" s="804" customFormat="1" ht="34.5" customHeight="1">
      <c r="A10" s="478">
        <v>4</v>
      </c>
      <c r="B10" s="1583" t="s">
        <v>1417</v>
      </c>
      <c r="C10" s="628" t="s">
        <v>1418</v>
      </c>
      <c r="D10" s="1584">
        <v>41841</v>
      </c>
      <c r="E10" s="1585" t="s">
        <v>1452</v>
      </c>
      <c r="F10" s="494">
        <f>OFFICE!AL10-OFFICE!AD10-OFFICE!AJ10-OFFICE!AK10-OFFICE!AE10-OFFICE!AG10-W10</f>
        <v>617.86081127144632</v>
      </c>
      <c r="G10" s="495">
        <v>4062</v>
      </c>
      <c r="H10" s="488">
        <f t="shared" si="1"/>
        <v>2509750.615384615</v>
      </c>
      <c r="I10" s="803">
        <v>1</v>
      </c>
      <c r="J10" s="803">
        <v>3</v>
      </c>
      <c r="K10" s="802">
        <f t="shared" si="2"/>
        <v>600000</v>
      </c>
      <c r="L10" s="802">
        <f t="shared" si="3"/>
        <v>1909750.615384615</v>
      </c>
      <c r="M10" s="489">
        <f t="shared" si="4"/>
        <v>0.05</v>
      </c>
      <c r="N10" s="488">
        <f t="shared" si="5"/>
        <v>75000</v>
      </c>
      <c r="O10" s="490">
        <f t="shared" si="6"/>
        <v>20487.530769230754</v>
      </c>
      <c r="P10" s="491">
        <f t="shared" si="7"/>
        <v>5.0437052607658179</v>
      </c>
      <c r="R10" s="1217">
        <v>31541</v>
      </c>
      <c r="S10" s="1586">
        <v>44835</v>
      </c>
      <c r="T10" s="1174">
        <f>OFFICE!AL10-OFFICE!AE10</f>
        <v>643.76923076923072</v>
      </c>
      <c r="U10" s="1177">
        <f t="shared" si="8"/>
        <v>2614990.615384615</v>
      </c>
      <c r="V10" s="1206">
        <f t="shared" si="0"/>
        <v>24000</v>
      </c>
      <c r="W10" s="1194">
        <f t="shared" si="9"/>
        <v>5.9084194977843429</v>
      </c>
    </row>
    <row r="11" spans="1:39" s="477" customFormat="1" ht="34.5" customHeight="1">
      <c r="A11" s="478">
        <v>5</v>
      </c>
      <c r="B11" s="1067" t="s">
        <v>1420</v>
      </c>
      <c r="C11" s="578" t="s">
        <v>1421</v>
      </c>
      <c r="D11" s="1568">
        <v>41869</v>
      </c>
      <c r="E11" s="999" t="s">
        <v>1453</v>
      </c>
      <c r="F11" s="494">
        <f>OFFICE!AL11-OFFICE!AD11-OFFICE!AJ11-OFFICE!AK11-OFFICE!AE11-OFFICE!AG11-W11</f>
        <v>1009.1396574252927</v>
      </c>
      <c r="G11" s="495">
        <v>4062</v>
      </c>
      <c r="H11" s="488">
        <f t="shared" si="1"/>
        <v>4099125.288461539</v>
      </c>
      <c r="I11" s="480">
        <v>0</v>
      </c>
      <c r="J11" s="480">
        <v>3</v>
      </c>
      <c r="K11" s="488">
        <f t="shared" si="2"/>
        <v>450000</v>
      </c>
      <c r="L11" s="488">
        <f t="shared" si="3"/>
        <v>3649125.288461539</v>
      </c>
      <c r="M11" s="489">
        <f t="shared" si="4"/>
        <v>0.1</v>
      </c>
      <c r="N11" s="488">
        <f t="shared" si="5"/>
        <v>175000</v>
      </c>
      <c r="O11" s="490">
        <f t="shared" si="6"/>
        <v>189912.52884615393</v>
      </c>
      <c r="P11" s="491">
        <f t="shared" si="7"/>
        <v>46.753453679506137</v>
      </c>
      <c r="R11" s="1216">
        <v>34272</v>
      </c>
      <c r="S11" s="1170">
        <v>44835</v>
      </c>
      <c r="T11" s="1174">
        <f>OFFICE!AL11-OFFICE!AE11</f>
        <v>1035.0480769230771</v>
      </c>
      <c r="U11" s="1177">
        <f t="shared" si="8"/>
        <v>4204365.288461539</v>
      </c>
      <c r="V11" s="1206">
        <f t="shared" si="0"/>
        <v>24000</v>
      </c>
      <c r="W11" s="1194">
        <f t="shared" si="9"/>
        <v>5.9084194977843429</v>
      </c>
    </row>
    <row r="12" spans="1:39" s="477" customFormat="1" ht="34.5" customHeight="1">
      <c r="A12" s="478">
        <v>6</v>
      </c>
      <c r="B12" s="1333" t="s">
        <v>1426</v>
      </c>
      <c r="C12" s="578" t="s">
        <v>1427</v>
      </c>
      <c r="D12" s="1476">
        <v>43052</v>
      </c>
      <c r="E12" s="1639" t="s">
        <v>1428</v>
      </c>
      <c r="F12" s="494">
        <f>OFFICE!AL12-OFFICE!AD12-OFFICE!AJ12-OFFICE!AK12-OFFICE!AE12-OFFICE!AG12-W12</f>
        <v>271.09158050221566</v>
      </c>
      <c r="G12" s="495">
        <v>4062</v>
      </c>
      <c r="H12" s="488">
        <f t="shared" si="1"/>
        <v>1101174</v>
      </c>
      <c r="I12" s="480">
        <v>0</v>
      </c>
      <c r="J12" s="480">
        <v>2</v>
      </c>
      <c r="K12" s="488">
        <f t="shared" ref="K12" si="10">150000*(J12+I12)</f>
        <v>300000</v>
      </c>
      <c r="L12" s="488">
        <f t="shared" ref="L12" si="11">H12-K12</f>
        <v>801174</v>
      </c>
      <c r="M12" s="489">
        <f t="shared" si="4"/>
        <v>0</v>
      </c>
      <c r="N12" s="488">
        <f t="shared" si="5"/>
        <v>0</v>
      </c>
      <c r="O12" s="490">
        <f t="shared" si="6"/>
        <v>0</v>
      </c>
      <c r="P12" s="491">
        <f t="shared" si="7"/>
        <v>0</v>
      </c>
      <c r="R12" s="1216">
        <v>34820</v>
      </c>
      <c r="S12" s="1170">
        <v>44835</v>
      </c>
      <c r="T12" s="1174">
        <f>OFFICE!AL12-OFFICE!AE12</f>
        <v>297</v>
      </c>
      <c r="U12" s="1177">
        <f t="shared" si="8"/>
        <v>1206414</v>
      </c>
      <c r="V12" s="1206">
        <f t="shared" ref="V12" si="12">IF(YEARFRAC(R12,S12)&gt;=60,"0",IF(U12&lt;400000,400000*2%,IF(U12&gt;1200000,1200000*2%,U12*2%)))</f>
        <v>24000</v>
      </c>
      <c r="W12" s="1194">
        <f t="shared" si="9"/>
        <v>5.9084194977843429</v>
      </c>
    </row>
    <row r="13" spans="1:39" s="477" customFormat="1" ht="33" customHeight="1">
      <c r="A13" s="478">
        <v>7</v>
      </c>
      <c r="B13" s="518" t="s">
        <v>1423</v>
      </c>
      <c r="C13" s="628" t="s">
        <v>1424</v>
      </c>
      <c r="D13" s="1476">
        <v>42971</v>
      </c>
      <c r="E13" s="985" t="s">
        <v>1454</v>
      </c>
      <c r="F13" s="494">
        <f>OFFICE!AL13-OFFICE!AD13-OFFICE!AJ13-OFFICE!AK13-OFFICE!AE13-OFFICE!AG13-W13</f>
        <v>505.91609973298483</v>
      </c>
      <c r="G13" s="495">
        <v>4062</v>
      </c>
      <c r="H13" s="488">
        <f t="shared" si="1"/>
        <v>2055031.1971153843</v>
      </c>
      <c r="I13" s="480">
        <v>0</v>
      </c>
      <c r="J13" s="480">
        <v>3</v>
      </c>
      <c r="K13" s="488">
        <f t="shared" si="2"/>
        <v>450000</v>
      </c>
      <c r="L13" s="488">
        <f t="shared" si="3"/>
        <v>1605031.1971153843</v>
      </c>
      <c r="M13" s="489">
        <f t="shared" si="4"/>
        <v>0.05</v>
      </c>
      <c r="N13" s="488">
        <f t="shared" si="5"/>
        <v>75000</v>
      </c>
      <c r="O13" s="490">
        <f t="shared" si="6"/>
        <v>5251.5598557692138</v>
      </c>
      <c r="P13" s="491">
        <f t="shared" si="7"/>
        <v>1.2928507769003481</v>
      </c>
      <c r="R13" s="1217">
        <v>26579</v>
      </c>
      <c r="S13" s="1170">
        <v>44835</v>
      </c>
      <c r="T13" s="1174">
        <f>OFFICE!AL13-OFFICE!AE13</f>
        <v>531.82451923076917</v>
      </c>
      <c r="U13" s="1177">
        <f t="shared" si="8"/>
        <v>2160271.1971153845</v>
      </c>
      <c r="V13" s="1206">
        <f t="shared" si="0"/>
        <v>24000</v>
      </c>
      <c r="W13" s="1194">
        <f t="shared" si="9"/>
        <v>5.9084194977843429</v>
      </c>
    </row>
    <row r="14" spans="1:39" s="477" customFormat="1" ht="33" customHeight="1">
      <c r="A14" s="478">
        <v>8</v>
      </c>
      <c r="B14" s="518" t="s">
        <v>2005</v>
      </c>
      <c r="C14" s="578" t="s">
        <v>2006</v>
      </c>
      <c r="D14" s="1476">
        <v>41388</v>
      </c>
      <c r="E14" s="985" t="s">
        <v>1419</v>
      </c>
      <c r="F14" s="494">
        <f>OFFICE!AL14-OFFICE!AD14-OFFICE!AJ14-OFFICE!AK14-OFFICE!AE14-OFFICE!AG14-W14</f>
        <v>407.58677280990798</v>
      </c>
      <c r="G14" s="495">
        <v>4062</v>
      </c>
      <c r="H14" s="488">
        <f t="shared" si="1"/>
        <v>1655617.4711538462</v>
      </c>
      <c r="I14" s="480">
        <v>0</v>
      </c>
      <c r="J14" s="480">
        <v>2</v>
      </c>
      <c r="K14" s="488">
        <f t="shared" ref="K14" si="13">150000*(J14+I14)</f>
        <v>300000</v>
      </c>
      <c r="L14" s="488">
        <f t="shared" ref="L14" si="14">H14-K14</f>
        <v>1355617.4711538462</v>
      </c>
      <c r="M14" s="489">
        <f t="shared" si="4"/>
        <v>0</v>
      </c>
      <c r="N14" s="488">
        <f t="shared" si="5"/>
        <v>0</v>
      </c>
      <c r="O14" s="490">
        <f t="shared" si="6"/>
        <v>0</v>
      </c>
      <c r="P14" s="491">
        <f t="shared" si="7"/>
        <v>0</v>
      </c>
      <c r="R14" s="1216">
        <v>35896</v>
      </c>
      <c r="S14" s="1170">
        <v>44835</v>
      </c>
      <c r="T14" s="1174">
        <f>OFFICE!AL14-OFFICE!AE14</f>
        <v>433.49519230769232</v>
      </c>
      <c r="U14" s="1177">
        <f t="shared" si="8"/>
        <v>1760857.4711538462</v>
      </c>
      <c r="V14" s="1206">
        <f t="shared" si="0"/>
        <v>24000</v>
      </c>
      <c r="W14" s="1194">
        <f t="shared" si="9"/>
        <v>5.9084194977843429</v>
      </c>
    </row>
    <row r="15" spans="1:39" s="477" customFormat="1" ht="31.5" customHeight="1">
      <c r="A15" s="478">
        <v>9</v>
      </c>
      <c r="B15" s="518" t="s">
        <v>1429</v>
      </c>
      <c r="C15" s="578" t="s">
        <v>1430</v>
      </c>
      <c r="D15" s="1476">
        <v>43211</v>
      </c>
      <c r="E15" s="985" t="s">
        <v>1849</v>
      </c>
      <c r="F15" s="494">
        <f>OFFICE!AL15-OFFICE!AD15-OFFICE!AJ15-OFFICE!AK15-OFFICE!AE15-OFFICE!AG15-W15</f>
        <v>608.14597382322745</v>
      </c>
      <c r="G15" s="495">
        <v>4062</v>
      </c>
      <c r="H15" s="488">
        <f t="shared" si="1"/>
        <v>2470288.94566995</v>
      </c>
      <c r="I15" s="480">
        <v>0</v>
      </c>
      <c r="J15" s="521">
        <v>3</v>
      </c>
      <c r="K15" s="488">
        <f t="shared" si="2"/>
        <v>450000</v>
      </c>
      <c r="L15" s="488">
        <f t="shared" si="3"/>
        <v>2020288.94566995</v>
      </c>
      <c r="M15" s="489">
        <f t="shared" si="4"/>
        <v>0.1</v>
      </c>
      <c r="N15" s="488">
        <f t="shared" si="5"/>
        <v>175000</v>
      </c>
      <c r="O15" s="490">
        <f t="shared" si="6"/>
        <v>27028.894566995004</v>
      </c>
      <c r="P15" s="491">
        <f t="shared" si="7"/>
        <v>6.6540853192996074</v>
      </c>
      <c r="R15" s="1216">
        <v>34717</v>
      </c>
      <c r="S15" s="1170">
        <v>44835</v>
      </c>
      <c r="T15" s="1174">
        <f>OFFICE!AL15-OFFICE!AE15</f>
        <v>634.05439332101184</v>
      </c>
      <c r="U15" s="1177">
        <f t="shared" si="8"/>
        <v>2575528.94566995</v>
      </c>
      <c r="V15" s="1206">
        <f t="shared" si="0"/>
        <v>24000</v>
      </c>
      <c r="W15" s="1194">
        <f t="shared" si="9"/>
        <v>5.9084194977843429</v>
      </c>
    </row>
    <row r="16" spans="1:39" s="477" customFormat="1" ht="31.5" customHeight="1">
      <c r="A16" s="478">
        <v>10</v>
      </c>
      <c r="B16" s="572" t="s">
        <v>1598</v>
      </c>
      <c r="C16" s="956" t="s">
        <v>1500</v>
      </c>
      <c r="D16" s="1476">
        <v>44622</v>
      </c>
      <c r="E16" s="985" t="s">
        <v>1501</v>
      </c>
      <c r="F16" s="494">
        <f>OFFICE!AL16-OFFICE!AD16-OFFICE!AJ16-OFFICE!AK16-OFFICE!AE16-OFFICE!AG16-W16</f>
        <v>491.1318045389732</v>
      </c>
      <c r="G16" s="495">
        <v>4062</v>
      </c>
      <c r="H16" s="488">
        <f t="shared" si="1"/>
        <v>1994977.3900373091</v>
      </c>
      <c r="I16" s="480">
        <v>0</v>
      </c>
      <c r="J16" s="521">
        <v>1</v>
      </c>
      <c r="K16" s="488">
        <f t="shared" ref="K16:K17" si="15">150000*(J16+I16)</f>
        <v>150000</v>
      </c>
      <c r="L16" s="488">
        <f t="shared" ref="L16:L17" si="16">H16-K16</f>
        <v>1844977.3900373091</v>
      </c>
      <c r="M16" s="489">
        <f t="shared" si="4"/>
        <v>0.05</v>
      </c>
      <c r="N16" s="488">
        <f t="shared" si="5"/>
        <v>75000</v>
      </c>
      <c r="O16" s="490">
        <f t="shared" si="6"/>
        <v>17248.869501865469</v>
      </c>
      <c r="P16" s="491">
        <f t="shared" si="7"/>
        <v>4.2463982033149845</v>
      </c>
      <c r="R16" s="1216">
        <v>30194</v>
      </c>
      <c r="S16" s="1170">
        <v>44835</v>
      </c>
      <c r="T16" s="1174">
        <f>OFFICE!AL16-OFFICE!AE16</f>
        <v>517.04022403675754</v>
      </c>
      <c r="U16" s="1177">
        <f t="shared" si="8"/>
        <v>2100217.3900373089</v>
      </c>
      <c r="V16" s="1206">
        <f t="shared" si="0"/>
        <v>24000</v>
      </c>
      <c r="W16" s="1194">
        <f t="shared" si="9"/>
        <v>5.9084194977843429</v>
      </c>
    </row>
    <row r="17" spans="1:23" s="477" customFormat="1" ht="31.5" customHeight="1">
      <c r="A17" s="478">
        <v>11</v>
      </c>
      <c r="B17" s="572" t="s">
        <v>1842</v>
      </c>
      <c r="C17" s="956" t="s">
        <v>1843</v>
      </c>
      <c r="D17" s="1477">
        <v>44958</v>
      </c>
      <c r="E17" s="985" t="s">
        <v>1844</v>
      </c>
      <c r="F17" s="494">
        <f>OFFICE!AL17-OFFICE!AD17-OFFICE!AJ17-OFFICE!AK17-OFFICE!AE17-OFFICE!AG17-W17</f>
        <v>415.68288709936985</v>
      </c>
      <c r="G17" s="495">
        <v>4062</v>
      </c>
      <c r="H17" s="488">
        <f t="shared" si="1"/>
        <v>1688503.8873976404</v>
      </c>
      <c r="I17" s="480">
        <v>0</v>
      </c>
      <c r="J17" s="521">
        <v>0</v>
      </c>
      <c r="K17" s="488">
        <f t="shared" si="15"/>
        <v>0</v>
      </c>
      <c r="L17" s="488">
        <f t="shared" si="16"/>
        <v>1688503.8873976404</v>
      </c>
      <c r="M17" s="489">
        <f t="shared" si="4"/>
        <v>0.05</v>
      </c>
      <c r="N17" s="488">
        <f t="shared" si="5"/>
        <v>75000</v>
      </c>
      <c r="O17" s="490">
        <f t="shared" si="6"/>
        <v>9425.1943698820251</v>
      </c>
      <c r="P17" s="491">
        <f t="shared" si="7"/>
        <v>2.3203334243924236</v>
      </c>
      <c r="R17" s="1173">
        <v>36188</v>
      </c>
      <c r="S17" s="1179">
        <v>44835</v>
      </c>
      <c r="T17" s="1174">
        <f>OFFICE!AL17-OFFICE!AE17</f>
        <v>441.59130659715419</v>
      </c>
      <c r="U17" s="1177">
        <f t="shared" si="8"/>
        <v>1793743.8873976404</v>
      </c>
      <c r="V17" s="1206">
        <f t="shared" si="0"/>
        <v>24000</v>
      </c>
      <c r="W17" s="1194">
        <f t="shared" si="9"/>
        <v>5.9084194977843429</v>
      </c>
    </row>
    <row r="18" spans="1:23" s="477" customFormat="1" ht="31.5" customHeight="1">
      <c r="A18" s="478">
        <v>12</v>
      </c>
      <c r="B18" s="1360" t="s">
        <v>2080</v>
      </c>
      <c r="C18" s="966" t="s">
        <v>2081</v>
      </c>
      <c r="D18" s="624">
        <v>45187</v>
      </c>
      <c r="E18" s="1052" t="s">
        <v>2089</v>
      </c>
      <c r="F18" s="494">
        <f>OFFICE!AL18-OFFICE!AD18-OFFICE!AJ18-OFFICE!AK18-OFFICE!AE18-OFFICE!AG18-W18</f>
        <v>335.70696511760025</v>
      </c>
      <c r="G18" s="495">
        <v>4062</v>
      </c>
      <c r="H18" s="488">
        <f t="shared" si="1"/>
        <v>1363641.6923076923</v>
      </c>
      <c r="I18" s="480">
        <v>0</v>
      </c>
      <c r="J18" s="521">
        <v>4</v>
      </c>
      <c r="K18" s="488">
        <f t="shared" si="2"/>
        <v>600000</v>
      </c>
      <c r="L18" s="488">
        <f t="shared" si="3"/>
        <v>763641.69230769225</v>
      </c>
      <c r="M18" s="489">
        <f t="shared" si="4"/>
        <v>0</v>
      </c>
      <c r="N18" s="488">
        <f t="shared" si="5"/>
        <v>0</v>
      </c>
      <c r="O18" s="490">
        <f t="shared" si="6"/>
        <v>0</v>
      </c>
      <c r="P18" s="491">
        <f t="shared" si="7"/>
        <v>0</v>
      </c>
      <c r="R18" s="1751">
        <v>28037</v>
      </c>
      <c r="S18" s="1179">
        <v>44835</v>
      </c>
      <c r="T18" s="1174">
        <f>OFFICE!AL18-OFFICE!AE18</f>
        <v>361.61538461538458</v>
      </c>
      <c r="U18" s="1177">
        <f t="shared" si="8"/>
        <v>1468881.6923076923</v>
      </c>
      <c r="V18" s="1206">
        <f t="shared" si="0"/>
        <v>24000</v>
      </c>
      <c r="W18" s="1194">
        <f t="shared" si="9"/>
        <v>5.9084194977843429</v>
      </c>
    </row>
    <row r="19" spans="1:23" s="474" customFormat="1" ht="38.25" customHeight="1">
      <c r="A19" s="1338"/>
      <c r="B19" s="1339"/>
      <c r="C19" s="1339"/>
      <c r="D19" s="1339"/>
      <c r="E19" s="1339"/>
      <c r="F19" s="1340">
        <f>SUM(F7:F18)</f>
        <v>7088.1097778415351</v>
      </c>
      <c r="G19" s="1339"/>
      <c r="H19" s="1339"/>
      <c r="I19" s="1339"/>
      <c r="J19" s="1339"/>
      <c r="K19" s="1339"/>
      <c r="L19" s="2129" t="s">
        <v>251</v>
      </c>
      <c r="M19" s="2130"/>
      <c r="N19" s="2131"/>
      <c r="O19" s="496">
        <f>SUM(O7:O18)</f>
        <v>564733.72091633023</v>
      </c>
      <c r="P19" s="497">
        <f>SUM(P7:P18)</f>
        <v>139.02848865493112</v>
      </c>
      <c r="R19" s="1178"/>
      <c r="S19" s="2174" t="s">
        <v>251</v>
      </c>
      <c r="T19" s="2175"/>
      <c r="U19" s="2176"/>
      <c r="V19" s="1201">
        <f>SUM(V7:V18)</f>
        <v>288000</v>
      </c>
      <c r="W19" s="1202">
        <f>SUM(W7:W18)</f>
        <v>70.901033973412112</v>
      </c>
    </row>
    <row r="20" spans="1:23" s="474" customFormat="1" ht="15.75">
      <c r="C20" s="476"/>
      <c r="D20" s="475"/>
      <c r="E20" s="500"/>
    </row>
    <row r="21" spans="1:23" s="474" customFormat="1" ht="15.75">
      <c r="C21" s="476"/>
      <c r="D21" s="475"/>
      <c r="E21" s="500"/>
    </row>
  </sheetData>
  <mergeCells count="9">
    <mergeCell ref="R1:W1"/>
    <mergeCell ref="R2:W2"/>
    <mergeCell ref="R3:W3"/>
    <mergeCell ref="S19:U19"/>
    <mergeCell ref="A1:P1"/>
    <mergeCell ref="A2:P2"/>
    <mergeCell ref="A3:P3"/>
    <mergeCell ref="A4:E4"/>
    <mergeCell ref="L19:N19"/>
  </mergeCells>
  <conditionalFormatting sqref="M7:M18">
    <cfRule type="cellIs" dxfId="0" priority="8" stopIfTrue="1" operator="equal">
      <formula>0</formula>
    </cfRule>
  </conditionalFormatting>
  <pageMargins left="0.7" right="0.7" top="0.75" bottom="0.75" header="0.3" footer="0.3"/>
  <pageSetup paperSize="9" scale="75" orientation="landscape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N38"/>
  <sheetViews>
    <sheetView tabSelected="1" zoomScaleNormal="100" zoomScaleSheetLayoutView="100" workbookViewId="0">
      <selection activeCell="H8" sqref="H8"/>
    </sheetView>
  </sheetViews>
  <sheetFormatPr defaultRowHeight="15.75"/>
  <cols>
    <col min="1" max="1" width="3.625" style="544" customWidth="1"/>
    <col min="2" max="2" width="11.125" style="544" customWidth="1"/>
    <col min="3" max="3" width="5.5" style="555" customWidth="1"/>
    <col min="4" max="4" width="10.625" style="550" customWidth="1"/>
    <col min="5" max="5" width="10.75" style="550" customWidth="1"/>
    <col min="6" max="6" width="12.375" style="571" customWidth="1"/>
    <col min="7" max="8" width="8" style="544" customWidth="1"/>
    <col min="9" max="9" width="14.125" style="544" customWidth="1"/>
    <col min="10" max="15" width="8.875" style="544" customWidth="1"/>
    <col min="16" max="16" width="12.625" style="544" customWidth="1"/>
    <col min="17" max="17" width="27.625" style="544" customWidth="1"/>
    <col min="18" max="18" width="4.75" style="544" customWidth="1"/>
    <col min="19" max="37" width="7.5" style="544" customWidth="1"/>
    <col min="38" max="38" width="6.75" style="544" customWidth="1"/>
    <col min="39" max="39" width="7.5" style="544" customWidth="1"/>
    <col min="40" max="40" width="22.375" style="544" customWidth="1"/>
    <col min="41" max="16384" width="9" style="544"/>
  </cols>
  <sheetData>
    <row r="1" spans="1:40" s="1298" customFormat="1" ht="35.25" customHeight="1">
      <c r="A1" s="2215" t="s">
        <v>1836</v>
      </c>
      <c r="B1" s="2215"/>
      <c r="C1" s="2215"/>
      <c r="D1" s="2215"/>
      <c r="E1" s="2215"/>
      <c r="F1" s="2215"/>
      <c r="G1" s="2215"/>
      <c r="H1" s="2215"/>
      <c r="I1" s="2215"/>
      <c r="J1" s="2215"/>
      <c r="K1" s="2215"/>
      <c r="L1" s="2215"/>
      <c r="M1" s="2215"/>
      <c r="N1" s="2215"/>
      <c r="O1" s="2215"/>
      <c r="P1" s="2215"/>
      <c r="Q1" s="2215"/>
      <c r="R1" s="2215"/>
    </row>
    <row r="2" spans="1:40" s="711" customFormat="1" ht="21" customHeight="1">
      <c r="A2" s="2217" t="s">
        <v>923</v>
      </c>
      <c r="B2" s="2217"/>
      <c r="C2" s="2217"/>
      <c r="D2" s="2217"/>
      <c r="E2" s="2217"/>
      <c r="F2" s="2217"/>
      <c r="G2" s="2217"/>
      <c r="H2" s="2217"/>
      <c r="I2" s="2217"/>
      <c r="J2" s="2217"/>
      <c r="K2" s="2217"/>
      <c r="L2" s="2217"/>
      <c r="M2" s="2217"/>
      <c r="N2" s="2217"/>
      <c r="O2" s="2217"/>
      <c r="P2" s="2217"/>
      <c r="Q2" s="2217"/>
      <c r="R2" s="712"/>
      <c r="S2" s="712"/>
      <c r="T2" s="712"/>
      <c r="U2" s="712"/>
      <c r="V2" s="712"/>
      <c r="W2" s="712"/>
      <c r="X2" s="712"/>
      <c r="Y2" s="712"/>
      <c r="Z2" s="712"/>
      <c r="AA2" s="712"/>
      <c r="AB2" s="712"/>
      <c r="AC2" s="712"/>
      <c r="AD2" s="712"/>
      <c r="AE2" s="712"/>
      <c r="AF2" s="712"/>
      <c r="AG2" s="712"/>
      <c r="AH2" s="712"/>
      <c r="AI2" s="712"/>
      <c r="AJ2" s="712"/>
      <c r="AK2" s="712"/>
      <c r="AL2" s="712"/>
      <c r="AM2" s="712"/>
      <c r="AN2" s="710"/>
    </row>
    <row r="3" spans="1:40" s="711" customFormat="1" ht="22.5" customHeight="1">
      <c r="A3" s="2218" t="s">
        <v>374</v>
      </c>
      <c r="B3" s="2218"/>
      <c r="C3" s="2218"/>
      <c r="D3" s="2218"/>
      <c r="E3" s="2218"/>
      <c r="F3" s="2218"/>
      <c r="G3" s="2218"/>
      <c r="H3" s="2218"/>
      <c r="I3" s="2218"/>
      <c r="J3" s="2218"/>
      <c r="K3" s="2218"/>
      <c r="L3" s="2218"/>
      <c r="M3" s="2218"/>
      <c r="N3" s="2218"/>
      <c r="O3" s="2218"/>
      <c r="P3" s="2218"/>
      <c r="Q3" s="2218"/>
      <c r="R3" s="712"/>
      <c r="S3" s="712"/>
      <c r="T3" s="712"/>
      <c r="U3" s="712"/>
      <c r="V3" s="712"/>
      <c r="W3" s="712"/>
      <c r="X3" s="712"/>
      <c r="Y3" s="712"/>
      <c r="Z3" s="712"/>
      <c r="AA3" s="712"/>
      <c r="AB3" s="712"/>
      <c r="AC3" s="712"/>
      <c r="AD3" s="712"/>
      <c r="AE3" s="712"/>
      <c r="AF3" s="712"/>
      <c r="AG3" s="712"/>
      <c r="AH3" s="712"/>
      <c r="AI3" s="712"/>
      <c r="AJ3" s="712"/>
      <c r="AK3" s="712"/>
      <c r="AL3" s="712"/>
      <c r="AM3" s="712"/>
      <c r="AN3" s="710"/>
    </row>
    <row r="4" spans="1:40" s="711" customFormat="1" ht="20.25" customHeight="1">
      <c r="A4" s="2217" t="s">
        <v>2349</v>
      </c>
      <c r="B4" s="2217"/>
      <c r="C4" s="2217"/>
      <c r="D4" s="2217"/>
      <c r="E4" s="2217"/>
      <c r="F4" s="2217"/>
      <c r="G4" s="2217"/>
      <c r="H4" s="2217"/>
      <c r="I4" s="2217"/>
      <c r="J4" s="2217"/>
      <c r="K4" s="2217"/>
      <c r="L4" s="2217"/>
      <c r="M4" s="2217"/>
      <c r="N4" s="2217"/>
      <c r="O4" s="2217"/>
      <c r="P4" s="2217"/>
      <c r="Q4" s="2217"/>
      <c r="R4" s="712"/>
      <c r="S4" s="712"/>
      <c r="T4" s="712"/>
      <c r="U4" s="712"/>
      <c r="V4" s="712"/>
      <c r="W4" s="712"/>
      <c r="X4" s="712"/>
      <c r="Y4" s="712"/>
      <c r="Z4" s="712"/>
      <c r="AA4" s="712"/>
      <c r="AB4" s="712"/>
      <c r="AC4" s="712"/>
      <c r="AD4" s="712"/>
      <c r="AE4" s="712"/>
      <c r="AF4" s="712"/>
      <c r="AG4" s="712"/>
      <c r="AH4" s="712"/>
      <c r="AI4" s="712"/>
      <c r="AJ4" s="712"/>
      <c r="AK4" s="712"/>
      <c r="AL4" s="712"/>
      <c r="AM4" s="712"/>
      <c r="AN4" s="710"/>
    </row>
    <row r="5" spans="1:40" ht="41.25" customHeight="1">
      <c r="A5" s="696" t="s">
        <v>111</v>
      </c>
      <c r="B5" s="696" t="s">
        <v>375</v>
      </c>
      <c r="C5" s="696" t="s">
        <v>376</v>
      </c>
      <c r="D5" s="696" t="s">
        <v>377</v>
      </c>
      <c r="E5" s="696" t="s">
        <v>378</v>
      </c>
      <c r="F5" s="697" t="s">
        <v>379</v>
      </c>
      <c r="G5" s="698">
        <v>100</v>
      </c>
      <c r="H5" s="698">
        <v>50</v>
      </c>
      <c r="I5" s="699" t="s">
        <v>219</v>
      </c>
      <c r="J5" s="700" t="s">
        <v>733</v>
      </c>
      <c r="K5" s="701" t="s">
        <v>734</v>
      </c>
      <c r="L5" s="700" t="s">
        <v>735</v>
      </c>
      <c r="M5" s="701" t="s">
        <v>736</v>
      </c>
      <c r="N5" s="701" t="s">
        <v>737</v>
      </c>
      <c r="O5" s="701" t="s">
        <v>380</v>
      </c>
      <c r="P5" s="697" t="s">
        <v>381</v>
      </c>
      <c r="Q5" s="637" t="s">
        <v>123</v>
      </c>
      <c r="R5" s="713"/>
      <c r="S5" s="713"/>
      <c r="T5" s="713"/>
      <c r="U5" s="713"/>
      <c r="V5" s="713"/>
      <c r="W5" s="713"/>
      <c r="X5" s="713"/>
      <c r="Y5" s="713"/>
      <c r="Z5" s="713"/>
      <c r="AA5" s="713"/>
      <c r="AB5" s="713"/>
      <c r="AC5" s="713"/>
      <c r="AD5" s="713"/>
      <c r="AE5" s="713"/>
      <c r="AF5" s="713"/>
      <c r="AG5" s="713"/>
      <c r="AH5" s="713"/>
      <c r="AI5" s="713"/>
      <c r="AJ5" s="713"/>
      <c r="AK5" s="713"/>
      <c r="AL5" s="713"/>
      <c r="AM5" s="713"/>
      <c r="AN5" s="543"/>
    </row>
    <row r="6" spans="1:40" ht="30" customHeight="1">
      <c r="A6" s="638">
        <v>1</v>
      </c>
      <c r="B6" s="702" t="s">
        <v>382</v>
      </c>
      <c r="C6" s="703">
        <f>'S1'!A36</f>
        <v>30</v>
      </c>
      <c r="D6" s="714">
        <f>'S1'!AQ37</f>
        <v>8414.9931803121817</v>
      </c>
      <c r="E6" s="594">
        <f>'S1'!AS37</f>
        <v>6300</v>
      </c>
      <c r="F6" s="595">
        <f>'S1'!AR37</f>
        <v>8544800</v>
      </c>
      <c r="G6" s="638">
        <f>'S1'!AY37</f>
        <v>63</v>
      </c>
      <c r="H6" s="638">
        <f>'S1'!AZ37</f>
        <v>0</v>
      </c>
      <c r="I6" s="704">
        <f>G6*100+H6*50</f>
        <v>6300</v>
      </c>
      <c r="J6" s="638">
        <f>'S1'!BB37</f>
        <v>157</v>
      </c>
      <c r="K6" s="638">
        <f>'S1'!BC37</f>
        <v>55</v>
      </c>
      <c r="L6" s="638">
        <f>'S1'!BD37</f>
        <v>16</v>
      </c>
      <c r="M6" s="638">
        <f>'S1'!BE37</f>
        <v>51</v>
      </c>
      <c r="N6" s="638">
        <f>'S1'!BF37</f>
        <v>14</v>
      </c>
      <c r="O6" s="638">
        <f>'S1'!BG37</f>
        <v>68</v>
      </c>
      <c r="P6" s="705">
        <f>J6*50000+K6*10000+L6*5000+M6*1000+N6*500+O6*100</f>
        <v>8544800</v>
      </c>
      <c r="Q6" s="715"/>
      <c r="R6" s="713"/>
      <c r="S6" s="713"/>
      <c r="T6" s="713"/>
      <c r="U6" s="713"/>
      <c r="V6" s="713"/>
      <c r="W6" s="713"/>
      <c r="X6" s="713"/>
      <c r="Y6" s="713"/>
      <c r="Z6" s="713"/>
      <c r="AA6" s="713"/>
      <c r="AB6" s="713"/>
      <c r="AC6" s="713"/>
      <c r="AD6" s="713"/>
      <c r="AE6" s="713"/>
      <c r="AF6" s="713"/>
      <c r="AG6" s="713"/>
      <c r="AH6" s="713"/>
      <c r="AI6" s="713"/>
      <c r="AJ6" s="713"/>
      <c r="AK6" s="713"/>
      <c r="AL6" s="713"/>
      <c r="AM6" s="713"/>
      <c r="AN6" s="543"/>
    </row>
    <row r="7" spans="1:40" s="550" customFormat="1" ht="30" customHeight="1">
      <c r="A7" s="638">
        <v>2</v>
      </c>
      <c r="B7" s="702" t="s">
        <v>383</v>
      </c>
      <c r="C7" s="703">
        <f>'S2'!A40</f>
        <v>34</v>
      </c>
      <c r="D7" s="714">
        <f>'S2'!AQ41</f>
        <v>9753.6185855286494</v>
      </c>
      <c r="E7" s="594">
        <f>'S2'!AS41</f>
        <v>7800</v>
      </c>
      <c r="F7" s="595">
        <f>'S2'!AR41</f>
        <v>7892400</v>
      </c>
      <c r="G7" s="638">
        <f>'S2'!AW41</f>
        <v>78</v>
      </c>
      <c r="H7" s="638">
        <f>'S2'!AX41</f>
        <v>0</v>
      </c>
      <c r="I7" s="704">
        <f>G7*100+H7*50</f>
        <v>7800</v>
      </c>
      <c r="J7" s="638">
        <f>'S2'!AZ41</f>
        <v>141</v>
      </c>
      <c r="K7" s="638">
        <f>'S2'!BA41</f>
        <v>68</v>
      </c>
      <c r="L7" s="638">
        <f>'S2'!BB41</f>
        <v>18</v>
      </c>
      <c r="M7" s="638">
        <f>'S2'!BC41</f>
        <v>58</v>
      </c>
      <c r="N7" s="638">
        <f>'S2'!BD41</f>
        <v>15</v>
      </c>
      <c r="O7" s="638">
        <f>'S2'!BE41</f>
        <v>69</v>
      </c>
      <c r="P7" s="705">
        <f t="shared" ref="P7:P20" si="0">J7*50000+K7*10000+L7*5000+M7*1000+N7*500+O7*100</f>
        <v>7892400</v>
      </c>
      <c r="Q7" s="715"/>
      <c r="R7" s="713"/>
      <c r="S7" s="713"/>
      <c r="T7" s="713"/>
      <c r="U7" s="713"/>
      <c r="V7" s="713"/>
      <c r="W7" s="713"/>
      <c r="X7" s="713"/>
      <c r="Y7" s="713"/>
      <c r="Z7" s="713"/>
      <c r="AA7" s="713"/>
      <c r="AB7" s="713"/>
      <c r="AC7" s="713"/>
      <c r="AD7" s="713"/>
      <c r="AE7" s="713"/>
      <c r="AF7" s="713"/>
      <c r="AG7" s="713"/>
      <c r="AH7" s="713"/>
      <c r="AI7" s="713"/>
      <c r="AJ7" s="713"/>
      <c r="AK7" s="713"/>
      <c r="AL7" s="713"/>
      <c r="AM7" s="713"/>
      <c r="AN7" s="504"/>
    </row>
    <row r="8" spans="1:40" s="550" customFormat="1" ht="30" customHeight="1">
      <c r="A8" s="638">
        <v>3</v>
      </c>
      <c r="B8" s="702" t="s">
        <v>384</v>
      </c>
      <c r="C8" s="703">
        <f>'S3'!A38</f>
        <v>32</v>
      </c>
      <c r="D8" s="714">
        <f>'S3'!AQ39</f>
        <v>9074.2578035600909</v>
      </c>
      <c r="E8" s="594">
        <f>'S3'!AS39</f>
        <v>6900</v>
      </c>
      <c r="F8" s="595">
        <f>'S3'!AR39</f>
        <v>8783800</v>
      </c>
      <c r="G8" s="638">
        <f>'S3'!AW39</f>
        <v>69</v>
      </c>
      <c r="H8" s="638">
        <f>'S3'!AX39</f>
        <v>0</v>
      </c>
      <c r="I8" s="704">
        <f>G8*100+H8*50</f>
        <v>6900</v>
      </c>
      <c r="J8" s="638">
        <f>'S3'!AZ39</f>
        <v>162</v>
      </c>
      <c r="K8" s="638">
        <f>'S3'!BA39</f>
        <v>53</v>
      </c>
      <c r="L8" s="638">
        <f>'S3'!BB39</f>
        <v>13</v>
      </c>
      <c r="M8" s="638">
        <f>'S3'!BC39</f>
        <v>77</v>
      </c>
      <c r="N8" s="638">
        <f>'S3'!BD39</f>
        <v>10</v>
      </c>
      <c r="O8" s="638">
        <f>'S3'!BE39</f>
        <v>68</v>
      </c>
      <c r="P8" s="705">
        <f t="shared" si="0"/>
        <v>8783800</v>
      </c>
      <c r="Q8" s="715"/>
      <c r="R8" s="713"/>
      <c r="S8" s="713"/>
      <c r="T8" s="713"/>
      <c r="U8" s="713"/>
      <c r="V8" s="713"/>
      <c r="W8" s="713"/>
      <c r="X8" s="713"/>
      <c r="Y8" s="713"/>
      <c r="Z8" s="713"/>
      <c r="AA8" s="713"/>
      <c r="AB8" s="713"/>
      <c r="AC8" s="713"/>
      <c r="AD8" s="713"/>
      <c r="AE8" s="713"/>
      <c r="AF8" s="713"/>
      <c r="AG8" s="713"/>
      <c r="AH8" s="713"/>
      <c r="AI8" s="713"/>
      <c r="AJ8" s="713"/>
      <c r="AK8" s="713"/>
      <c r="AL8" s="713"/>
      <c r="AM8" s="713"/>
      <c r="AN8" s="504"/>
    </row>
    <row r="9" spans="1:40" s="550" customFormat="1" ht="30" customHeight="1">
      <c r="A9" s="638">
        <v>4</v>
      </c>
      <c r="B9" s="702" t="s">
        <v>385</v>
      </c>
      <c r="C9" s="703">
        <f>'S4'!A36</f>
        <v>30</v>
      </c>
      <c r="D9" s="714">
        <f>'S4'!AQ37</f>
        <v>8160.4436960864969</v>
      </c>
      <c r="E9" s="594">
        <f>'S4'!AS37</f>
        <v>6400</v>
      </c>
      <c r="F9" s="595">
        <f>'S4'!AR37</f>
        <v>7112500</v>
      </c>
      <c r="G9" s="638">
        <f>'S4'!AW37</f>
        <v>64</v>
      </c>
      <c r="H9" s="638">
        <f>'S4'!AX37</f>
        <v>0</v>
      </c>
      <c r="I9" s="704">
        <f>G9*100+H9*50</f>
        <v>6400</v>
      </c>
      <c r="J9" s="638">
        <f>'S4'!AZ37</f>
        <v>127</v>
      </c>
      <c r="K9" s="638">
        <f>'S4'!BA37</f>
        <v>63</v>
      </c>
      <c r="L9" s="638">
        <f>'S4'!BB37</f>
        <v>15</v>
      </c>
      <c r="M9" s="638">
        <f>'S4'!BC37</f>
        <v>46</v>
      </c>
      <c r="N9" s="638">
        <f>'S4'!BD37</f>
        <v>8</v>
      </c>
      <c r="O9" s="638">
        <f>'S4'!BE37</f>
        <v>75</v>
      </c>
      <c r="P9" s="705">
        <f t="shared" si="0"/>
        <v>7112500</v>
      </c>
      <c r="Q9" s="715"/>
      <c r="R9" s="713"/>
      <c r="S9" s="713"/>
      <c r="T9" s="713"/>
      <c r="U9" s="713"/>
      <c r="V9" s="713"/>
      <c r="W9" s="713"/>
      <c r="X9" s="713"/>
      <c r="Y9" s="713"/>
      <c r="Z9" s="713"/>
      <c r="AA9" s="713"/>
      <c r="AB9" s="713"/>
      <c r="AC9" s="713"/>
      <c r="AD9" s="713"/>
      <c r="AE9" s="713"/>
      <c r="AF9" s="713"/>
      <c r="AG9" s="713"/>
      <c r="AH9" s="713"/>
      <c r="AI9" s="713"/>
      <c r="AJ9" s="713"/>
      <c r="AK9" s="713"/>
      <c r="AL9" s="713"/>
      <c r="AM9" s="713"/>
      <c r="AN9" s="504"/>
    </row>
    <row r="10" spans="1:40" s="550" customFormat="1" ht="30" customHeight="1">
      <c r="A10" s="638">
        <v>5</v>
      </c>
      <c r="B10" s="702" t="s">
        <v>386</v>
      </c>
      <c r="C10" s="703">
        <f>'S5'!A34</f>
        <v>28</v>
      </c>
      <c r="D10" s="714">
        <f>'S5'!AQ35</f>
        <v>7697.4704443215742</v>
      </c>
      <c r="E10" s="594">
        <f>'S5'!AS35</f>
        <v>5700</v>
      </c>
      <c r="F10" s="595">
        <f>'S5'!AR35</f>
        <v>8069800</v>
      </c>
      <c r="G10" s="638">
        <f>'S5'!AW35</f>
        <v>57</v>
      </c>
      <c r="H10" s="638">
        <f>'S5'!AX35</f>
        <v>0</v>
      </c>
      <c r="I10" s="704">
        <f t="shared" ref="I10:I20" si="1">G10*100+H10*50</f>
        <v>5700</v>
      </c>
      <c r="J10" s="638">
        <f>'S5'!AZ35</f>
        <v>146</v>
      </c>
      <c r="K10" s="638">
        <f>'S5'!BA35</f>
        <v>62</v>
      </c>
      <c r="L10" s="638">
        <f>'S5'!BB35</f>
        <v>14</v>
      </c>
      <c r="M10" s="638">
        <f>'S5'!BC35</f>
        <v>65</v>
      </c>
      <c r="N10" s="638">
        <f>'S5'!BD35</f>
        <v>15</v>
      </c>
      <c r="O10" s="638">
        <f>'S5'!BE35</f>
        <v>73</v>
      </c>
      <c r="P10" s="705">
        <f t="shared" si="0"/>
        <v>8069800</v>
      </c>
      <c r="Q10" s="715"/>
      <c r="R10" s="713"/>
      <c r="S10" s="713"/>
      <c r="T10" s="713"/>
      <c r="U10" s="713"/>
      <c r="V10" s="713"/>
      <c r="W10" s="713"/>
      <c r="X10" s="713"/>
      <c r="Y10" s="713"/>
      <c r="Z10" s="713"/>
      <c r="AA10" s="713"/>
      <c r="AB10" s="713"/>
      <c r="AC10" s="713"/>
      <c r="AD10" s="713"/>
      <c r="AE10" s="713"/>
      <c r="AF10" s="713"/>
      <c r="AG10" s="713"/>
      <c r="AH10" s="713"/>
      <c r="AI10" s="713"/>
      <c r="AJ10" s="713"/>
      <c r="AK10" s="713"/>
      <c r="AL10" s="713"/>
      <c r="AM10" s="713"/>
      <c r="AN10" s="504"/>
    </row>
    <row r="11" spans="1:40" s="550" customFormat="1" ht="30" customHeight="1">
      <c r="A11" s="638">
        <v>6</v>
      </c>
      <c r="B11" s="702" t="s">
        <v>387</v>
      </c>
      <c r="C11" s="703">
        <f>'S6'!A36</f>
        <v>30</v>
      </c>
      <c r="D11" s="714">
        <f>'S6'!AQ37</f>
        <v>8021.2162216254465</v>
      </c>
      <c r="E11" s="594">
        <f>'S6'!AS37</f>
        <v>6200</v>
      </c>
      <c r="F11" s="595">
        <f>'S6'!AR37</f>
        <v>7357800</v>
      </c>
      <c r="G11" s="638">
        <f>'S6'!AW37</f>
        <v>62</v>
      </c>
      <c r="H11" s="638">
        <f>'S6'!AX37</f>
        <v>0</v>
      </c>
      <c r="I11" s="704">
        <f t="shared" si="1"/>
        <v>6200</v>
      </c>
      <c r="J11" s="638">
        <f>'S6'!AZ37</f>
        <v>133</v>
      </c>
      <c r="K11" s="638">
        <f>'S6'!BA37</f>
        <v>57</v>
      </c>
      <c r="L11" s="638">
        <f>'S6'!BB37</f>
        <v>13</v>
      </c>
      <c r="M11" s="638">
        <f>'S6'!BC37</f>
        <v>62</v>
      </c>
      <c r="N11" s="638">
        <f>'S6'!BD37</f>
        <v>9</v>
      </c>
      <c r="O11" s="638">
        <f>'S6'!BE37</f>
        <v>63</v>
      </c>
      <c r="P11" s="705">
        <f t="shared" si="0"/>
        <v>7357800</v>
      </c>
      <c r="Q11" s="715"/>
      <c r="R11" s="713"/>
      <c r="S11" s="713"/>
      <c r="T11" s="713"/>
      <c r="U11" s="713"/>
      <c r="V11" s="713"/>
      <c r="W11" s="713"/>
      <c r="X11" s="713"/>
      <c r="Y11" s="713"/>
      <c r="Z11" s="713"/>
      <c r="AA11" s="713"/>
      <c r="AB11" s="713"/>
      <c r="AC11" s="713"/>
      <c r="AD11" s="713"/>
      <c r="AE11" s="713"/>
      <c r="AF11" s="713"/>
      <c r="AG11" s="713"/>
      <c r="AH11" s="713"/>
      <c r="AI11" s="713"/>
      <c r="AJ11" s="713"/>
      <c r="AK11" s="713"/>
      <c r="AL11" s="713"/>
      <c r="AM11" s="713"/>
      <c r="AN11" s="504"/>
    </row>
    <row r="12" spans="1:40" s="550" customFormat="1" ht="30" customHeight="1">
      <c r="A12" s="638">
        <v>7</v>
      </c>
      <c r="B12" s="702" t="s">
        <v>388</v>
      </c>
      <c r="C12" s="703">
        <f>CUT!A27</f>
        <v>21</v>
      </c>
      <c r="D12" s="714">
        <f>CUT!AQ28</f>
        <v>5763.2138758342189</v>
      </c>
      <c r="E12" s="594">
        <f>CUT!AS28</f>
        <v>4700</v>
      </c>
      <c r="F12" s="595">
        <f>CUT!AR28</f>
        <v>4295400</v>
      </c>
      <c r="G12" s="638">
        <f>CUT!AW28</f>
        <v>47</v>
      </c>
      <c r="H12" s="638">
        <f>CUT!AX28</f>
        <v>0</v>
      </c>
      <c r="I12" s="704">
        <f t="shared" si="1"/>
        <v>4700</v>
      </c>
      <c r="J12" s="638">
        <f>CUT!AZ28</f>
        <v>76</v>
      </c>
      <c r="K12" s="638">
        <f>CUT!BA28</f>
        <v>41</v>
      </c>
      <c r="L12" s="638">
        <f>CUT!BB28</f>
        <v>6</v>
      </c>
      <c r="M12" s="638">
        <f>CUT!BC28</f>
        <v>47</v>
      </c>
      <c r="N12" s="638">
        <f>CUT!BD28</f>
        <v>7</v>
      </c>
      <c r="O12" s="638">
        <f>CUT!BE28</f>
        <v>49</v>
      </c>
      <c r="P12" s="705">
        <f t="shared" si="0"/>
        <v>4295400</v>
      </c>
      <c r="Q12" s="715"/>
      <c r="R12" s="713"/>
      <c r="S12" s="713"/>
      <c r="T12" s="713"/>
      <c r="U12" s="713"/>
      <c r="V12" s="713"/>
      <c r="W12" s="713"/>
      <c r="X12" s="713"/>
      <c r="Y12" s="713"/>
      <c r="Z12" s="713"/>
      <c r="AA12" s="713"/>
      <c r="AB12" s="713"/>
      <c r="AC12" s="713"/>
      <c r="AD12" s="713"/>
      <c r="AE12" s="713"/>
      <c r="AF12" s="713"/>
      <c r="AG12" s="713"/>
      <c r="AH12" s="713"/>
      <c r="AI12" s="713"/>
      <c r="AJ12" s="713"/>
      <c r="AK12" s="713"/>
      <c r="AL12" s="713"/>
      <c r="AM12" s="713"/>
      <c r="AN12" s="504"/>
    </row>
    <row r="13" spans="1:40" ht="30" customHeight="1">
      <c r="A13" s="638">
        <v>8</v>
      </c>
      <c r="B13" s="702" t="s">
        <v>319</v>
      </c>
      <c r="C13" s="703">
        <f>WC!A13</f>
        <v>7</v>
      </c>
      <c r="D13" s="714">
        <f>WC!AQ14</f>
        <v>1789.0774445517554</v>
      </c>
      <c r="E13" s="594">
        <f>WC!AS14</f>
        <v>1400</v>
      </c>
      <c r="F13" s="595">
        <f>WC!AR14</f>
        <v>1571800</v>
      </c>
      <c r="G13" s="638">
        <f>WC!AW14</f>
        <v>14</v>
      </c>
      <c r="H13" s="638">
        <f>WC!AX14</f>
        <v>0</v>
      </c>
      <c r="I13" s="704">
        <f>G13*100+H13*50</f>
        <v>1400</v>
      </c>
      <c r="J13" s="638">
        <f>WC!AZ14</f>
        <v>28</v>
      </c>
      <c r="K13" s="638">
        <f>WC!BA14</f>
        <v>14</v>
      </c>
      <c r="L13" s="638">
        <f>WC!BB14</f>
        <v>2</v>
      </c>
      <c r="M13" s="638">
        <f>WC!BC14</f>
        <v>19</v>
      </c>
      <c r="N13" s="638">
        <f>WC!BD14</f>
        <v>3</v>
      </c>
      <c r="O13" s="638">
        <f>WC!BE14</f>
        <v>13</v>
      </c>
      <c r="P13" s="705">
        <f t="shared" si="0"/>
        <v>1571800</v>
      </c>
      <c r="Q13" s="715"/>
      <c r="R13" s="713"/>
      <c r="S13" s="713"/>
      <c r="T13" s="713"/>
      <c r="U13" s="713"/>
      <c r="V13" s="713"/>
      <c r="W13" s="713"/>
      <c r="X13" s="713"/>
      <c r="Y13" s="713"/>
      <c r="Z13" s="713"/>
      <c r="AA13" s="713"/>
      <c r="AB13" s="713"/>
      <c r="AC13" s="713"/>
      <c r="AD13" s="713"/>
      <c r="AE13" s="713"/>
      <c r="AF13" s="713"/>
      <c r="AG13" s="713"/>
      <c r="AH13" s="713"/>
      <c r="AI13" s="713"/>
      <c r="AJ13" s="713"/>
      <c r="AK13" s="713"/>
      <c r="AL13" s="713"/>
      <c r="AM13" s="713"/>
      <c r="AN13" s="501"/>
    </row>
    <row r="14" spans="1:40" ht="30" customHeight="1">
      <c r="A14" s="638">
        <v>9</v>
      </c>
      <c r="B14" s="702" t="s">
        <v>389</v>
      </c>
      <c r="C14" s="703">
        <f>'R'!A11</f>
        <v>5</v>
      </c>
      <c r="D14" s="714">
        <f>'R'!AP12</f>
        <v>1760.0578342626936</v>
      </c>
      <c r="E14" s="594">
        <f>'R'!AR12</f>
        <v>1500</v>
      </c>
      <c r="F14" s="595">
        <f>'R'!AQ12</f>
        <v>1050700</v>
      </c>
      <c r="G14" s="638">
        <f>'R'!AU12</f>
        <v>15</v>
      </c>
      <c r="H14" s="638">
        <f>'R'!AV12</f>
        <v>0</v>
      </c>
      <c r="I14" s="704">
        <f t="shared" si="1"/>
        <v>1500</v>
      </c>
      <c r="J14" s="638">
        <f>'R'!AX12</f>
        <v>19</v>
      </c>
      <c r="K14" s="638">
        <f>'R'!AY12</f>
        <v>9</v>
      </c>
      <c r="L14" s="638">
        <f>'R'!AZ12</f>
        <v>0</v>
      </c>
      <c r="M14" s="638">
        <f>'R'!BA12</f>
        <v>8</v>
      </c>
      <c r="N14" s="638">
        <f>'R'!BB12</f>
        <v>3</v>
      </c>
      <c r="O14" s="638">
        <f>'R'!BC12</f>
        <v>12</v>
      </c>
      <c r="P14" s="705">
        <f t="shared" si="0"/>
        <v>1050700</v>
      </c>
      <c r="Q14" s="715"/>
      <c r="R14" s="713"/>
      <c r="S14" s="713"/>
      <c r="T14" s="713"/>
      <c r="U14" s="713"/>
      <c r="V14" s="713"/>
      <c r="W14" s="713"/>
      <c r="X14" s="552"/>
      <c r="Y14" s="552"/>
      <c r="Z14" s="552"/>
      <c r="AA14" s="552"/>
      <c r="AB14" s="552"/>
      <c r="AC14" s="552"/>
      <c r="AD14" s="552"/>
      <c r="AE14" s="552"/>
      <c r="AF14" s="552"/>
      <c r="AG14" s="552"/>
      <c r="AH14" s="552"/>
      <c r="AI14" s="552"/>
      <c r="AJ14" s="552"/>
      <c r="AK14" s="552"/>
      <c r="AL14" s="1322"/>
      <c r="AM14" s="1322"/>
      <c r="AN14" s="552"/>
    </row>
    <row r="15" spans="1:40" s="555" customFormat="1" ht="30" customHeight="1">
      <c r="A15" s="638">
        <v>10</v>
      </c>
      <c r="B15" s="702" t="s">
        <v>1854</v>
      </c>
      <c r="C15" s="703">
        <f>WH!A11</f>
        <v>5</v>
      </c>
      <c r="D15" s="714">
        <f>WH!AP12</f>
        <v>1367.9747522236537</v>
      </c>
      <c r="E15" s="594">
        <f>WH!AR12</f>
        <v>1100</v>
      </c>
      <c r="F15" s="595">
        <f>WH!AQ12</f>
        <v>1082700</v>
      </c>
      <c r="G15" s="638">
        <f>WH!AV12</f>
        <v>11</v>
      </c>
      <c r="H15" s="638">
        <f>WH!AW12</f>
        <v>0</v>
      </c>
      <c r="I15" s="704">
        <f t="shared" si="1"/>
        <v>1100</v>
      </c>
      <c r="J15" s="638">
        <f>WH!AY12</f>
        <v>19</v>
      </c>
      <c r="K15" s="638">
        <f>WH!AZ12</f>
        <v>11</v>
      </c>
      <c r="L15" s="638">
        <f>WH!BA12</f>
        <v>3</v>
      </c>
      <c r="M15" s="638">
        <f>WH!BB12</f>
        <v>6</v>
      </c>
      <c r="N15" s="638">
        <f>WH!BC12</f>
        <v>1</v>
      </c>
      <c r="O15" s="638">
        <f>WH!BD12</f>
        <v>12</v>
      </c>
      <c r="P15" s="705">
        <f t="shared" si="0"/>
        <v>1082700</v>
      </c>
      <c r="Q15" s="715"/>
      <c r="AL15" s="1323"/>
      <c r="AM15" s="1323"/>
    </row>
    <row r="16" spans="1:40" ht="30" customHeight="1">
      <c r="A16" s="638">
        <v>11</v>
      </c>
      <c r="B16" s="702" t="s">
        <v>390</v>
      </c>
      <c r="C16" s="703">
        <f>P!A52</f>
        <v>46</v>
      </c>
      <c r="D16" s="714">
        <f>P!AR53</f>
        <v>13083.377112766373</v>
      </c>
      <c r="E16" s="594">
        <f>P!AT53</f>
        <v>10100</v>
      </c>
      <c r="F16" s="595">
        <f>P!AS53</f>
        <v>12052700</v>
      </c>
      <c r="G16" s="638">
        <f>P!AX53</f>
        <v>101</v>
      </c>
      <c r="H16" s="638">
        <f>P!AY53</f>
        <v>0</v>
      </c>
      <c r="I16" s="704">
        <f t="shared" si="1"/>
        <v>10100</v>
      </c>
      <c r="J16" s="638">
        <f>P!BA53</f>
        <v>220</v>
      </c>
      <c r="K16" s="638">
        <f>P!BB53</f>
        <v>85</v>
      </c>
      <c r="L16" s="638">
        <f>P!BC53</f>
        <v>20</v>
      </c>
      <c r="M16" s="638">
        <f>P!BD53</f>
        <v>85</v>
      </c>
      <c r="N16" s="638">
        <f>P!BE53</f>
        <v>18</v>
      </c>
      <c r="O16" s="638">
        <f>P!BF53</f>
        <v>87</v>
      </c>
      <c r="P16" s="705">
        <f t="shared" si="0"/>
        <v>12052700</v>
      </c>
      <c r="Q16" s="715"/>
      <c r="R16" s="552"/>
      <c r="S16" s="552"/>
      <c r="T16" s="552"/>
      <c r="U16" s="552"/>
      <c r="V16" s="552"/>
      <c r="W16" s="552"/>
      <c r="X16" s="552"/>
      <c r="Y16" s="552"/>
      <c r="Z16" s="552"/>
      <c r="AA16" s="552"/>
      <c r="AB16" s="552"/>
      <c r="AC16" s="552"/>
      <c r="AD16" s="552"/>
      <c r="AE16" s="552"/>
      <c r="AF16" s="552"/>
      <c r="AG16" s="552"/>
      <c r="AH16" s="552"/>
      <c r="AI16" s="552"/>
      <c r="AJ16" s="552"/>
      <c r="AK16" s="552"/>
      <c r="AL16" s="552"/>
      <c r="AM16" s="552"/>
      <c r="AN16" s="552"/>
    </row>
    <row r="17" spans="1:17" ht="30" customHeight="1">
      <c r="A17" s="638">
        <v>12</v>
      </c>
      <c r="B17" s="702" t="s">
        <v>355</v>
      </c>
      <c r="C17" s="703">
        <f>QC!A25</f>
        <v>19</v>
      </c>
      <c r="D17" s="714">
        <f>QC!AQ26</f>
        <v>6485.915872857785</v>
      </c>
      <c r="E17" s="594">
        <f>QC!AS26</f>
        <v>5600</v>
      </c>
      <c r="F17" s="595">
        <f>QC!AR26</f>
        <v>3578900</v>
      </c>
      <c r="G17" s="638">
        <f>QC!AX26</f>
        <v>56</v>
      </c>
      <c r="H17" s="638">
        <f>QC!AY26</f>
        <v>0</v>
      </c>
      <c r="I17" s="704">
        <f t="shared" si="1"/>
        <v>5600</v>
      </c>
      <c r="J17" s="638">
        <f>QC!BA26</f>
        <v>63</v>
      </c>
      <c r="K17" s="638">
        <f>QC!BB26</f>
        <v>34</v>
      </c>
      <c r="L17" s="638">
        <f>QC!BC26</f>
        <v>10</v>
      </c>
      <c r="M17" s="638">
        <f>QC!BD26</f>
        <v>30</v>
      </c>
      <c r="N17" s="638">
        <f>QC!BE26</f>
        <v>10</v>
      </c>
      <c r="O17" s="638">
        <f>QC!BF26</f>
        <v>39</v>
      </c>
      <c r="P17" s="705">
        <f t="shared" si="0"/>
        <v>3578900</v>
      </c>
      <c r="Q17" s="715"/>
    </row>
    <row r="18" spans="1:17" ht="30" customHeight="1">
      <c r="A18" s="638">
        <v>13</v>
      </c>
      <c r="B18" s="702" t="s">
        <v>391</v>
      </c>
      <c r="C18" s="703">
        <f>PP!A19</f>
        <v>13</v>
      </c>
      <c r="D18" s="714">
        <f>PP!AQ20</f>
        <v>2530.2413976523194</v>
      </c>
      <c r="E18" s="594">
        <f>PP!AS20</f>
        <v>1800</v>
      </c>
      <c r="F18" s="595">
        <f>PP!AR20</f>
        <v>2950300</v>
      </c>
      <c r="G18" s="638">
        <f>PP!AV20</f>
        <v>18</v>
      </c>
      <c r="H18" s="638">
        <f>PP!AW20</f>
        <v>0</v>
      </c>
      <c r="I18" s="704">
        <f t="shared" si="1"/>
        <v>1800</v>
      </c>
      <c r="J18" s="638">
        <f>PP!AY20</f>
        <v>52</v>
      </c>
      <c r="K18" s="638">
        <f>PP!AZ20</f>
        <v>29</v>
      </c>
      <c r="L18" s="638">
        <f>PP!BA20</f>
        <v>5</v>
      </c>
      <c r="M18" s="638">
        <f>PP!BB20</f>
        <v>29</v>
      </c>
      <c r="N18" s="638">
        <f>PP!BC20</f>
        <v>8</v>
      </c>
      <c r="O18" s="638">
        <f>PP!BD20</f>
        <v>23</v>
      </c>
      <c r="P18" s="705">
        <f t="shared" si="0"/>
        <v>2950300</v>
      </c>
      <c r="Q18" s="715"/>
    </row>
    <row r="19" spans="1:17" ht="30" customHeight="1">
      <c r="A19" s="638">
        <v>14</v>
      </c>
      <c r="B19" s="702" t="s">
        <v>392</v>
      </c>
      <c r="C19" s="703">
        <f>D!A11</f>
        <v>5</v>
      </c>
      <c r="D19" s="714">
        <f>D!AP12</f>
        <v>1326.9684264875596</v>
      </c>
      <c r="E19" s="594">
        <f>D!AR12</f>
        <v>1100</v>
      </c>
      <c r="F19" s="595">
        <f>D!AQ12</f>
        <v>917000</v>
      </c>
      <c r="G19" s="638">
        <f>D!AV12</f>
        <v>11</v>
      </c>
      <c r="H19" s="638">
        <f>D!AW12</f>
        <v>0</v>
      </c>
      <c r="I19" s="704">
        <f t="shared" si="1"/>
        <v>1100</v>
      </c>
      <c r="J19" s="638">
        <f>D!AY12</f>
        <v>17</v>
      </c>
      <c r="K19" s="638">
        <f>D!AZ12</f>
        <v>6</v>
      </c>
      <c r="L19" s="638">
        <f>D!BA12</f>
        <v>0</v>
      </c>
      <c r="M19" s="638">
        <f>D!BB12</f>
        <v>5</v>
      </c>
      <c r="N19" s="638">
        <f>D!BC12</f>
        <v>3</v>
      </c>
      <c r="O19" s="638">
        <f>D!BD12</f>
        <v>5</v>
      </c>
      <c r="P19" s="705">
        <f t="shared" si="0"/>
        <v>917000</v>
      </c>
      <c r="Q19" s="715"/>
    </row>
    <row r="20" spans="1:17" ht="30" customHeight="1">
      <c r="A20" s="638">
        <v>15</v>
      </c>
      <c r="B20" s="702" t="s">
        <v>393</v>
      </c>
      <c r="C20" s="703">
        <f>T!A10</f>
        <v>4</v>
      </c>
      <c r="D20" s="714">
        <f>T!AQ11</f>
        <v>1160.9435039386879</v>
      </c>
      <c r="E20" s="594">
        <f>T!AS11</f>
        <v>900</v>
      </c>
      <c r="F20" s="595">
        <f>T!AR11</f>
        <v>1054200</v>
      </c>
      <c r="G20" s="638">
        <f>T!AW11</f>
        <v>9</v>
      </c>
      <c r="H20" s="638">
        <f>T!AX11</f>
        <v>0</v>
      </c>
      <c r="I20" s="704">
        <f t="shared" si="1"/>
        <v>900</v>
      </c>
      <c r="J20" s="638">
        <f>T!AZ11</f>
        <v>19</v>
      </c>
      <c r="K20" s="638">
        <f>T!BA11</f>
        <v>8</v>
      </c>
      <c r="L20" s="638">
        <f>T!BB11</f>
        <v>3</v>
      </c>
      <c r="M20" s="638">
        <f>T!BC11</f>
        <v>8</v>
      </c>
      <c r="N20" s="638">
        <f>T!BD11</f>
        <v>1</v>
      </c>
      <c r="O20" s="638">
        <f>T!BE11</f>
        <v>7</v>
      </c>
      <c r="P20" s="705">
        <f t="shared" si="0"/>
        <v>1054200</v>
      </c>
      <c r="Q20" s="715"/>
    </row>
    <row r="21" spans="1:17" ht="30" customHeight="1" thickBot="1">
      <c r="A21" s="638">
        <v>16</v>
      </c>
      <c r="B21" s="592" t="s">
        <v>394</v>
      </c>
      <c r="C21" s="593">
        <v>15</v>
      </c>
      <c r="D21" s="714">
        <f>OFFICE!AQ19</f>
        <v>5965.0812891866044</v>
      </c>
      <c r="E21" s="594">
        <f>OFFICE!AS19</f>
        <v>5400</v>
      </c>
      <c r="F21" s="595">
        <f>OFFICE!AR19</f>
        <v>2282900</v>
      </c>
      <c r="G21" s="596">
        <f>OFFICE!AV19</f>
        <v>54</v>
      </c>
      <c r="H21" s="596">
        <v>0</v>
      </c>
      <c r="I21" s="704">
        <f>OFFICE!AZ19</f>
        <v>5400</v>
      </c>
      <c r="J21" s="1064">
        <f>OFFICE!BA19</f>
        <v>41</v>
      </c>
      <c r="K21" s="1064">
        <f>OFFICE!BB19</f>
        <v>17</v>
      </c>
      <c r="L21" s="1065">
        <f>OFFICE!BC19</f>
        <v>5</v>
      </c>
      <c r="M21" s="1065">
        <f>OFFICE!BD19</f>
        <v>31</v>
      </c>
      <c r="N21" s="1065">
        <f>OFFICE!BE19</f>
        <v>8</v>
      </c>
      <c r="O21" s="1065">
        <f>OFFICE!BF19</f>
        <v>29</v>
      </c>
      <c r="P21" s="705">
        <f>OFFICE!BG19</f>
        <v>2282900</v>
      </c>
      <c r="Q21" s="716"/>
    </row>
    <row r="22" spans="1:17" ht="31.5" customHeight="1" thickTop="1" thickBot="1">
      <c r="A22" s="2219" t="s">
        <v>395</v>
      </c>
      <c r="B22" s="2220"/>
      <c r="C22" s="706">
        <f>SUM(C6:C21)</f>
        <v>324</v>
      </c>
      <c r="D22" s="528">
        <f>SUM(D6:D21)</f>
        <v>92354.851441196093</v>
      </c>
      <c r="E22" s="528">
        <f>SUM(E6:E21)</f>
        <v>72900</v>
      </c>
      <c r="F22" s="707">
        <f>SUM(F6:F21)</f>
        <v>78597700</v>
      </c>
      <c r="G22" s="708">
        <f>SUM(G6:G21)</f>
        <v>729</v>
      </c>
      <c r="H22" s="708">
        <f t="shared" ref="H22" si="2">SUM(H6:H21)</f>
        <v>0</v>
      </c>
      <c r="I22" s="709">
        <f>SUM(I6:I21)</f>
        <v>72900</v>
      </c>
      <c r="J22" s="708">
        <f t="shared" ref="J22:O22" si="3">SUM(J6:J21)</f>
        <v>1420</v>
      </c>
      <c r="K22" s="708">
        <f t="shared" si="3"/>
        <v>612</v>
      </c>
      <c r="L22" s="708">
        <f t="shared" si="3"/>
        <v>143</v>
      </c>
      <c r="M22" s="708">
        <f t="shared" si="3"/>
        <v>627</v>
      </c>
      <c r="N22" s="708">
        <f t="shared" si="3"/>
        <v>133</v>
      </c>
      <c r="O22" s="708">
        <f t="shared" si="3"/>
        <v>692</v>
      </c>
      <c r="P22" s="1305">
        <f>SUM(P6:P21)</f>
        <v>78597700</v>
      </c>
      <c r="Q22" s="717"/>
    </row>
    <row r="23" spans="1:17" ht="30.75" customHeight="1" thickTop="1">
      <c r="A23" s="2221" t="s">
        <v>396</v>
      </c>
      <c r="B23" s="2221"/>
      <c r="C23" s="748" t="s">
        <v>1828</v>
      </c>
      <c r="D23" s="718"/>
      <c r="E23" s="718"/>
      <c r="F23" s="719"/>
      <c r="G23" s="2221" t="s">
        <v>2168</v>
      </c>
      <c r="H23" s="2221"/>
      <c r="I23" s="1324"/>
      <c r="J23" s="1324"/>
      <c r="K23" s="540"/>
      <c r="L23" s="1681"/>
      <c r="M23" s="1681" t="s">
        <v>445</v>
      </c>
      <c r="N23" s="720"/>
      <c r="O23" s="720"/>
      <c r="P23" s="2216" t="s">
        <v>397</v>
      </c>
      <c r="Q23" s="2216"/>
    </row>
    <row r="26" spans="1:17">
      <c r="P26" s="721"/>
    </row>
    <row r="28" spans="1:17">
      <c r="E28" s="571"/>
      <c r="F28" s="544"/>
    </row>
    <row r="30" spans="1:17">
      <c r="I30" s="603"/>
    </row>
    <row r="31" spans="1:17">
      <c r="P31" s="603"/>
    </row>
    <row r="36" spans="16:16">
      <c r="P36" s="603"/>
    </row>
    <row r="38" spans="16:16">
      <c r="P38" s="1074"/>
    </row>
  </sheetData>
  <mergeCells count="8">
    <mergeCell ref="A1:R1"/>
    <mergeCell ref="P23:Q23"/>
    <mergeCell ref="A2:Q2"/>
    <mergeCell ref="A3:Q3"/>
    <mergeCell ref="A4:Q4"/>
    <mergeCell ref="A22:B22"/>
    <mergeCell ref="A23:B23"/>
    <mergeCell ref="G23:H23"/>
  </mergeCells>
  <phoneticPr fontId="171" type="noConversion"/>
  <printOptions horizontalCentered="1"/>
  <pageMargins left="0" right="0" top="0" bottom="0" header="0.31496062992126" footer="0.31496062992126"/>
  <pageSetup paperSize="9" scale="75" orientation="landscape" horizontalDpi="4294967293" verticalDpi="200" r:id="rId1"/>
  <colBreaks count="1" manualBreakCount="1">
    <brk id="17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topLeftCell="A4" zoomScaleNormal="100" workbookViewId="0">
      <selection activeCell="J18" sqref="J18"/>
    </sheetView>
  </sheetViews>
  <sheetFormatPr defaultRowHeight="14.25"/>
  <cols>
    <col min="1" max="1" width="9" style="738"/>
    <col min="2" max="2" width="11.625" style="738" customWidth="1"/>
    <col min="3" max="3" width="10.5" style="738" customWidth="1"/>
    <col min="4" max="4" width="10" style="738" customWidth="1"/>
    <col min="5" max="6" width="9" style="738"/>
    <col min="7" max="7" width="11.75" style="738" customWidth="1"/>
    <col min="8" max="8" width="15.75" style="738" customWidth="1"/>
    <col min="9" max="9" width="15.5" style="738" customWidth="1"/>
    <col min="10" max="10" width="13.75" style="738" customWidth="1"/>
    <col min="11" max="11" width="9" style="738"/>
    <col min="12" max="12" width="8.375" style="738" customWidth="1"/>
    <col min="13" max="16384" width="9" style="738"/>
  </cols>
  <sheetData>
    <row r="2" spans="1:12" ht="33.75" customHeight="1">
      <c r="B2" s="739"/>
      <c r="C2" s="739"/>
      <c r="D2" s="739"/>
      <c r="E2" s="1250">
        <v>100</v>
      </c>
      <c r="F2" s="1250">
        <v>50</v>
      </c>
      <c r="G2" s="1250" t="s">
        <v>398</v>
      </c>
      <c r="H2" s="739"/>
    </row>
    <row r="3" spans="1:12" ht="42.75" customHeight="1">
      <c r="B3" s="739"/>
      <c r="C3" s="739"/>
      <c r="D3" s="739"/>
      <c r="E3" s="1251">
        <f>总表!G22</f>
        <v>729</v>
      </c>
      <c r="F3" s="1251">
        <f>总表!H22</f>
        <v>0</v>
      </c>
      <c r="G3" s="1252">
        <f>SUM(E3:F3)</f>
        <v>729</v>
      </c>
      <c r="H3" s="739"/>
      <c r="K3" s="737"/>
    </row>
    <row r="4" spans="1:12" ht="42.75" customHeight="1">
      <c r="B4" s="740"/>
      <c r="C4" s="740"/>
      <c r="D4" s="740" t="s">
        <v>702</v>
      </c>
      <c r="E4" s="1251">
        <f>E3*E2</f>
        <v>72900</v>
      </c>
      <c r="F4" s="1251">
        <f t="shared" ref="F4" si="0">F3*F2</f>
        <v>0</v>
      </c>
      <c r="G4" s="1253">
        <f>SUM(E4:F4)</f>
        <v>72900</v>
      </c>
      <c r="H4" s="739"/>
    </row>
    <row r="5" spans="1:12" ht="24" customHeight="1">
      <c r="B5" s="739"/>
      <c r="C5" s="739"/>
      <c r="D5" s="739"/>
      <c r="E5" s="739"/>
      <c r="F5" s="739"/>
      <c r="G5" s="739"/>
      <c r="H5" s="739"/>
      <c r="J5" s="1261" t="s">
        <v>1829</v>
      </c>
      <c r="K5" s="2223">
        <f>总表!D22</f>
        <v>92354.851441196093</v>
      </c>
      <c r="L5" s="2223"/>
    </row>
    <row r="6" spans="1:12" ht="26.25" customHeight="1">
      <c r="B6" s="700" t="s">
        <v>733</v>
      </c>
      <c r="C6" s="701" t="s">
        <v>734</v>
      </c>
      <c r="D6" s="700" t="s">
        <v>735</v>
      </c>
      <c r="E6" s="701" t="s">
        <v>736</v>
      </c>
      <c r="F6" s="701" t="s">
        <v>737</v>
      </c>
      <c r="G6" s="701" t="s">
        <v>380</v>
      </c>
      <c r="H6" s="533" t="s">
        <v>74</v>
      </c>
    </row>
    <row r="7" spans="1:12" ht="33.75" customHeight="1">
      <c r="B7" s="518">
        <f>总表!J22</f>
        <v>1420</v>
      </c>
      <c r="C7" s="518">
        <f>总表!K22</f>
        <v>612</v>
      </c>
      <c r="D7" s="518">
        <f>总表!L22</f>
        <v>143</v>
      </c>
      <c r="E7" s="518">
        <f>总表!M22</f>
        <v>627</v>
      </c>
      <c r="F7" s="518">
        <f>总表!N22</f>
        <v>133</v>
      </c>
      <c r="G7" s="518">
        <f>总表!O22</f>
        <v>692</v>
      </c>
      <c r="H7" s="1414">
        <f>SUM(B7:G7)</f>
        <v>3627</v>
      </c>
      <c r="I7" s="1259"/>
      <c r="J7" s="1261" t="s">
        <v>1829</v>
      </c>
      <c r="K7" s="2222">
        <f>G4+H11</f>
        <v>92354.876237623757</v>
      </c>
      <c r="L7" s="2222"/>
    </row>
    <row r="8" spans="1:12" ht="33.75" customHeight="1">
      <c r="A8" s="740" t="s">
        <v>74</v>
      </c>
      <c r="B8" s="518">
        <f>B7*50000</f>
        <v>71000000</v>
      </c>
      <c r="C8" s="518">
        <f>C7*10000</f>
        <v>6120000</v>
      </c>
      <c r="D8" s="518">
        <f>D7*5000</f>
        <v>715000</v>
      </c>
      <c r="E8" s="518">
        <f>E7*1000</f>
        <v>627000</v>
      </c>
      <c r="F8" s="518">
        <f>F7*500</f>
        <v>66500</v>
      </c>
      <c r="G8" s="518">
        <f>G7*100</f>
        <v>69200</v>
      </c>
      <c r="H8" s="1744">
        <f>SUM(B8:G8)</f>
        <v>78597700</v>
      </c>
    </row>
    <row r="9" spans="1:12">
      <c r="B9" s="739"/>
      <c r="C9" s="739"/>
      <c r="D9" s="739"/>
      <c r="E9" s="739"/>
      <c r="F9" s="739"/>
      <c r="G9" s="739"/>
      <c r="H9" s="739"/>
    </row>
    <row r="10" spans="1:12">
      <c r="B10" s="739"/>
      <c r="C10" s="739"/>
      <c r="D10" s="739"/>
      <c r="E10" s="739"/>
      <c r="F10" s="739"/>
      <c r="G10" s="739"/>
      <c r="H10" s="739"/>
    </row>
    <row r="11" spans="1:12" ht="20.25">
      <c r="B11" s="739"/>
      <c r="C11" s="739"/>
      <c r="D11" s="739"/>
      <c r="E11" s="739"/>
      <c r="F11" s="739"/>
      <c r="G11" s="739"/>
      <c r="H11" s="741">
        <f>H8/4040</f>
        <v>19454.876237623761</v>
      </c>
    </row>
    <row r="12" spans="1:12" ht="21" customHeight="1">
      <c r="B12" s="739"/>
      <c r="C12" s="739"/>
      <c r="D12" s="739"/>
      <c r="E12" s="739"/>
      <c r="F12" s="739"/>
      <c r="G12" s="739"/>
      <c r="H12" s="742"/>
    </row>
    <row r="17" spans="8:8">
      <c r="H17" s="1745">
        <v>95909.72</v>
      </c>
    </row>
    <row r="20" spans="8:8" ht="15" customHeight="1"/>
  </sheetData>
  <mergeCells count="2">
    <mergeCell ref="K7:L7"/>
    <mergeCell ref="K5:L5"/>
  </mergeCells>
  <phoneticPr fontId="171" type="noConversion"/>
  <pageMargins left="0.7" right="0.7" top="0.75" bottom="0.75" header="0.3" footer="0.3"/>
  <pageSetup paperSize="9" scale="92" orientation="portrait" verticalDpi="2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7"/>
  <sheetViews>
    <sheetView topLeftCell="A13" zoomScaleNormal="100" workbookViewId="0">
      <selection activeCell="G22" sqref="G22"/>
    </sheetView>
  </sheetViews>
  <sheetFormatPr defaultRowHeight="14.25"/>
  <cols>
    <col min="2" max="2" width="11.875" customWidth="1"/>
    <col min="3" max="3" width="11.25" customWidth="1"/>
    <col min="4" max="4" width="13.125" customWidth="1"/>
    <col min="5" max="5" width="16.125" customWidth="1"/>
    <col min="6" max="6" width="13.125" customWidth="1"/>
    <col min="7" max="7" width="13.875" customWidth="1"/>
    <col min="8" max="8" width="19.25" customWidth="1"/>
    <col min="9" max="9" width="16.75" customWidth="1"/>
    <col min="10" max="10" width="15.375" customWidth="1"/>
    <col min="11" max="12" width="16.75" customWidth="1"/>
    <col min="13" max="13" width="20.75" customWidth="1"/>
    <col min="15" max="15" width="24.5" customWidth="1"/>
  </cols>
  <sheetData>
    <row r="1" spans="1:17" ht="29.25">
      <c r="A1" s="2228" t="s">
        <v>893</v>
      </c>
      <c r="B1" s="2228"/>
      <c r="C1" s="2228"/>
      <c r="D1" s="2228"/>
      <c r="E1" s="2228"/>
      <c r="F1" s="2228"/>
      <c r="G1" s="2228"/>
      <c r="H1" s="2228"/>
      <c r="I1" s="2228"/>
      <c r="J1" s="2228"/>
      <c r="K1" s="2228"/>
      <c r="L1" s="2228"/>
      <c r="M1" s="2228"/>
      <c r="N1" s="650"/>
      <c r="O1" s="650"/>
    </row>
    <row r="2" spans="1:17" ht="29.25">
      <c r="A2" s="2229" t="s">
        <v>894</v>
      </c>
      <c r="B2" s="2230"/>
      <c r="C2" s="2230"/>
      <c r="D2" s="2230"/>
      <c r="E2" s="2230"/>
      <c r="F2" s="2230"/>
      <c r="G2" s="2230"/>
      <c r="H2" s="2230"/>
      <c r="I2" s="2230"/>
      <c r="J2" s="2230"/>
      <c r="K2" s="2230"/>
      <c r="L2" s="2230"/>
      <c r="M2" s="2230"/>
      <c r="N2" s="651"/>
      <c r="O2" s="651"/>
    </row>
    <row r="3" spans="1:17" ht="18.75">
      <c r="A3" s="2231" t="s">
        <v>895</v>
      </c>
      <c r="B3" s="2231"/>
      <c r="C3" s="2231"/>
      <c r="D3" s="2231"/>
      <c r="E3" s="2231"/>
      <c r="F3" s="2231"/>
      <c r="G3" s="2231"/>
      <c r="H3" s="2231"/>
      <c r="I3" s="2231"/>
      <c r="J3" s="2231"/>
      <c r="K3" s="2231"/>
      <c r="L3" s="2231"/>
      <c r="M3" s="2231"/>
      <c r="N3" s="652"/>
      <c r="O3" s="652"/>
    </row>
    <row r="4" spans="1:17" ht="29.25">
      <c r="A4" s="2232" t="s">
        <v>1853</v>
      </c>
      <c r="B4" s="2232"/>
      <c r="C4" s="2232"/>
      <c r="D4" s="2232"/>
      <c r="E4" s="2232"/>
      <c r="F4" s="2232"/>
      <c r="G4" s="2232"/>
      <c r="H4" s="2232"/>
      <c r="I4" s="2232"/>
      <c r="J4" s="2232"/>
      <c r="K4" s="2232"/>
      <c r="L4" s="2232"/>
      <c r="M4" s="2232"/>
      <c r="N4" s="652"/>
      <c r="O4" s="652"/>
    </row>
    <row r="5" spans="1:17" ht="24" customHeight="1">
      <c r="A5" s="2227" t="s">
        <v>2350</v>
      </c>
      <c r="B5" s="2227"/>
      <c r="C5" s="2227"/>
      <c r="D5" s="2227"/>
      <c r="E5" s="2227"/>
      <c r="F5" s="2227"/>
      <c r="G5" s="2227"/>
      <c r="H5" s="2227"/>
      <c r="I5" s="2227"/>
      <c r="J5" s="2227"/>
      <c r="K5" s="2227"/>
      <c r="L5" s="2227"/>
      <c r="M5" s="2227"/>
      <c r="N5" s="667"/>
      <c r="O5" s="667"/>
    </row>
    <row r="6" spans="1:17" ht="51" customHeight="1">
      <c r="A6" s="678" t="s">
        <v>899</v>
      </c>
      <c r="B6" s="681" t="s">
        <v>900</v>
      </c>
      <c r="C6" s="679" t="s">
        <v>1838</v>
      </c>
      <c r="D6" s="681" t="s">
        <v>1837</v>
      </c>
      <c r="E6" s="681" t="s">
        <v>1848</v>
      </c>
      <c r="F6" s="1296" t="s">
        <v>1834</v>
      </c>
      <c r="G6" s="680" t="s">
        <v>901</v>
      </c>
      <c r="H6" s="681" t="s">
        <v>1815</v>
      </c>
      <c r="I6" s="681" t="s">
        <v>1816</v>
      </c>
      <c r="J6" s="682" t="s">
        <v>2188</v>
      </c>
      <c r="K6" s="682" t="s">
        <v>1817</v>
      </c>
      <c r="L6" s="682" t="s">
        <v>1818</v>
      </c>
      <c r="M6" s="682" t="s">
        <v>902</v>
      </c>
      <c r="N6" s="653"/>
      <c r="O6" s="498"/>
      <c r="Q6" s="668"/>
    </row>
    <row r="7" spans="1:17" ht="30" customHeight="1">
      <c r="A7" s="654">
        <v>1</v>
      </c>
      <c r="B7" s="655" t="s">
        <v>382</v>
      </c>
      <c r="C7" s="1302">
        <f>'S1'!AM37</f>
        <v>4.5</v>
      </c>
      <c r="D7" s="1299">
        <f>'S1'!AO37</f>
        <v>3.8520082945119869</v>
      </c>
      <c r="E7" s="1299">
        <f>'Tax Calulation '!F37</f>
        <v>10574.215188606695</v>
      </c>
      <c r="F7" s="1294">
        <f>'S1'!AG37</f>
        <v>10</v>
      </c>
      <c r="G7" s="684">
        <f>'S1'!AD37</f>
        <v>0</v>
      </c>
      <c r="H7" s="671">
        <f>'S1'!AJ37</f>
        <v>286.13</v>
      </c>
      <c r="I7" s="669">
        <f>'S1'!AK37</f>
        <v>300</v>
      </c>
      <c r="J7" s="669">
        <f>'S1'!AE37</f>
        <v>0</v>
      </c>
      <c r="K7" s="669">
        <f>'S1'!AP37</f>
        <v>175.79393824565381</v>
      </c>
      <c r="L7" s="670">
        <f>SUM(F7:K7)</f>
        <v>771.92393824565374</v>
      </c>
      <c r="M7" s="656"/>
      <c r="N7" s="657"/>
      <c r="O7" s="665"/>
    </row>
    <row r="8" spans="1:17" ht="30" customHeight="1">
      <c r="A8" s="654">
        <v>2</v>
      </c>
      <c r="B8" s="658" t="s">
        <v>383</v>
      </c>
      <c r="C8" s="1302">
        <f>'S2'!AM41</f>
        <v>6</v>
      </c>
      <c r="D8" s="1299">
        <f>'S2'!AO41</f>
        <v>7.7987259492093068</v>
      </c>
      <c r="E8" s="1299">
        <f>'Tax Calulation'!F41</f>
        <v>12550.417311477859</v>
      </c>
      <c r="F8" s="1294">
        <f>'S2'!AG41</f>
        <v>5</v>
      </c>
      <c r="G8" s="685">
        <f>'S2'!AD41</f>
        <v>0</v>
      </c>
      <c r="H8" s="671">
        <f>'S2'!AJ41</f>
        <v>340</v>
      </c>
      <c r="I8" s="672">
        <f>'S2'!AK41</f>
        <v>340</v>
      </c>
      <c r="J8" s="669">
        <f>'S2'!AE41</f>
        <v>0</v>
      </c>
      <c r="K8" s="669">
        <f>'S2'!AP41</f>
        <v>200.88626292466753</v>
      </c>
      <c r="L8" s="670">
        <f t="shared" ref="L8:L21" si="0">SUM(F8:K8)</f>
        <v>885.88626292466756</v>
      </c>
      <c r="M8" s="656"/>
      <c r="N8" s="657"/>
      <c r="O8" s="665"/>
    </row>
    <row r="9" spans="1:17" ht="30" customHeight="1">
      <c r="A9" s="654">
        <v>3</v>
      </c>
      <c r="B9" s="658" t="s">
        <v>384</v>
      </c>
      <c r="C9" s="1302">
        <f>'S3'!AM39</f>
        <v>4</v>
      </c>
      <c r="D9" s="1299">
        <f>'S3'!AO39</f>
        <v>21.242945864407666</v>
      </c>
      <c r="E9" s="1299">
        <f>'Tax Calulation  '!F39</f>
        <v>11662.736749424501</v>
      </c>
      <c r="F9" s="1294">
        <f>'S3'!AG39</f>
        <v>15</v>
      </c>
      <c r="G9" s="685">
        <f>'S3'!AD39</f>
        <v>45.764000000000003</v>
      </c>
      <c r="H9" s="671">
        <f>'S3'!AJ39</f>
        <v>320</v>
      </c>
      <c r="I9" s="673">
        <f>'S3'!AK39</f>
        <v>320</v>
      </c>
      <c r="J9" s="1197">
        <f>'S3'!AE39</f>
        <v>0</v>
      </c>
      <c r="K9" s="1197">
        <f>'S3'!AP39</f>
        <v>188.92177366208375</v>
      </c>
      <c r="L9" s="670">
        <f t="shared" si="0"/>
        <v>889.68577366208376</v>
      </c>
      <c r="M9" s="659"/>
      <c r="N9" s="473"/>
      <c r="O9" s="665"/>
    </row>
    <row r="10" spans="1:17" ht="30" customHeight="1">
      <c r="A10" s="654">
        <v>4</v>
      </c>
      <c r="B10" s="658" t="s">
        <v>385</v>
      </c>
      <c r="C10" s="1302">
        <f>'S4'!AM37</f>
        <v>2.5</v>
      </c>
      <c r="D10" s="1299">
        <f>'S4'!AO37</f>
        <v>6.8382588718519166</v>
      </c>
      <c r="E10" s="1299">
        <f>'Tax Calulation   '!F37</f>
        <v>10569.711954958351</v>
      </c>
      <c r="F10" s="1294">
        <f>'S4'!AG37</f>
        <v>15</v>
      </c>
      <c r="G10" s="685">
        <f>'S4'!AD37</f>
        <v>0</v>
      </c>
      <c r="H10" s="671">
        <f>'S4'!AJ37</f>
        <v>298.07</v>
      </c>
      <c r="I10" s="674">
        <f>'S4'!AK37</f>
        <v>300</v>
      </c>
      <c r="J10" s="1198">
        <f>'S4'!AE37</f>
        <v>0</v>
      </c>
      <c r="K10" s="1198">
        <f>'S4'!AP37</f>
        <v>175.88647312805352</v>
      </c>
      <c r="L10" s="670">
        <f t="shared" si="0"/>
        <v>788.9564731280534</v>
      </c>
      <c r="M10" s="660"/>
      <c r="N10" s="473"/>
      <c r="O10" s="665"/>
    </row>
    <row r="11" spans="1:17" ht="30" customHeight="1">
      <c r="A11" s="654">
        <v>5</v>
      </c>
      <c r="B11" s="658" t="s">
        <v>386</v>
      </c>
      <c r="C11" s="1302">
        <f>'S5'!AM35</f>
        <v>6.5</v>
      </c>
      <c r="D11" s="1299">
        <f>'S5'!AO35</f>
        <v>7.9891029451654045</v>
      </c>
      <c r="E11" s="1299">
        <f>'Tax Calulation    '!F35</f>
        <v>9907.1195472667387</v>
      </c>
      <c r="F11" s="1294">
        <f>'S5'!AG35</f>
        <v>10</v>
      </c>
      <c r="G11" s="685">
        <f>'S5'!AD35</f>
        <v>0</v>
      </c>
      <c r="H11" s="671">
        <f>'S5'!AJ35</f>
        <v>273.84000000000003</v>
      </c>
      <c r="I11" s="673">
        <f>'S5'!AK35</f>
        <v>275</v>
      </c>
      <c r="J11" s="1197">
        <f>'S5'!AE35</f>
        <v>0</v>
      </c>
      <c r="K11" s="1197">
        <f>'S5'!AP35</f>
        <v>161.76474540393127</v>
      </c>
      <c r="L11" s="670">
        <f t="shared" si="0"/>
        <v>720.60474540393125</v>
      </c>
      <c r="M11" s="659"/>
      <c r="N11" s="473"/>
      <c r="O11" s="665"/>
    </row>
    <row r="12" spans="1:17" ht="30" customHeight="1">
      <c r="A12" s="654">
        <v>6</v>
      </c>
      <c r="B12" s="658" t="s">
        <v>387</v>
      </c>
      <c r="C12" s="1302">
        <f>'S6'!AM37</f>
        <v>4.5</v>
      </c>
      <c r="D12" s="1299">
        <f>'S6'!AO37</f>
        <v>6.3893429662296981</v>
      </c>
      <c r="E12" s="1299">
        <f>'Tax Calulation     '!F37</f>
        <v>10463.105564591679</v>
      </c>
      <c r="F12" s="1294">
        <f>'S6'!AG37</f>
        <v>5</v>
      </c>
      <c r="G12" s="685">
        <f>'S6'!AD37</f>
        <v>0</v>
      </c>
      <c r="H12" s="671">
        <f>'S6'!AJ37</f>
        <v>300</v>
      </c>
      <c r="I12" s="673">
        <f>'S6'!AK37</f>
        <v>300</v>
      </c>
      <c r="J12" s="1197">
        <f>'S6'!AE37</f>
        <v>0</v>
      </c>
      <c r="K12" s="1197">
        <f>'S6'!AP37</f>
        <v>177.10186835924998</v>
      </c>
      <c r="L12" s="670">
        <f t="shared" si="0"/>
        <v>782.10186835924992</v>
      </c>
      <c r="M12" s="659"/>
      <c r="N12" s="473"/>
      <c r="O12" s="665"/>
    </row>
    <row r="13" spans="1:17" ht="30" customHeight="1">
      <c r="A13" s="654">
        <v>7</v>
      </c>
      <c r="B13" s="661" t="s">
        <v>388</v>
      </c>
      <c r="C13" s="1303">
        <f>CUT!AM28</f>
        <v>2</v>
      </c>
      <c r="D13" s="1300">
        <f>CUT!AO28</f>
        <v>13.436180468841753</v>
      </c>
      <c r="E13" s="1300">
        <f>'Tax Calulation                 '!F28</f>
        <v>7386.9800563030603</v>
      </c>
      <c r="F13" s="1293"/>
      <c r="G13" s="686">
        <f>CUT!AE28</f>
        <v>89.670000000000016</v>
      </c>
      <c r="H13" s="671">
        <f>CUT!AJ28</f>
        <v>210</v>
      </c>
      <c r="I13" s="675">
        <f>CUT!AK28</f>
        <v>210</v>
      </c>
      <c r="J13" s="1199">
        <f>CUT!AF28</f>
        <v>0</v>
      </c>
      <c r="K13" s="1199">
        <f>CUT!AP28</f>
        <v>121.88601771583075</v>
      </c>
      <c r="L13" s="670">
        <f t="shared" si="0"/>
        <v>631.55601771583076</v>
      </c>
      <c r="M13" s="662"/>
      <c r="N13" s="663"/>
      <c r="O13" s="666"/>
    </row>
    <row r="14" spans="1:17" ht="30" customHeight="1">
      <c r="A14" s="654">
        <v>8</v>
      </c>
      <c r="B14" s="658" t="s">
        <v>319</v>
      </c>
      <c r="C14" s="1302">
        <f>WC!AM14</f>
        <v>3</v>
      </c>
      <c r="D14" s="1299">
        <f>WC!AO14</f>
        <v>0</v>
      </c>
      <c r="E14" s="1299">
        <f>'Tax Calulation               '!F14</f>
        <v>2326.0879445517553</v>
      </c>
      <c r="F14" s="1294">
        <f>WC!AG14</f>
        <v>0</v>
      </c>
      <c r="G14" s="685">
        <f>WC!AD14</f>
        <v>39.9895</v>
      </c>
      <c r="H14" s="671">
        <f>WC!AJ14</f>
        <v>70</v>
      </c>
      <c r="I14" s="683">
        <f>WC!AK14</f>
        <v>70</v>
      </c>
      <c r="J14" s="685">
        <f>WC!AE14</f>
        <v>0</v>
      </c>
      <c r="K14" s="685">
        <f>WC!AP14</f>
        <v>35.450516986706056</v>
      </c>
      <c r="L14" s="670">
        <f t="shared" si="0"/>
        <v>215.44001698670604</v>
      </c>
      <c r="M14" s="656"/>
      <c r="N14" s="657"/>
      <c r="O14" s="665"/>
    </row>
    <row r="15" spans="1:17" ht="30" customHeight="1">
      <c r="A15" s="654">
        <v>9</v>
      </c>
      <c r="B15" s="658" t="s">
        <v>896</v>
      </c>
      <c r="C15" s="1302">
        <f>'R'!AL12</f>
        <v>0.5</v>
      </c>
      <c r="D15" s="1299">
        <f>'R'!AN12</f>
        <v>14.672353313124802</v>
      </c>
      <c r="E15" s="1299">
        <f>'Tax Calulation              '!F12</f>
        <v>2094.7701875758185</v>
      </c>
      <c r="F15" s="655"/>
      <c r="G15" s="685">
        <f>'R'!AD12</f>
        <v>0</v>
      </c>
      <c r="H15" s="671">
        <f>'R'!AI12</f>
        <v>43.46</v>
      </c>
      <c r="I15" s="683">
        <f>'R'!AJ12</f>
        <v>45</v>
      </c>
      <c r="J15" s="685">
        <f>'R'!AE12</f>
        <v>0</v>
      </c>
      <c r="K15" s="685">
        <f>'R'!AO12</f>
        <v>25.938904914214294</v>
      </c>
      <c r="L15" s="670">
        <f t="shared" si="0"/>
        <v>114.3989049142143</v>
      </c>
      <c r="M15" s="656"/>
      <c r="N15" s="657"/>
      <c r="O15" s="665"/>
    </row>
    <row r="16" spans="1:17" ht="30" customHeight="1">
      <c r="A16" s="654">
        <v>10</v>
      </c>
      <c r="B16" s="658" t="s">
        <v>897</v>
      </c>
      <c r="C16" s="1302">
        <f>WH!AL12</f>
        <v>1</v>
      </c>
      <c r="D16" s="1299">
        <f>WH!AN12</f>
        <v>0</v>
      </c>
      <c r="E16" s="1299">
        <f>'Tax Calulation             '!F12</f>
        <v>1778.9747522236537</v>
      </c>
      <c r="F16" s="655"/>
      <c r="G16" s="685">
        <f>WH!AD12</f>
        <v>0</v>
      </c>
      <c r="H16" s="671">
        <f>WH!AI12</f>
        <v>50</v>
      </c>
      <c r="I16" s="683">
        <f>WH!AJ12</f>
        <v>50</v>
      </c>
      <c r="J16" s="685">
        <f>WH!AE12</f>
        <v>0</v>
      </c>
      <c r="K16" s="685">
        <f>WH!AO12</f>
        <v>29.542097488921716</v>
      </c>
      <c r="L16" s="670">
        <f t="shared" si="0"/>
        <v>129.54209748892171</v>
      </c>
      <c r="M16" s="656"/>
      <c r="N16" s="657"/>
      <c r="O16" s="665"/>
    </row>
    <row r="17" spans="1:15" ht="30" customHeight="1">
      <c r="A17" s="654">
        <v>11</v>
      </c>
      <c r="B17" s="658" t="s">
        <v>390</v>
      </c>
      <c r="C17" s="1302">
        <f>P!AN53</f>
        <v>16.5</v>
      </c>
      <c r="D17" s="1299">
        <f>P!AP53</f>
        <v>6.1893145027296335</v>
      </c>
      <c r="E17" s="1299">
        <f>'Tax Calulation            '!F53</f>
        <v>16773.7664272691</v>
      </c>
      <c r="F17" s="1294">
        <f>P!AH53</f>
        <v>15</v>
      </c>
      <c r="G17" s="685">
        <f>P!AE53</f>
        <v>0</v>
      </c>
      <c r="H17" s="671">
        <f>P!AK53</f>
        <v>452.3</v>
      </c>
      <c r="I17" s="673">
        <f>P!AL53</f>
        <v>455</v>
      </c>
      <c r="J17" s="1197">
        <f>P!AF53</f>
        <v>0</v>
      </c>
      <c r="K17" s="1197">
        <f>P!AQ53</f>
        <v>268.27395432337215</v>
      </c>
      <c r="L17" s="670">
        <f t="shared" si="0"/>
        <v>1190.5739543233722</v>
      </c>
      <c r="M17" s="659"/>
      <c r="N17" s="473"/>
      <c r="O17" s="665"/>
    </row>
    <row r="18" spans="1:15" ht="30" customHeight="1">
      <c r="A18" s="654">
        <v>12</v>
      </c>
      <c r="B18" s="658" t="s">
        <v>355</v>
      </c>
      <c r="C18" s="1302">
        <f>QC!AM26</f>
        <v>4</v>
      </c>
      <c r="D18" s="1299">
        <f>QC!AO26</f>
        <v>7.7781718696738933</v>
      </c>
      <c r="E18" s="1299">
        <f>'Tax Calulation           '!F26</f>
        <v>8035.6940447274592</v>
      </c>
      <c r="F18" s="1294">
        <f>QC!AG26</f>
        <v>20</v>
      </c>
      <c r="G18" s="685">
        <f>QC!AD26</f>
        <v>0</v>
      </c>
      <c r="H18" s="671">
        <f>QC!AJ26</f>
        <v>190</v>
      </c>
      <c r="I18" s="673">
        <f>QC!AK26</f>
        <v>190</v>
      </c>
      <c r="J18" s="1197">
        <f>QC!AE26</f>
        <v>0</v>
      </c>
      <c r="K18" s="1197">
        <f>QC!AP26</f>
        <v>112.25997045790247</v>
      </c>
      <c r="L18" s="670">
        <f t="shared" si="0"/>
        <v>512.25997045790245</v>
      </c>
      <c r="M18" s="659"/>
      <c r="N18" s="664"/>
      <c r="O18" s="665"/>
    </row>
    <row r="19" spans="1:15" ht="30" customHeight="1">
      <c r="A19" s="654">
        <v>13</v>
      </c>
      <c r="B19" s="658" t="s">
        <v>898</v>
      </c>
      <c r="C19" s="1302">
        <f>PP!AM20</f>
        <v>3</v>
      </c>
      <c r="D19" s="1299">
        <f>PP!AO20</f>
        <v>0.17602385382343119</v>
      </c>
      <c r="E19" s="1299">
        <f>'Tax Calulation          '!F20</f>
        <v>3579.5139215061427</v>
      </c>
      <c r="F19" s="655"/>
      <c r="G19" s="685">
        <f>PP!AE20</f>
        <v>19.903500000000001</v>
      </c>
      <c r="H19" s="671">
        <f>PP!AJ20</f>
        <v>130</v>
      </c>
      <c r="I19" s="673">
        <f>PP!AK20</f>
        <v>130</v>
      </c>
      <c r="J19" s="1197">
        <f>PP!AF20</f>
        <v>0</v>
      </c>
      <c r="K19" s="1197">
        <f>PP!AP20</f>
        <v>72.551580098774878</v>
      </c>
      <c r="L19" s="670">
        <f t="shared" si="0"/>
        <v>352.45508009877489</v>
      </c>
      <c r="M19" s="659"/>
      <c r="N19" s="664"/>
      <c r="O19" s="665"/>
    </row>
    <row r="20" spans="1:15" ht="30" customHeight="1">
      <c r="A20" s="654">
        <v>14</v>
      </c>
      <c r="B20" s="658" t="s">
        <v>392</v>
      </c>
      <c r="C20" s="1302">
        <f>D!AL12</f>
        <v>2.5</v>
      </c>
      <c r="D20" s="1299">
        <f>D!AN12</f>
        <v>0</v>
      </c>
      <c r="E20" s="1299">
        <f>'Tax Calulation         '!F12</f>
        <v>1727.4684264875596</v>
      </c>
      <c r="F20" s="655"/>
      <c r="G20" s="685">
        <f>D!AD12</f>
        <v>0</v>
      </c>
      <c r="H20" s="671">
        <f>D!AI12</f>
        <v>50</v>
      </c>
      <c r="I20" s="673">
        <f>D!AJ12</f>
        <v>50</v>
      </c>
      <c r="J20" s="1197">
        <f>D!AE12</f>
        <v>0</v>
      </c>
      <c r="K20" s="1197">
        <f>D!AO12</f>
        <v>29.039346285162477</v>
      </c>
      <c r="L20" s="670">
        <f t="shared" si="0"/>
        <v>129.03934628516248</v>
      </c>
      <c r="M20" s="659"/>
      <c r="N20" s="664"/>
      <c r="O20" s="665"/>
    </row>
    <row r="21" spans="1:15" ht="30" customHeight="1">
      <c r="A21" s="654">
        <v>15</v>
      </c>
      <c r="B21" s="658" t="s">
        <v>393</v>
      </c>
      <c r="C21" s="1302">
        <f>T!AM11</f>
        <v>2</v>
      </c>
      <c r="D21" s="1299">
        <f>T!AO11</f>
        <v>0.54031360072719092</v>
      </c>
      <c r="E21" s="1299">
        <f>'Tax Calulation        '!F11</f>
        <v>1491.483817539415</v>
      </c>
      <c r="F21" s="1294">
        <f>T!AG11</f>
        <v>0</v>
      </c>
      <c r="G21" s="685">
        <f>T!AD11</f>
        <v>0</v>
      </c>
      <c r="H21" s="671">
        <f>T!AJ11</f>
        <v>40</v>
      </c>
      <c r="I21" s="673">
        <f>T!AK11</f>
        <v>40</v>
      </c>
      <c r="J21" s="1197">
        <f>T!AE11</f>
        <v>0</v>
      </c>
      <c r="K21" s="1197">
        <f>T!AP11</f>
        <v>23.633677991137372</v>
      </c>
      <c r="L21" s="670">
        <f t="shared" si="0"/>
        <v>103.63367799113738</v>
      </c>
      <c r="M21" s="659"/>
      <c r="N21" s="664"/>
      <c r="O21" s="665"/>
    </row>
    <row r="22" spans="1:15" ht="30" customHeight="1">
      <c r="A22" s="654">
        <v>15</v>
      </c>
      <c r="B22" s="658" t="s">
        <v>1808</v>
      </c>
      <c r="C22" s="1302">
        <v>0</v>
      </c>
      <c r="D22" s="1299">
        <f>OFFICE!AO19</f>
        <v>139.02848865493112</v>
      </c>
      <c r="E22" s="1299">
        <f>'Tax Calulation       '!F19</f>
        <v>7088.1097778415351</v>
      </c>
      <c r="F22" s="1294">
        <f>OFFICE!AG19</f>
        <v>0</v>
      </c>
      <c r="G22" s="685">
        <f>OFFICE!AD19</f>
        <v>0</v>
      </c>
      <c r="H22" s="671">
        <f>OFFICE!AJ19</f>
        <v>120</v>
      </c>
      <c r="I22" s="673">
        <f>OFFICE!AK19</f>
        <v>120</v>
      </c>
      <c r="J22" s="1197">
        <f>OFFICE!AE19</f>
        <v>0</v>
      </c>
      <c r="K22" s="1197">
        <f>OFFICE!AP19</f>
        <v>70.901033973412112</v>
      </c>
      <c r="L22" s="670">
        <f>SUM(F22:K22)</f>
        <v>310.9010339734121</v>
      </c>
      <c r="M22" s="659"/>
      <c r="N22" s="664"/>
      <c r="O22" s="665"/>
    </row>
    <row r="23" spans="1:15" ht="27.75">
      <c r="A23" s="2225" t="s">
        <v>1783</v>
      </c>
      <c r="B23" s="2226"/>
      <c r="C23" s="1304">
        <f>SUM(C7:C22)</f>
        <v>62.5</v>
      </c>
      <c r="D23" s="1301">
        <f>SUM(D7:D22)</f>
        <v>235.93123115522781</v>
      </c>
      <c r="E23" s="1301">
        <f>SUM(E7:E22)</f>
        <v>118010.15567235131</v>
      </c>
      <c r="F23" s="1295">
        <f>SUM(F7:F22)</f>
        <v>95</v>
      </c>
      <c r="G23" s="1147">
        <f>SUM(G7:G22)</f>
        <v>195.32700000000003</v>
      </c>
      <c r="H23" s="1147">
        <f t="shared" ref="H23:I23" si="1">SUM(H7:H22)</f>
        <v>3173.8</v>
      </c>
      <c r="I23" s="1147">
        <f t="shared" si="1"/>
        <v>3195</v>
      </c>
      <c r="J23" s="1200">
        <f>SUM(J7:J22)</f>
        <v>0</v>
      </c>
      <c r="K23" s="1200">
        <f>SUM(K7:K22)</f>
        <v>1869.8321619590743</v>
      </c>
      <c r="L23" s="677">
        <f>SUM(L7:L22)</f>
        <v>8528.9591619590738</v>
      </c>
      <c r="M23" s="676"/>
      <c r="N23" s="473"/>
      <c r="O23" s="687"/>
    </row>
    <row r="24" spans="1:15" ht="25.5">
      <c r="A24" s="1828"/>
      <c r="B24" s="1828"/>
      <c r="C24" s="1829"/>
      <c r="D24" s="1830"/>
      <c r="E24" s="1830"/>
      <c r="F24" s="1831"/>
      <c r="G24" s="1832"/>
      <c r="H24" s="1833"/>
      <c r="I24" s="1832"/>
      <c r="J24" s="1832"/>
      <c r="K24" s="1832"/>
      <c r="L24" s="1834"/>
      <c r="M24" s="1835"/>
      <c r="N24" s="473"/>
      <c r="O24" s="687"/>
    </row>
    <row r="25" spans="1:15" ht="29.25">
      <c r="A25" s="1845"/>
      <c r="B25" s="1846"/>
      <c r="C25" s="1847"/>
      <c r="D25" s="1836"/>
      <c r="E25" s="1848"/>
      <c r="F25" s="1842"/>
      <c r="G25" s="1843"/>
      <c r="H25" s="1837"/>
      <c r="I25" s="1838"/>
      <c r="J25" s="1839"/>
      <c r="K25" s="1840"/>
      <c r="L25" s="1844"/>
    </row>
    <row r="27" spans="1:15" ht="26.25" customHeight="1">
      <c r="C27" s="2224" t="s">
        <v>74</v>
      </c>
      <c r="D27" s="2224"/>
      <c r="E27" s="1716">
        <f>SUM(E23:E25)</f>
        <v>118010.15567235131</v>
      </c>
      <c r="F27" s="1716">
        <f t="shared" ref="F27:K27" si="2">SUM(F23:F25)</f>
        <v>95</v>
      </c>
      <c r="G27" s="1716">
        <f t="shared" si="2"/>
        <v>195.32700000000003</v>
      </c>
      <c r="H27" s="1716">
        <f t="shared" si="2"/>
        <v>3173.8</v>
      </c>
      <c r="I27" s="1716">
        <f t="shared" si="2"/>
        <v>3195</v>
      </c>
      <c r="J27" s="1716">
        <f t="shared" si="2"/>
        <v>0</v>
      </c>
      <c r="K27" s="1716">
        <f t="shared" si="2"/>
        <v>1869.8321619590743</v>
      </c>
    </row>
  </sheetData>
  <mergeCells count="7">
    <mergeCell ref="C27:D27"/>
    <mergeCell ref="A23:B23"/>
    <mergeCell ref="A5:M5"/>
    <mergeCell ref="A1:M1"/>
    <mergeCell ref="A2:M2"/>
    <mergeCell ref="A3:M3"/>
    <mergeCell ref="A4:M4"/>
  </mergeCells>
  <phoneticPr fontId="171" type="noConversion"/>
  <printOptions horizontalCentered="1"/>
  <pageMargins left="0" right="0" top="0" bottom="0" header="0.3" footer="0.3"/>
  <pageSetup paperSize="9" scale="70" orientation="landscape" verticalDpi="0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45"/>
  <sheetViews>
    <sheetView topLeftCell="A5" workbookViewId="0">
      <pane xSplit="4" ySplit="3" topLeftCell="R38" activePane="bottomRight" state="frozen"/>
      <selection activeCell="A5" sqref="A5"/>
      <selection pane="topRight" activeCell="E5" sqref="E5"/>
      <selection pane="bottomLeft" activeCell="A8" sqref="A8"/>
      <selection pane="bottomRight" activeCell="U43" sqref="U43"/>
    </sheetView>
  </sheetViews>
  <sheetFormatPr defaultRowHeight="14.25"/>
  <cols>
    <col min="1" max="1" width="5" customWidth="1"/>
    <col min="3" max="3" width="11" customWidth="1"/>
    <col min="12" max="12" width="9.25" customWidth="1"/>
    <col min="13" max="13" width="9.5" bestFit="1" customWidth="1"/>
  </cols>
  <sheetData>
    <row r="1" spans="1:37" s="839" customFormat="1" ht="42" hidden="1" customHeight="1">
      <c r="A1" s="2134" t="s">
        <v>222</v>
      </c>
      <c r="B1" s="2134"/>
      <c r="C1" s="2134"/>
      <c r="D1" s="2134"/>
      <c r="E1" s="2134"/>
      <c r="F1" s="2134"/>
      <c r="G1" s="2134"/>
      <c r="H1" s="2134"/>
      <c r="I1" s="2134"/>
      <c r="J1" s="2134"/>
      <c r="K1" s="2134"/>
      <c r="L1" s="2134"/>
      <c r="M1" s="2134"/>
      <c r="N1" s="2134"/>
      <c r="O1" s="2134"/>
      <c r="P1" s="2134"/>
      <c r="Q1" s="2134"/>
      <c r="R1" s="2134"/>
      <c r="S1" s="2134"/>
      <c r="T1" s="2134"/>
      <c r="U1" s="815"/>
      <c r="V1" s="815"/>
      <c r="W1" s="853"/>
      <c r="X1" s="504"/>
    </row>
    <row r="2" spans="1:37" s="841" customFormat="1" ht="42.75" hidden="1" customHeight="1">
      <c r="A2" s="2134" t="s">
        <v>221</v>
      </c>
      <c r="B2" s="2134"/>
      <c r="C2" s="2134"/>
      <c r="D2" s="2134"/>
      <c r="E2" s="2134"/>
      <c r="F2" s="2134"/>
      <c r="G2" s="2134"/>
      <c r="H2" s="2134"/>
      <c r="I2" s="2134"/>
      <c r="J2" s="2134"/>
      <c r="K2" s="2134"/>
      <c r="L2" s="2134"/>
      <c r="M2" s="2134"/>
      <c r="N2" s="2134"/>
      <c r="O2" s="2134"/>
      <c r="P2" s="2134"/>
      <c r="Q2" s="2134"/>
      <c r="R2" s="2134"/>
      <c r="S2" s="2134"/>
      <c r="T2" s="2134"/>
      <c r="U2" s="815"/>
      <c r="V2" s="815"/>
      <c r="W2" s="853"/>
      <c r="X2" s="504"/>
    </row>
    <row r="3" spans="1:37" s="841" customFormat="1" ht="42.75" hidden="1" customHeight="1">
      <c r="A3" s="2135" t="s">
        <v>1070</v>
      </c>
      <c r="B3" s="2135"/>
      <c r="C3" s="2135"/>
      <c r="D3" s="2135"/>
      <c r="E3" s="2135"/>
      <c r="F3" s="2135"/>
      <c r="G3" s="2135"/>
      <c r="H3" s="2135"/>
      <c r="I3" s="2135"/>
      <c r="J3" s="2135"/>
      <c r="K3" s="2135"/>
      <c r="L3" s="2135"/>
      <c r="M3" s="2135"/>
      <c r="N3" s="2135"/>
      <c r="O3" s="2135"/>
      <c r="P3" s="2135"/>
      <c r="Q3" s="2135"/>
      <c r="R3" s="2135"/>
      <c r="S3" s="2135"/>
      <c r="T3" s="2135"/>
      <c r="U3" s="816"/>
      <c r="V3" s="816"/>
      <c r="W3" s="853"/>
      <c r="X3" s="504"/>
    </row>
    <row r="4" spans="1:37" s="841" customFormat="1" ht="42.75" hidden="1" customHeight="1">
      <c r="A4" s="2135" t="s">
        <v>1071</v>
      </c>
      <c r="B4" s="2135"/>
      <c r="C4" s="2135"/>
      <c r="D4" s="2135"/>
      <c r="E4" s="2135"/>
      <c r="F4" s="2135"/>
      <c r="G4" s="2135"/>
      <c r="H4" s="2135"/>
      <c r="I4" s="2135"/>
      <c r="J4" s="2135"/>
      <c r="K4" s="2135"/>
      <c r="L4" s="2135"/>
      <c r="M4" s="2135"/>
      <c r="N4" s="2135"/>
      <c r="O4" s="2135"/>
      <c r="P4" s="2135"/>
      <c r="Q4" s="2135"/>
      <c r="R4" s="2135"/>
      <c r="S4" s="2135"/>
      <c r="T4" s="2135"/>
      <c r="U4" s="816"/>
      <c r="V4" s="816"/>
      <c r="W4" s="853"/>
      <c r="X4" s="504"/>
    </row>
    <row r="5" spans="1:37" s="856" customFormat="1" ht="20.25" customHeight="1">
      <c r="A5" s="2136" t="s">
        <v>1301</v>
      </c>
      <c r="B5" s="2136"/>
      <c r="C5" s="2136"/>
      <c r="D5" s="817"/>
      <c r="E5" s="817"/>
      <c r="F5" s="817"/>
      <c r="G5" s="817"/>
      <c r="H5" s="817"/>
      <c r="I5" s="817"/>
      <c r="J5" s="817"/>
      <c r="K5" s="817"/>
      <c r="L5" s="2137" t="s">
        <v>2347</v>
      </c>
      <c r="M5" s="2137"/>
      <c r="N5" s="2137"/>
      <c r="O5" s="2137"/>
      <c r="P5" s="2137"/>
      <c r="Q5" s="2137"/>
      <c r="R5" s="2137"/>
      <c r="S5" s="818"/>
      <c r="T5" s="817"/>
      <c r="U5" s="819"/>
      <c r="V5" s="819"/>
      <c r="W5" s="853"/>
      <c r="X5" s="504"/>
    </row>
    <row r="6" spans="1:37" s="841" customFormat="1" ht="45" customHeight="1">
      <c r="A6" s="820" t="s">
        <v>252</v>
      </c>
      <c r="B6" s="820" t="s">
        <v>1072</v>
      </c>
      <c r="C6" s="820" t="s">
        <v>1073</v>
      </c>
      <c r="D6" s="820" t="s">
        <v>254</v>
      </c>
      <c r="E6" s="821" t="s">
        <v>227</v>
      </c>
      <c r="F6" s="2138" t="s">
        <v>1074</v>
      </c>
      <c r="G6" s="2139"/>
      <c r="H6" s="2139"/>
      <c r="I6" s="2139"/>
      <c r="J6" s="2139"/>
      <c r="K6" s="2139"/>
      <c r="L6" s="2139"/>
      <c r="M6" s="2139"/>
      <c r="N6" s="2139"/>
      <c r="O6" s="2139"/>
      <c r="P6" s="2139"/>
      <c r="Q6" s="2140"/>
      <c r="R6" s="822" t="s">
        <v>1075</v>
      </c>
      <c r="S6" s="822" t="s">
        <v>1076</v>
      </c>
      <c r="T6" s="822" t="s">
        <v>1077</v>
      </c>
      <c r="U6" s="822" t="s">
        <v>1126</v>
      </c>
      <c r="V6" s="850" t="s">
        <v>1128</v>
      </c>
      <c r="W6" s="853"/>
      <c r="X6" s="504"/>
    </row>
    <row r="7" spans="1:37" s="839" customFormat="1" ht="42" customHeight="1">
      <c r="A7" s="824" t="s">
        <v>41</v>
      </c>
      <c r="B7" s="858" t="s">
        <v>42</v>
      </c>
      <c r="C7" s="858" t="s">
        <v>1079</v>
      </c>
      <c r="D7" s="858" t="s">
        <v>1080</v>
      </c>
      <c r="E7" s="859" t="s">
        <v>1081</v>
      </c>
      <c r="F7" s="859" t="s">
        <v>1082</v>
      </c>
      <c r="G7" s="859" t="s">
        <v>1083</v>
      </c>
      <c r="H7" s="859" t="s">
        <v>1084</v>
      </c>
      <c r="I7" s="859" t="s">
        <v>1085</v>
      </c>
      <c r="J7" s="859" t="s">
        <v>1086</v>
      </c>
      <c r="K7" s="825" t="s">
        <v>1087</v>
      </c>
      <c r="L7" s="825" t="s">
        <v>1088</v>
      </c>
      <c r="M7" s="825" t="s">
        <v>1089</v>
      </c>
      <c r="N7" s="825" t="s">
        <v>1090</v>
      </c>
      <c r="O7" s="825" t="s">
        <v>1091</v>
      </c>
      <c r="P7" s="825" t="s">
        <v>1092</v>
      </c>
      <c r="Q7" s="825" t="s">
        <v>1093</v>
      </c>
      <c r="R7" s="860" t="s">
        <v>1094</v>
      </c>
      <c r="S7" s="848" t="s">
        <v>1095</v>
      </c>
      <c r="T7" s="848" t="s">
        <v>1096</v>
      </c>
      <c r="U7" s="852" t="s">
        <v>1125</v>
      </c>
      <c r="V7" s="854" t="s">
        <v>1127</v>
      </c>
      <c r="W7" s="853"/>
      <c r="X7" s="504"/>
      <c r="Y7" s="1701">
        <v>1</v>
      </c>
      <c r="Z7" s="1701">
        <v>2</v>
      </c>
      <c r="AA7" s="1701">
        <v>3</v>
      </c>
      <c r="AB7" s="1701">
        <v>4</v>
      </c>
      <c r="AC7" s="1701">
        <v>5</v>
      </c>
      <c r="AD7" s="1701">
        <v>6</v>
      </c>
      <c r="AE7" s="1701">
        <v>7</v>
      </c>
      <c r="AF7" s="1701">
        <v>8</v>
      </c>
      <c r="AG7" s="1701">
        <v>9</v>
      </c>
      <c r="AH7" s="1701">
        <v>10</v>
      </c>
      <c r="AI7" s="1701">
        <v>11</v>
      </c>
      <c r="AJ7" s="1701">
        <v>12</v>
      </c>
      <c r="AK7" s="1701" t="s">
        <v>74</v>
      </c>
    </row>
    <row r="8" spans="1:37" s="841" customFormat="1" ht="47.25" customHeight="1">
      <c r="A8" s="862">
        <v>1</v>
      </c>
      <c r="B8" s="1444" t="s">
        <v>1129</v>
      </c>
      <c r="C8" s="1511" t="s">
        <v>1130</v>
      </c>
      <c r="D8" s="1544">
        <v>41316</v>
      </c>
      <c r="E8" s="830" t="s">
        <v>1113</v>
      </c>
      <c r="F8" s="1718">
        <v>453.32858499525167</v>
      </c>
      <c r="G8" s="1718">
        <v>476.67409445752037</v>
      </c>
      <c r="H8" s="1719">
        <v>420.631068700382</v>
      </c>
      <c r="I8" s="1718">
        <v>498.69886724257816</v>
      </c>
      <c r="J8" s="1718">
        <v>636.67897943640526</v>
      </c>
      <c r="K8" s="1718">
        <v>683.06930693069307</v>
      </c>
      <c r="L8" s="1718">
        <v>691.80598711633195</v>
      </c>
      <c r="M8" s="1718">
        <v>530.00875856816447</v>
      </c>
      <c r="N8" s="1718">
        <v>419.61848423586201</v>
      </c>
      <c r="O8" s="1306">
        <v>512.7475854972181</v>
      </c>
      <c r="P8" s="1306">
        <v>357.61538461538464</v>
      </c>
      <c r="Q8" s="1306">
        <v>30</v>
      </c>
      <c r="R8" s="863">
        <f>SUM(F8:Q8)</f>
        <v>5710.8771017957915</v>
      </c>
      <c r="S8" s="863">
        <f>R8/12</f>
        <v>475.90642514964929</v>
      </c>
      <c r="T8" s="863">
        <f>S8/26</f>
        <v>18.30409327498651</v>
      </c>
      <c r="U8" s="875">
        <f>'S2'!W7</f>
        <v>0.5</v>
      </c>
      <c r="V8" s="874">
        <f>T8*U8</f>
        <v>9.152046637493255</v>
      </c>
      <c r="W8" s="853"/>
      <c r="X8" s="504"/>
      <c r="Y8" s="1706">
        <v>0</v>
      </c>
      <c r="Z8" s="875">
        <v>1</v>
      </c>
      <c r="AA8" s="1694">
        <v>2</v>
      </c>
      <c r="AB8" s="875">
        <v>1.5</v>
      </c>
      <c r="AC8" s="875">
        <v>0</v>
      </c>
      <c r="AD8" s="875">
        <v>0</v>
      </c>
      <c r="AE8" s="875">
        <v>0</v>
      </c>
      <c r="AF8" s="1694"/>
      <c r="AG8" s="875">
        <v>1</v>
      </c>
      <c r="AH8" s="1694"/>
      <c r="AI8" s="1694"/>
      <c r="AJ8" s="1694"/>
      <c r="AK8" s="1699">
        <f>SUM(Y8:AJ8)</f>
        <v>5.5</v>
      </c>
    </row>
    <row r="9" spans="1:37" s="841" customFormat="1" ht="47.25" customHeight="1">
      <c r="A9" s="862">
        <v>2</v>
      </c>
      <c r="B9" s="1444" t="s">
        <v>1131</v>
      </c>
      <c r="C9" s="1511" t="s">
        <v>487</v>
      </c>
      <c r="D9" s="1544">
        <v>41346</v>
      </c>
      <c r="E9" s="830" t="s">
        <v>1098</v>
      </c>
      <c r="F9" s="1718">
        <v>311.57276828110162</v>
      </c>
      <c r="G9" s="1718">
        <v>321.21877967711305</v>
      </c>
      <c r="H9" s="1719">
        <v>283.76168131613008</v>
      </c>
      <c r="I9" s="1718">
        <v>341.0455915054921</v>
      </c>
      <c r="J9" s="1718">
        <v>433.51665596551777</v>
      </c>
      <c r="K9" s="1718">
        <v>514.7379569687738</v>
      </c>
      <c r="L9" s="1718">
        <v>462.47307218643425</v>
      </c>
      <c r="M9" s="1718">
        <v>363.95725437928411</v>
      </c>
      <c r="N9" s="1718">
        <v>244.59536381569322</v>
      </c>
      <c r="O9" s="1306">
        <v>333.03362984229523</v>
      </c>
      <c r="P9" s="1306">
        <v>221.30769230769232</v>
      </c>
      <c r="Q9" s="1306">
        <v>30</v>
      </c>
      <c r="R9" s="863">
        <f t="shared" ref="R9:R41" si="0">SUM(F9:Q9)</f>
        <v>3861.2204462455279</v>
      </c>
      <c r="S9" s="863">
        <f t="shared" ref="S9:S41" si="1">R9/12</f>
        <v>321.76837052046068</v>
      </c>
      <c r="T9" s="863">
        <f t="shared" ref="T9:T41" si="2">S9/26</f>
        <v>12.375706558479257</v>
      </c>
      <c r="U9" s="875">
        <f>'S2'!W8</f>
        <v>0.5</v>
      </c>
      <c r="V9" s="874">
        <f t="shared" ref="V9:V41" si="3">T9*U9</f>
        <v>6.1878532792396284</v>
      </c>
      <c r="W9" s="853"/>
      <c r="X9" s="504"/>
      <c r="Y9" s="1706">
        <v>0</v>
      </c>
      <c r="Z9" s="875">
        <v>0</v>
      </c>
      <c r="AA9" s="1694">
        <v>2.5</v>
      </c>
      <c r="AB9" s="875">
        <v>1.5</v>
      </c>
      <c r="AC9" s="875">
        <v>2</v>
      </c>
      <c r="AD9" s="875">
        <v>0</v>
      </c>
      <c r="AE9" s="875">
        <v>0</v>
      </c>
      <c r="AF9" s="1694"/>
      <c r="AG9" s="875">
        <v>1.5</v>
      </c>
      <c r="AH9" s="1694"/>
      <c r="AI9" s="1694"/>
      <c r="AJ9" s="1694"/>
      <c r="AK9" s="1699">
        <f t="shared" ref="AK9:AK41" si="4">SUM(Y9:AJ9)</f>
        <v>7.5</v>
      </c>
    </row>
    <row r="10" spans="1:37" s="841" customFormat="1" ht="47.25" customHeight="1">
      <c r="A10" s="862">
        <v>3</v>
      </c>
      <c r="B10" s="1444" t="s">
        <v>1132</v>
      </c>
      <c r="C10" s="1511" t="s">
        <v>272</v>
      </c>
      <c r="D10" s="1544">
        <v>42493</v>
      </c>
      <c r="E10" s="830" t="s">
        <v>1098</v>
      </c>
      <c r="F10" s="1718">
        <v>308.57276828110162</v>
      </c>
      <c r="G10" s="1718">
        <v>318.06349175598569</v>
      </c>
      <c r="H10" s="1719">
        <v>278.92628317361624</v>
      </c>
      <c r="I10" s="1718">
        <v>337.98216337418728</v>
      </c>
      <c r="J10" s="1718">
        <v>448.73667174409758</v>
      </c>
      <c r="K10" s="1718">
        <v>512.7379569687738</v>
      </c>
      <c r="L10" s="1718">
        <v>483.60330617658201</v>
      </c>
      <c r="M10" s="1718">
        <v>365.54722010662607</v>
      </c>
      <c r="N10" s="1718">
        <v>292.07610882806318</v>
      </c>
      <c r="O10" s="1306">
        <v>329.94818947145745</v>
      </c>
      <c r="P10" s="1306">
        <v>218.30769230769232</v>
      </c>
      <c r="Q10" s="1306">
        <v>30</v>
      </c>
      <c r="R10" s="863">
        <f t="shared" si="0"/>
        <v>3924.501852188183</v>
      </c>
      <c r="S10" s="863">
        <f t="shared" si="1"/>
        <v>327.04182101568193</v>
      </c>
      <c r="T10" s="863">
        <f t="shared" si="2"/>
        <v>12.578531577526228</v>
      </c>
      <c r="U10" s="875">
        <f>'S2'!W9</f>
        <v>0</v>
      </c>
      <c r="V10" s="874">
        <f t="shared" si="3"/>
        <v>0</v>
      </c>
      <c r="W10" s="853"/>
      <c r="X10" s="504"/>
      <c r="Y10" s="1706">
        <v>0</v>
      </c>
      <c r="Z10" s="875">
        <v>1</v>
      </c>
      <c r="AA10" s="1694">
        <v>2</v>
      </c>
      <c r="AB10" s="875">
        <v>1.5</v>
      </c>
      <c r="AC10" s="875">
        <v>0</v>
      </c>
      <c r="AD10" s="875">
        <v>0</v>
      </c>
      <c r="AE10" s="875">
        <v>0</v>
      </c>
      <c r="AF10" s="1694"/>
      <c r="AG10" s="875">
        <v>5</v>
      </c>
      <c r="AH10" s="1694"/>
      <c r="AI10" s="1694"/>
      <c r="AJ10" s="1694"/>
      <c r="AK10" s="1699">
        <f t="shared" si="4"/>
        <v>9.5</v>
      </c>
    </row>
    <row r="11" spans="1:37" s="1666" customFormat="1" ht="47.25" customHeight="1">
      <c r="A11" s="862">
        <v>4</v>
      </c>
      <c r="B11" s="515" t="s">
        <v>2112</v>
      </c>
      <c r="C11" s="581" t="s">
        <v>2113</v>
      </c>
      <c r="D11" s="517">
        <v>42815</v>
      </c>
      <c r="E11" s="830" t="s">
        <v>1119</v>
      </c>
      <c r="F11" s="1718">
        <v>280.85161443494781</v>
      </c>
      <c r="G11" s="1718">
        <v>304.71167930343057</v>
      </c>
      <c r="H11" s="1719">
        <v>271.37757692099098</v>
      </c>
      <c r="I11" s="1718">
        <v>305.32951050508353</v>
      </c>
      <c r="J11" s="1718">
        <v>416.22981721249039</v>
      </c>
      <c r="K11" s="1718">
        <v>484.43315437380659</v>
      </c>
      <c r="L11" s="1718">
        <v>464.33630162940506</v>
      </c>
      <c r="M11" s="1718">
        <v>352.17779696910173</v>
      </c>
      <c r="N11" s="1718">
        <v>269.95409971169818</v>
      </c>
      <c r="O11" s="1097" t="s">
        <v>1918</v>
      </c>
      <c r="P11" s="1097" t="s">
        <v>1918</v>
      </c>
      <c r="Q11" s="1306">
        <v>30</v>
      </c>
      <c r="R11" s="863">
        <f t="shared" si="0"/>
        <v>3179.4015510609552</v>
      </c>
      <c r="S11" s="863">
        <f>R11/10</f>
        <v>317.94015510609552</v>
      </c>
      <c r="T11" s="863">
        <f t="shared" si="2"/>
        <v>12.228467504080596</v>
      </c>
      <c r="U11" s="875">
        <f>'S2'!W10</f>
        <v>0</v>
      </c>
      <c r="V11" s="874">
        <f t="shared" si="3"/>
        <v>0</v>
      </c>
      <c r="W11" s="853"/>
      <c r="X11" s="504"/>
      <c r="Y11" s="1706">
        <v>0</v>
      </c>
      <c r="Z11" s="875">
        <v>0.5</v>
      </c>
      <c r="AA11" s="1694">
        <v>3</v>
      </c>
      <c r="AB11" s="875">
        <v>1.5</v>
      </c>
      <c r="AC11" s="875">
        <v>0</v>
      </c>
      <c r="AD11" s="875">
        <v>1.5</v>
      </c>
      <c r="AE11" s="875">
        <v>0</v>
      </c>
      <c r="AF11" s="875">
        <v>0.5</v>
      </c>
      <c r="AG11" s="875">
        <v>1</v>
      </c>
      <c r="AH11" s="1694"/>
      <c r="AI11" s="1694"/>
      <c r="AJ11" s="1694"/>
      <c r="AK11" s="1699">
        <f t="shared" si="4"/>
        <v>8</v>
      </c>
    </row>
    <row r="12" spans="1:37" s="1050" customFormat="1" ht="47.25" customHeight="1">
      <c r="A12" s="862">
        <v>5</v>
      </c>
      <c r="B12" s="572" t="s">
        <v>1498</v>
      </c>
      <c r="C12" s="578" t="s">
        <v>1499</v>
      </c>
      <c r="D12" s="1476">
        <v>43144</v>
      </c>
      <c r="E12" s="830" t="s">
        <v>1098</v>
      </c>
      <c r="F12" s="1718">
        <v>311.57276828110162</v>
      </c>
      <c r="G12" s="1718">
        <v>322.21877967711305</v>
      </c>
      <c r="H12" s="1719">
        <v>275.53513429163138</v>
      </c>
      <c r="I12" s="1718">
        <v>341.80424737265946</v>
      </c>
      <c r="J12" s="1718">
        <v>416.25293038996256</v>
      </c>
      <c r="K12" s="1718">
        <v>513.75733054074635</v>
      </c>
      <c r="L12" s="1718">
        <v>438.22859037514218</v>
      </c>
      <c r="M12" s="1718">
        <v>326.06436537738699</v>
      </c>
      <c r="N12" s="1718">
        <v>283.69745861409154</v>
      </c>
      <c r="O12" s="1306">
        <v>313.90455153106285</v>
      </c>
      <c r="P12" s="1306">
        <v>221.30769230769232</v>
      </c>
      <c r="Q12" s="1306">
        <v>30</v>
      </c>
      <c r="R12" s="863">
        <f t="shared" si="0"/>
        <v>3794.3438487585895</v>
      </c>
      <c r="S12" s="863">
        <f t="shared" si="1"/>
        <v>316.19532072988244</v>
      </c>
      <c r="T12" s="863">
        <f t="shared" si="2"/>
        <v>12.161358489610864</v>
      </c>
      <c r="U12" s="875">
        <f>'S2'!W11</f>
        <v>0</v>
      </c>
      <c r="V12" s="874">
        <f t="shared" si="3"/>
        <v>0</v>
      </c>
      <c r="W12" s="853"/>
      <c r="X12" s="504"/>
      <c r="Y12" s="1706">
        <v>0</v>
      </c>
      <c r="Z12" s="875">
        <v>0</v>
      </c>
      <c r="AA12" s="1694">
        <v>2</v>
      </c>
      <c r="AB12" s="875">
        <v>1.5</v>
      </c>
      <c r="AC12" s="875">
        <v>1.5</v>
      </c>
      <c r="AD12" s="875">
        <v>0</v>
      </c>
      <c r="AE12" s="875">
        <v>0</v>
      </c>
      <c r="AF12" s="875">
        <v>3</v>
      </c>
      <c r="AG12" s="875">
        <v>1</v>
      </c>
      <c r="AH12" s="1694"/>
      <c r="AI12" s="1694"/>
      <c r="AJ12" s="1694"/>
      <c r="AK12" s="1699">
        <f t="shared" si="4"/>
        <v>9</v>
      </c>
    </row>
    <row r="13" spans="1:37" s="841" customFormat="1" ht="47.25" customHeight="1">
      <c r="A13" s="862">
        <v>6</v>
      </c>
      <c r="B13" s="1548" t="s">
        <v>425</v>
      </c>
      <c r="C13" s="1552" t="s">
        <v>1133</v>
      </c>
      <c r="D13" s="1545">
        <v>43151</v>
      </c>
      <c r="E13" s="833" t="s">
        <v>1098</v>
      </c>
      <c r="F13" s="1718">
        <v>297.56125356125352</v>
      </c>
      <c r="G13" s="1718">
        <v>311.70916429249758</v>
      </c>
      <c r="H13" s="1719">
        <v>272.25843188820141</v>
      </c>
      <c r="I13" s="1718">
        <v>330.9425380141534</v>
      </c>
      <c r="J13" s="1718">
        <v>423.79093678598622</v>
      </c>
      <c r="K13" s="1718">
        <v>503.56007235338916</v>
      </c>
      <c r="L13" s="1718">
        <v>481.82521788556272</v>
      </c>
      <c r="M13" s="1718">
        <v>357.62414318354917</v>
      </c>
      <c r="N13" s="1718">
        <v>277.98815170244836</v>
      </c>
      <c r="O13" s="1306">
        <v>321.41621323252673</v>
      </c>
      <c r="P13" s="1306">
        <v>212.07692307692309</v>
      </c>
      <c r="Q13" s="1306">
        <v>30</v>
      </c>
      <c r="R13" s="863">
        <f t="shared" si="0"/>
        <v>3820.7530459764912</v>
      </c>
      <c r="S13" s="863">
        <f t="shared" si="1"/>
        <v>318.39608716470758</v>
      </c>
      <c r="T13" s="863">
        <f t="shared" si="2"/>
        <v>12.246003352488753</v>
      </c>
      <c r="U13" s="875">
        <f>'S2'!W12</f>
        <v>0</v>
      </c>
      <c r="V13" s="874">
        <f t="shared" si="3"/>
        <v>0</v>
      </c>
      <c r="W13" s="853"/>
      <c r="X13" s="504"/>
      <c r="Y13" s="1706">
        <v>0</v>
      </c>
      <c r="Z13" s="875">
        <v>0</v>
      </c>
      <c r="AA13" s="1694">
        <v>2</v>
      </c>
      <c r="AB13" s="875">
        <v>1.5</v>
      </c>
      <c r="AC13" s="875">
        <v>0</v>
      </c>
      <c r="AD13" s="875">
        <v>0</v>
      </c>
      <c r="AE13" s="875">
        <v>0</v>
      </c>
      <c r="AF13" s="1694"/>
      <c r="AG13" s="875">
        <v>2</v>
      </c>
      <c r="AH13" s="1694"/>
      <c r="AI13" s="1694"/>
      <c r="AJ13" s="1694"/>
      <c r="AK13" s="1699">
        <f t="shared" si="4"/>
        <v>5.5</v>
      </c>
    </row>
    <row r="14" spans="1:37" s="1710" customFormat="1" ht="47.25" customHeight="1">
      <c r="A14" s="862">
        <v>7</v>
      </c>
      <c r="B14" s="785" t="s">
        <v>1351</v>
      </c>
      <c r="C14" s="966" t="s">
        <v>1353</v>
      </c>
      <c r="D14" s="1477">
        <v>44593</v>
      </c>
      <c r="E14" s="1637" t="s">
        <v>260</v>
      </c>
      <c r="F14" s="1718">
        <v>301.9554843304843</v>
      </c>
      <c r="G14" s="1718">
        <v>335.23611111111109</v>
      </c>
      <c r="H14" s="1719">
        <v>316.93126005545889</v>
      </c>
      <c r="I14" s="1718">
        <v>342.89243782012159</v>
      </c>
      <c r="J14" s="1718">
        <v>476.99628712871288</v>
      </c>
      <c r="K14" s="1718">
        <v>545.07209158415844</v>
      </c>
      <c r="L14" s="1718">
        <v>505.41850752306192</v>
      </c>
      <c r="M14" s="1718">
        <v>406.08910891089107</v>
      </c>
      <c r="N14" s="1718">
        <v>294.46929190125525</v>
      </c>
      <c r="O14" s="1306">
        <v>306.3663492827078</v>
      </c>
      <c r="P14" s="1306">
        <v>228.7680967680968</v>
      </c>
      <c r="Q14" s="1306">
        <v>30</v>
      </c>
      <c r="R14" s="863">
        <f t="shared" si="0"/>
        <v>4090.1950264160596</v>
      </c>
      <c r="S14" s="863">
        <f t="shared" ref="S14" si="5">R14/12</f>
        <v>340.84958553467163</v>
      </c>
      <c r="T14" s="863">
        <f t="shared" si="2"/>
        <v>13.109599443641217</v>
      </c>
      <c r="U14" s="875">
        <f>'S2'!W13</f>
        <v>0</v>
      </c>
      <c r="V14" s="874">
        <f t="shared" si="3"/>
        <v>0</v>
      </c>
      <c r="W14" s="853"/>
      <c r="X14" s="504"/>
      <c r="Y14" s="1706"/>
      <c r="Z14" s="875">
        <v>0</v>
      </c>
      <c r="AA14" s="1694">
        <v>4</v>
      </c>
      <c r="AB14" s="875">
        <v>1.5</v>
      </c>
      <c r="AC14" s="875">
        <v>0</v>
      </c>
      <c r="AD14" s="875">
        <v>0</v>
      </c>
      <c r="AE14" s="875">
        <v>1</v>
      </c>
      <c r="AF14" s="1694"/>
      <c r="AG14" s="875">
        <v>1</v>
      </c>
      <c r="AH14" s="1694"/>
      <c r="AI14" s="1694"/>
      <c r="AJ14" s="1694"/>
      <c r="AK14" s="1699"/>
    </row>
    <row r="15" spans="1:37" s="1789" customFormat="1" ht="47.25" customHeight="1">
      <c r="A15" s="862">
        <v>8</v>
      </c>
      <c r="B15" s="1415" t="s">
        <v>2300</v>
      </c>
      <c r="C15" s="578" t="s">
        <v>2301</v>
      </c>
      <c r="D15" s="1476">
        <v>43578</v>
      </c>
      <c r="E15" s="833" t="s">
        <v>1098</v>
      </c>
      <c r="F15" s="1718">
        <v>301.98433048433048</v>
      </c>
      <c r="G15" s="1718">
        <v>293.68815289648626</v>
      </c>
      <c r="H15" s="1718">
        <v>250.81109071402884</v>
      </c>
      <c r="I15" s="1719">
        <v>171.83591148127479</v>
      </c>
      <c r="J15" s="1097" t="s">
        <v>1918</v>
      </c>
      <c r="K15" s="1097" t="s">
        <v>1918</v>
      </c>
      <c r="L15" s="1718">
        <v>57.599982948086392</v>
      </c>
      <c r="M15" s="1718">
        <v>343.77937723188569</v>
      </c>
      <c r="N15" s="1718">
        <v>272.88672888869598</v>
      </c>
      <c r="O15" s="1306">
        <v>264.1781050321589</v>
      </c>
      <c r="P15" s="1306">
        <v>189.46153846153845</v>
      </c>
      <c r="Q15" s="1306">
        <v>30</v>
      </c>
      <c r="R15" s="863">
        <f t="shared" si="0"/>
        <v>2176.2252181384861</v>
      </c>
      <c r="S15" s="863">
        <f>R15/10</f>
        <v>217.62252181384861</v>
      </c>
      <c r="T15" s="863">
        <f>S15/26</f>
        <v>8.370096992840331</v>
      </c>
      <c r="U15" s="875">
        <f>'S2'!W14</f>
        <v>0</v>
      </c>
      <c r="V15" s="874">
        <f t="shared" si="3"/>
        <v>0</v>
      </c>
      <c r="W15" s="853"/>
      <c r="X15" s="504"/>
      <c r="Y15" s="1706"/>
      <c r="Z15" s="875"/>
      <c r="AA15" s="1694"/>
      <c r="AB15" s="875"/>
      <c r="AC15" s="875"/>
      <c r="AD15" s="875"/>
      <c r="AE15" s="875">
        <v>0</v>
      </c>
      <c r="AF15" s="875">
        <v>2</v>
      </c>
      <c r="AG15" s="875">
        <v>1</v>
      </c>
      <c r="AH15" s="1694"/>
      <c r="AI15" s="1694"/>
      <c r="AJ15" s="1694"/>
      <c r="AK15" s="1699"/>
    </row>
    <row r="16" spans="1:37" s="841" customFormat="1" ht="47.25" customHeight="1">
      <c r="A16" s="862">
        <v>9</v>
      </c>
      <c r="B16" s="1444" t="s">
        <v>1134</v>
      </c>
      <c r="C16" s="1511" t="s">
        <v>488</v>
      </c>
      <c r="D16" s="1544">
        <v>41411</v>
      </c>
      <c r="E16" s="830" t="s">
        <v>1098</v>
      </c>
      <c r="F16" s="1718">
        <v>297.83630104463441</v>
      </c>
      <c r="G16" s="1718">
        <v>314.04190408357073</v>
      </c>
      <c r="H16" s="1719">
        <v>263.25728459632597</v>
      </c>
      <c r="I16" s="1718">
        <v>340.21776762853284</v>
      </c>
      <c r="J16" s="1718">
        <v>412.73191165270379</v>
      </c>
      <c r="K16" s="1718">
        <v>508.79607768469157</v>
      </c>
      <c r="L16" s="1718">
        <v>475.20684918529741</v>
      </c>
      <c r="M16" s="1718">
        <v>367.54722010662607</v>
      </c>
      <c r="N16" s="1718">
        <v>282.76041928320382</v>
      </c>
      <c r="O16" s="1306">
        <v>299.35181162009502</v>
      </c>
      <c r="P16" s="1306">
        <v>221.30769230769232</v>
      </c>
      <c r="Q16" s="1306">
        <v>30</v>
      </c>
      <c r="R16" s="863">
        <f t="shared" si="0"/>
        <v>3813.0552391933734</v>
      </c>
      <c r="S16" s="863">
        <f t="shared" si="1"/>
        <v>317.75460326611443</v>
      </c>
      <c r="T16" s="863">
        <f t="shared" si="2"/>
        <v>12.221330894850555</v>
      </c>
      <c r="U16" s="875">
        <f>'S2'!W15</f>
        <v>0.5</v>
      </c>
      <c r="V16" s="874">
        <f t="shared" si="3"/>
        <v>6.1106654474252773</v>
      </c>
      <c r="W16" s="853"/>
      <c r="X16" s="504"/>
      <c r="Y16" s="1706">
        <v>0</v>
      </c>
      <c r="Z16" s="875">
        <v>0</v>
      </c>
      <c r="AA16" s="1694">
        <v>2</v>
      </c>
      <c r="AB16" s="875">
        <v>1.5</v>
      </c>
      <c r="AC16" s="875">
        <v>0</v>
      </c>
      <c r="AD16" s="875">
        <v>0</v>
      </c>
      <c r="AE16" s="875">
        <v>0</v>
      </c>
      <c r="AF16" s="1694"/>
      <c r="AG16" s="875">
        <v>1</v>
      </c>
      <c r="AH16" s="1694"/>
      <c r="AI16" s="1694"/>
      <c r="AJ16" s="1694"/>
      <c r="AK16" s="1699">
        <f t="shared" si="4"/>
        <v>4.5</v>
      </c>
    </row>
    <row r="17" spans="1:37" s="841" customFormat="1" ht="47.25" customHeight="1">
      <c r="A17" s="862">
        <v>10</v>
      </c>
      <c r="B17" s="1444" t="s">
        <v>1135</v>
      </c>
      <c r="C17" s="1553" t="s">
        <v>489</v>
      </c>
      <c r="D17" s="1544">
        <v>41307</v>
      </c>
      <c r="E17" s="830" t="s">
        <v>1098</v>
      </c>
      <c r="F17" s="1718">
        <v>311.57276828110162</v>
      </c>
      <c r="G17" s="1718">
        <v>317.58227641237647</v>
      </c>
      <c r="H17" s="1719">
        <v>280.2518883589841</v>
      </c>
      <c r="I17" s="1718">
        <v>333.0827347288415</v>
      </c>
      <c r="J17" s="1718">
        <v>430.6817402894136</v>
      </c>
      <c r="K17" s="1718">
        <v>494.43621477532366</v>
      </c>
      <c r="L17" s="1718">
        <v>471.9893899204244</v>
      </c>
      <c r="M17" s="1718">
        <v>353.18735719725822</v>
      </c>
      <c r="N17" s="1718">
        <v>282.95407310796827</v>
      </c>
      <c r="O17" s="1306">
        <v>347.71326932722639</v>
      </c>
      <c r="P17" s="1306">
        <v>221.30769230769232</v>
      </c>
      <c r="Q17" s="1306">
        <v>30</v>
      </c>
      <c r="R17" s="863">
        <f t="shared" si="0"/>
        <v>3874.7594047066104</v>
      </c>
      <c r="S17" s="863">
        <f t="shared" si="1"/>
        <v>322.8966170588842</v>
      </c>
      <c r="T17" s="863">
        <f t="shared" si="2"/>
        <v>12.419100656110931</v>
      </c>
      <c r="U17" s="875">
        <f>'S2'!W16</f>
        <v>0</v>
      </c>
      <c r="V17" s="874">
        <f t="shared" si="3"/>
        <v>0</v>
      </c>
      <c r="W17" s="853"/>
      <c r="X17" s="504"/>
      <c r="Y17" s="1706">
        <v>0</v>
      </c>
      <c r="Z17" s="875">
        <v>1</v>
      </c>
      <c r="AA17" s="1694">
        <v>3</v>
      </c>
      <c r="AB17" s="875">
        <v>1.5</v>
      </c>
      <c r="AC17" s="875">
        <v>0</v>
      </c>
      <c r="AD17" s="875">
        <v>0</v>
      </c>
      <c r="AE17" s="875">
        <v>0</v>
      </c>
      <c r="AF17" s="1694"/>
      <c r="AG17" s="875">
        <v>1</v>
      </c>
      <c r="AH17" s="1694"/>
      <c r="AI17" s="1694"/>
      <c r="AJ17" s="1694"/>
      <c r="AK17" s="1699">
        <f t="shared" si="4"/>
        <v>6.5</v>
      </c>
    </row>
    <row r="18" spans="1:37" s="841" customFormat="1" ht="47.25" customHeight="1">
      <c r="A18" s="862">
        <v>11</v>
      </c>
      <c r="B18" s="1549" t="s">
        <v>1136</v>
      </c>
      <c r="C18" s="1512" t="s">
        <v>404</v>
      </c>
      <c r="D18" s="1546">
        <v>42850</v>
      </c>
      <c r="E18" s="830" t="s">
        <v>1098</v>
      </c>
      <c r="F18" s="1718">
        <v>247.56517094017093</v>
      </c>
      <c r="G18" s="1718">
        <v>313.63034188034186</v>
      </c>
      <c r="H18" s="1719">
        <v>276.93116788023207</v>
      </c>
      <c r="I18" s="1718">
        <v>337.2137534948244</v>
      </c>
      <c r="J18" s="1718">
        <v>391.78208301599392</v>
      </c>
      <c r="K18" s="1718">
        <v>484.13180693069307</v>
      </c>
      <c r="L18" s="1718">
        <v>473.07666256157637</v>
      </c>
      <c r="M18" s="1718">
        <v>343.02763873760074</v>
      </c>
      <c r="N18" s="1718">
        <v>279.40555684808061</v>
      </c>
      <c r="O18" s="1306">
        <v>309.57102473588429</v>
      </c>
      <c r="P18" s="1306">
        <v>217.30769230769232</v>
      </c>
      <c r="Q18" s="1306">
        <v>30</v>
      </c>
      <c r="R18" s="863">
        <f t="shared" si="0"/>
        <v>3703.642899333091</v>
      </c>
      <c r="S18" s="863">
        <f t="shared" si="1"/>
        <v>308.63690827775758</v>
      </c>
      <c r="T18" s="863">
        <f t="shared" si="2"/>
        <v>11.870650318375292</v>
      </c>
      <c r="U18" s="875">
        <f>'S2'!W17</f>
        <v>0.5</v>
      </c>
      <c r="V18" s="874">
        <f t="shared" si="3"/>
        <v>5.9353251591876459</v>
      </c>
      <c r="W18" s="853"/>
      <c r="X18" s="504"/>
      <c r="Y18" s="1706">
        <v>0</v>
      </c>
      <c r="Z18" s="875">
        <v>0</v>
      </c>
      <c r="AA18" s="1694">
        <v>2</v>
      </c>
      <c r="AB18" s="875">
        <v>1.5</v>
      </c>
      <c r="AC18" s="875">
        <v>0</v>
      </c>
      <c r="AD18" s="875">
        <v>0</v>
      </c>
      <c r="AE18" s="875">
        <v>0</v>
      </c>
      <c r="AF18" s="875">
        <v>1</v>
      </c>
      <c r="AG18" s="875">
        <v>1</v>
      </c>
      <c r="AH18" s="1694"/>
      <c r="AI18" s="1694"/>
      <c r="AJ18" s="1694"/>
      <c r="AK18" s="1699">
        <f t="shared" si="4"/>
        <v>5.5</v>
      </c>
    </row>
    <row r="19" spans="1:37" s="841" customFormat="1" ht="47.25" customHeight="1">
      <c r="A19" s="862">
        <v>12</v>
      </c>
      <c r="B19" s="1549" t="s">
        <v>1137</v>
      </c>
      <c r="C19" s="1512" t="s">
        <v>1138</v>
      </c>
      <c r="D19" s="1546">
        <v>42849</v>
      </c>
      <c r="E19" s="830" t="s">
        <v>1098</v>
      </c>
      <c r="F19" s="1718">
        <v>298.26100334967111</v>
      </c>
      <c r="G19" s="1718">
        <v>267.14372308670818</v>
      </c>
      <c r="H19" s="1719">
        <v>272.02839634575849</v>
      </c>
      <c r="I19" s="1718">
        <v>320.92275157105945</v>
      </c>
      <c r="J19" s="1718">
        <v>424.79093678598622</v>
      </c>
      <c r="K19" s="1718">
        <v>481.93448564655523</v>
      </c>
      <c r="L19" s="1718">
        <v>468.96684350132625</v>
      </c>
      <c r="M19" s="1718">
        <v>358.62414318354917</v>
      </c>
      <c r="N19" s="1718">
        <v>237.30995938081739</v>
      </c>
      <c r="O19" s="1306">
        <v>322.42349201176154</v>
      </c>
      <c r="P19" s="1306">
        <v>213.07692307692309</v>
      </c>
      <c r="Q19" s="1306">
        <v>30</v>
      </c>
      <c r="R19" s="863">
        <f t="shared" si="0"/>
        <v>3695.482657940117</v>
      </c>
      <c r="S19" s="863">
        <f t="shared" si="1"/>
        <v>307.95688816167643</v>
      </c>
      <c r="T19" s="863">
        <f t="shared" si="2"/>
        <v>11.844495698526016</v>
      </c>
      <c r="U19" s="875">
        <f>'S2'!W18</f>
        <v>0</v>
      </c>
      <c r="V19" s="874">
        <f t="shared" si="3"/>
        <v>0</v>
      </c>
      <c r="W19" s="853"/>
      <c r="X19" s="504"/>
      <c r="Y19" s="1706">
        <v>1</v>
      </c>
      <c r="Z19" s="875">
        <v>1</v>
      </c>
      <c r="AA19" s="1694">
        <v>2</v>
      </c>
      <c r="AB19" s="875">
        <v>1.5</v>
      </c>
      <c r="AC19" s="875">
        <v>0</v>
      </c>
      <c r="AD19" s="875">
        <v>1</v>
      </c>
      <c r="AE19" s="875">
        <v>0</v>
      </c>
      <c r="AF19" s="1694"/>
      <c r="AG19" s="875">
        <v>1</v>
      </c>
      <c r="AH19" s="1694"/>
      <c r="AI19" s="1694"/>
      <c r="AJ19" s="1694"/>
      <c r="AK19" s="1699">
        <f t="shared" si="4"/>
        <v>7.5</v>
      </c>
    </row>
    <row r="20" spans="1:37" s="841" customFormat="1" ht="47.25" customHeight="1">
      <c r="A20" s="862">
        <v>13</v>
      </c>
      <c r="B20" s="1549" t="s">
        <v>1139</v>
      </c>
      <c r="C20" s="1512" t="s">
        <v>927</v>
      </c>
      <c r="D20" s="1546">
        <v>44478</v>
      </c>
      <c r="E20" s="830" t="s">
        <v>1098</v>
      </c>
      <c r="F20" s="1718">
        <v>303.57276828110162</v>
      </c>
      <c r="G20" s="1718">
        <v>313.21877967711305</v>
      </c>
      <c r="H20" s="1719">
        <v>276.70074882928134</v>
      </c>
      <c r="I20" s="1718">
        <v>332.62906729231531</v>
      </c>
      <c r="J20" s="1718">
        <v>426.27170601675556</v>
      </c>
      <c r="K20" s="1718">
        <v>506.7379569687738</v>
      </c>
      <c r="L20" s="1718">
        <v>480.81560250094731</v>
      </c>
      <c r="M20" s="1718">
        <v>359.54722010662607</v>
      </c>
      <c r="N20" s="1718">
        <v>274.85451269641987</v>
      </c>
      <c r="O20" s="1306">
        <v>324.71175608275951</v>
      </c>
      <c r="P20" s="1306">
        <v>213.30769230769232</v>
      </c>
      <c r="Q20" s="1306">
        <v>30</v>
      </c>
      <c r="R20" s="863">
        <f t="shared" si="0"/>
        <v>3842.3678107597857</v>
      </c>
      <c r="S20" s="863">
        <f t="shared" si="1"/>
        <v>320.19731756331549</v>
      </c>
      <c r="T20" s="863">
        <f t="shared" si="2"/>
        <v>12.315281444742904</v>
      </c>
      <c r="U20" s="875">
        <f>'S2'!W19</f>
        <v>0</v>
      </c>
      <c r="V20" s="874">
        <f t="shared" si="3"/>
        <v>0</v>
      </c>
      <c r="W20" s="853"/>
      <c r="X20" s="504"/>
      <c r="Y20" s="1706">
        <v>0</v>
      </c>
      <c r="Z20" s="875">
        <v>0</v>
      </c>
      <c r="AA20" s="1694">
        <v>3</v>
      </c>
      <c r="AB20" s="875">
        <v>1.5</v>
      </c>
      <c r="AC20" s="875">
        <v>0</v>
      </c>
      <c r="AD20" s="875">
        <v>0</v>
      </c>
      <c r="AE20" s="875">
        <v>0</v>
      </c>
      <c r="AF20" s="1694"/>
      <c r="AG20" s="875">
        <v>1</v>
      </c>
      <c r="AH20" s="1694"/>
      <c r="AI20" s="1694"/>
      <c r="AJ20" s="1694"/>
      <c r="AK20" s="1699">
        <f t="shared" si="4"/>
        <v>5.5</v>
      </c>
    </row>
    <row r="21" spans="1:37" s="841" customFormat="1" ht="47.25" customHeight="1">
      <c r="A21" s="862">
        <v>14</v>
      </c>
      <c r="B21" s="1550" t="s">
        <v>1140</v>
      </c>
      <c r="C21" s="1512" t="s">
        <v>979</v>
      </c>
      <c r="D21" s="1546">
        <v>44536</v>
      </c>
      <c r="E21" s="830" t="s">
        <v>1119</v>
      </c>
      <c r="F21" s="1718">
        <v>293.12084520417852</v>
      </c>
      <c r="G21" s="1718">
        <v>302.70916429249758</v>
      </c>
      <c r="H21" s="1719">
        <v>262.74513924002491</v>
      </c>
      <c r="I21" s="1718">
        <v>293.05550116739374</v>
      </c>
      <c r="J21" s="1718">
        <v>313.39544382151632</v>
      </c>
      <c r="K21" s="1718">
        <v>412.02151561309978</v>
      </c>
      <c r="L21" s="1718">
        <v>355.41331943918146</v>
      </c>
      <c r="M21" s="1718">
        <v>334.37966488956584</v>
      </c>
      <c r="N21" s="1718">
        <v>263.31865730695756</v>
      </c>
      <c r="O21" s="1306">
        <v>311.41000000000003</v>
      </c>
      <c r="P21" s="1306">
        <v>220.6483881055953</v>
      </c>
      <c r="Q21" s="1306">
        <v>30</v>
      </c>
      <c r="R21" s="863">
        <f t="shared" si="0"/>
        <v>3392.2176390800109</v>
      </c>
      <c r="S21" s="863">
        <f t="shared" si="1"/>
        <v>282.68480325666758</v>
      </c>
      <c r="T21" s="863">
        <f t="shared" si="2"/>
        <v>10.872492432948754</v>
      </c>
      <c r="U21" s="875">
        <f>'S2'!W20</f>
        <v>0</v>
      </c>
      <c r="V21" s="874">
        <f t="shared" si="3"/>
        <v>0</v>
      </c>
      <c r="W21" s="853"/>
      <c r="X21" s="504"/>
      <c r="Y21" s="1706">
        <v>0</v>
      </c>
      <c r="Z21" s="875">
        <v>0</v>
      </c>
      <c r="AA21" s="1694">
        <v>2</v>
      </c>
      <c r="AB21" s="875">
        <v>1.5</v>
      </c>
      <c r="AC21" s="875">
        <v>3</v>
      </c>
      <c r="AD21" s="875">
        <v>0</v>
      </c>
      <c r="AE21" s="875">
        <v>0</v>
      </c>
      <c r="AF21" s="1694"/>
      <c r="AG21" s="875">
        <v>1</v>
      </c>
      <c r="AH21" s="1694"/>
      <c r="AI21" s="1694"/>
      <c r="AJ21" s="1694"/>
      <c r="AK21" s="1699">
        <f t="shared" si="4"/>
        <v>7.5</v>
      </c>
    </row>
    <row r="22" spans="1:37" s="804" customFormat="1" ht="47.25" customHeight="1">
      <c r="A22" s="862">
        <v>15</v>
      </c>
      <c r="B22" s="688" t="s">
        <v>1048</v>
      </c>
      <c r="C22" s="628" t="s">
        <v>1049</v>
      </c>
      <c r="D22" s="1477">
        <v>44565</v>
      </c>
      <c r="E22" s="834" t="s">
        <v>1098</v>
      </c>
      <c r="F22" s="1718">
        <v>299.98433048433048</v>
      </c>
      <c r="G22" s="1718">
        <v>313.21877967711299</v>
      </c>
      <c r="H22" s="1719">
        <v>268.97102975879943</v>
      </c>
      <c r="I22" s="1718">
        <v>332.09785412136137</v>
      </c>
      <c r="J22" s="1718">
        <v>404.73191165270373</v>
      </c>
      <c r="K22" s="1718">
        <v>465.37848423547808</v>
      </c>
      <c r="L22" s="1718">
        <v>452.48972148541111</v>
      </c>
      <c r="M22" s="1718">
        <v>335.96268146169092</v>
      </c>
      <c r="N22" s="1718">
        <v>278.22502948750707</v>
      </c>
      <c r="O22" s="1306">
        <v>306.74371293321082</v>
      </c>
      <c r="P22" s="1306">
        <v>212.30769230769232</v>
      </c>
      <c r="Q22" s="1306">
        <v>30</v>
      </c>
      <c r="R22" s="863">
        <f t="shared" si="0"/>
        <v>3700.1112276052977</v>
      </c>
      <c r="S22" s="863">
        <f t="shared" si="1"/>
        <v>308.34260230044146</v>
      </c>
      <c r="T22" s="863">
        <f t="shared" si="2"/>
        <v>11.859330857709287</v>
      </c>
      <c r="U22" s="875">
        <f>'S2'!W21</f>
        <v>0</v>
      </c>
      <c r="V22" s="874">
        <f t="shared" si="3"/>
        <v>0</v>
      </c>
      <c r="W22" s="864"/>
      <c r="X22" s="763"/>
      <c r="Y22" s="1706">
        <v>0</v>
      </c>
      <c r="Z22" s="875">
        <v>0</v>
      </c>
      <c r="AA22" s="1695">
        <v>2</v>
      </c>
      <c r="AB22" s="875">
        <v>1.5</v>
      </c>
      <c r="AC22" s="875">
        <v>0</v>
      </c>
      <c r="AD22" s="875">
        <v>0.5</v>
      </c>
      <c r="AE22" s="875">
        <v>0</v>
      </c>
      <c r="AF22" s="875">
        <v>1</v>
      </c>
      <c r="AG22" s="875">
        <v>2</v>
      </c>
      <c r="AH22" s="1695"/>
      <c r="AI22" s="1695"/>
      <c r="AJ22" s="1695"/>
      <c r="AK22" s="1699">
        <f t="shared" si="4"/>
        <v>7</v>
      </c>
    </row>
    <row r="23" spans="1:37" s="963" customFormat="1" ht="47.25" customHeight="1">
      <c r="A23" s="862">
        <v>16</v>
      </c>
      <c r="B23" s="688" t="s">
        <v>1343</v>
      </c>
      <c r="C23" s="628" t="s">
        <v>1344</v>
      </c>
      <c r="D23" s="1477">
        <v>44595</v>
      </c>
      <c r="E23" s="830" t="s">
        <v>1098</v>
      </c>
      <c r="F23" s="1718">
        <v>263.58238366571697</v>
      </c>
      <c r="G23" s="1718">
        <v>307.70916429249758</v>
      </c>
      <c r="H23" s="1719">
        <v>268.86621284934961</v>
      </c>
      <c r="I23" s="1718">
        <v>308.5676690607126</v>
      </c>
      <c r="J23" s="1718">
        <v>411.94478293983246</v>
      </c>
      <c r="K23" s="1718">
        <v>492.06654607768468</v>
      </c>
      <c r="L23" s="1718">
        <v>441.14948844259186</v>
      </c>
      <c r="M23" s="1718">
        <v>332.21686976389941</v>
      </c>
      <c r="N23" s="1718">
        <v>269.14216324363377</v>
      </c>
      <c r="O23" s="1306">
        <v>316.64685209566846</v>
      </c>
      <c r="P23" s="1306">
        <v>208.07692307692309</v>
      </c>
      <c r="Q23" s="1306">
        <v>30</v>
      </c>
      <c r="R23" s="863">
        <f t="shared" si="0"/>
        <v>3649.9690555085099</v>
      </c>
      <c r="S23" s="863">
        <f t="shared" si="1"/>
        <v>304.16408795904249</v>
      </c>
      <c r="T23" s="863">
        <f t="shared" si="2"/>
        <v>11.69861876765548</v>
      </c>
      <c r="U23" s="875">
        <f>'S2'!W22</f>
        <v>0.5</v>
      </c>
      <c r="V23" s="874">
        <f t="shared" si="3"/>
        <v>5.8493093838277401</v>
      </c>
      <c r="W23" s="853"/>
      <c r="X23" s="504"/>
      <c r="Y23" s="1706">
        <v>0</v>
      </c>
      <c r="Z23" s="875">
        <v>0</v>
      </c>
      <c r="AA23" s="1694">
        <v>2.5</v>
      </c>
      <c r="AB23" s="875">
        <v>1.5</v>
      </c>
      <c r="AC23" s="875">
        <v>0</v>
      </c>
      <c r="AD23" s="875">
        <v>0</v>
      </c>
      <c r="AE23" s="875">
        <v>0</v>
      </c>
      <c r="AF23" s="1694"/>
      <c r="AG23" s="875">
        <v>1</v>
      </c>
      <c r="AH23" s="1694"/>
      <c r="AI23" s="1694"/>
      <c r="AJ23" s="1694"/>
      <c r="AK23" s="1699">
        <f t="shared" si="4"/>
        <v>5</v>
      </c>
    </row>
    <row r="24" spans="1:37" s="1800" customFormat="1" ht="47.25" customHeight="1">
      <c r="A24" s="862">
        <v>17</v>
      </c>
      <c r="B24" s="688" t="s">
        <v>2324</v>
      </c>
      <c r="C24" s="628" t="s">
        <v>2325</v>
      </c>
      <c r="D24" s="1477">
        <v>44596</v>
      </c>
      <c r="E24" s="830" t="s">
        <v>1098</v>
      </c>
      <c r="F24" s="1718">
        <v>297.12084520417852</v>
      </c>
      <c r="G24" s="1718">
        <v>300.58998100664763</v>
      </c>
      <c r="H24" s="1719">
        <v>267.57550702477829</v>
      </c>
      <c r="I24" s="1718">
        <v>322.88134847972827</v>
      </c>
      <c r="J24" s="1718">
        <v>56.579230769230769</v>
      </c>
      <c r="K24" s="1097" t="s">
        <v>1918</v>
      </c>
      <c r="L24" s="1097" t="s">
        <v>1918</v>
      </c>
      <c r="M24" s="1718">
        <v>305.11232292460022</v>
      </c>
      <c r="N24" s="1718">
        <v>261.11294835206041</v>
      </c>
      <c r="O24" s="1306">
        <v>312.33359659134675</v>
      </c>
      <c r="P24" s="1306">
        <v>208.07692307692309</v>
      </c>
      <c r="Q24" s="1306">
        <v>30</v>
      </c>
      <c r="R24" s="863">
        <f t="shared" si="0"/>
        <v>2361.3827034294936</v>
      </c>
      <c r="S24" s="863">
        <f>R24/10</f>
        <v>236.13827034294937</v>
      </c>
      <c r="T24" s="863">
        <f t="shared" ref="T24" si="6">S24/26</f>
        <v>9.0822411670365142</v>
      </c>
      <c r="U24" s="875">
        <f>'S2'!W23</f>
        <v>0</v>
      </c>
      <c r="V24" s="874">
        <f t="shared" si="3"/>
        <v>0</v>
      </c>
      <c r="W24" s="853"/>
      <c r="X24" s="504"/>
      <c r="Y24" s="1706">
        <v>0</v>
      </c>
      <c r="Z24" s="875">
        <v>0</v>
      </c>
      <c r="AA24" s="1694">
        <v>2</v>
      </c>
      <c r="AB24" s="875">
        <v>1.5</v>
      </c>
      <c r="AC24" s="875"/>
      <c r="AD24" s="875"/>
      <c r="AE24" s="875"/>
      <c r="AF24" s="1694"/>
      <c r="AG24" s="875">
        <v>1</v>
      </c>
      <c r="AH24" s="1694"/>
      <c r="AI24" s="1694"/>
      <c r="AJ24" s="1694"/>
      <c r="AK24" s="1699"/>
    </row>
    <row r="25" spans="1:37" s="1071" customFormat="1" ht="47.25" customHeight="1">
      <c r="A25" s="862">
        <v>18</v>
      </c>
      <c r="B25" s="572" t="s">
        <v>1515</v>
      </c>
      <c r="C25" s="956" t="s">
        <v>1516</v>
      </c>
      <c r="D25" s="1476">
        <v>44677</v>
      </c>
      <c r="E25" s="830" t="s">
        <v>1098</v>
      </c>
      <c r="F25" s="1718">
        <v>298.98433048433048</v>
      </c>
      <c r="G25" s="1718">
        <v>312.21877967711305</v>
      </c>
      <c r="H25" s="1719">
        <v>268.64787391167431</v>
      </c>
      <c r="I25" s="1718">
        <v>300.131199063103</v>
      </c>
      <c r="J25" s="1718">
        <v>334.41746001523234</v>
      </c>
      <c r="K25" s="1718">
        <v>403.49543031226204</v>
      </c>
      <c r="L25" s="1718">
        <v>403.14785430087153</v>
      </c>
      <c r="M25" s="1718">
        <v>357.69078446306173</v>
      </c>
      <c r="N25" s="1718">
        <v>273.81663535565883</v>
      </c>
      <c r="O25" s="1306">
        <v>323.29809510100546</v>
      </c>
      <c r="P25" s="1306">
        <v>212.30769230769232</v>
      </c>
      <c r="Q25" s="1306">
        <v>30</v>
      </c>
      <c r="R25" s="863">
        <f t="shared" si="0"/>
        <v>3518.1561349920053</v>
      </c>
      <c r="S25" s="863">
        <f t="shared" si="1"/>
        <v>293.17967791600046</v>
      </c>
      <c r="T25" s="863">
        <f t="shared" si="2"/>
        <v>11.276141458307709</v>
      </c>
      <c r="U25" s="875">
        <f>'S2'!W24</f>
        <v>0</v>
      </c>
      <c r="V25" s="874">
        <f t="shared" si="3"/>
        <v>0</v>
      </c>
      <c r="W25" s="853"/>
      <c r="X25" s="504"/>
      <c r="Y25" s="1706">
        <v>0</v>
      </c>
      <c r="Z25" s="875">
        <v>0</v>
      </c>
      <c r="AA25" s="1694">
        <v>2</v>
      </c>
      <c r="AB25" s="875">
        <v>1.5</v>
      </c>
      <c r="AC25" s="875">
        <v>0</v>
      </c>
      <c r="AD25" s="875">
        <v>0</v>
      </c>
      <c r="AE25" s="875">
        <v>0</v>
      </c>
      <c r="AF25" s="1694"/>
      <c r="AG25" s="875">
        <v>1</v>
      </c>
      <c r="AH25" s="1694"/>
      <c r="AI25" s="1694"/>
      <c r="AJ25" s="1694"/>
      <c r="AK25" s="1699">
        <f t="shared" si="4"/>
        <v>4.5</v>
      </c>
    </row>
    <row r="26" spans="1:37" s="1090" customFormat="1" ht="47.25" customHeight="1">
      <c r="A26" s="862">
        <v>19</v>
      </c>
      <c r="B26" s="785" t="s">
        <v>1569</v>
      </c>
      <c r="C26" s="966" t="s">
        <v>1570</v>
      </c>
      <c r="D26" s="1477">
        <v>44735</v>
      </c>
      <c r="E26" s="830" t="s">
        <v>1098</v>
      </c>
      <c r="F26" s="1718">
        <v>298.52279202279203</v>
      </c>
      <c r="G26" s="1718">
        <v>312.50909775902869</v>
      </c>
      <c r="H26" s="1719">
        <v>261.47935570724655</v>
      </c>
      <c r="I26" s="1718">
        <v>306.77493106533962</v>
      </c>
      <c r="J26" s="1718">
        <v>358.47239146991626</v>
      </c>
      <c r="K26" s="1718">
        <v>393.83910891089107</v>
      </c>
      <c r="L26" s="1718">
        <v>400.42558734369084</v>
      </c>
      <c r="M26" s="1718">
        <v>319.75123762376239</v>
      </c>
      <c r="N26" s="1718">
        <v>259.20287102256555</v>
      </c>
      <c r="O26" s="1306">
        <v>319.38150327697787</v>
      </c>
      <c r="P26" s="1306">
        <v>217.30769230769232</v>
      </c>
      <c r="Q26" s="1306">
        <v>30</v>
      </c>
      <c r="R26" s="863">
        <f t="shared" si="0"/>
        <v>3477.6665685099033</v>
      </c>
      <c r="S26" s="863">
        <f t="shared" si="1"/>
        <v>289.80554737582526</v>
      </c>
      <c r="T26" s="863">
        <f t="shared" si="2"/>
        <v>11.146367206762509</v>
      </c>
      <c r="U26" s="875">
        <f>'S2'!W25</f>
        <v>5</v>
      </c>
      <c r="V26" s="874">
        <f t="shared" si="3"/>
        <v>55.731836033812542</v>
      </c>
      <c r="W26" s="853"/>
      <c r="X26" s="504"/>
      <c r="Y26" s="1706">
        <v>0</v>
      </c>
      <c r="Z26" s="875">
        <v>1</v>
      </c>
      <c r="AA26" s="1694">
        <v>2</v>
      </c>
      <c r="AB26" s="875">
        <v>1.5</v>
      </c>
      <c r="AC26" s="875">
        <v>0</v>
      </c>
      <c r="AD26" s="875">
        <v>0</v>
      </c>
      <c r="AE26" s="875">
        <v>0</v>
      </c>
      <c r="AF26" s="1694"/>
      <c r="AG26" s="875">
        <v>1</v>
      </c>
      <c r="AH26" s="1694"/>
      <c r="AI26" s="1694"/>
      <c r="AJ26" s="1694"/>
      <c r="AK26" s="1699">
        <f t="shared" si="4"/>
        <v>5.5</v>
      </c>
    </row>
    <row r="27" spans="1:37" s="1760" customFormat="1" ht="47.25" customHeight="1">
      <c r="A27" s="862">
        <v>20</v>
      </c>
      <c r="B27" s="1445" t="s">
        <v>2262</v>
      </c>
      <c r="C27" s="1401" t="s">
        <v>2263</v>
      </c>
      <c r="D27" s="1382">
        <v>45496</v>
      </c>
      <c r="E27" s="830" t="s">
        <v>1098</v>
      </c>
      <c r="F27" s="1325">
        <v>0</v>
      </c>
      <c r="G27" s="1325">
        <v>0</v>
      </c>
      <c r="H27" s="1325">
        <v>0</v>
      </c>
      <c r="I27" s="1325">
        <v>0</v>
      </c>
      <c r="J27" s="1325">
        <v>0</v>
      </c>
      <c r="K27" s="1325">
        <v>0</v>
      </c>
      <c r="L27" s="1718">
        <v>94.217641151951483</v>
      </c>
      <c r="M27" s="1718">
        <v>312.80274181264281</v>
      </c>
      <c r="N27" s="1718">
        <v>251.36368215525968</v>
      </c>
      <c r="O27" s="1325">
        <v>0</v>
      </c>
      <c r="P27" s="1325">
        <v>0</v>
      </c>
      <c r="Q27" s="1325">
        <v>0</v>
      </c>
      <c r="R27" s="863">
        <f t="shared" si="0"/>
        <v>658.38406511985397</v>
      </c>
      <c r="S27" s="863">
        <f>R27/3</f>
        <v>219.46135503995131</v>
      </c>
      <c r="T27" s="863">
        <f t="shared" si="2"/>
        <v>8.4408213476904344</v>
      </c>
      <c r="U27" s="875">
        <f>'S2'!W26</f>
        <v>0</v>
      </c>
      <c r="V27" s="874">
        <f t="shared" si="3"/>
        <v>0</v>
      </c>
      <c r="W27" s="853"/>
      <c r="X27" s="504"/>
      <c r="Y27" s="1706"/>
      <c r="Z27" s="875"/>
      <c r="AA27" s="1694"/>
      <c r="AB27" s="875"/>
      <c r="AC27" s="875"/>
      <c r="AD27" s="875"/>
      <c r="AE27" s="875">
        <v>0</v>
      </c>
      <c r="AF27" s="1694"/>
      <c r="AG27" s="875">
        <v>1</v>
      </c>
      <c r="AH27" s="1694"/>
      <c r="AI27" s="1694"/>
      <c r="AJ27" s="1694"/>
      <c r="AK27" s="1699"/>
    </row>
    <row r="28" spans="1:37" s="841" customFormat="1" ht="47.25" customHeight="1">
      <c r="A28" s="862">
        <v>21</v>
      </c>
      <c r="B28" s="1444" t="s">
        <v>1141</v>
      </c>
      <c r="C28" s="1511" t="s">
        <v>971</v>
      </c>
      <c r="D28" s="1544">
        <v>41491</v>
      </c>
      <c r="E28" s="830" t="s">
        <v>1098</v>
      </c>
      <c r="F28" s="1718">
        <v>316.57276828110162</v>
      </c>
      <c r="G28" s="1718">
        <v>326.21877967711305</v>
      </c>
      <c r="H28" s="1719">
        <v>286.91939057195549</v>
      </c>
      <c r="I28" s="1718">
        <v>331.59366662147119</v>
      </c>
      <c r="J28" s="1718">
        <v>448.13710424726838</v>
      </c>
      <c r="K28" s="1718">
        <v>495.34991431835493</v>
      </c>
      <c r="L28" s="1718">
        <v>485.03303808260705</v>
      </c>
      <c r="M28" s="1718">
        <v>367.54722010662613</v>
      </c>
      <c r="N28" s="1718">
        <v>283.19416543826446</v>
      </c>
      <c r="O28" s="1306">
        <v>337.85998379560482</v>
      </c>
      <c r="P28" s="1306">
        <v>234.23076923076925</v>
      </c>
      <c r="Q28" s="1306">
        <v>30</v>
      </c>
      <c r="R28" s="863">
        <f t="shared" si="0"/>
        <v>3942.6568003711363</v>
      </c>
      <c r="S28" s="863">
        <f t="shared" si="1"/>
        <v>328.55473336426138</v>
      </c>
      <c r="T28" s="863">
        <f t="shared" si="2"/>
        <v>12.636720514010053</v>
      </c>
      <c r="U28" s="875">
        <f>'S2'!W27</f>
        <v>0</v>
      </c>
      <c r="V28" s="874">
        <f t="shared" si="3"/>
        <v>0</v>
      </c>
      <c r="W28" s="864"/>
      <c r="X28" s="763"/>
      <c r="Y28" s="1706">
        <v>0</v>
      </c>
      <c r="Z28" s="875">
        <v>0</v>
      </c>
      <c r="AA28" s="1694">
        <v>2</v>
      </c>
      <c r="AB28" s="875">
        <v>1.5</v>
      </c>
      <c r="AC28" s="875">
        <v>1</v>
      </c>
      <c r="AD28" s="875">
        <v>0</v>
      </c>
      <c r="AE28" s="875">
        <v>0</v>
      </c>
      <c r="AF28" s="1694"/>
      <c r="AG28" s="875">
        <v>1</v>
      </c>
      <c r="AH28" s="1694"/>
      <c r="AI28" s="1694"/>
      <c r="AJ28" s="1694"/>
      <c r="AK28" s="1699">
        <f t="shared" si="4"/>
        <v>5.5</v>
      </c>
    </row>
    <row r="29" spans="1:37" s="841" customFormat="1" ht="47.25" customHeight="1">
      <c r="A29" s="862">
        <v>22</v>
      </c>
      <c r="B29" s="1444" t="s">
        <v>1142</v>
      </c>
      <c r="C29" s="1511" t="s">
        <v>490</v>
      </c>
      <c r="D29" s="1544">
        <v>41498</v>
      </c>
      <c r="E29" s="830" t="s">
        <v>1098</v>
      </c>
      <c r="F29" s="1718">
        <v>311.31356967431441</v>
      </c>
      <c r="G29" s="1718">
        <v>314.04190408357073</v>
      </c>
      <c r="H29" s="1719">
        <v>226.88036808928518</v>
      </c>
      <c r="I29" s="1718">
        <v>322.07045682189568</v>
      </c>
      <c r="J29" s="1718">
        <v>427.09177456207163</v>
      </c>
      <c r="K29" s="1718">
        <v>505.20611195734961</v>
      </c>
      <c r="L29" s="1718">
        <v>460.85917961348997</v>
      </c>
      <c r="M29" s="1718">
        <v>356.77732292460018</v>
      </c>
      <c r="N29" s="1718">
        <v>279.09020658708221</v>
      </c>
      <c r="O29" s="1306">
        <v>325.03726350760314</v>
      </c>
      <c r="P29" s="1306">
        <v>225.64449772372313</v>
      </c>
      <c r="Q29" s="1306">
        <v>30</v>
      </c>
      <c r="R29" s="863">
        <f t="shared" si="0"/>
        <v>3784.012655544986</v>
      </c>
      <c r="S29" s="863">
        <f t="shared" si="1"/>
        <v>315.33438796208219</v>
      </c>
      <c r="T29" s="863">
        <f t="shared" si="2"/>
        <v>12.128245690849315</v>
      </c>
      <c r="U29" s="875">
        <f>'S2'!W28</f>
        <v>0</v>
      </c>
      <c r="V29" s="874">
        <f t="shared" si="3"/>
        <v>0</v>
      </c>
      <c r="W29" s="853"/>
      <c r="X29" s="504"/>
      <c r="Y29" s="1706">
        <v>1</v>
      </c>
      <c r="Z29" s="875">
        <v>0</v>
      </c>
      <c r="AA29" s="1694">
        <v>1.5</v>
      </c>
      <c r="AB29" s="875">
        <v>2.5</v>
      </c>
      <c r="AC29" s="875">
        <v>0</v>
      </c>
      <c r="AD29" s="875">
        <v>0</v>
      </c>
      <c r="AE29" s="875">
        <v>0</v>
      </c>
      <c r="AF29" s="1694"/>
      <c r="AG29" s="875">
        <v>1</v>
      </c>
      <c r="AH29" s="1694"/>
      <c r="AI29" s="1694"/>
      <c r="AJ29" s="1694"/>
      <c r="AK29" s="1699">
        <f t="shared" si="4"/>
        <v>6</v>
      </c>
    </row>
    <row r="30" spans="1:37" s="841" customFormat="1" ht="47.25" customHeight="1">
      <c r="A30" s="862">
        <v>23</v>
      </c>
      <c r="B30" s="1444" t="s">
        <v>1143</v>
      </c>
      <c r="C30" s="1511" t="s">
        <v>491</v>
      </c>
      <c r="D30" s="1544">
        <v>41582</v>
      </c>
      <c r="E30" s="830" t="s">
        <v>1098</v>
      </c>
      <c r="F30" s="1718">
        <v>311.57276828110162</v>
      </c>
      <c r="G30" s="1718">
        <v>320.9048330704062</v>
      </c>
      <c r="H30" s="1719">
        <v>270.9600000624784</v>
      </c>
      <c r="I30" s="1718">
        <v>341.06072726956211</v>
      </c>
      <c r="J30" s="1718">
        <v>430.10474002965231</v>
      </c>
      <c r="K30" s="1718">
        <v>488.03839577765143</v>
      </c>
      <c r="L30" s="1718">
        <v>478.05485032209168</v>
      </c>
      <c r="M30" s="1718">
        <v>358.4957159177456</v>
      </c>
      <c r="N30" s="1718">
        <v>282.83597460533997</v>
      </c>
      <c r="O30" s="1306">
        <v>328.08938808828168</v>
      </c>
      <c r="P30" s="1306">
        <v>207.34615384615387</v>
      </c>
      <c r="Q30" s="1306">
        <v>30</v>
      </c>
      <c r="R30" s="863">
        <f t="shared" si="0"/>
        <v>3847.4635472704649</v>
      </c>
      <c r="S30" s="863">
        <f t="shared" si="1"/>
        <v>320.62196227253872</v>
      </c>
      <c r="T30" s="863">
        <f t="shared" si="2"/>
        <v>12.331613933559181</v>
      </c>
      <c r="U30" s="875">
        <f>'S2'!W29</f>
        <v>0</v>
      </c>
      <c r="V30" s="874">
        <f t="shared" si="3"/>
        <v>0</v>
      </c>
      <c r="W30" s="853"/>
      <c r="X30" s="504"/>
      <c r="Y30" s="1706">
        <v>0</v>
      </c>
      <c r="Z30" s="875">
        <v>1</v>
      </c>
      <c r="AA30" s="1694">
        <v>3</v>
      </c>
      <c r="AB30" s="1729">
        <v>1.5</v>
      </c>
      <c r="AC30" s="875">
        <v>1</v>
      </c>
      <c r="AD30" s="875">
        <v>0.5</v>
      </c>
      <c r="AE30" s="875">
        <v>0</v>
      </c>
      <c r="AF30" s="1694"/>
      <c r="AG30" s="875">
        <v>1</v>
      </c>
      <c r="AH30" s="1694"/>
      <c r="AI30" s="1694"/>
      <c r="AJ30" s="1694"/>
      <c r="AK30" s="1699">
        <f t="shared" si="4"/>
        <v>8</v>
      </c>
    </row>
    <row r="31" spans="1:37" s="841" customFormat="1" ht="47.25" customHeight="1">
      <c r="A31" s="862">
        <v>24</v>
      </c>
      <c r="B31" s="1444" t="s">
        <v>1144</v>
      </c>
      <c r="C31" s="1511" t="s">
        <v>469</v>
      </c>
      <c r="D31" s="1544">
        <v>43620</v>
      </c>
      <c r="E31" s="830" t="s">
        <v>1098</v>
      </c>
      <c r="F31" s="1718">
        <v>305.57276828110162</v>
      </c>
      <c r="G31" s="1718">
        <v>311.63034188034186</v>
      </c>
      <c r="H31" s="1719">
        <v>278.69966292458338</v>
      </c>
      <c r="I31" s="1718">
        <v>334.62851911927066</v>
      </c>
      <c r="J31" s="1718">
        <v>428.27170601675556</v>
      </c>
      <c r="K31" s="1718">
        <v>475.44735338918514</v>
      </c>
      <c r="L31" s="1718">
        <v>431.50513619531114</v>
      </c>
      <c r="M31" s="1718">
        <v>341.00742574257424</v>
      </c>
      <c r="N31" s="1718">
        <v>272.11323306739001</v>
      </c>
      <c r="O31" s="1306">
        <v>325.36269230440365</v>
      </c>
      <c r="P31" s="1306">
        <v>215.30769230769232</v>
      </c>
      <c r="Q31" s="1306">
        <v>30</v>
      </c>
      <c r="R31" s="863">
        <f t="shared" si="0"/>
        <v>3749.5465312286092</v>
      </c>
      <c r="S31" s="863">
        <f t="shared" si="1"/>
        <v>312.46221093571745</v>
      </c>
      <c r="T31" s="863">
        <f t="shared" si="2"/>
        <v>12.017777343681441</v>
      </c>
      <c r="U31" s="875">
        <f>'S2'!W30</f>
        <v>0</v>
      </c>
      <c r="V31" s="874">
        <f t="shared" si="3"/>
        <v>0</v>
      </c>
      <c r="W31" s="853"/>
      <c r="X31" s="504"/>
      <c r="Y31" s="1706">
        <v>0</v>
      </c>
      <c r="Z31" s="875">
        <v>0</v>
      </c>
      <c r="AA31" s="1694">
        <v>3</v>
      </c>
      <c r="AB31" s="1729">
        <v>1.5</v>
      </c>
      <c r="AC31" s="875">
        <v>0</v>
      </c>
      <c r="AD31" s="875">
        <v>0</v>
      </c>
      <c r="AE31" s="875">
        <v>4</v>
      </c>
      <c r="AF31" s="1694"/>
      <c r="AG31" s="875">
        <v>1</v>
      </c>
      <c r="AH31" s="1694"/>
      <c r="AI31" s="1694"/>
      <c r="AJ31" s="1694"/>
      <c r="AK31" s="1699">
        <f t="shared" si="4"/>
        <v>9.5</v>
      </c>
    </row>
    <row r="32" spans="1:37" s="841" customFormat="1" ht="47.25" customHeight="1">
      <c r="A32" s="862">
        <v>25</v>
      </c>
      <c r="B32" s="1444" t="s">
        <v>1145</v>
      </c>
      <c r="C32" s="1511" t="s">
        <v>710</v>
      </c>
      <c r="D32" s="1544">
        <v>43648</v>
      </c>
      <c r="E32" s="830" t="s">
        <v>1098</v>
      </c>
      <c r="F32" s="1718">
        <v>305.12084520417852</v>
      </c>
      <c r="G32" s="1718">
        <v>314.70916429249758</v>
      </c>
      <c r="H32" s="1719">
        <v>274.51035769637514</v>
      </c>
      <c r="I32" s="1718">
        <v>335.22692767048204</v>
      </c>
      <c r="J32" s="1718">
        <v>397.93450114242194</v>
      </c>
      <c r="K32" s="1718">
        <v>465.37671363290173</v>
      </c>
      <c r="L32" s="1718">
        <v>464.26416256157631</v>
      </c>
      <c r="M32" s="1718">
        <v>356.62414318354917</v>
      </c>
      <c r="N32" s="1718">
        <v>272.29007266987969</v>
      </c>
      <c r="O32" s="1306">
        <v>324.28995231737639</v>
      </c>
      <c r="P32" s="1306">
        <v>216.07692307692309</v>
      </c>
      <c r="Q32" s="1306">
        <v>30</v>
      </c>
      <c r="R32" s="863">
        <f t="shared" si="0"/>
        <v>3756.4237634481615</v>
      </c>
      <c r="S32" s="863">
        <f t="shared" si="1"/>
        <v>313.03531362068014</v>
      </c>
      <c r="T32" s="863">
        <f t="shared" si="2"/>
        <v>12.039819754641544</v>
      </c>
      <c r="U32" s="875">
        <f>'S2'!W31</f>
        <v>0</v>
      </c>
      <c r="V32" s="874">
        <f t="shared" si="3"/>
        <v>0</v>
      </c>
      <c r="W32" s="853"/>
      <c r="X32" s="504"/>
      <c r="Y32" s="1706">
        <v>0</v>
      </c>
      <c r="Z32" s="875">
        <v>0</v>
      </c>
      <c r="AA32" s="1694">
        <v>2</v>
      </c>
      <c r="AB32" s="875">
        <v>3.5</v>
      </c>
      <c r="AC32" s="875">
        <v>0</v>
      </c>
      <c r="AD32" s="875">
        <v>0</v>
      </c>
      <c r="AE32" s="875">
        <v>0</v>
      </c>
      <c r="AF32" s="1694"/>
      <c r="AG32" s="875">
        <v>1</v>
      </c>
      <c r="AH32" s="1694"/>
      <c r="AI32" s="1694"/>
      <c r="AJ32" s="1694"/>
      <c r="AK32" s="1699">
        <f t="shared" si="4"/>
        <v>6.5</v>
      </c>
    </row>
    <row r="33" spans="1:37" s="1610" customFormat="1" ht="47.25" customHeight="1">
      <c r="A33" s="862">
        <v>26</v>
      </c>
      <c r="B33" s="1623" t="s">
        <v>2102</v>
      </c>
      <c r="C33" s="1511" t="s">
        <v>2104</v>
      </c>
      <c r="D33" s="1624">
        <v>43710</v>
      </c>
      <c r="E33" s="830" t="s">
        <v>1098</v>
      </c>
      <c r="F33" s="1718">
        <v>305.57276828110162</v>
      </c>
      <c r="G33" s="1718">
        <v>311.63034188034186</v>
      </c>
      <c r="H33" s="1719">
        <v>273.74200561984952</v>
      </c>
      <c r="I33" s="1718">
        <v>333.26260669052368</v>
      </c>
      <c r="J33" s="1718">
        <v>424.68174028941354</v>
      </c>
      <c r="K33" s="1718">
        <v>508.7379569687738</v>
      </c>
      <c r="L33" s="1718">
        <v>483.19022356953388</v>
      </c>
      <c r="M33" s="1718">
        <v>354.36728865194215</v>
      </c>
      <c r="N33" s="1718">
        <v>288.22557905636381</v>
      </c>
      <c r="O33" s="1097" t="s">
        <v>1102</v>
      </c>
      <c r="P33" s="1306">
        <v>171.83230769230767</v>
      </c>
      <c r="Q33" s="1306">
        <v>30</v>
      </c>
      <c r="R33" s="863">
        <f t="shared" si="0"/>
        <v>3485.242818700151</v>
      </c>
      <c r="S33" s="863">
        <f>R33/11</f>
        <v>316.84025624546825</v>
      </c>
      <c r="T33" s="863">
        <f t="shared" si="2"/>
        <v>12.186163701748779</v>
      </c>
      <c r="U33" s="875">
        <f>'S2'!W32</f>
        <v>0</v>
      </c>
      <c r="V33" s="874">
        <f t="shared" si="3"/>
        <v>0</v>
      </c>
      <c r="W33" s="853"/>
      <c r="X33" s="504"/>
      <c r="Y33" s="1706">
        <v>0</v>
      </c>
      <c r="Z33" s="875">
        <v>0</v>
      </c>
      <c r="AA33" s="1694">
        <v>2</v>
      </c>
      <c r="AB33" s="875">
        <v>1.5</v>
      </c>
      <c r="AC33" s="875">
        <v>0</v>
      </c>
      <c r="AD33" s="875">
        <v>0</v>
      </c>
      <c r="AE33" s="875">
        <v>0</v>
      </c>
      <c r="AF33" s="1694"/>
      <c r="AG33" s="875">
        <v>5</v>
      </c>
      <c r="AH33" s="1694"/>
      <c r="AI33" s="1694"/>
      <c r="AJ33" s="1694"/>
      <c r="AK33" s="1699">
        <f t="shared" si="4"/>
        <v>8.5</v>
      </c>
    </row>
    <row r="34" spans="1:37" s="841" customFormat="1" ht="47.25" customHeight="1">
      <c r="A34" s="862">
        <v>27</v>
      </c>
      <c r="B34" s="1444" t="s">
        <v>524</v>
      </c>
      <c r="C34" s="1511" t="s">
        <v>1146</v>
      </c>
      <c r="D34" s="1544">
        <v>43742</v>
      </c>
      <c r="E34" s="830" t="s">
        <v>1119</v>
      </c>
      <c r="F34" s="1718">
        <v>250.90360873694203</v>
      </c>
      <c r="G34" s="1718">
        <v>303.75103149995459</v>
      </c>
      <c r="H34" s="1719">
        <v>250.99038461538458</v>
      </c>
      <c r="I34" s="1718">
        <v>319.7412772781139</v>
      </c>
      <c r="J34" s="1718">
        <v>416.79093678598628</v>
      </c>
      <c r="K34" s="1718">
        <v>496.56007235338916</v>
      </c>
      <c r="L34" s="1718">
        <v>465.74531072375896</v>
      </c>
      <c r="M34" s="1718">
        <v>350.62414318354917</v>
      </c>
      <c r="N34" s="1718">
        <v>266.22099054708082</v>
      </c>
      <c r="O34" s="1306">
        <v>316.84080005463011</v>
      </c>
      <c r="P34" s="1306">
        <v>206.23076923076923</v>
      </c>
      <c r="Q34" s="1306">
        <v>30</v>
      </c>
      <c r="R34" s="863">
        <f t="shared" si="0"/>
        <v>3674.3993250095587</v>
      </c>
      <c r="S34" s="863">
        <f t="shared" si="1"/>
        <v>306.19994375079654</v>
      </c>
      <c r="T34" s="863">
        <f t="shared" si="2"/>
        <v>11.776920913492175</v>
      </c>
      <c r="U34" s="875">
        <f>'S2'!W33</f>
        <v>0</v>
      </c>
      <c r="V34" s="874">
        <f t="shared" si="3"/>
        <v>0</v>
      </c>
      <c r="W34" s="853"/>
      <c r="X34" s="504"/>
      <c r="Y34" s="1706">
        <v>0</v>
      </c>
      <c r="Z34" s="875">
        <v>6</v>
      </c>
      <c r="AA34" s="1694">
        <v>0</v>
      </c>
      <c r="AB34" s="875">
        <v>1.5</v>
      </c>
      <c r="AC34" s="875">
        <v>0</v>
      </c>
      <c r="AD34" s="875">
        <v>0</v>
      </c>
      <c r="AE34" s="875">
        <v>0</v>
      </c>
      <c r="AF34" s="1694"/>
      <c r="AG34" s="875">
        <v>1</v>
      </c>
      <c r="AH34" s="1694"/>
      <c r="AI34" s="1694"/>
      <c r="AJ34" s="1694"/>
      <c r="AK34" s="1699">
        <f t="shared" si="4"/>
        <v>8.5</v>
      </c>
    </row>
    <row r="35" spans="1:37" s="768" customFormat="1" ht="47.25" customHeight="1">
      <c r="A35" s="862">
        <v>28</v>
      </c>
      <c r="B35" s="1551" t="s">
        <v>746</v>
      </c>
      <c r="C35" s="1554" t="s">
        <v>747</v>
      </c>
      <c r="D35" s="1547">
        <v>43756</v>
      </c>
      <c r="E35" s="866" t="s">
        <v>1098</v>
      </c>
      <c r="F35" s="1718">
        <v>303.37814119768814</v>
      </c>
      <c r="G35" s="1718">
        <v>315.21877967711305</v>
      </c>
      <c r="H35" s="1719">
        <v>275.54847598956798</v>
      </c>
      <c r="I35" s="1718">
        <v>334.67970240427508</v>
      </c>
      <c r="J35" s="1718">
        <v>428.27170601675556</v>
      </c>
      <c r="K35" s="1718">
        <v>508.7379569687738</v>
      </c>
      <c r="L35" s="1718">
        <v>476.01638878363019</v>
      </c>
      <c r="M35" s="1718">
        <v>361.54722010662607</v>
      </c>
      <c r="N35" s="1718">
        <v>276.87620881195926</v>
      </c>
      <c r="O35" s="1306">
        <v>323.29948219837195</v>
      </c>
      <c r="P35" s="1306">
        <v>215.30769230769232</v>
      </c>
      <c r="Q35" s="1306">
        <v>30</v>
      </c>
      <c r="R35" s="863">
        <f t="shared" si="0"/>
        <v>3848.8817544624535</v>
      </c>
      <c r="S35" s="863">
        <f t="shared" si="1"/>
        <v>320.74014620520444</v>
      </c>
      <c r="T35" s="863">
        <f t="shared" si="2"/>
        <v>12.336159469430941</v>
      </c>
      <c r="U35" s="875">
        <f>'S2'!W34</f>
        <v>0</v>
      </c>
      <c r="V35" s="874">
        <f t="shared" si="3"/>
        <v>0</v>
      </c>
      <c r="W35" s="853"/>
      <c r="X35" s="504"/>
      <c r="Y35" s="1706">
        <v>1.5</v>
      </c>
      <c r="Z35" s="875">
        <v>0</v>
      </c>
      <c r="AA35" s="1696">
        <v>2</v>
      </c>
      <c r="AB35" s="875">
        <v>1.5</v>
      </c>
      <c r="AC35" s="875">
        <v>0</v>
      </c>
      <c r="AD35" s="875">
        <v>0</v>
      </c>
      <c r="AE35" s="875">
        <v>0</v>
      </c>
      <c r="AF35" s="1696"/>
      <c r="AG35" s="875">
        <v>1</v>
      </c>
      <c r="AH35" s="1696"/>
      <c r="AI35" s="1696"/>
      <c r="AJ35" s="1696"/>
      <c r="AK35" s="1699">
        <f t="shared" si="4"/>
        <v>6</v>
      </c>
    </row>
    <row r="36" spans="1:37" s="841" customFormat="1" ht="47.25" customHeight="1">
      <c r="A36" s="862">
        <v>29</v>
      </c>
      <c r="B36" s="1444" t="s">
        <v>1147</v>
      </c>
      <c r="C36" s="1511" t="s">
        <v>1148</v>
      </c>
      <c r="D36" s="1544">
        <v>43834</v>
      </c>
      <c r="E36" s="830" t="s">
        <v>1098</v>
      </c>
      <c r="F36" s="1718">
        <v>300.12084520417852</v>
      </c>
      <c r="G36" s="1718">
        <v>302.58998100664763</v>
      </c>
      <c r="H36" s="1719">
        <v>263.91086528617393</v>
      </c>
      <c r="I36" s="1718">
        <v>299.2157736994709</v>
      </c>
      <c r="J36" s="1718">
        <v>352.82909770978125</v>
      </c>
      <c r="K36" s="1718">
        <v>399.39680121858339</v>
      </c>
      <c r="L36" s="1718">
        <v>374.18477643046606</v>
      </c>
      <c r="M36" s="1718">
        <v>344.94078446306173</v>
      </c>
      <c r="N36" s="1718">
        <v>270.46566311736194</v>
      </c>
      <c r="O36" s="1306">
        <v>301.78269202530913</v>
      </c>
      <c r="P36" s="1306">
        <v>210.07692307692309</v>
      </c>
      <c r="Q36" s="1306">
        <v>30</v>
      </c>
      <c r="R36" s="863">
        <f t="shared" si="0"/>
        <v>3449.5142032379581</v>
      </c>
      <c r="S36" s="863">
        <f t="shared" si="1"/>
        <v>287.45951693649653</v>
      </c>
      <c r="T36" s="863">
        <f t="shared" si="2"/>
        <v>11.056135266788328</v>
      </c>
      <c r="U36" s="875">
        <f>'S2'!W35</f>
        <v>0</v>
      </c>
      <c r="V36" s="874">
        <f t="shared" si="3"/>
        <v>0</v>
      </c>
      <c r="W36" s="836"/>
      <c r="X36" s="504"/>
      <c r="Y36" s="1706">
        <v>0</v>
      </c>
      <c r="Z36" s="875">
        <v>0</v>
      </c>
      <c r="AA36" s="1694">
        <v>3</v>
      </c>
      <c r="AB36" s="875">
        <v>1.5</v>
      </c>
      <c r="AC36" s="875">
        <v>1</v>
      </c>
      <c r="AD36" s="875">
        <v>0</v>
      </c>
      <c r="AE36" s="875">
        <v>0</v>
      </c>
      <c r="AF36" s="1694"/>
      <c r="AG36" s="875">
        <v>1</v>
      </c>
      <c r="AH36" s="1694"/>
      <c r="AI36" s="1694"/>
      <c r="AJ36" s="1694"/>
      <c r="AK36" s="1699">
        <f t="shared" si="4"/>
        <v>6.5</v>
      </c>
    </row>
    <row r="37" spans="1:37" s="841" customFormat="1" ht="47.25" customHeight="1">
      <c r="A37" s="862">
        <v>30</v>
      </c>
      <c r="B37" s="1444" t="s">
        <v>1149</v>
      </c>
      <c r="C37" s="1511" t="s">
        <v>1150</v>
      </c>
      <c r="D37" s="1544">
        <v>43834</v>
      </c>
      <c r="E37" s="830" t="s">
        <v>1098</v>
      </c>
      <c r="F37" s="1718">
        <v>300.12084520417852</v>
      </c>
      <c r="G37" s="1718">
        <v>309.70916429249758</v>
      </c>
      <c r="H37" s="1719">
        <v>269.86288811090247</v>
      </c>
      <c r="I37" s="1718">
        <v>318.06184046674343</v>
      </c>
      <c r="J37" s="1718">
        <v>414.66869763899462</v>
      </c>
      <c r="K37" s="1718">
        <v>448.63366336633663</v>
      </c>
      <c r="L37" s="1718">
        <v>432.46191739295182</v>
      </c>
      <c r="M37" s="1718">
        <v>355.62414318354917</v>
      </c>
      <c r="N37" s="1718">
        <v>271.22516347160979</v>
      </c>
      <c r="O37" s="1306">
        <v>315.33087611708163</v>
      </c>
      <c r="P37" s="1306">
        <v>210.07692307692309</v>
      </c>
      <c r="Q37" s="1306">
        <v>30</v>
      </c>
      <c r="R37" s="863">
        <f t="shared" si="0"/>
        <v>3675.7761223217685</v>
      </c>
      <c r="S37" s="863">
        <f t="shared" si="1"/>
        <v>306.31467686014736</v>
      </c>
      <c r="T37" s="863">
        <f t="shared" si="2"/>
        <v>11.781333725390283</v>
      </c>
      <c r="U37" s="875">
        <f>'S2'!W36</f>
        <v>0</v>
      </c>
      <c r="V37" s="874">
        <f t="shared" si="3"/>
        <v>0</v>
      </c>
      <c r="W37" s="842"/>
      <c r="X37" s="842"/>
      <c r="Y37" s="1706">
        <v>0</v>
      </c>
      <c r="Z37" s="875">
        <v>0</v>
      </c>
      <c r="AA37" s="1694">
        <v>2</v>
      </c>
      <c r="AB37" s="875">
        <v>1.5</v>
      </c>
      <c r="AC37" s="875">
        <v>0</v>
      </c>
      <c r="AD37" s="875">
        <v>0</v>
      </c>
      <c r="AE37" s="875">
        <v>0</v>
      </c>
      <c r="AF37" s="1694"/>
      <c r="AG37" s="875">
        <v>1</v>
      </c>
      <c r="AH37" s="1694"/>
      <c r="AI37" s="1694"/>
      <c r="AJ37" s="1694"/>
      <c r="AK37" s="1699">
        <f t="shared" si="4"/>
        <v>4.5</v>
      </c>
    </row>
    <row r="38" spans="1:37" s="841" customFormat="1" ht="47.25" customHeight="1">
      <c r="A38" s="862">
        <v>31</v>
      </c>
      <c r="B38" s="1444" t="s">
        <v>938</v>
      </c>
      <c r="C38" s="1511" t="s">
        <v>1151</v>
      </c>
      <c r="D38" s="1544">
        <v>44348</v>
      </c>
      <c r="E38" s="830" t="s">
        <v>1098</v>
      </c>
      <c r="F38" s="1718">
        <v>303.57276828110162</v>
      </c>
      <c r="G38" s="1718">
        <v>314.77776567706223</v>
      </c>
      <c r="H38" s="1719">
        <v>279.58695894777526</v>
      </c>
      <c r="I38" s="1718">
        <v>332.52756384830502</v>
      </c>
      <c r="J38" s="1718">
        <v>426.2717060167555</v>
      </c>
      <c r="K38" s="1718">
        <v>507.7379569687738</v>
      </c>
      <c r="L38" s="1718">
        <v>467.09847480106095</v>
      </c>
      <c r="M38" s="1718">
        <v>360.54722010662607</v>
      </c>
      <c r="N38" s="1718">
        <v>275.83283701095644</v>
      </c>
      <c r="O38" s="1306">
        <v>324.5490732964933</v>
      </c>
      <c r="P38" s="1306">
        <v>213.30769230769232</v>
      </c>
      <c r="Q38" s="1306">
        <v>30</v>
      </c>
      <c r="R38" s="863">
        <f t="shared" si="0"/>
        <v>3835.8100172626023</v>
      </c>
      <c r="S38" s="863">
        <f t="shared" si="1"/>
        <v>319.65083477188352</v>
      </c>
      <c r="T38" s="863">
        <f t="shared" si="2"/>
        <v>12.294262875841675</v>
      </c>
      <c r="U38" s="875">
        <f>'S2'!W37</f>
        <v>0</v>
      </c>
      <c r="V38" s="874">
        <f t="shared" si="3"/>
        <v>0</v>
      </c>
      <c r="W38"/>
      <c r="X38"/>
      <c r="Y38" s="1706">
        <v>0</v>
      </c>
      <c r="Z38" s="875">
        <v>0.5</v>
      </c>
      <c r="AA38" s="1694">
        <v>4</v>
      </c>
      <c r="AB38" s="875">
        <v>1.5</v>
      </c>
      <c r="AC38" s="875">
        <v>0</v>
      </c>
      <c r="AD38" s="875">
        <v>0</v>
      </c>
      <c r="AE38" s="875">
        <v>0</v>
      </c>
      <c r="AF38" s="1694"/>
      <c r="AG38" s="875">
        <v>1</v>
      </c>
      <c r="AH38" s="1694"/>
      <c r="AI38" s="1694"/>
      <c r="AJ38" s="1694"/>
      <c r="AK38" s="1699">
        <f t="shared" si="4"/>
        <v>7</v>
      </c>
    </row>
    <row r="39" spans="1:37" s="841" customFormat="1" ht="47.25" customHeight="1">
      <c r="A39" s="862">
        <v>32</v>
      </c>
      <c r="B39" s="1444" t="s">
        <v>939</v>
      </c>
      <c r="C39" s="1511" t="s">
        <v>925</v>
      </c>
      <c r="D39" s="1544">
        <v>44348</v>
      </c>
      <c r="E39" s="830" t="s">
        <v>1098</v>
      </c>
      <c r="F39" s="1718">
        <v>298.12084520417852</v>
      </c>
      <c r="G39" s="1718">
        <v>304.14957264957263</v>
      </c>
      <c r="H39" s="1719">
        <v>232.98744287859353</v>
      </c>
      <c r="I39" s="1718">
        <v>296.59168986055892</v>
      </c>
      <c r="J39" s="1718">
        <v>396.35757806549879</v>
      </c>
      <c r="K39" s="1718">
        <v>376.00875856816452</v>
      </c>
      <c r="L39" s="1718">
        <v>374.16331943918152</v>
      </c>
      <c r="M39" s="1718">
        <v>341.66503359172066</v>
      </c>
      <c r="N39" s="1718">
        <v>257.68292241106383</v>
      </c>
      <c r="O39" s="1306">
        <v>262.76263221230755</v>
      </c>
      <c r="P39" s="1306">
        <v>209.07692307692309</v>
      </c>
      <c r="Q39" s="1306">
        <v>30</v>
      </c>
      <c r="R39" s="863">
        <f t="shared" si="0"/>
        <v>3379.5667179577631</v>
      </c>
      <c r="S39" s="863">
        <f t="shared" si="1"/>
        <v>281.63055982981359</v>
      </c>
      <c r="T39" s="863">
        <f t="shared" si="2"/>
        <v>10.831944608838985</v>
      </c>
      <c r="U39" s="875">
        <f>'S2'!W38</f>
        <v>0</v>
      </c>
      <c r="V39" s="874">
        <f t="shared" si="3"/>
        <v>0</v>
      </c>
      <c r="W39"/>
      <c r="X39"/>
      <c r="Y39" s="1706">
        <v>0</v>
      </c>
      <c r="Z39" s="875">
        <v>0</v>
      </c>
      <c r="AA39" s="1694">
        <v>2</v>
      </c>
      <c r="AB39" s="875">
        <v>1.5</v>
      </c>
      <c r="AC39" s="875">
        <v>0</v>
      </c>
      <c r="AD39" s="875">
        <v>0</v>
      </c>
      <c r="AE39" s="875">
        <v>0</v>
      </c>
      <c r="AF39" s="875">
        <v>0.5</v>
      </c>
      <c r="AG39" s="875">
        <v>2</v>
      </c>
      <c r="AH39" s="1694"/>
      <c r="AI39" s="1694"/>
      <c r="AJ39" s="1694"/>
      <c r="AK39" s="1699">
        <f t="shared" si="4"/>
        <v>6</v>
      </c>
    </row>
    <row r="40" spans="1:37" s="841" customFormat="1" ht="47.25" customHeight="1">
      <c r="A40" s="862">
        <v>33</v>
      </c>
      <c r="B40" s="1444" t="s">
        <v>1152</v>
      </c>
      <c r="C40" s="1511" t="s">
        <v>557</v>
      </c>
      <c r="D40" s="1544">
        <v>41723</v>
      </c>
      <c r="E40" s="830" t="s">
        <v>1098</v>
      </c>
      <c r="F40" s="1718">
        <v>306.98433048433048</v>
      </c>
      <c r="G40" s="1718">
        <v>318.13801562490175</v>
      </c>
      <c r="H40" s="1719">
        <v>268.02978468715827</v>
      </c>
      <c r="I40" s="1718">
        <v>341.34845488095516</v>
      </c>
      <c r="J40" s="1718">
        <v>447.14670601675556</v>
      </c>
      <c r="K40" s="1718">
        <v>514.7379569687738</v>
      </c>
      <c r="L40" s="1718">
        <v>481.51428661346387</v>
      </c>
      <c r="M40" s="1718">
        <v>367.54722010662607</v>
      </c>
      <c r="N40" s="1718">
        <v>283.12991675911314</v>
      </c>
      <c r="O40" s="1306">
        <v>341.27859240913278</v>
      </c>
      <c r="P40" s="1306">
        <v>228.23076923076925</v>
      </c>
      <c r="Q40" s="1306">
        <v>30</v>
      </c>
      <c r="R40" s="863">
        <f t="shared" si="0"/>
        <v>3928.0860337819799</v>
      </c>
      <c r="S40" s="863">
        <f t="shared" si="1"/>
        <v>327.340502815165</v>
      </c>
      <c r="T40" s="863">
        <f t="shared" si="2"/>
        <v>12.590019339044808</v>
      </c>
      <c r="U40" s="875">
        <f>'S2'!W39</f>
        <v>0</v>
      </c>
      <c r="V40" s="874">
        <f t="shared" si="3"/>
        <v>0</v>
      </c>
      <c r="W40"/>
      <c r="X40"/>
      <c r="Y40" s="1706">
        <v>0</v>
      </c>
      <c r="Z40" s="875">
        <v>2.5</v>
      </c>
      <c r="AA40" s="1694">
        <v>2</v>
      </c>
      <c r="AB40" s="875">
        <v>1.5</v>
      </c>
      <c r="AC40" s="875">
        <v>0</v>
      </c>
      <c r="AD40" s="875">
        <v>0</v>
      </c>
      <c r="AE40" s="875">
        <v>0.5</v>
      </c>
      <c r="AF40" s="1694"/>
      <c r="AG40" s="875">
        <v>1</v>
      </c>
      <c r="AH40" s="1694"/>
      <c r="AI40" s="1694"/>
      <c r="AJ40" s="1694"/>
      <c r="AK40" s="1699">
        <f t="shared" si="4"/>
        <v>7.5</v>
      </c>
    </row>
    <row r="41" spans="1:37" s="841" customFormat="1" ht="47.25" customHeight="1">
      <c r="A41" s="862">
        <v>34</v>
      </c>
      <c r="B41" s="1444" t="s">
        <v>1153</v>
      </c>
      <c r="C41" s="1511" t="s">
        <v>1154</v>
      </c>
      <c r="D41" s="1544">
        <v>41725</v>
      </c>
      <c r="E41" s="830" t="s">
        <v>1098</v>
      </c>
      <c r="F41" s="1718">
        <v>310.57276828110162</v>
      </c>
      <c r="G41" s="1718">
        <v>314.73656407074532</v>
      </c>
      <c r="H41" s="1719">
        <v>281.80447639868544</v>
      </c>
      <c r="I41" s="1718">
        <v>330.12904406613615</v>
      </c>
      <c r="J41" s="1718">
        <v>427.09177456207163</v>
      </c>
      <c r="K41" s="1718">
        <v>505.20611195734961</v>
      </c>
      <c r="L41" s="1718">
        <v>466.4242847669571</v>
      </c>
      <c r="M41" s="1718">
        <v>360.36728865194215</v>
      </c>
      <c r="N41" s="1718">
        <v>283.54359367566377</v>
      </c>
      <c r="O41" s="1306">
        <v>307.79089742641412</v>
      </c>
      <c r="P41" s="1306">
        <v>220.30769230769232</v>
      </c>
      <c r="Q41" s="1306">
        <v>30</v>
      </c>
      <c r="R41" s="863">
        <f t="shared" si="0"/>
        <v>3837.9744961647593</v>
      </c>
      <c r="S41" s="863">
        <f t="shared" si="1"/>
        <v>319.83120801372996</v>
      </c>
      <c r="T41" s="863">
        <f t="shared" si="2"/>
        <v>12.301200308220384</v>
      </c>
      <c r="U41" s="875">
        <f>'S2'!W40</f>
        <v>0</v>
      </c>
      <c r="V41" s="874">
        <f t="shared" si="3"/>
        <v>0</v>
      </c>
      <c r="W41"/>
      <c r="X41"/>
      <c r="Y41" s="1706">
        <v>0</v>
      </c>
      <c r="Z41" s="875">
        <v>0.5</v>
      </c>
      <c r="AA41" s="1694">
        <v>2</v>
      </c>
      <c r="AB41" s="875">
        <v>1.5</v>
      </c>
      <c r="AC41" s="875">
        <v>0</v>
      </c>
      <c r="AD41" s="875">
        <v>0</v>
      </c>
      <c r="AE41" s="875">
        <v>0</v>
      </c>
      <c r="AF41" s="1694"/>
      <c r="AG41" s="875">
        <v>2</v>
      </c>
      <c r="AH41" s="1694"/>
      <c r="AI41" s="1694"/>
      <c r="AJ41" s="1694"/>
      <c r="AK41" s="1699">
        <f t="shared" si="4"/>
        <v>6</v>
      </c>
    </row>
    <row r="42" spans="1:37" s="841" customFormat="1" ht="31.5" customHeight="1">
      <c r="A42" s="2141" t="s">
        <v>214</v>
      </c>
      <c r="B42" s="2142"/>
      <c r="C42" s="2142"/>
      <c r="D42" s="2142"/>
      <c r="E42" s="2142"/>
      <c r="F42" s="2142"/>
      <c r="G42" s="2142"/>
      <c r="H42" s="2142"/>
      <c r="I42" s="2142"/>
      <c r="J42" s="2142"/>
      <c r="K42" s="2141"/>
      <c r="L42" s="2141"/>
      <c r="M42" s="2141"/>
      <c r="N42" s="2142"/>
      <c r="O42" s="2142"/>
      <c r="P42" s="2142"/>
      <c r="Q42" s="2142"/>
      <c r="R42" s="2142"/>
      <c r="S42" s="869"/>
      <c r="T42" s="869"/>
      <c r="U42" s="849"/>
      <c r="V42" s="949">
        <f>SUM(V8:V41)</f>
        <v>88.967035940986079</v>
      </c>
      <c r="W42"/>
      <c r="X42"/>
    </row>
    <row r="43" spans="1:37" s="841" customFormat="1" ht="15.75">
      <c r="A43" s="842"/>
      <c r="B43" s="842"/>
      <c r="C43" s="842"/>
      <c r="D43" s="567"/>
      <c r="E43" s="842"/>
      <c r="F43" s="842"/>
      <c r="G43" s="842"/>
      <c r="H43" s="842"/>
      <c r="I43" s="842"/>
      <c r="J43" s="842"/>
      <c r="K43" s="842"/>
      <c r="L43" s="842"/>
      <c r="M43" s="842"/>
      <c r="N43" s="842"/>
      <c r="O43" s="842"/>
      <c r="P43" s="842"/>
      <c r="Q43" s="842"/>
      <c r="R43" s="870"/>
      <c r="S43" s="870"/>
      <c r="T43" s="870"/>
      <c r="U43" s="870"/>
      <c r="V43" s="870"/>
      <c r="W43"/>
      <c r="X43"/>
    </row>
    <row r="44" spans="1:37" s="841" customFormat="1" ht="27" customHeight="1">
      <c r="A44" s="2132" t="s">
        <v>1155</v>
      </c>
      <c r="B44" s="2132"/>
      <c r="C44" s="2132"/>
      <c r="D44" s="872"/>
      <c r="H44" s="2132" t="s">
        <v>1156</v>
      </c>
      <c r="I44" s="2132"/>
      <c r="J44" s="2132"/>
      <c r="K44" s="2132"/>
      <c r="R44" s="2133" t="s">
        <v>1157</v>
      </c>
      <c r="S44" s="2133"/>
      <c r="T44" s="2133"/>
      <c r="U44" s="873"/>
      <c r="V44" s="873"/>
      <c r="W44"/>
      <c r="X44"/>
    </row>
    <row r="45" spans="1:37" s="841" customFormat="1" ht="15.75">
      <c r="A45" s="842"/>
      <c r="B45" s="842"/>
      <c r="C45" s="842"/>
      <c r="D45" s="567"/>
      <c r="E45" s="842"/>
      <c r="F45" s="842"/>
      <c r="G45" s="842"/>
      <c r="H45" s="842"/>
      <c r="I45" s="842"/>
      <c r="J45" s="842"/>
      <c r="K45" s="842"/>
      <c r="L45" s="842"/>
      <c r="M45" s="842"/>
      <c r="N45" s="842"/>
      <c r="O45" s="842"/>
      <c r="P45" s="842"/>
      <c r="Q45" s="842"/>
      <c r="R45" s="870"/>
      <c r="S45" s="870"/>
      <c r="T45" s="870"/>
      <c r="U45" s="870"/>
      <c r="V45" s="870"/>
      <c r="W45"/>
      <c r="X45"/>
    </row>
  </sheetData>
  <mergeCells count="11">
    <mergeCell ref="A44:C44"/>
    <mergeCell ref="H44:K44"/>
    <mergeCell ref="R44:T44"/>
    <mergeCell ref="A1:T1"/>
    <mergeCell ref="A2:T2"/>
    <mergeCell ref="A3:T3"/>
    <mergeCell ref="A4:T4"/>
    <mergeCell ref="A5:C5"/>
    <mergeCell ref="L5:R5"/>
    <mergeCell ref="F6:Q6"/>
    <mergeCell ref="A42:R4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BL44"/>
  <sheetViews>
    <sheetView view="pageBreakPreview" zoomScaleNormal="100" zoomScaleSheetLayoutView="100" workbookViewId="0">
      <pane xSplit="7" ySplit="5" topLeftCell="H40" activePane="bottomRight" state="frozen"/>
      <selection pane="topRight" activeCell="H1" sqref="H1"/>
      <selection pane="bottomLeft" activeCell="A6" sqref="A6"/>
      <selection pane="bottomRight" activeCell="J33" sqref="J33"/>
    </sheetView>
  </sheetViews>
  <sheetFormatPr defaultRowHeight="15.75"/>
  <cols>
    <col min="1" max="1" width="5" style="544" customWidth="1"/>
    <col min="2" max="2" width="12.375" style="544" customWidth="1"/>
    <col min="3" max="3" width="12.125" style="755" customWidth="1"/>
    <col min="4" max="4" width="11.5" style="555" customWidth="1"/>
    <col min="5" max="5" width="6.75" style="544" customWidth="1"/>
    <col min="6" max="6" width="7.5" style="556" customWidth="1"/>
    <col min="7" max="7" width="6.625" style="544" customWidth="1"/>
    <col min="8" max="8" width="5" style="544" customWidth="1"/>
    <col min="9" max="9" width="8" style="544" customWidth="1"/>
    <col min="10" max="10" width="8" style="729" customWidth="1"/>
    <col min="11" max="11" width="5.625" style="544" customWidth="1"/>
    <col min="12" max="12" width="6.125" style="544" customWidth="1"/>
    <col min="13" max="13" width="8" style="544" customWidth="1"/>
    <col min="14" max="14" width="5.625" style="544" customWidth="1"/>
    <col min="15" max="15" width="6.125" style="544" customWidth="1"/>
    <col min="16" max="16" width="7.125" style="544" customWidth="1"/>
    <col min="17" max="17" width="5.625" style="544" customWidth="1"/>
    <col min="18" max="18" width="6.125" style="544" customWidth="1"/>
    <col min="19" max="19" width="7.625" style="544" customWidth="1"/>
    <col min="20" max="20" width="5.125" style="544" customWidth="1"/>
    <col min="21" max="21" width="5.75" style="544" customWidth="1"/>
    <col min="22" max="22" width="7.5" style="544" customWidth="1"/>
    <col min="23" max="23" width="6.625" style="544" customWidth="1"/>
    <col min="24" max="24" width="8.375" style="544" customWidth="1"/>
    <col min="25" max="25" width="5.5" style="544" customWidth="1"/>
    <col min="26" max="26" width="6.625" style="544" customWidth="1"/>
    <col min="27" max="27" width="9.125" style="544" customWidth="1"/>
    <col min="28" max="28" width="5.5" style="544" customWidth="1"/>
    <col min="29" max="29" width="6" style="544" customWidth="1"/>
    <col min="30" max="30" width="8.625" style="544" customWidth="1"/>
    <col min="31" max="31" width="7.5" style="544" customWidth="1"/>
    <col min="32" max="33" width="5.875" style="544" customWidth="1"/>
    <col min="34" max="34" width="7.375" style="544" customWidth="1"/>
    <col min="35" max="35" width="7.625" style="544" customWidth="1"/>
    <col min="36" max="36" width="8.375" style="544" customWidth="1"/>
    <col min="37" max="37" width="8.25" style="544" customWidth="1"/>
    <col min="38" max="38" width="10.625" style="544" customWidth="1"/>
    <col min="39" max="39" width="6.625" style="544" customWidth="1"/>
    <col min="40" max="40" width="9.125" style="544" customWidth="1"/>
    <col min="41" max="42" width="8" style="544" customWidth="1"/>
    <col min="43" max="43" width="10.75" style="544" customWidth="1"/>
    <col min="44" max="44" width="13.5" style="544" customWidth="1"/>
    <col min="45" max="45" width="10" style="544" customWidth="1"/>
    <col min="46" max="46" width="19.75" style="544" customWidth="1"/>
    <col min="47" max="47" width="15.25" style="544" customWidth="1"/>
    <col min="48" max="48" width="10.5" style="544" hidden="1" customWidth="1"/>
    <col min="49" max="50" width="9.125" style="544" bestFit="1" customWidth="1"/>
    <col min="51" max="53" width="8.875" style="544" customWidth="1"/>
    <col min="54" max="54" width="8.75" style="544" customWidth="1"/>
    <col min="55" max="55" width="9.125" style="544" bestFit="1" customWidth="1"/>
    <col min="56" max="56" width="9.125" style="544" customWidth="1"/>
    <col min="57" max="57" width="9.125" style="544" bestFit="1" customWidth="1"/>
    <col min="58" max="58" width="10.875" style="544" bestFit="1" customWidth="1"/>
    <col min="59" max="59" width="9" style="544"/>
    <col min="60" max="60" width="17.125" style="544" customWidth="1"/>
    <col min="61" max="61" width="10.875" style="544" customWidth="1"/>
    <col min="62" max="62" width="12.375" style="544" customWidth="1"/>
    <col min="63" max="64" width="13" style="544" customWidth="1"/>
    <col min="65" max="16384" width="9" style="544"/>
  </cols>
  <sheetData>
    <row r="1" spans="1:64" s="541" customFormat="1" ht="29.25" customHeight="1">
      <c r="A1" s="2110" t="s">
        <v>222</v>
      </c>
      <c r="B1" s="2110"/>
      <c r="C1" s="2110"/>
      <c r="D1" s="2110"/>
      <c r="E1" s="2110"/>
      <c r="F1" s="2110"/>
      <c r="G1" s="2110"/>
      <c r="H1" s="2110"/>
      <c r="I1" s="2110"/>
      <c r="J1" s="2110"/>
      <c r="K1" s="2110"/>
      <c r="L1" s="2110"/>
      <c r="M1" s="2110"/>
      <c r="N1" s="2110"/>
      <c r="O1" s="2110"/>
      <c r="P1" s="2110"/>
      <c r="Q1" s="2110"/>
      <c r="R1" s="2110"/>
      <c r="S1" s="2110"/>
      <c r="T1" s="2110"/>
      <c r="U1" s="2110"/>
      <c r="V1" s="2110"/>
      <c r="W1" s="2110"/>
      <c r="X1" s="2110"/>
      <c r="Y1" s="2110"/>
      <c r="Z1" s="2110"/>
      <c r="AA1" s="2110"/>
      <c r="AB1" s="2110"/>
      <c r="AC1" s="2110"/>
      <c r="AD1" s="2110"/>
      <c r="AE1" s="2110"/>
      <c r="AF1" s="2110"/>
      <c r="AG1" s="2110"/>
      <c r="AH1" s="2110"/>
      <c r="AI1" s="2110"/>
      <c r="AJ1" s="2110"/>
      <c r="AK1" s="2110"/>
      <c r="AL1" s="2110"/>
      <c r="AM1" s="2110"/>
      <c r="AN1" s="2110"/>
      <c r="AO1" s="2110"/>
      <c r="AP1" s="2110"/>
      <c r="AQ1" s="2110"/>
      <c r="AR1" s="2110"/>
      <c r="AS1" s="2110"/>
      <c r="AT1" s="2110"/>
      <c r="AU1" s="751"/>
    </row>
    <row r="2" spans="1:64" s="541" customFormat="1" ht="20.25" customHeight="1">
      <c r="A2" s="2110" t="s">
        <v>221</v>
      </c>
      <c r="B2" s="2110"/>
      <c r="C2" s="2110"/>
      <c r="D2" s="2110"/>
      <c r="E2" s="2110"/>
      <c r="F2" s="2110"/>
      <c r="G2" s="2110"/>
      <c r="H2" s="2110"/>
      <c r="I2" s="2110"/>
      <c r="J2" s="2110"/>
      <c r="K2" s="2110"/>
      <c r="L2" s="2110"/>
      <c r="M2" s="2110"/>
      <c r="N2" s="2110"/>
      <c r="O2" s="2110"/>
      <c r="P2" s="2110"/>
      <c r="Q2" s="2110"/>
      <c r="R2" s="2110"/>
      <c r="S2" s="2110"/>
      <c r="T2" s="2110"/>
      <c r="U2" s="2110"/>
      <c r="V2" s="2110"/>
      <c r="W2" s="2110"/>
      <c r="X2" s="2110"/>
      <c r="Y2" s="2110"/>
      <c r="Z2" s="2110"/>
      <c r="AA2" s="2110"/>
      <c r="AB2" s="2110"/>
      <c r="AC2" s="2110"/>
      <c r="AD2" s="2110"/>
      <c r="AE2" s="2110"/>
      <c r="AF2" s="2110"/>
      <c r="AG2" s="2110"/>
      <c r="AH2" s="2110"/>
      <c r="AI2" s="2110"/>
      <c r="AJ2" s="2110"/>
      <c r="AK2" s="2110"/>
      <c r="AL2" s="2110"/>
      <c r="AM2" s="2110"/>
      <c r="AN2" s="2110"/>
      <c r="AO2" s="2110"/>
      <c r="AP2" s="2110"/>
      <c r="AQ2" s="2110"/>
      <c r="AR2" s="2110"/>
      <c r="AS2" s="2110"/>
      <c r="AT2" s="2110"/>
      <c r="AU2" s="751"/>
    </row>
    <row r="3" spans="1:64" s="541" customFormat="1" ht="19.5" customHeight="1">
      <c r="A3" s="2111" t="s">
        <v>2342</v>
      </c>
      <c r="B3" s="2111"/>
      <c r="C3" s="2111"/>
      <c r="D3" s="2111"/>
      <c r="E3" s="2111"/>
      <c r="F3" s="2111"/>
      <c r="G3" s="2111"/>
      <c r="H3" s="2111"/>
      <c r="I3" s="2111"/>
      <c r="J3" s="2111"/>
      <c r="K3" s="2111"/>
      <c r="L3" s="2111"/>
      <c r="M3" s="2111"/>
      <c r="N3" s="2111"/>
      <c r="O3" s="2111"/>
      <c r="P3" s="2111"/>
      <c r="Q3" s="2111"/>
      <c r="R3" s="2111"/>
      <c r="S3" s="2111"/>
      <c r="T3" s="2111"/>
      <c r="U3" s="2111"/>
      <c r="V3" s="2111"/>
      <c r="W3" s="2111"/>
      <c r="X3" s="2111"/>
      <c r="Y3" s="2111"/>
      <c r="Z3" s="2111"/>
      <c r="AA3" s="2111"/>
      <c r="AB3" s="2111"/>
      <c r="AC3" s="2111"/>
      <c r="AD3" s="2111"/>
      <c r="AE3" s="2111"/>
      <c r="AF3" s="2111"/>
      <c r="AG3" s="2111"/>
      <c r="AH3" s="2111"/>
      <c r="AI3" s="2111"/>
      <c r="AJ3" s="2111"/>
      <c r="AK3" s="2111"/>
      <c r="AL3" s="2111"/>
      <c r="AM3" s="2111"/>
      <c r="AN3" s="2111"/>
      <c r="AO3" s="2111"/>
      <c r="AP3" s="2111"/>
      <c r="AQ3" s="2111"/>
      <c r="AR3" s="2111"/>
      <c r="AS3" s="2111"/>
      <c r="AT3" s="2111"/>
      <c r="AU3" s="752"/>
    </row>
    <row r="4" spans="1:64" s="1040" customFormat="1" ht="20.25" customHeight="1">
      <c r="A4" s="1371" t="s">
        <v>269</v>
      </c>
      <c r="B4" s="1371"/>
      <c r="C4" s="2091" t="s">
        <v>2341</v>
      </c>
      <c r="D4" s="2092"/>
      <c r="E4" s="2092"/>
      <c r="F4" s="2092"/>
      <c r="G4" s="1371"/>
      <c r="H4" s="1371"/>
      <c r="I4" s="1371"/>
      <c r="J4" s="1371"/>
      <c r="K4" s="1371"/>
      <c r="L4" s="1371"/>
      <c r="M4" s="1371"/>
      <c r="N4" s="1371"/>
      <c r="O4" s="1371"/>
      <c r="P4" s="1371"/>
      <c r="Q4" s="1371"/>
      <c r="R4" s="1371"/>
      <c r="S4" s="1371"/>
      <c r="T4" s="1371"/>
      <c r="U4" s="1371"/>
      <c r="V4" s="1371"/>
      <c r="W4" s="1371"/>
      <c r="X4" s="1371"/>
      <c r="Y4" s="1371"/>
      <c r="Z4" s="1371"/>
      <c r="AA4" s="1371"/>
      <c r="AB4" s="1371"/>
      <c r="AC4" s="1371"/>
      <c r="AD4" s="1371"/>
      <c r="AE4" s="1371"/>
      <c r="AF4" s="1371"/>
      <c r="AG4" s="1371"/>
      <c r="AH4" s="1371"/>
      <c r="AI4" s="1371"/>
      <c r="AJ4" s="1371"/>
      <c r="AK4" s="1371"/>
      <c r="AL4" s="1371"/>
      <c r="AM4" s="1371"/>
      <c r="AN4" s="1371"/>
      <c r="AO4" s="1371"/>
      <c r="AP4" s="1371"/>
      <c r="AQ4" s="1371"/>
      <c r="AR4" s="1371"/>
      <c r="AS4" s="1371"/>
      <c r="AT4" s="1371"/>
      <c r="AU4" s="1372"/>
      <c r="AW4" s="2075" t="s">
        <v>472</v>
      </c>
      <c r="AX4" s="2075"/>
      <c r="AY4" s="2075"/>
      <c r="AZ4" s="2075"/>
      <c r="BA4" s="2075"/>
      <c r="BB4" s="2075"/>
      <c r="BC4" s="2075"/>
      <c r="BD4" s="2075"/>
      <c r="BE4" s="2075"/>
      <c r="BF4" s="2075"/>
    </row>
    <row r="5" spans="1:64" ht="69.95" customHeight="1">
      <c r="A5" s="722" t="s">
        <v>252</v>
      </c>
      <c r="B5" s="722" t="s">
        <v>253</v>
      </c>
      <c r="C5" s="722" t="s">
        <v>911</v>
      </c>
      <c r="D5" s="722" t="s">
        <v>254</v>
      </c>
      <c r="E5" s="643" t="s">
        <v>227</v>
      </c>
      <c r="F5" s="724" t="s">
        <v>255</v>
      </c>
      <c r="G5" s="643" t="s">
        <v>256</v>
      </c>
      <c r="H5" s="2120" t="s">
        <v>1748</v>
      </c>
      <c r="I5" s="2094"/>
      <c r="J5" s="2095"/>
      <c r="K5" s="2120" t="s">
        <v>1744</v>
      </c>
      <c r="L5" s="2094"/>
      <c r="M5" s="2095"/>
      <c r="N5" s="2120" t="s">
        <v>1689</v>
      </c>
      <c r="O5" s="2094"/>
      <c r="P5" s="2095"/>
      <c r="Q5" s="2120" t="s">
        <v>1776</v>
      </c>
      <c r="R5" s="2094"/>
      <c r="S5" s="2095"/>
      <c r="T5" s="2117" t="s">
        <v>1647</v>
      </c>
      <c r="U5" s="2118"/>
      <c r="V5" s="2119"/>
      <c r="W5" s="2102" t="s">
        <v>1674</v>
      </c>
      <c r="X5" s="2103"/>
      <c r="Y5" s="2093" t="s">
        <v>1675</v>
      </c>
      <c r="Z5" s="2094"/>
      <c r="AA5" s="2095"/>
      <c r="AB5" s="2096" t="s">
        <v>1664</v>
      </c>
      <c r="AC5" s="1126" t="s">
        <v>258</v>
      </c>
      <c r="AD5" s="2098" t="s">
        <v>220</v>
      </c>
      <c r="AE5" s="1117" t="s">
        <v>1835</v>
      </c>
      <c r="AF5" s="2100" t="s">
        <v>1839</v>
      </c>
      <c r="AG5" s="1268" t="s">
        <v>1832</v>
      </c>
      <c r="AH5" s="2080" t="s">
        <v>1666</v>
      </c>
      <c r="AI5" s="2080" t="s">
        <v>1665</v>
      </c>
      <c r="AJ5" s="2076" t="s">
        <v>1684</v>
      </c>
      <c r="AK5" s="2078" t="s">
        <v>1692</v>
      </c>
      <c r="AL5" s="2148" t="s">
        <v>1691</v>
      </c>
      <c r="AM5" s="2150" t="s">
        <v>1668</v>
      </c>
      <c r="AN5" s="2143" t="s">
        <v>1669</v>
      </c>
      <c r="AO5" s="2145" t="s">
        <v>1717</v>
      </c>
      <c r="AP5" s="2089" t="s">
        <v>1805</v>
      </c>
      <c r="AQ5" s="2146" t="s">
        <v>1690</v>
      </c>
      <c r="AR5" s="2146"/>
      <c r="AS5" s="2147"/>
      <c r="AT5" s="2088" t="s">
        <v>1685</v>
      </c>
      <c r="AU5" s="543"/>
      <c r="AV5" s="501"/>
      <c r="AW5" s="2081" t="s">
        <v>219</v>
      </c>
      <c r="AX5" s="2082"/>
      <c r="AY5" s="2083"/>
      <c r="AZ5" s="1125"/>
      <c r="BA5" s="1125"/>
      <c r="BB5" s="2086"/>
      <c r="BC5" s="2086"/>
      <c r="BD5" s="2086"/>
      <c r="BE5" s="2086"/>
      <c r="BF5" s="2087"/>
      <c r="BH5" s="722" t="s">
        <v>762</v>
      </c>
      <c r="BI5" s="2104" t="s">
        <v>568</v>
      </c>
      <c r="BJ5" s="2104" t="s">
        <v>569</v>
      </c>
      <c r="BK5" s="2106" t="s">
        <v>570</v>
      </c>
      <c r="BL5" s="2108" t="s">
        <v>713</v>
      </c>
    </row>
    <row r="6" spans="1:64" ht="99.95" customHeight="1">
      <c r="A6" s="725" t="s">
        <v>111</v>
      </c>
      <c r="B6" s="725" t="s">
        <v>1640</v>
      </c>
      <c r="C6" s="1122" t="s">
        <v>1643</v>
      </c>
      <c r="D6" s="1122" t="s">
        <v>1642</v>
      </c>
      <c r="E6" s="607" t="s">
        <v>1655</v>
      </c>
      <c r="F6" s="1124" t="s">
        <v>1641</v>
      </c>
      <c r="G6" s="607" t="s">
        <v>1656</v>
      </c>
      <c r="H6" s="545" t="s">
        <v>1657</v>
      </c>
      <c r="I6" s="546" t="s">
        <v>1658</v>
      </c>
      <c r="J6" s="546" t="s">
        <v>1644</v>
      </c>
      <c r="K6" s="1131" t="s">
        <v>1645</v>
      </c>
      <c r="L6" s="546" t="s">
        <v>1659</v>
      </c>
      <c r="M6" s="546" t="s">
        <v>1662</v>
      </c>
      <c r="N6" s="547" t="s">
        <v>1660</v>
      </c>
      <c r="O6" s="546" t="s">
        <v>1680</v>
      </c>
      <c r="P6" s="546" t="s">
        <v>1662</v>
      </c>
      <c r="Q6" s="1130" t="s">
        <v>1660</v>
      </c>
      <c r="R6" s="546" t="s">
        <v>1681</v>
      </c>
      <c r="S6" s="546" t="s">
        <v>1662</v>
      </c>
      <c r="T6" s="546" t="s">
        <v>1682</v>
      </c>
      <c r="U6" s="546" t="s">
        <v>1661</v>
      </c>
      <c r="V6" s="546" t="s">
        <v>1662</v>
      </c>
      <c r="W6" s="546" t="s">
        <v>1683</v>
      </c>
      <c r="X6" s="546" t="s">
        <v>1663</v>
      </c>
      <c r="Y6" s="546" t="s">
        <v>1649</v>
      </c>
      <c r="Z6" s="546" t="s">
        <v>1661</v>
      </c>
      <c r="AA6" s="546" t="s">
        <v>1712</v>
      </c>
      <c r="AB6" s="2097"/>
      <c r="AC6" s="1127" t="s">
        <v>1651</v>
      </c>
      <c r="AD6" s="2099"/>
      <c r="AE6" s="1118" t="s">
        <v>1652</v>
      </c>
      <c r="AF6" s="2101"/>
      <c r="AG6" s="1269" t="s">
        <v>1833</v>
      </c>
      <c r="AH6" s="2077"/>
      <c r="AI6" s="2077"/>
      <c r="AJ6" s="2077"/>
      <c r="AK6" s="2079"/>
      <c r="AL6" s="2149"/>
      <c r="AM6" s="2151"/>
      <c r="AN6" s="2144"/>
      <c r="AO6" s="2145"/>
      <c r="AP6" s="2090"/>
      <c r="AQ6" s="1135" t="s">
        <v>1714</v>
      </c>
      <c r="AR6" s="1134" t="s">
        <v>1718</v>
      </c>
      <c r="AS6" s="1136" t="s">
        <v>1716</v>
      </c>
      <c r="AT6" s="2088"/>
      <c r="AU6" s="543"/>
      <c r="AV6" s="501"/>
      <c r="AW6" s="539" t="s">
        <v>215</v>
      </c>
      <c r="AX6" s="539" t="s">
        <v>217</v>
      </c>
      <c r="AY6" s="1113" t="s">
        <v>125</v>
      </c>
      <c r="AZ6" s="502" t="s">
        <v>721</v>
      </c>
      <c r="BA6" s="502" t="s">
        <v>722</v>
      </c>
      <c r="BB6" s="548" t="s">
        <v>723</v>
      </c>
      <c r="BC6" s="548" t="s">
        <v>724</v>
      </c>
      <c r="BD6" s="548" t="s">
        <v>725</v>
      </c>
      <c r="BE6" s="548" t="s">
        <v>215</v>
      </c>
      <c r="BF6" s="549" t="s">
        <v>125</v>
      </c>
      <c r="BH6" s="726" t="s">
        <v>761</v>
      </c>
      <c r="BI6" s="2105"/>
      <c r="BJ6" s="2105"/>
      <c r="BK6" s="2107"/>
      <c r="BL6" s="2109"/>
    </row>
    <row r="7" spans="1:64" s="755" customFormat="1" ht="48" customHeight="1">
      <c r="A7" s="1369">
        <v>1</v>
      </c>
      <c r="B7" s="1576" t="s">
        <v>1129</v>
      </c>
      <c r="C7" s="1854" t="s">
        <v>486</v>
      </c>
      <c r="D7" s="1841">
        <v>41316</v>
      </c>
      <c r="E7" s="1637" t="s">
        <v>1113</v>
      </c>
      <c r="F7" s="617">
        <f>210+13+17+12+8+2+10</f>
        <v>272</v>
      </c>
      <c r="G7" s="617">
        <f>50+20+2</f>
        <v>72</v>
      </c>
      <c r="H7" s="1001">
        <v>21.5</v>
      </c>
      <c r="I7" s="1408">
        <f>F7/26*H7</f>
        <v>224.92307692307693</v>
      </c>
      <c r="J7" s="618">
        <f t="shared" ref="J7:J40" si="0">F7/26*H7</f>
        <v>224.92307692307693</v>
      </c>
      <c r="K7" s="1001">
        <v>68</v>
      </c>
      <c r="L7" s="510">
        <f>F7/26/8*1.5</f>
        <v>1.9615384615384617</v>
      </c>
      <c r="M7" s="618">
        <f>K7*L7</f>
        <v>133.38461538461539</v>
      </c>
      <c r="N7" s="1001">
        <v>0</v>
      </c>
      <c r="O7" s="510">
        <f t="shared" ref="O7:O40" si="1">F7/26/8*2</f>
        <v>2.6153846153846154</v>
      </c>
      <c r="P7" s="503">
        <f t="shared" ref="P7:P40" si="2">N7*O7</f>
        <v>0</v>
      </c>
      <c r="Q7" s="1001">
        <v>24</v>
      </c>
      <c r="R7" s="510">
        <f t="shared" ref="R7:R40" si="3">F7/26/8*2</f>
        <v>2.6153846153846154</v>
      </c>
      <c r="S7" s="618">
        <f t="shared" ref="S7:S40" si="4">R7*Q7</f>
        <v>62.769230769230774</v>
      </c>
      <c r="T7" s="1001">
        <v>5</v>
      </c>
      <c r="U7" s="510">
        <f t="shared" ref="U7:U40" si="5">F7/26</f>
        <v>10.461538461538462</v>
      </c>
      <c r="V7" s="618">
        <f t="shared" ref="V7:V40" si="6">U7*T7</f>
        <v>52.307692307692307</v>
      </c>
      <c r="W7" s="1001">
        <v>0.5</v>
      </c>
      <c r="X7" s="618">
        <f>'S2 Salary'!T8*'S2'!W7</f>
        <v>9.152046637493255</v>
      </c>
      <c r="Y7" s="1001">
        <v>0</v>
      </c>
      <c r="Z7" s="510">
        <f t="shared" ref="Z7:Z40" si="7">F7/26/2</f>
        <v>5.2307692307692308</v>
      </c>
      <c r="AA7" s="618">
        <f>Y7*Z7</f>
        <v>0</v>
      </c>
      <c r="AB7" s="1001">
        <v>0</v>
      </c>
      <c r="AC7" s="1468">
        <f>H7+T7+Y7+AB7+W7</f>
        <v>27</v>
      </c>
      <c r="AD7" s="1725">
        <v>0</v>
      </c>
      <c r="AE7" s="1121">
        <v>0</v>
      </c>
      <c r="AF7" s="1413">
        <v>4</v>
      </c>
      <c r="AG7" s="511">
        <v>0</v>
      </c>
      <c r="AH7" s="618">
        <v>10</v>
      </c>
      <c r="AI7" s="1410">
        <v>11</v>
      </c>
      <c r="AJ7" s="1410">
        <v>10</v>
      </c>
      <c r="AK7" s="1410">
        <v>10</v>
      </c>
      <c r="AL7" s="1148">
        <f t="shared" ref="AL7:AL40" si="8">G7+J7+M7+P7+S7+V7+AA7+AD7+AF7+AH7+AI7+AJ7+AK7+X7+AE7+AG7</f>
        <v>599.53666202210866</v>
      </c>
      <c r="AM7" s="1278">
        <v>0</v>
      </c>
      <c r="AN7" s="1404">
        <v>102</v>
      </c>
      <c r="AO7" s="1096">
        <f>'Tax Calulation'!P7</f>
        <v>6.895074375524497</v>
      </c>
      <c r="AP7" s="1096">
        <f>'Tax Calulation'!W7</f>
        <v>5.9084194977843429</v>
      </c>
      <c r="AQ7" s="1686">
        <f t="shared" ref="AQ7:AQ40" si="9">AL7-AO7-AN7-AP7-AM7</f>
        <v>484.73316814879985</v>
      </c>
      <c r="AR7" s="1682">
        <f>ROUND((AQ7-AS7)*4040,-2)</f>
        <v>342300</v>
      </c>
      <c r="AS7" s="1688">
        <f>CEILING(AQ7,(100))-100</f>
        <v>400</v>
      </c>
      <c r="AT7" s="502"/>
      <c r="AU7" s="504"/>
      <c r="AV7" s="505">
        <f>(J7+M7+P7+S7+V7+AA7+AH7+AI7+AJ7+AK7)*4000</f>
        <v>2057538.461538462</v>
      </c>
      <c r="AW7" s="502">
        <f t="shared" ref="AW7:AW40" si="10">INT(AS7/100)</f>
        <v>4</v>
      </c>
      <c r="AX7" s="502">
        <f t="shared" ref="AX7:AX40" si="11">INT((AS7-AW7*100)/50)</f>
        <v>0</v>
      </c>
      <c r="AY7" s="573">
        <f>AW7*100+AX7*50</f>
        <v>400</v>
      </c>
      <c r="AZ7" s="573">
        <f t="shared" ref="AZ7:AZ40" si="12">INT((AR7/50000))</f>
        <v>6</v>
      </c>
      <c r="BA7" s="548">
        <f t="shared" ref="BA7:BA40" si="13">INT((AR7-AZ7*50000)/10000)</f>
        <v>4</v>
      </c>
      <c r="BB7" s="548">
        <f t="shared" ref="BB7:BB40" si="14">INT((AR7-AZ7*50000-BA7*10000)/5000)</f>
        <v>0</v>
      </c>
      <c r="BC7" s="548">
        <f t="shared" ref="BC7:BC40" si="15">INT((AR7-AZ7*50000-BA7*10000-BB7*5000)/1000)</f>
        <v>2</v>
      </c>
      <c r="BD7" s="548">
        <f t="shared" ref="BD7:BD40" si="16">INT((AR7-AZ7*50000-BA7*10000-BB7*5000-BC7*1000)/500)</f>
        <v>0</v>
      </c>
      <c r="BE7" s="548">
        <f t="shared" ref="BE7:BE40" si="17">INT((AR7-AZ7*50000-BA7*10000-BB7*5000-BC7*1000-BD7*500)/100)</f>
        <v>3</v>
      </c>
      <c r="BF7" s="549">
        <f>AZ7*50000+BA7*10000+BB7*5000+BC7*1000+BD7*500+BE7*100</f>
        <v>342300</v>
      </c>
      <c r="BH7" s="581" t="s">
        <v>763</v>
      </c>
      <c r="BI7" s="581" t="s">
        <v>573</v>
      </c>
      <c r="BJ7" s="1154">
        <v>32540</v>
      </c>
      <c r="BK7" s="587" t="s">
        <v>585</v>
      </c>
      <c r="BL7" s="745" t="s">
        <v>1797</v>
      </c>
    </row>
    <row r="8" spans="1:64" s="755" customFormat="1" ht="48" customHeight="1">
      <c r="A8" s="1369">
        <v>2</v>
      </c>
      <c r="B8" s="1576" t="s">
        <v>1131</v>
      </c>
      <c r="C8" s="1854" t="s">
        <v>487</v>
      </c>
      <c r="D8" s="1841">
        <v>41346</v>
      </c>
      <c r="E8" s="1637" t="s">
        <v>260</v>
      </c>
      <c r="F8" s="617">
        <f>13+154+17+12+8+2</f>
        <v>206</v>
      </c>
      <c r="G8" s="617">
        <f>2</f>
        <v>2</v>
      </c>
      <c r="H8" s="1001">
        <v>21.5</v>
      </c>
      <c r="I8" s="1408">
        <f t="shared" ref="I8:I40" si="18">F8/26*H8</f>
        <v>170.34615384615384</v>
      </c>
      <c r="J8" s="618">
        <f t="shared" si="0"/>
        <v>170.34615384615384</v>
      </c>
      <c r="K8" s="1001">
        <v>66</v>
      </c>
      <c r="L8" s="510">
        <f t="shared" ref="L8:L40" si="19">F8/26/8*1.5</f>
        <v>1.4855769230769231</v>
      </c>
      <c r="M8" s="618">
        <f t="shared" ref="M8:M40" si="20">K8*L8</f>
        <v>98.04807692307692</v>
      </c>
      <c r="N8" s="1001">
        <v>0</v>
      </c>
      <c r="O8" s="510">
        <f t="shared" si="1"/>
        <v>1.9807692307692308</v>
      </c>
      <c r="P8" s="503">
        <f t="shared" si="2"/>
        <v>0</v>
      </c>
      <c r="Q8" s="1001">
        <v>24</v>
      </c>
      <c r="R8" s="510">
        <f t="shared" si="3"/>
        <v>1.9807692307692308</v>
      </c>
      <c r="S8" s="618">
        <f t="shared" si="4"/>
        <v>47.53846153846154</v>
      </c>
      <c r="T8" s="1001">
        <v>5</v>
      </c>
      <c r="U8" s="510">
        <f t="shared" si="5"/>
        <v>7.9230769230769234</v>
      </c>
      <c r="V8" s="618">
        <f t="shared" si="6"/>
        <v>39.615384615384613</v>
      </c>
      <c r="W8" s="1001">
        <v>0.5</v>
      </c>
      <c r="X8" s="618">
        <f>'S2 Salary'!T9*'S2'!W8</f>
        <v>6.1878532792396284</v>
      </c>
      <c r="Y8" s="1001">
        <v>0</v>
      </c>
      <c r="Z8" s="510">
        <f t="shared" si="7"/>
        <v>3.9615384615384617</v>
      </c>
      <c r="AA8" s="618">
        <f t="shared" ref="AA8:AA40" si="21">Y8*Z8</f>
        <v>0</v>
      </c>
      <c r="AB8" s="1001">
        <v>0</v>
      </c>
      <c r="AC8" s="1468">
        <f t="shared" ref="AC8:AC40" si="22">H8+T8+Y8+AB8+W8</f>
        <v>27</v>
      </c>
      <c r="AD8" s="1725">
        <v>0</v>
      </c>
      <c r="AE8" s="1121">
        <v>0</v>
      </c>
      <c r="AF8" s="1413">
        <f>4+4</f>
        <v>8</v>
      </c>
      <c r="AG8" s="511">
        <v>0</v>
      </c>
      <c r="AH8" s="618">
        <v>10</v>
      </c>
      <c r="AI8" s="1410">
        <v>11</v>
      </c>
      <c r="AJ8" s="1410">
        <v>10</v>
      </c>
      <c r="AK8" s="1410">
        <v>10</v>
      </c>
      <c r="AL8" s="1148">
        <f t="shared" si="8"/>
        <v>412.73593020231652</v>
      </c>
      <c r="AM8" s="1278">
        <v>0.5</v>
      </c>
      <c r="AN8" s="1404">
        <v>102</v>
      </c>
      <c r="AO8" s="1096">
        <f>'Tax Calulation'!P8</f>
        <v>0</v>
      </c>
      <c r="AP8" s="1096">
        <f>'Tax Calulation'!W8</f>
        <v>5.9084194977843429</v>
      </c>
      <c r="AQ8" s="1686">
        <f t="shared" si="9"/>
        <v>304.32751070453219</v>
      </c>
      <c r="AR8" s="1682">
        <f t="shared" ref="AR8:AR40" si="23">ROUND((AQ8-AS8)*4040,-2)</f>
        <v>17500</v>
      </c>
      <c r="AS8" s="1688">
        <f t="shared" ref="AS8:AS40" si="24">CEILING(AQ8,(100))-100</f>
        <v>300</v>
      </c>
      <c r="AT8" s="502"/>
      <c r="AU8" s="504"/>
      <c r="AV8" s="505">
        <f>(J8+M8+P8+S8+V8+AA8+AH8+AI8+AJ8+AK8)*4000</f>
        <v>1586192.3076923075</v>
      </c>
      <c r="AW8" s="502">
        <f t="shared" si="10"/>
        <v>3</v>
      </c>
      <c r="AX8" s="502">
        <f t="shared" si="11"/>
        <v>0</v>
      </c>
      <c r="AY8" s="573">
        <f t="shared" ref="AY8:AY40" si="25">AW8*100+AX8*50</f>
        <v>300</v>
      </c>
      <c r="AZ8" s="573">
        <f t="shared" si="12"/>
        <v>0</v>
      </c>
      <c r="BA8" s="548">
        <f t="shared" si="13"/>
        <v>1</v>
      </c>
      <c r="BB8" s="548">
        <f t="shared" si="14"/>
        <v>1</v>
      </c>
      <c r="BC8" s="548">
        <f t="shared" si="15"/>
        <v>2</v>
      </c>
      <c r="BD8" s="548">
        <f t="shared" si="16"/>
        <v>1</v>
      </c>
      <c r="BE8" s="548">
        <f t="shared" si="17"/>
        <v>0</v>
      </c>
      <c r="BF8" s="549">
        <f t="shared" ref="BF8:BF40" si="26">AZ8*50000+BA8*10000+BB8*5000+BC8*1000+BD8*500+BE8*100</f>
        <v>17500</v>
      </c>
      <c r="BH8" s="581" t="s">
        <v>764</v>
      </c>
      <c r="BI8" s="581" t="s">
        <v>573</v>
      </c>
      <c r="BJ8" s="1154">
        <v>25720</v>
      </c>
      <c r="BK8" s="587" t="s">
        <v>700</v>
      </c>
      <c r="BL8" s="745">
        <v>100741432</v>
      </c>
    </row>
    <row r="9" spans="1:64" s="755" customFormat="1" ht="48" customHeight="1">
      <c r="A9" s="1369">
        <v>3</v>
      </c>
      <c r="B9" s="1414" t="s">
        <v>1132</v>
      </c>
      <c r="C9" s="1329" t="s">
        <v>272</v>
      </c>
      <c r="D9" s="1841">
        <v>42493</v>
      </c>
      <c r="E9" s="1637" t="s">
        <v>260</v>
      </c>
      <c r="F9" s="617">
        <f>206</f>
        <v>206</v>
      </c>
      <c r="G9" s="617">
        <f>2</f>
        <v>2</v>
      </c>
      <c r="H9" s="1001">
        <v>22</v>
      </c>
      <c r="I9" s="1408">
        <f t="shared" si="18"/>
        <v>174.30769230769232</v>
      </c>
      <c r="J9" s="618">
        <f t="shared" si="0"/>
        <v>174.30769230769232</v>
      </c>
      <c r="K9" s="1001">
        <v>68</v>
      </c>
      <c r="L9" s="510">
        <f t="shared" si="19"/>
        <v>1.4855769230769231</v>
      </c>
      <c r="M9" s="618">
        <f t="shared" si="20"/>
        <v>101.01923076923077</v>
      </c>
      <c r="N9" s="1001">
        <v>0</v>
      </c>
      <c r="O9" s="510">
        <f t="shared" si="1"/>
        <v>1.9807692307692308</v>
      </c>
      <c r="P9" s="503">
        <f t="shared" si="2"/>
        <v>0</v>
      </c>
      <c r="Q9" s="1001">
        <v>24</v>
      </c>
      <c r="R9" s="510">
        <f t="shared" si="3"/>
        <v>1.9807692307692308</v>
      </c>
      <c r="S9" s="618">
        <f t="shared" si="4"/>
        <v>47.53846153846154</v>
      </c>
      <c r="T9" s="1001">
        <v>5</v>
      </c>
      <c r="U9" s="510">
        <f t="shared" si="5"/>
        <v>7.9230769230769234</v>
      </c>
      <c r="V9" s="618">
        <f t="shared" si="6"/>
        <v>39.615384615384613</v>
      </c>
      <c r="W9" s="1001">
        <v>0</v>
      </c>
      <c r="X9" s="618">
        <f>'S2 Salary'!T10*'S2'!W9</f>
        <v>0</v>
      </c>
      <c r="Y9" s="1001">
        <v>0</v>
      </c>
      <c r="Z9" s="510">
        <f t="shared" si="7"/>
        <v>3.9615384615384617</v>
      </c>
      <c r="AA9" s="618">
        <f t="shared" si="21"/>
        <v>0</v>
      </c>
      <c r="AB9" s="1001">
        <v>0</v>
      </c>
      <c r="AC9" s="1468">
        <f t="shared" si="22"/>
        <v>27</v>
      </c>
      <c r="AD9" s="1725">
        <v>0</v>
      </c>
      <c r="AE9" s="1121">
        <v>0</v>
      </c>
      <c r="AF9" s="1412">
        <f>4+4</f>
        <v>8</v>
      </c>
      <c r="AG9" s="511">
        <v>0</v>
      </c>
      <c r="AH9" s="618">
        <v>10</v>
      </c>
      <c r="AI9" s="1410">
        <v>9</v>
      </c>
      <c r="AJ9" s="1410">
        <v>10</v>
      </c>
      <c r="AK9" s="1410">
        <v>10</v>
      </c>
      <c r="AL9" s="1148">
        <f t="shared" si="8"/>
        <v>411.48076923076928</v>
      </c>
      <c r="AM9" s="1278">
        <v>0</v>
      </c>
      <c r="AN9" s="1404">
        <v>102</v>
      </c>
      <c r="AO9" s="1096">
        <f>'Tax Calulation'!P9</f>
        <v>0</v>
      </c>
      <c r="AP9" s="1096">
        <f>'Tax Calulation'!W9</f>
        <v>5.9084194977843429</v>
      </c>
      <c r="AQ9" s="1686">
        <f t="shared" si="9"/>
        <v>303.57234973298495</v>
      </c>
      <c r="AR9" s="1682">
        <f t="shared" si="23"/>
        <v>14400</v>
      </c>
      <c r="AS9" s="1688">
        <f t="shared" si="24"/>
        <v>300</v>
      </c>
      <c r="AT9" s="502"/>
      <c r="AU9" s="504"/>
      <c r="AV9" s="505">
        <f>(J9+M9+P9+S9+V9+AA9+AH9+AI9+AJ9+AK9)*4000</f>
        <v>1605923.0769230772</v>
      </c>
      <c r="AW9" s="502">
        <f t="shared" si="10"/>
        <v>3</v>
      </c>
      <c r="AX9" s="502">
        <f t="shared" si="11"/>
        <v>0</v>
      </c>
      <c r="AY9" s="573">
        <f t="shared" si="25"/>
        <v>300</v>
      </c>
      <c r="AZ9" s="573">
        <f t="shared" si="12"/>
        <v>0</v>
      </c>
      <c r="BA9" s="548">
        <f t="shared" si="13"/>
        <v>1</v>
      </c>
      <c r="BB9" s="548">
        <f t="shared" si="14"/>
        <v>0</v>
      </c>
      <c r="BC9" s="548">
        <f t="shared" si="15"/>
        <v>4</v>
      </c>
      <c r="BD9" s="548">
        <f t="shared" si="16"/>
        <v>0</v>
      </c>
      <c r="BE9" s="548">
        <f t="shared" si="17"/>
        <v>4</v>
      </c>
      <c r="BF9" s="549">
        <f t="shared" si="26"/>
        <v>14400</v>
      </c>
      <c r="BH9" s="578" t="s">
        <v>765</v>
      </c>
      <c r="BI9" s="578" t="s">
        <v>573</v>
      </c>
      <c r="BJ9" s="1154">
        <v>29408</v>
      </c>
      <c r="BK9" s="587" t="s">
        <v>586</v>
      </c>
      <c r="BL9" s="745">
        <v>61448968</v>
      </c>
    </row>
    <row r="10" spans="1:64" s="755" customFormat="1" ht="48" customHeight="1">
      <c r="A10" s="1369">
        <v>4</v>
      </c>
      <c r="B10" s="1576" t="s">
        <v>2112</v>
      </c>
      <c r="C10" s="1854" t="s">
        <v>2113</v>
      </c>
      <c r="D10" s="1326">
        <v>42815</v>
      </c>
      <c r="E10" s="557" t="s">
        <v>260</v>
      </c>
      <c r="F10" s="1668">
        <f>157+17+12+8+2+4+4</f>
        <v>204</v>
      </c>
      <c r="G10" s="617">
        <f>2</f>
        <v>2</v>
      </c>
      <c r="H10" s="1001">
        <v>22</v>
      </c>
      <c r="I10" s="1408">
        <f t="shared" si="18"/>
        <v>172.61538461538461</v>
      </c>
      <c r="J10" s="618">
        <f t="shared" si="0"/>
        <v>172.61538461538461</v>
      </c>
      <c r="K10" s="1001">
        <v>68</v>
      </c>
      <c r="L10" s="510">
        <f t="shared" ref="L10" si="27">F10/26/8*1.5</f>
        <v>1.471153846153846</v>
      </c>
      <c r="M10" s="618">
        <f t="shared" si="20"/>
        <v>100.03846153846153</v>
      </c>
      <c r="N10" s="1001">
        <v>0</v>
      </c>
      <c r="O10" s="510">
        <f t="shared" ref="O10" si="28">F10/26/8*2</f>
        <v>1.9615384615384615</v>
      </c>
      <c r="P10" s="503">
        <f t="shared" ref="P10" si="29">N10*O10</f>
        <v>0</v>
      </c>
      <c r="Q10" s="1001">
        <v>24</v>
      </c>
      <c r="R10" s="510">
        <f t="shared" ref="R10" si="30">F10/26/8*2</f>
        <v>1.9615384615384615</v>
      </c>
      <c r="S10" s="618">
        <f t="shared" ref="S10" si="31">R10*Q10</f>
        <v>47.076923076923073</v>
      </c>
      <c r="T10" s="1001">
        <v>5</v>
      </c>
      <c r="U10" s="510">
        <f t="shared" ref="U10" si="32">F10/26</f>
        <v>7.8461538461538458</v>
      </c>
      <c r="V10" s="618">
        <f t="shared" si="6"/>
        <v>39.230769230769226</v>
      </c>
      <c r="W10" s="1001">
        <v>0</v>
      </c>
      <c r="X10" s="618">
        <f>'S2 Salary'!T11*'S2'!W10</f>
        <v>0</v>
      </c>
      <c r="Y10" s="1001">
        <v>0</v>
      </c>
      <c r="Z10" s="510">
        <f t="shared" ref="Z10" si="33">F10/26/2</f>
        <v>3.9230769230769229</v>
      </c>
      <c r="AA10" s="618">
        <f t="shared" si="21"/>
        <v>0</v>
      </c>
      <c r="AB10" s="1001">
        <v>0</v>
      </c>
      <c r="AC10" s="1468">
        <f t="shared" si="22"/>
        <v>27</v>
      </c>
      <c r="AD10" s="1725">
        <v>0</v>
      </c>
      <c r="AE10" s="1121">
        <v>0</v>
      </c>
      <c r="AF10" s="1412">
        <v>0</v>
      </c>
      <c r="AG10" s="511">
        <v>0</v>
      </c>
      <c r="AH10" s="618">
        <v>10</v>
      </c>
      <c r="AI10" s="1410">
        <v>8</v>
      </c>
      <c r="AJ10" s="1410">
        <v>10</v>
      </c>
      <c r="AK10" s="1410">
        <v>10</v>
      </c>
      <c r="AL10" s="1148">
        <f t="shared" si="8"/>
        <v>398.96153846153845</v>
      </c>
      <c r="AM10" s="1278">
        <v>0.5</v>
      </c>
      <c r="AN10" s="1404">
        <v>102</v>
      </c>
      <c r="AO10" s="1096">
        <f>'Tax Calulation'!P10</f>
        <v>0</v>
      </c>
      <c r="AP10" s="1096">
        <f>'Tax Calulation'!W10</f>
        <v>5.9084194977843429</v>
      </c>
      <c r="AQ10" s="1686">
        <f t="shared" si="9"/>
        <v>290.55311896375412</v>
      </c>
      <c r="AR10" s="1682">
        <f t="shared" si="23"/>
        <v>365800</v>
      </c>
      <c r="AS10" s="1688">
        <f t="shared" ref="AS10" si="34">CEILING(AQ10,(100))-100</f>
        <v>200</v>
      </c>
      <c r="AT10" s="502"/>
      <c r="AU10" s="504"/>
      <c r="AV10" s="505"/>
      <c r="AW10" s="502">
        <f t="shared" ref="AW10" si="35">INT(AS10/100)</f>
        <v>2</v>
      </c>
      <c r="AX10" s="502">
        <f t="shared" ref="AX10" si="36">INT((AS10-AW10*100)/50)</f>
        <v>0</v>
      </c>
      <c r="AY10" s="1113">
        <f t="shared" ref="AY10" si="37">AW10*100+AX10*50</f>
        <v>200</v>
      </c>
      <c r="AZ10" s="1113">
        <f t="shared" ref="AZ10" si="38">INT((AR10/50000))</f>
        <v>7</v>
      </c>
      <c r="BA10" s="548">
        <f t="shared" ref="BA10" si="39">INT((AR10-AZ10*50000)/10000)</f>
        <v>1</v>
      </c>
      <c r="BB10" s="548">
        <f t="shared" ref="BB10" si="40">INT((AR10-AZ10*50000-BA10*10000)/5000)</f>
        <v>1</v>
      </c>
      <c r="BC10" s="548">
        <f t="shared" ref="BC10" si="41">INT((AR10-AZ10*50000-BA10*10000-BB10*5000)/1000)</f>
        <v>0</v>
      </c>
      <c r="BD10" s="548">
        <f t="shared" ref="BD10" si="42">INT((AR10-AZ10*50000-BA10*10000-BB10*5000-BC10*1000)/500)</f>
        <v>1</v>
      </c>
      <c r="BE10" s="548">
        <f t="shared" ref="BE10" si="43">INT((AR10-AZ10*50000-BA10*10000-BB10*5000-BC10*1000-BD10*500)/100)</f>
        <v>3</v>
      </c>
      <c r="BF10" s="549">
        <f t="shared" ref="BF10" si="44">AZ10*50000+BA10*10000+BB10*5000+BC10*1000+BD10*500+BE10*100</f>
        <v>365800</v>
      </c>
      <c r="BH10" s="581" t="s">
        <v>2114</v>
      </c>
      <c r="BI10" s="581" t="s">
        <v>2115</v>
      </c>
      <c r="BJ10" s="1154">
        <v>35831</v>
      </c>
      <c r="BK10" s="587" t="s">
        <v>2116</v>
      </c>
      <c r="BL10" s="745">
        <v>61861738</v>
      </c>
    </row>
    <row r="11" spans="1:64" s="755" customFormat="1" ht="48" customHeight="1">
      <c r="A11" s="1369">
        <v>5</v>
      </c>
      <c r="B11" s="1415" t="s">
        <v>1498</v>
      </c>
      <c r="C11" s="1329" t="s">
        <v>1499</v>
      </c>
      <c r="D11" s="1841">
        <v>43144</v>
      </c>
      <c r="E11" s="1637" t="s">
        <v>260</v>
      </c>
      <c r="F11" s="617">
        <f>184+12+8+2</f>
        <v>206</v>
      </c>
      <c r="G11" s="617">
        <v>2</v>
      </c>
      <c r="H11" s="1001">
        <v>22</v>
      </c>
      <c r="I11" s="1408">
        <f t="shared" si="18"/>
        <v>174.30769230769232</v>
      </c>
      <c r="J11" s="618">
        <f t="shared" si="0"/>
        <v>174.30769230769232</v>
      </c>
      <c r="K11" s="1001">
        <v>68</v>
      </c>
      <c r="L11" s="510">
        <f t="shared" si="19"/>
        <v>1.4855769230769231</v>
      </c>
      <c r="M11" s="618">
        <f t="shared" si="20"/>
        <v>101.01923076923077</v>
      </c>
      <c r="N11" s="1001">
        <v>0</v>
      </c>
      <c r="O11" s="510">
        <f t="shared" si="1"/>
        <v>1.9807692307692308</v>
      </c>
      <c r="P11" s="503">
        <f t="shared" si="2"/>
        <v>0</v>
      </c>
      <c r="Q11" s="1001">
        <v>24</v>
      </c>
      <c r="R11" s="510">
        <f t="shared" si="3"/>
        <v>1.9807692307692308</v>
      </c>
      <c r="S11" s="618">
        <f t="shared" si="4"/>
        <v>47.53846153846154</v>
      </c>
      <c r="T11" s="1001">
        <v>5</v>
      </c>
      <c r="U11" s="510">
        <f t="shared" si="5"/>
        <v>7.9230769230769234</v>
      </c>
      <c r="V11" s="618">
        <f t="shared" si="6"/>
        <v>39.615384615384613</v>
      </c>
      <c r="W11" s="1001">
        <v>0</v>
      </c>
      <c r="X11" s="618">
        <f>'S2 Salary'!T12*'S2'!W11</f>
        <v>0</v>
      </c>
      <c r="Y11" s="1001">
        <v>0</v>
      </c>
      <c r="Z11" s="510">
        <f t="shared" si="7"/>
        <v>3.9615384615384617</v>
      </c>
      <c r="AA11" s="618">
        <f t="shared" si="21"/>
        <v>0</v>
      </c>
      <c r="AB11" s="1001">
        <v>0</v>
      </c>
      <c r="AC11" s="1468">
        <f t="shared" si="22"/>
        <v>27</v>
      </c>
      <c r="AD11" s="1725">
        <v>0</v>
      </c>
      <c r="AE11" s="1121">
        <v>0</v>
      </c>
      <c r="AF11" s="1412">
        <f>4+4</f>
        <v>8</v>
      </c>
      <c r="AG11" s="511">
        <v>5</v>
      </c>
      <c r="AH11" s="618">
        <v>10</v>
      </c>
      <c r="AI11" s="1410">
        <v>7</v>
      </c>
      <c r="AJ11" s="1410">
        <v>10</v>
      </c>
      <c r="AK11" s="1410">
        <v>10</v>
      </c>
      <c r="AL11" s="1148">
        <f t="shared" si="8"/>
        <v>414.48076923076928</v>
      </c>
      <c r="AM11" s="1281">
        <v>0.5</v>
      </c>
      <c r="AN11" s="1404">
        <v>102</v>
      </c>
      <c r="AO11" s="1096">
        <f>'Tax Calulation'!P11</f>
        <v>0</v>
      </c>
      <c r="AP11" s="1096">
        <f>'Tax Calulation'!W11</f>
        <v>5.9084194977843429</v>
      </c>
      <c r="AQ11" s="1686">
        <f t="shared" si="9"/>
        <v>306.07234973298495</v>
      </c>
      <c r="AR11" s="1682">
        <f t="shared" si="23"/>
        <v>24500</v>
      </c>
      <c r="AS11" s="1688">
        <f t="shared" ref="AS11" si="45">CEILING(AQ11,(100))-100</f>
        <v>300</v>
      </c>
      <c r="AT11" s="502"/>
      <c r="AU11" s="504"/>
      <c r="AV11" s="505"/>
      <c r="AW11" s="502">
        <f t="shared" si="10"/>
        <v>3</v>
      </c>
      <c r="AX11" s="502">
        <f t="shared" si="11"/>
        <v>0</v>
      </c>
      <c r="AY11" s="1049">
        <f t="shared" ref="AY11" si="46">AW11*100+AX11*50</f>
        <v>300</v>
      </c>
      <c r="AZ11" s="1049">
        <f t="shared" si="12"/>
        <v>0</v>
      </c>
      <c r="BA11" s="548">
        <f t="shared" si="13"/>
        <v>2</v>
      </c>
      <c r="BB11" s="548">
        <f t="shared" si="14"/>
        <v>0</v>
      </c>
      <c r="BC11" s="548">
        <f t="shared" si="15"/>
        <v>4</v>
      </c>
      <c r="BD11" s="548">
        <f t="shared" si="16"/>
        <v>1</v>
      </c>
      <c r="BE11" s="548">
        <f t="shared" si="17"/>
        <v>0</v>
      </c>
      <c r="BF11" s="549">
        <f t="shared" ref="BF11" si="47">AZ11*50000+BA11*10000+BB11*5000+BC11*1000+BD11*500+BE11*100</f>
        <v>24500</v>
      </c>
      <c r="BH11" s="578" t="s">
        <v>1504</v>
      </c>
      <c r="BI11" s="578" t="s">
        <v>1505</v>
      </c>
      <c r="BJ11" s="1154">
        <v>35554</v>
      </c>
      <c r="BK11" s="587" t="s">
        <v>1506</v>
      </c>
      <c r="BL11" s="745">
        <v>51060420</v>
      </c>
    </row>
    <row r="12" spans="1:64" s="755" customFormat="1" ht="48" customHeight="1">
      <c r="A12" s="1369">
        <v>6</v>
      </c>
      <c r="B12" s="1415" t="s">
        <v>425</v>
      </c>
      <c r="C12" s="1329" t="s">
        <v>1133</v>
      </c>
      <c r="D12" s="1841">
        <v>43151</v>
      </c>
      <c r="E12" s="1637" t="s">
        <v>260</v>
      </c>
      <c r="F12" s="617">
        <f>179+12+8+2+3</f>
        <v>204</v>
      </c>
      <c r="G12" s="617">
        <f>2</f>
        <v>2</v>
      </c>
      <c r="H12" s="1001">
        <v>22</v>
      </c>
      <c r="I12" s="1408">
        <f t="shared" si="18"/>
        <v>172.61538461538461</v>
      </c>
      <c r="J12" s="618">
        <f t="shared" si="0"/>
        <v>172.61538461538461</v>
      </c>
      <c r="K12" s="1001">
        <v>68</v>
      </c>
      <c r="L12" s="510">
        <f t="shared" si="19"/>
        <v>1.471153846153846</v>
      </c>
      <c r="M12" s="618">
        <f t="shared" si="20"/>
        <v>100.03846153846153</v>
      </c>
      <c r="N12" s="1001">
        <v>0</v>
      </c>
      <c r="O12" s="510">
        <f t="shared" si="1"/>
        <v>1.9615384615384615</v>
      </c>
      <c r="P12" s="503">
        <f t="shared" si="2"/>
        <v>0</v>
      </c>
      <c r="Q12" s="1001">
        <v>24</v>
      </c>
      <c r="R12" s="510">
        <f t="shared" si="3"/>
        <v>1.9615384615384615</v>
      </c>
      <c r="S12" s="618">
        <f t="shared" si="4"/>
        <v>47.076923076923073</v>
      </c>
      <c r="T12" s="1001">
        <v>5</v>
      </c>
      <c r="U12" s="510">
        <f t="shared" si="5"/>
        <v>7.8461538461538458</v>
      </c>
      <c r="V12" s="618">
        <f t="shared" si="6"/>
        <v>39.230769230769226</v>
      </c>
      <c r="W12" s="1001">
        <v>0</v>
      </c>
      <c r="X12" s="618">
        <f>'S2 Salary'!T13*'S2'!W12</f>
        <v>0</v>
      </c>
      <c r="Y12" s="1001">
        <v>0</v>
      </c>
      <c r="Z12" s="510">
        <f t="shared" si="7"/>
        <v>3.9230769230769229</v>
      </c>
      <c r="AA12" s="618">
        <f t="shared" si="21"/>
        <v>0</v>
      </c>
      <c r="AB12" s="1001">
        <v>0</v>
      </c>
      <c r="AC12" s="1468">
        <f t="shared" si="22"/>
        <v>27</v>
      </c>
      <c r="AD12" s="1725">
        <v>0</v>
      </c>
      <c r="AE12" s="1121">
        <v>0</v>
      </c>
      <c r="AF12" s="1412">
        <f>4+1</f>
        <v>5</v>
      </c>
      <c r="AG12" s="511">
        <v>0</v>
      </c>
      <c r="AH12" s="618">
        <v>10</v>
      </c>
      <c r="AI12" s="1410">
        <v>7</v>
      </c>
      <c r="AJ12" s="1410">
        <v>10</v>
      </c>
      <c r="AK12" s="1410">
        <v>10</v>
      </c>
      <c r="AL12" s="1148">
        <f t="shared" si="8"/>
        <v>402.96153846153845</v>
      </c>
      <c r="AM12" s="1278">
        <v>0</v>
      </c>
      <c r="AN12" s="1404">
        <v>102</v>
      </c>
      <c r="AO12" s="1096">
        <f>'Tax Calulation'!P12</f>
        <v>0.38884501761163598</v>
      </c>
      <c r="AP12" s="1096">
        <f>'Tax Calulation'!W12</f>
        <v>5.9084194977843429</v>
      </c>
      <c r="AQ12" s="1686">
        <f t="shared" si="9"/>
        <v>294.66427394614249</v>
      </c>
      <c r="AR12" s="1682">
        <f t="shared" si="23"/>
        <v>382400</v>
      </c>
      <c r="AS12" s="1688">
        <f t="shared" si="24"/>
        <v>200</v>
      </c>
      <c r="AT12" s="502"/>
      <c r="AU12" s="504"/>
      <c r="AV12" s="505">
        <f>(J12+M12+P12+S12+V12+AA12+AH12+AI12+AJ12+AK12)*4000</f>
        <v>1583846.1538461538</v>
      </c>
      <c r="AW12" s="502">
        <f t="shared" si="10"/>
        <v>2</v>
      </c>
      <c r="AX12" s="502">
        <f t="shared" si="11"/>
        <v>0</v>
      </c>
      <c r="AY12" s="573">
        <f t="shared" si="25"/>
        <v>200</v>
      </c>
      <c r="AZ12" s="573">
        <f t="shared" si="12"/>
        <v>7</v>
      </c>
      <c r="BA12" s="548">
        <f t="shared" si="13"/>
        <v>3</v>
      </c>
      <c r="BB12" s="548">
        <f t="shared" si="14"/>
        <v>0</v>
      </c>
      <c r="BC12" s="548">
        <f t="shared" si="15"/>
        <v>2</v>
      </c>
      <c r="BD12" s="548">
        <f t="shared" si="16"/>
        <v>0</v>
      </c>
      <c r="BE12" s="548">
        <f t="shared" si="17"/>
        <v>4</v>
      </c>
      <c r="BF12" s="549">
        <f t="shared" si="26"/>
        <v>382400</v>
      </c>
      <c r="BH12" s="578" t="s">
        <v>767</v>
      </c>
      <c r="BI12" s="578" t="s">
        <v>573</v>
      </c>
      <c r="BJ12" s="1154">
        <v>34146</v>
      </c>
      <c r="BK12" s="587" t="s">
        <v>587</v>
      </c>
      <c r="BL12" s="745" t="s">
        <v>1507</v>
      </c>
    </row>
    <row r="13" spans="1:64" s="755" customFormat="1" ht="48" customHeight="1">
      <c r="A13" s="1369">
        <v>7</v>
      </c>
      <c r="B13" s="1419" t="s">
        <v>2176</v>
      </c>
      <c r="C13" s="1448" t="s">
        <v>1353</v>
      </c>
      <c r="D13" s="1851">
        <v>44593</v>
      </c>
      <c r="E13" s="1637" t="s">
        <v>1122</v>
      </c>
      <c r="F13" s="619">
        <f>221</f>
        <v>221</v>
      </c>
      <c r="G13" s="617">
        <v>2</v>
      </c>
      <c r="H13" s="1001">
        <v>22</v>
      </c>
      <c r="I13" s="1408">
        <f t="shared" si="18"/>
        <v>187</v>
      </c>
      <c r="J13" s="618">
        <f t="shared" si="0"/>
        <v>187</v>
      </c>
      <c r="K13" s="1001">
        <v>68</v>
      </c>
      <c r="L13" s="510">
        <f t="shared" ref="L13" si="48">F13/26/8*1.5</f>
        <v>1.59375</v>
      </c>
      <c r="M13" s="618">
        <f t="shared" si="20"/>
        <v>108.375</v>
      </c>
      <c r="N13" s="1001">
        <v>0</v>
      </c>
      <c r="O13" s="510">
        <f t="shared" ref="O13" si="49">F13/26/8*2</f>
        <v>2.125</v>
      </c>
      <c r="P13" s="503">
        <f t="shared" ref="P13" si="50">N13*O13</f>
        <v>0</v>
      </c>
      <c r="Q13" s="1001">
        <v>24</v>
      </c>
      <c r="R13" s="510">
        <f t="shared" ref="R13" si="51">F13/26/8*2</f>
        <v>2.125</v>
      </c>
      <c r="S13" s="618">
        <f t="shared" ref="S13" si="52">R13*Q13</f>
        <v>51</v>
      </c>
      <c r="T13" s="1001">
        <v>5</v>
      </c>
      <c r="U13" s="510">
        <f t="shared" ref="U13" si="53">F13/26</f>
        <v>8.5</v>
      </c>
      <c r="V13" s="618">
        <f t="shared" si="6"/>
        <v>42.5</v>
      </c>
      <c r="W13" s="1001">
        <v>0</v>
      </c>
      <c r="X13" s="618">
        <f>'S2 Salary'!T14*'S2'!W13</f>
        <v>0</v>
      </c>
      <c r="Y13" s="1001">
        <v>0</v>
      </c>
      <c r="Z13" s="510">
        <f t="shared" ref="Z13" si="54">F13/26/2</f>
        <v>4.25</v>
      </c>
      <c r="AA13" s="618">
        <f t="shared" si="21"/>
        <v>0</v>
      </c>
      <c r="AB13" s="1001">
        <v>0</v>
      </c>
      <c r="AC13" s="1468">
        <f t="shared" ref="AC13" si="55">H13+T13+Y13+AB13+W13</f>
        <v>27</v>
      </c>
      <c r="AD13" s="1725">
        <v>0</v>
      </c>
      <c r="AE13" s="1121">
        <v>0</v>
      </c>
      <c r="AF13" s="1412">
        <v>15</v>
      </c>
      <c r="AG13" s="511">
        <v>0</v>
      </c>
      <c r="AH13" s="618">
        <v>10</v>
      </c>
      <c r="AI13" s="1410">
        <v>3</v>
      </c>
      <c r="AJ13" s="1410">
        <v>10</v>
      </c>
      <c r="AK13" s="1410">
        <v>10</v>
      </c>
      <c r="AL13" s="1148">
        <f t="shared" si="8"/>
        <v>438.875</v>
      </c>
      <c r="AM13" s="1278">
        <v>0</v>
      </c>
      <c r="AN13" s="1404">
        <v>102</v>
      </c>
      <c r="AO13" s="1096">
        <f>'Tax Calulation'!P13</f>
        <v>0</v>
      </c>
      <c r="AP13" s="1096">
        <f>'Tax Calulation'!W13</f>
        <v>5.9084194977843429</v>
      </c>
      <c r="AQ13" s="1686">
        <f t="shared" si="9"/>
        <v>330.96658050221566</v>
      </c>
      <c r="AR13" s="1682">
        <f t="shared" si="23"/>
        <v>125100</v>
      </c>
      <c r="AS13" s="1688">
        <f t="shared" ref="AS13" si="56">CEILING(AQ13,(100))-100</f>
        <v>300</v>
      </c>
      <c r="AT13" s="502"/>
      <c r="AU13" s="504"/>
      <c r="AV13" s="505"/>
      <c r="AW13" s="502">
        <f t="shared" ref="AW13" si="57">INT(AS13/100)</f>
        <v>3</v>
      </c>
      <c r="AX13" s="502">
        <f t="shared" ref="AX13" si="58">INT((AS13-AW13*100)/50)</f>
        <v>0</v>
      </c>
      <c r="AY13" s="1113">
        <f t="shared" ref="AY13" si="59">AW13*100+AX13*50</f>
        <v>300</v>
      </c>
      <c r="AZ13" s="1113">
        <f t="shared" ref="AZ13" si="60">INT((AR13/50000))</f>
        <v>2</v>
      </c>
      <c r="BA13" s="548">
        <f t="shared" ref="BA13" si="61">INT((AR13-AZ13*50000)/10000)</f>
        <v>2</v>
      </c>
      <c r="BB13" s="548">
        <f t="shared" ref="BB13" si="62">INT((AR13-AZ13*50000-BA13*10000)/5000)</f>
        <v>1</v>
      </c>
      <c r="BC13" s="548">
        <f t="shared" ref="BC13" si="63">INT((AR13-AZ13*50000-BA13*10000-BB13*5000)/1000)</f>
        <v>0</v>
      </c>
      <c r="BD13" s="548">
        <f t="shared" ref="BD13" si="64">INT((AR13-AZ13*50000-BA13*10000-BB13*5000-BC13*1000)/500)</f>
        <v>0</v>
      </c>
      <c r="BE13" s="548">
        <f t="shared" ref="BE13" si="65">INT((AR13-AZ13*50000-BA13*10000-BB13*5000-BC13*1000-BD13*500)/100)</f>
        <v>1</v>
      </c>
      <c r="BF13" s="549">
        <f t="shared" ref="BF13" si="66">AZ13*50000+BA13*10000+BB13*5000+BC13*1000+BD13*500+BE13*100</f>
        <v>125100</v>
      </c>
      <c r="BH13" s="625" t="s">
        <v>1382</v>
      </c>
      <c r="BI13" s="625" t="s">
        <v>943</v>
      </c>
      <c r="BJ13" s="1155">
        <v>33118</v>
      </c>
      <c r="BK13" s="971" t="s">
        <v>1383</v>
      </c>
      <c r="BL13" s="757" t="s">
        <v>1803</v>
      </c>
    </row>
    <row r="14" spans="1:64" s="755" customFormat="1" ht="48" customHeight="1">
      <c r="A14" s="1369">
        <v>8</v>
      </c>
      <c r="B14" s="1415" t="s">
        <v>2300</v>
      </c>
      <c r="C14" s="1329" t="s">
        <v>2301</v>
      </c>
      <c r="D14" s="1841">
        <v>43578</v>
      </c>
      <c r="E14" s="1637" t="s">
        <v>260</v>
      </c>
      <c r="F14" s="617">
        <f>196+8+2</f>
        <v>206</v>
      </c>
      <c r="G14" s="617">
        <f>2</f>
        <v>2</v>
      </c>
      <c r="H14" s="1001">
        <v>20</v>
      </c>
      <c r="I14" s="1408">
        <f t="shared" si="18"/>
        <v>158.46153846153845</v>
      </c>
      <c r="J14" s="618">
        <f t="shared" si="0"/>
        <v>158.46153846153845</v>
      </c>
      <c r="K14" s="1001">
        <v>26</v>
      </c>
      <c r="L14" s="510">
        <f t="shared" ref="L14" si="67">F14/26/8*1.5</f>
        <v>1.4855769230769231</v>
      </c>
      <c r="M14" s="618">
        <f t="shared" si="20"/>
        <v>38.625</v>
      </c>
      <c r="N14" s="1001">
        <v>0</v>
      </c>
      <c r="O14" s="510">
        <f t="shared" ref="O14" si="68">F14/26/8*2</f>
        <v>1.9807692307692308</v>
      </c>
      <c r="P14" s="503">
        <f t="shared" ref="P14" si="69">N14*O14</f>
        <v>0</v>
      </c>
      <c r="Q14" s="1001">
        <v>24</v>
      </c>
      <c r="R14" s="510">
        <f t="shared" ref="R14" si="70">F14/26/8*2</f>
        <v>1.9807692307692308</v>
      </c>
      <c r="S14" s="618">
        <f t="shared" ref="S14" si="71">R14*Q14</f>
        <v>47.53846153846154</v>
      </c>
      <c r="T14" s="1001">
        <v>6</v>
      </c>
      <c r="U14" s="510">
        <f t="shared" ref="U14" si="72">F14/26</f>
        <v>7.9230769230769234</v>
      </c>
      <c r="V14" s="618">
        <f t="shared" si="6"/>
        <v>47.53846153846154</v>
      </c>
      <c r="W14" s="1001">
        <v>0</v>
      </c>
      <c r="X14" s="618">
        <f>'S2 Salary'!T15*'S2'!W14</f>
        <v>0</v>
      </c>
      <c r="Y14" s="1001">
        <v>0</v>
      </c>
      <c r="Z14" s="510">
        <f t="shared" ref="Z14" si="73">F14/26/2</f>
        <v>3.9615384615384617</v>
      </c>
      <c r="AA14" s="618">
        <f t="shared" ref="AA14" si="74">Y14*Z14</f>
        <v>0</v>
      </c>
      <c r="AB14" s="1001">
        <v>1</v>
      </c>
      <c r="AC14" s="1468">
        <f t="shared" ref="AC14" si="75">H14+T14+Y14+AB14+W14</f>
        <v>27</v>
      </c>
      <c r="AD14" s="1725">
        <v>0</v>
      </c>
      <c r="AE14" s="1121">
        <v>0</v>
      </c>
      <c r="AF14" s="1412">
        <v>8</v>
      </c>
      <c r="AG14" s="511">
        <v>0</v>
      </c>
      <c r="AH14" s="618">
        <v>7</v>
      </c>
      <c r="AI14" s="1410">
        <v>5</v>
      </c>
      <c r="AJ14" s="1410">
        <v>10</v>
      </c>
      <c r="AK14" s="1410">
        <v>10</v>
      </c>
      <c r="AL14" s="1148">
        <f t="shared" si="8"/>
        <v>334.16346153846155</v>
      </c>
      <c r="AM14" s="1278">
        <v>0</v>
      </c>
      <c r="AN14" s="1404">
        <v>102</v>
      </c>
      <c r="AO14" s="1096">
        <f>'Tax Calulation'!P14</f>
        <v>0</v>
      </c>
      <c r="AP14" s="1096">
        <f>'Tax Calulation'!W14</f>
        <v>5.9084194977843429</v>
      </c>
      <c r="AQ14" s="1686">
        <f t="shared" si="9"/>
        <v>226.25504204067721</v>
      </c>
      <c r="AR14" s="1682">
        <f t="shared" si="23"/>
        <v>106100</v>
      </c>
      <c r="AS14" s="1688">
        <f t="shared" ref="AS14" si="76">CEILING(AQ14,(100))-100</f>
        <v>200</v>
      </c>
      <c r="AT14" s="502"/>
      <c r="AU14" s="504"/>
      <c r="AV14" s="505"/>
      <c r="AW14" s="502">
        <f t="shared" ref="AW14" si="77">INT(AS14/100)</f>
        <v>2</v>
      </c>
      <c r="AX14" s="502">
        <f t="shared" ref="AX14" si="78">INT((AS14-AW14*100)/50)</f>
        <v>0</v>
      </c>
      <c r="AY14" s="1113">
        <f t="shared" ref="AY14" si="79">AW14*100+AX14*50</f>
        <v>200</v>
      </c>
      <c r="AZ14" s="1113">
        <f t="shared" ref="AZ14" si="80">INT((AR14/50000))</f>
        <v>2</v>
      </c>
      <c r="BA14" s="548">
        <f t="shared" ref="BA14" si="81">INT((AR14-AZ14*50000)/10000)</f>
        <v>0</v>
      </c>
      <c r="BB14" s="548">
        <f t="shared" ref="BB14" si="82">INT((AR14-AZ14*50000-BA14*10000)/5000)</f>
        <v>1</v>
      </c>
      <c r="BC14" s="548">
        <f t="shared" ref="BC14" si="83">INT((AR14-AZ14*50000-BA14*10000-BB14*5000)/1000)</f>
        <v>1</v>
      </c>
      <c r="BD14" s="548">
        <f t="shared" ref="BD14" si="84">INT((AR14-AZ14*50000-BA14*10000-BB14*5000-BC14*1000)/500)</f>
        <v>0</v>
      </c>
      <c r="BE14" s="548">
        <f t="shared" ref="BE14" si="85">INT((AR14-AZ14*50000-BA14*10000-BB14*5000-BC14*1000-BD14*500)/100)</f>
        <v>1</v>
      </c>
      <c r="BF14" s="549">
        <f t="shared" ref="BF14" si="86">AZ14*50000+BA14*10000+BB14*5000+BC14*1000+BD14*500+BE14*100</f>
        <v>106100</v>
      </c>
      <c r="BH14" s="578" t="s">
        <v>2302</v>
      </c>
      <c r="BI14" s="578" t="s">
        <v>573</v>
      </c>
      <c r="BJ14" s="1154">
        <v>33621</v>
      </c>
      <c r="BK14" s="587" t="s">
        <v>2303</v>
      </c>
      <c r="BL14" s="745">
        <v>20858991</v>
      </c>
    </row>
    <row r="15" spans="1:64" s="755" customFormat="1" ht="48" customHeight="1">
      <c r="A15" s="1369">
        <v>9</v>
      </c>
      <c r="B15" s="1576" t="s">
        <v>1134</v>
      </c>
      <c r="C15" s="1854" t="s">
        <v>488</v>
      </c>
      <c r="D15" s="1841">
        <v>41411</v>
      </c>
      <c r="E15" s="1637" t="s">
        <v>260</v>
      </c>
      <c r="F15" s="617">
        <f>13+154+17+12+8+2</f>
        <v>206</v>
      </c>
      <c r="G15" s="617">
        <f>2</f>
        <v>2</v>
      </c>
      <c r="H15" s="1001">
        <v>21.5</v>
      </c>
      <c r="I15" s="1408">
        <f t="shared" si="18"/>
        <v>170.34615384615384</v>
      </c>
      <c r="J15" s="618">
        <f t="shared" si="0"/>
        <v>170.34615384615384</v>
      </c>
      <c r="K15" s="1001">
        <v>66</v>
      </c>
      <c r="L15" s="510">
        <f t="shared" si="19"/>
        <v>1.4855769230769231</v>
      </c>
      <c r="M15" s="618">
        <f t="shared" si="20"/>
        <v>98.04807692307692</v>
      </c>
      <c r="N15" s="1001">
        <v>0</v>
      </c>
      <c r="O15" s="510">
        <f t="shared" si="1"/>
        <v>1.9807692307692308</v>
      </c>
      <c r="P15" s="503">
        <f t="shared" si="2"/>
        <v>0</v>
      </c>
      <c r="Q15" s="1001">
        <v>24</v>
      </c>
      <c r="R15" s="510">
        <f t="shared" si="3"/>
        <v>1.9807692307692308</v>
      </c>
      <c r="S15" s="618">
        <f t="shared" si="4"/>
        <v>47.53846153846154</v>
      </c>
      <c r="T15" s="1001">
        <v>5</v>
      </c>
      <c r="U15" s="510">
        <f t="shared" si="5"/>
        <v>7.9230769230769234</v>
      </c>
      <c r="V15" s="618">
        <f t="shared" si="6"/>
        <v>39.615384615384613</v>
      </c>
      <c r="W15" s="1001">
        <v>0.5</v>
      </c>
      <c r="X15" s="618">
        <f>'S2 Salary'!T16*'S2'!W15</f>
        <v>6.1106654474252773</v>
      </c>
      <c r="Y15" s="1001">
        <v>0</v>
      </c>
      <c r="Z15" s="510">
        <f t="shared" si="7"/>
        <v>3.9615384615384617</v>
      </c>
      <c r="AA15" s="618">
        <f t="shared" si="21"/>
        <v>0</v>
      </c>
      <c r="AB15" s="1001">
        <v>0</v>
      </c>
      <c r="AC15" s="1468">
        <f t="shared" si="22"/>
        <v>27</v>
      </c>
      <c r="AD15" s="1725">
        <v>0</v>
      </c>
      <c r="AE15" s="1121">
        <v>0</v>
      </c>
      <c r="AF15" s="1412">
        <f>4+4</f>
        <v>8</v>
      </c>
      <c r="AG15" s="511">
        <v>0</v>
      </c>
      <c r="AH15" s="618">
        <v>10</v>
      </c>
      <c r="AI15" s="1410">
        <v>11</v>
      </c>
      <c r="AJ15" s="1410">
        <v>10</v>
      </c>
      <c r="AK15" s="1410">
        <v>10</v>
      </c>
      <c r="AL15" s="1148">
        <f t="shared" si="8"/>
        <v>412.65874237050218</v>
      </c>
      <c r="AM15" s="1278">
        <v>0.5</v>
      </c>
      <c r="AN15" s="1404">
        <v>102</v>
      </c>
      <c r="AO15" s="1096">
        <f>'Tax Calulation'!P15</f>
        <v>0</v>
      </c>
      <c r="AP15" s="1096">
        <f>'Tax Calulation'!W15</f>
        <v>5.9084194977843429</v>
      </c>
      <c r="AQ15" s="1686">
        <f t="shared" si="9"/>
        <v>304.25032287271785</v>
      </c>
      <c r="AR15" s="1682">
        <f t="shared" si="23"/>
        <v>17200</v>
      </c>
      <c r="AS15" s="1688">
        <f t="shared" si="24"/>
        <v>300</v>
      </c>
      <c r="AT15" s="502"/>
      <c r="AU15" s="504"/>
      <c r="AV15" s="505">
        <f t="shared" ref="AV15:AV19" si="87">(J15+M15+P15+S15+V15+AA15+AH15+AI15+AJ15+AK15)*4000</f>
        <v>1586192.3076923075</v>
      </c>
      <c r="AW15" s="502">
        <f t="shared" si="10"/>
        <v>3</v>
      </c>
      <c r="AX15" s="502">
        <f t="shared" si="11"/>
        <v>0</v>
      </c>
      <c r="AY15" s="573">
        <f t="shared" si="25"/>
        <v>300</v>
      </c>
      <c r="AZ15" s="573">
        <f t="shared" si="12"/>
        <v>0</v>
      </c>
      <c r="BA15" s="548">
        <f t="shared" si="13"/>
        <v>1</v>
      </c>
      <c r="BB15" s="548">
        <f t="shared" si="14"/>
        <v>1</v>
      </c>
      <c r="BC15" s="548">
        <f t="shared" si="15"/>
        <v>2</v>
      </c>
      <c r="BD15" s="548">
        <f t="shared" si="16"/>
        <v>0</v>
      </c>
      <c r="BE15" s="548">
        <f t="shared" si="17"/>
        <v>2</v>
      </c>
      <c r="BF15" s="549">
        <f t="shared" si="26"/>
        <v>17200</v>
      </c>
      <c r="BH15" s="581" t="s">
        <v>766</v>
      </c>
      <c r="BI15" s="581" t="s">
        <v>573</v>
      </c>
      <c r="BJ15" s="1154">
        <v>35284</v>
      </c>
      <c r="BK15" s="587" t="s">
        <v>588</v>
      </c>
      <c r="BL15" s="745">
        <v>61372495</v>
      </c>
    </row>
    <row r="16" spans="1:64" s="755" customFormat="1" ht="48" customHeight="1">
      <c r="A16" s="1369">
        <v>10</v>
      </c>
      <c r="B16" s="1576" t="s">
        <v>1135</v>
      </c>
      <c r="C16" s="1854" t="s">
        <v>489</v>
      </c>
      <c r="D16" s="1841">
        <v>41421</v>
      </c>
      <c r="E16" s="1637" t="s">
        <v>260</v>
      </c>
      <c r="F16" s="617">
        <f>13+154+17+12+8+2</f>
        <v>206</v>
      </c>
      <c r="G16" s="617">
        <f>2</f>
        <v>2</v>
      </c>
      <c r="H16" s="1001">
        <v>21</v>
      </c>
      <c r="I16" s="1408">
        <f t="shared" si="18"/>
        <v>166.38461538461539</v>
      </c>
      <c r="J16" s="618">
        <f t="shared" si="0"/>
        <v>166.38461538461539</v>
      </c>
      <c r="K16" s="1001">
        <v>55</v>
      </c>
      <c r="L16" s="510">
        <f t="shared" si="19"/>
        <v>1.4855769230769231</v>
      </c>
      <c r="M16" s="618">
        <f t="shared" si="20"/>
        <v>81.706730769230774</v>
      </c>
      <c r="N16" s="1001">
        <v>0</v>
      </c>
      <c r="O16" s="510">
        <f t="shared" si="1"/>
        <v>1.9807692307692308</v>
      </c>
      <c r="P16" s="503">
        <f t="shared" si="2"/>
        <v>0</v>
      </c>
      <c r="Q16" s="1001">
        <v>24</v>
      </c>
      <c r="R16" s="510">
        <f t="shared" si="3"/>
        <v>1.9807692307692308</v>
      </c>
      <c r="S16" s="618">
        <f t="shared" si="4"/>
        <v>47.53846153846154</v>
      </c>
      <c r="T16" s="1001">
        <v>6</v>
      </c>
      <c r="U16" s="510">
        <f t="shared" si="5"/>
        <v>7.9230769230769234</v>
      </c>
      <c r="V16" s="618">
        <f t="shared" si="6"/>
        <v>47.53846153846154</v>
      </c>
      <c r="W16" s="1001">
        <v>0</v>
      </c>
      <c r="X16" s="618">
        <f>'S2 Salary'!T17*'S2'!W16</f>
        <v>0</v>
      </c>
      <c r="Y16" s="1001">
        <v>0</v>
      </c>
      <c r="Z16" s="510">
        <f t="shared" si="7"/>
        <v>3.9615384615384617</v>
      </c>
      <c r="AA16" s="618">
        <f t="shared" si="21"/>
        <v>0</v>
      </c>
      <c r="AB16" s="1001">
        <v>0</v>
      </c>
      <c r="AC16" s="1468">
        <f t="shared" si="22"/>
        <v>27</v>
      </c>
      <c r="AD16" s="1725">
        <v>0</v>
      </c>
      <c r="AE16" s="1121">
        <v>0</v>
      </c>
      <c r="AF16" s="1412">
        <f>4+4</f>
        <v>8</v>
      </c>
      <c r="AG16" s="511">
        <v>0</v>
      </c>
      <c r="AH16" s="618">
        <v>10</v>
      </c>
      <c r="AI16" s="1410">
        <v>11</v>
      </c>
      <c r="AJ16" s="1410">
        <v>10</v>
      </c>
      <c r="AK16" s="1410">
        <v>10</v>
      </c>
      <c r="AL16" s="1148">
        <f t="shared" si="8"/>
        <v>394.16826923076923</v>
      </c>
      <c r="AM16" s="1278">
        <v>0</v>
      </c>
      <c r="AN16" s="1404">
        <v>102</v>
      </c>
      <c r="AO16" s="1096">
        <f>'Tax Calulation'!P16</f>
        <v>0</v>
      </c>
      <c r="AP16" s="1096">
        <f>'Tax Calulation'!W16</f>
        <v>5.9084194977843429</v>
      </c>
      <c r="AQ16" s="1686">
        <f t="shared" si="9"/>
        <v>286.25984973298489</v>
      </c>
      <c r="AR16" s="1682">
        <f t="shared" si="23"/>
        <v>348500</v>
      </c>
      <c r="AS16" s="1688">
        <f t="shared" si="24"/>
        <v>200</v>
      </c>
      <c r="AT16" s="502"/>
      <c r="AU16" s="504"/>
      <c r="AV16" s="505">
        <f t="shared" si="87"/>
        <v>1536673.076923077</v>
      </c>
      <c r="AW16" s="502">
        <f t="shared" si="10"/>
        <v>2</v>
      </c>
      <c r="AX16" s="502">
        <f t="shared" si="11"/>
        <v>0</v>
      </c>
      <c r="AY16" s="573">
        <f t="shared" si="25"/>
        <v>200</v>
      </c>
      <c r="AZ16" s="573">
        <f t="shared" si="12"/>
        <v>6</v>
      </c>
      <c r="BA16" s="548">
        <f t="shared" si="13"/>
        <v>4</v>
      </c>
      <c r="BB16" s="548">
        <f t="shared" si="14"/>
        <v>1</v>
      </c>
      <c r="BC16" s="548">
        <f t="shared" si="15"/>
        <v>3</v>
      </c>
      <c r="BD16" s="548">
        <f t="shared" si="16"/>
        <v>1</v>
      </c>
      <c r="BE16" s="548">
        <f t="shared" si="17"/>
        <v>0</v>
      </c>
      <c r="BF16" s="549">
        <f t="shared" si="26"/>
        <v>348500</v>
      </c>
      <c r="BH16" s="581" t="s">
        <v>768</v>
      </c>
      <c r="BI16" s="581" t="s">
        <v>573</v>
      </c>
      <c r="BJ16" s="1154">
        <v>29889</v>
      </c>
      <c r="BK16" s="587" t="s">
        <v>589</v>
      </c>
      <c r="BL16" s="745" t="s">
        <v>1798</v>
      </c>
    </row>
    <row r="17" spans="1:64" s="755" customFormat="1" ht="48" customHeight="1">
      <c r="A17" s="1369">
        <v>11</v>
      </c>
      <c r="B17" s="1576" t="s">
        <v>1136</v>
      </c>
      <c r="C17" s="1854" t="s">
        <v>404</v>
      </c>
      <c r="D17" s="1841">
        <v>42850</v>
      </c>
      <c r="E17" s="1637" t="s">
        <v>260</v>
      </c>
      <c r="F17" s="617">
        <f>167+17+12+8+2</f>
        <v>206</v>
      </c>
      <c r="G17" s="617">
        <f>2</f>
        <v>2</v>
      </c>
      <c r="H17" s="1001">
        <v>21</v>
      </c>
      <c r="I17" s="1408">
        <f t="shared" si="18"/>
        <v>166.38461538461539</v>
      </c>
      <c r="J17" s="618">
        <f t="shared" si="0"/>
        <v>166.38461538461539</v>
      </c>
      <c r="K17" s="1001">
        <v>52</v>
      </c>
      <c r="L17" s="510">
        <f t="shared" si="19"/>
        <v>1.4855769230769231</v>
      </c>
      <c r="M17" s="618">
        <f t="shared" si="20"/>
        <v>77.25</v>
      </c>
      <c r="N17" s="1001">
        <v>0</v>
      </c>
      <c r="O17" s="510">
        <f t="shared" si="1"/>
        <v>1.9807692307692308</v>
      </c>
      <c r="P17" s="503">
        <f t="shared" si="2"/>
        <v>0</v>
      </c>
      <c r="Q17" s="1001">
        <v>16</v>
      </c>
      <c r="R17" s="510">
        <f t="shared" si="3"/>
        <v>1.9807692307692308</v>
      </c>
      <c r="S17" s="618">
        <f t="shared" si="4"/>
        <v>31.692307692307693</v>
      </c>
      <c r="T17" s="1001">
        <v>5.5</v>
      </c>
      <c r="U17" s="510">
        <f t="shared" si="5"/>
        <v>7.9230769230769234</v>
      </c>
      <c r="V17" s="618">
        <f t="shared" si="6"/>
        <v>43.57692307692308</v>
      </c>
      <c r="W17" s="1001">
        <v>0.5</v>
      </c>
      <c r="X17" s="618">
        <f>'S2 Salary'!T18*'S2'!W17</f>
        <v>5.9353251591876459</v>
      </c>
      <c r="Y17" s="1001">
        <v>0</v>
      </c>
      <c r="Z17" s="510">
        <f t="shared" si="7"/>
        <v>3.9615384615384617</v>
      </c>
      <c r="AA17" s="618">
        <f t="shared" si="21"/>
        <v>0</v>
      </c>
      <c r="AB17" s="1001">
        <v>0</v>
      </c>
      <c r="AC17" s="1468">
        <f t="shared" si="22"/>
        <v>27</v>
      </c>
      <c r="AD17" s="1725">
        <v>0</v>
      </c>
      <c r="AE17" s="1121">
        <v>0</v>
      </c>
      <c r="AF17" s="1412">
        <f>4+4</f>
        <v>8</v>
      </c>
      <c r="AG17" s="511">
        <v>0</v>
      </c>
      <c r="AH17" s="618">
        <v>10</v>
      </c>
      <c r="AI17" s="1410">
        <v>8</v>
      </c>
      <c r="AJ17" s="1410">
        <v>10</v>
      </c>
      <c r="AK17" s="1410">
        <v>10</v>
      </c>
      <c r="AL17" s="1148">
        <f t="shared" si="8"/>
        <v>372.83917131303383</v>
      </c>
      <c r="AM17" s="1278">
        <v>0.5</v>
      </c>
      <c r="AN17" s="1404">
        <v>102</v>
      </c>
      <c r="AO17" s="1096">
        <f>'Tax Calulation'!P17</f>
        <v>0</v>
      </c>
      <c r="AP17" s="1096">
        <f>'Tax Calulation'!W17</f>
        <v>5.9084194977843429</v>
      </c>
      <c r="AQ17" s="1686">
        <f t="shared" si="9"/>
        <v>264.43075181524949</v>
      </c>
      <c r="AR17" s="1682">
        <f t="shared" si="23"/>
        <v>260300</v>
      </c>
      <c r="AS17" s="1688">
        <f t="shared" si="24"/>
        <v>200</v>
      </c>
      <c r="AT17" s="502"/>
      <c r="AU17" s="504"/>
      <c r="AV17" s="505">
        <f t="shared" si="87"/>
        <v>1427615.3846153847</v>
      </c>
      <c r="AW17" s="502">
        <f t="shared" si="10"/>
        <v>2</v>
      </c>
      <c r="AX17" s="502">
        <f t="shared" si="11"/>
        <v>0</v>
      </c>
      <c r="AY17" s="573">
        <f t="shared" si="25"/>
        <v>200</v>
      </c>
      <c r="AZ17" s="573">
        <f t="shared" si="12"/>
        <v>5</v>
      </c>
      <c r="BA17" s="548">
        <f t="shared" si="13"/>
        <v>1</v>
      </c>
      <c r="BB17" s="548">
        <f t="shared" si="14"/>
        <v>0</v>
      </c>
      <c r="BC17" s="548">
        <f t="shared" si="15"/>
        <v>0</v>
      </c>
      <c r="BD17" s="548">
        <f t="shared" si="16"/>
        <v>0</v>
      </c>
      <c r="BE17" s="548">
        <f t="shared" si="17"/>
        <v>3</v>
      </c>
      <c r="BF17" s="549">
        <f t="shared" si="26"/>
        <v>260300</v>
      </c>
      <c r="BH17" s="581" t="s">
        <v>769</v>
      </c>
      <c r="BI17" s="581" t="s">
        <v>573</v>
      </c>
      <c r="BJ17" s="1154">
        <v>29647</v>
      </c>
      <c r="BK17" s="587" t="s">
        <v>590</v>
      </c>
      <c r="BL17" s="745">
        <v>150720624</v>
      </c>
    </row>
    <row r="18" spans="1:64" s="755" customFormat="1" ht="48" customHeight="1">
      <c r="A18" s="1369">
        <v>12</v>
      </c>
      <c r="B18" s="1576" t="s">
        <v>1620</v>
      </c>
      <c r="C18" s="1854" t="s">
        <v>406</v>
      </c>
      <c r="D18" s="1841">
        <v>42849</v>
      </c>
      <c r="E18" s="1637" t="s">
        <v>260</v>
      </c>
      <c r="F18" s="617">
        <f>162+17+12+8+2+3</f>
        <v>204</v>
      </c>
      <c r="G18" s="617">
        <f>2</f>
        <v>2</v>
      </c>
      <c r="H18" s="1001">
        <v>22</v>
      </c>
      <c r="I18" s="1408">
        <f t="shared" si="18"/>
        <v>172.61538461538461</v>
      </c>
      <c r="J18" s="618">
        <f t="shared" si="0"/>
        <v>172.61538461538461</v>
      </c>
      <c r="K18" s="1001">
        <v>68</v>
      </c>
      <c r="L18" s="510">
        <f t="shared" si="19"/>
        <v>1.471153846153846</v>
      </c>
      <c r="M18" s="618">
        <f t="shared" si="20"/>
        <v>100.03846153846153</v>
      </c>
      <c r="N18" s="1001">
        <v>0</v>
      </c>
      <c r="O18" s="510">
        <f t="shared" si="1"/>
        <v>1.9615384615384615</v>
      </c>
      <c r="P18" s="503">
        <f t="shared" si="2"/>
        <v>0</v>
      </c>
      <c r="Q18" s="1001">
        <v>24</v>
      </c>
      <c r="R18" s="510">
        <f t="shared" si="3"/>
        <v>1.9615384615384615</v>
      </c>
      <c r="S18" s="618">
        <f t="shared" si="4"/>
        <v>47.076923076923073</v>
      </c>
      <c r="T18" s="1001">
        <v>5</v>
      </c>
      <c r="U18" s="510">
        <f t="shared" si="5"/>
        <v>7.8461538461538458</v>
      </c>
      <c r="V18" s="618">
        <f t="shared" si="6"/>
        <v>39.230769230769226</v>
      </c>
      <c r="W18" s="1001">
        <v>0</v>
      </c>
      <c r="X18" s="618">
        <f>'S2 Salary'!T19*'S2'!W18</f>
        <v>0</v>
      </c>
      <c r="Y18" s="1001">
        <v>0</v>
      </c>
      <c r="Z18" s="510">
        <f t="shared" si="7"/>
        <v>3.9230769230769229</v>
      </c>
      <c r="AA18" s="618">
        <f t="shared" si="21"/>
        <v>0</v>
      </c>
      <c r="AB18" s="1001">
        <v>0</v>
      </c>
      <c r="AC18" s="1468">
        <f t="shared" si="22"/>
        <v>27</v>
      </c>
      <c r="AD18" s="1725">
        <v>0</v>
      </c>
      <c r="AE18" s="1121">
        <v>0</v>
      </c>
      <c r="AF18" s="1412">
        <f>4+1</f>
        <v>5</v>
      </c>
      <c r="AG18" s="511">
        <v>0</v>
      </c>
      <c r="AH18" s="618">
        <v>10</v>
      </c>
      <c r="AI18" s="1410">
        <v>8</v>
      </c>
      <c r="AJ18" s="1410">
        <v>10</v>
      </c>
      <c r="AK18" s="1410">
        <v>10</v>
      </c>
      <c r="AL18" s="1148">
        <f t="shared" si="8"/>
        <v>403.96153846153845</v>
      </c>
      <c r="AM18" s="1278">
        <v>0.5</v>
      </c>
      <c r="AN18" s="1404">
        <v>102</v>
      </c>
      <c r="AO18" s="1096">
        <f>'Tax Calulation'!P18</f>
        <v>0</v>
      </c>
      <c r="AP18" s="1096">
        <f>'Tax Calulation'!W18</f>
        <v>5.9084194977843429</v>
      </c>
      <c r="AQ18" s="1686">
        <f t="shared" si="9"/>
        <v>295.55311896375412</v>
      </c>
      <c r="AR18" s="1682">
        <f t="shared" si="23"/>
        <v>386000</v>
      </c>
      <c r="AS18" s="1688">
        <f t="shared" si="24"/>
        <v>200</v>
      </c>
      <c r="AT18" s="502"/>
      <c r="AU18" s="504"/>
      <c r="AV18" s="505">
        <f t="shared" si="87"/>
        <v>1587846.1538461538</v>
      </c>
      <c r="AW18" s="502">
        <f t="shared" si="10"/>
        <v>2</v>
      </c>
      <c r="AX18" s="502">
        <f t="shared" si="11"/>
        <v>0</v>
      </c>
      <c r="AY18" s="1113">
        <f t="shared" si="25"/>
        <v>200</v>
      </c>
      <c r="AZ18" s="1113">
        <f t="shared" si="12"/>
        <v>7</v>
      </c>
      <c r="BA18" s="548">
        <f t="shared" si="13"/>
        <v>3</v>
      </c>
      <c r="BB18" s="548">
        <f t="shared" si="14"/>
        <v>1</v>
      </c>
      <c r="BC18" s="548">
        <f t="shared" si="15"/>
        <v>1</v>
      </c>
      <c r="BD18" s="548">
        <f t="shared" si="16"/>
        <v>0</v>
      </c>
      <c r="BE18" s="548">
        <f t="shared" si="17"/>
        <v>0</v>
      </c>
      <c r="BF18" s="549">
        <f t="shared" si="26"/>
        <v>386000</v>
      </c>
      <c r="BH18" s="581" t="s">
        <v>770</v>
      </c>
      <c r="BI18" s="581" t="s">
        <v>573</v>
      </c>
      <c r="BJ18" s="1154">
        <v>27961</v>
      </c>
      <c r="BK18" s="587" t="s">
        <v>591</v>
      </c>
      <c r="BL18" s="745">
        <v>101186257</v>
      </c>
    </row>
    <row r="19" spans="1:64" s="755" customFormat="1" ht="48" customHeight="1">
      <c r="A19" s="1369">
        <v>13</v>
      </c>
      <c r="B19" s="1576" t="s">
        <v>1621</v>
      </c>
      <c r="C19" s="1854" t="s">
        <v>927</v>
      </c>
      <c r="D19" s="1841">
        <v>44478</v>
      </c>
      <c r="E19" s="1637" t="s">
        <v>260</v>
      </c>
      <c r="F19" s="617">
        <f>187+19</f>
        <v>206</v>
      </c>
      <c r="G19" s="617">
        <f>2</f>
        <v>2</v>
      </c>
      <c r="H19" s="1001">
        <v>22</v>
      </c>
      <c r="I19" s="1408">
        <f t="shared" si="18"/>
        <v>174.30769230769232</v>
      </c>
      <c r="J19" s="618">
        <f t="shared" si="0"/>
        <v>174.30769230769232</v>
      </c>
      <c r="K19" s="1001">
        <v>68</v>
      </c>
      <c r="L19" s="510">
        <f t="shared" si="19"/>
        <v>1.4855769230769231</v>
      </c>
      <c r="M19" s="618">
        <f t="shared" si="20"/>
        <v>101.01923076923077</v>
      </c>
      <c r="N19" s="1001">
        <v>0</v>
      </c>
      <c r="O19" s="510">
        <f t="shared" si="1"/>
        <v>1.9807692307692308</v>
      </c>
      <c r="P19" s="503">
        <f t="shared" si="2"/>
        <v>0</v>
      </c>
      <c r="Q19" s="1001">
        <v>24</v>
      </c>
      <c r="R19" s="510">
        <f t="shared" si="3"/>
        <v>1.9807692307692308</v>
      </c>
      <c r="S19" s="618">
        <f t="shared" si="4"/>
        <v>47.53846153846154</v>
      </c>
      <c r="T19" s="1001">
        <v>5</v>
      </c>
      <c r="U19" s="510">
        <f t="shared" si="5"/>
        <v>7.9230769230769234</v>
      </c>
      <c r="V19" s="618">
        <f t="shared" si="6"/>
        <v>39.615384615384613</v>
      </c>
      <c r="W19" s="1001">
        <v>0</v>
      </c>
      <c r="X19" s="618">
        <f>'S2 Salary'!T20*'S2'!W19</f>
        <v>0</v>
      </c>
      <c r="Y19" s="1001">
        <v>0</v>
      </c>
      <c r="Z19" s="510">
        <f t="shared" si="7"/>
        <v>3.9615384615384617</v>
      </c>
      <c r="AA19" s="618">
        <f t="shared" si="21"/>
        <v>0</v>
      </c>
      <c r="AB19" s="1001">
        <v>0</v>
      </c>
      <c r="AC19" s="1468">
        <f t="shared" si="22"/>
        <v>27</v>
      </c>
      <c r="AD19" s="1725">
        <v>0</v>
      </c>
      <c r="AE19" s="1121">
        <v>0</v>
      </c>
      <c r="AF19" s="1412">
        <f>4+4</f>
        <v>8</v>
      </c>
      <c r="AG19" s="511">
        <v>0</v>
      </c>
      <c r="AH19" s="618">
        <v>10</v>
      </c>
      <c r="AI19" s="1410">
        <v>4</v>
      </c>
      <c r="AJ19" s="1410">
        <v>10</v>
      </c>
      <c r="AK19" s="1410">
        <v>10</v>
      </c>
      <c r="AL19" s="1148">
        <f t="shared" si="8"/>
        <v>406.48076923076928</v>
      </c>
      <c r="AM19" s="1278">
        <v>0.5</v>
      </c>
      <c r="AN19" s="1404">
        <v>102</v>
      </c>
      <c r="AO19" s="1096">
        <f>'Tax Calulation'!P19</f>
        <v>0</v>
      </c>
      <c r="AP19" s="1096">
        <f>'Tax Calulation'!W19</f>
        <v>5.9084194977843429</v>
      </c>
      <c r="AQ19" s="1686">
        <f t="shared" si="9"/>
        <v>298.07234973298495</v>
      </c>
      <c r="AR19" s="1682">
        <f t="shared" si="23"/>
        <v>396200</v>
      </c>
      <c r="AS19" s="1688">
        <f t="shared" ref="AS19:AS27" si="88">CEILING(AQ19,(100))-100</f>
        <v>200</v>
      </c>
      <c r="AT19" s="502"/>
      <c r="AU19" s="504"/>
      <c r="AV19" s="505">
        <f t="shared" si="87"/>
        <v>1585923.0769230772</v>
      </c>
      <c r="AW19" s="502">
        <f t="shared" si="10"/>
        <v>2</v>
      </c>
      <c r="AX19" s="502">
        <f t="shared" si="11"/>
        <v>0</v>
      </c>
      <c r="AY19" s="573">
        <f t="shared" ref="AY19:AY27" si="89">AW19*100+AX19*50</f>
        <v>200</v>
      </c>
      <c r="AZ19" s="573">
        <f t="shared" si="12"/>
        <v>7</v>
      </c>
      <c r="BA19" s="548">
        <f t="shared" si="13"/>
        <v>4</v>
      </c>
      <c r="BB19" s="548">
        <f t="shared" si="14"/>
        <v>1</v>
      </c>
      <c r="BC19" s="548">
        <f t="shared" si="15"/>
        <v>1</v>
      </c>
      <c r="BD19" s="548">
        <f t="shared" si="16"/>
        <v>0</v>
      </c>
      <c r="BE19" s="548">
        <f t="shared" si="17"/>
        <v>2</v>
      </c>
      <c r="BF19" s="549">
        <f t="shared" ref="BF19:BF27" si="90">AZ19*50000+BA19*10000+BB19*5000+BC19*1000+BD19*500+BE19*100</f>
        <v>396200</v>
      </c>
      <c r="BH19" s="581" t="s">
        <v>949</v>
      </c>
      <c r="BI19" s="581" t="s">
        <v>573</v>
      </c>
      <c r="BJ19" s="1154">
        <v>32426</v>
      </c>
      <c r="BK19" s="587" t="s">
        <v>940</v>
      </c>
      <c r="BL19" s="745" t="s">
        <v>941</v>
      </c>
    </row>
    <row r="20" spans="1:64" s="768" customFormat="1" ht="48" customHeight="1">
      <c r="A20" s="1369">
        <v>14</v>
      </c>
      <c r="B20" s="1595" t="s">
        <v>1140</v>
      </c>
      <c r="C20" s="1855" t="s">
        <v>979</v>
      </c>
      <c r="D20" s="1851">
        <v>44536</v>
      </c>
      <c r="E20" s="1151" t="s">
        <v>260</v>
      </c>
      <c r="F20" s="1650">
        <f>196+4+4</f>
        <v>204</v>
      </c>
      <c r="G20" s="758">
        <v>2</v>
      </c>
      <c r="H20" s="1001">
        <v>22</v>
      </c>
      <c r="I20" s="1408">
        <f t="shared" si="18"/>
        <v>172.61538461538461</v>
      </c>
      <c r="J20" s="618">
        <f t="shared" si="0"/>
        <v>172.61538461538461</v>
      </c>
      <c r="K20" s="1001">
        <v>53</v>
      </c>
      <c r="L20" s="510">
        <f t="shared" si="19"/>
        <v>1.471153846153846</v>
      </c>
      <c r="M20" s="618">
        <f t="shared" si="20"/>
        <v>77.97115384615384</v>
      </c>
      <c r="N20" s="1001">
        <v>0</v>
      </c>
      <c r="O20" s="510">
        <f t="shared" si="1"/>
        <v>1.9615384615384615</v>
      </c>
      <c r="P20" s="503">
        <f t="shared" si="2"/>
        <v>0</v>
      </c>
      <c r="Q20" s="1001">
        <v>20</v>
      </c>
      <c r="R20" s="510">
        <f t="shared" si="3"/>
        <v>1.9615384615384615</v>
      </c>
      <c r="S20" s="618">
        <f t="shared" si="4"/>
        <v>39.230769230769226</v>
      </c>
      <c r="T20" s="1001">
        <v>5</v>
      </c>
      <c r="U20" s="510">
        <f t="shared" si="5"/>
        <v>7.8461538461538458</v>
      </c>
      <c r="V20" s="618">
        <f t="shared" si="6"/>
        <v>39.230769230769226</v>
      </c>
      <c r="W20" s="1001">
        <v>0</v>
      </c>
      <c r="X20" s="618">
        <f>'S2 Salary'!T21*'S2'!W20</f>
        <v>0</v>
      </c>
      <c r="Y20" s="1001">
        <v>0</v>
      </c>
      <c r="Z20" s="510">
        <f t="shared" si="7"/>
        <v>3.9230769230769229</v>
      </c>
      <c r="AA20" s="618">
        <f t="shared" si="21"/>
        <v>0</v>
      </c>
      <c r="AB20" s="1001">
        <v>0</v>
      </c>
      <c r="AC20" s="1468">
        <f t="shared" si="22"/>
        <v>27</v>
      </c>
      <c r="AD20" s="1725">
        <v>0</v>
      </c>
      <c r="AE20" s="1121">
        <v>0</v>
      </c>
      <c r="AF20" s="1412">
        <v>0</v>
      </c>
      <c r="AG20" s="762">
        <v>0</v>
      </c>
      <c r="AH20" s="618">
        <v>10</v>
      </c>
      <c r="AI20" s="1411">
        <v>3</v>
      </c>
      <c r="AJ20" s="1410">
        <v>10</v>
      </c>
      <c r="AK20" s="1410">
        <v>10</v>
      </c>
      <c r="AL20" s="1148">
        <f t="shared" si="8"/>
        <v>364.04807692307691</v>
      </c>
      <c r="AM20" s="1280">
        <v>0</v>
      </c>
      <c r="AN20" s="1404">
        <v>102</v>
      </c>
      <c r="AO20" s="1096">
        <f>'Tax Calulation'!P20</f>
        <v>0</v>
      </c>
      <c r="AP20" s="1096">
        <f>'Tax Calulation'!W20</f>
        <v>5.9084194977843429</v>
      </c>
      <c r="AQ20" s="1686">
        <f t="shared" si="9"/>
        <v>256.13965742529257</v>
      </c>
      <c r="AR20" s="1682">
        <f t="shared" si="23"/>
        <v>226800</v>
      </c>
      <c r="AS20" s="1689">
        <f t="shared" ref="AS20" si="91">CEILING(AQ20,(100))-100</f>
        <v>200</v>
      </c>
      <c r="AT20" s="612"/>
      <c r="AU20" s="763"/>
      <c r="AV20" s="764"/>
      <c r="AW20" s="502">
        <f t="shared" si="10"/>
        <v>2</v>
      </c>
      <c r="AX20" s="502">
        <f t="shared" si="11"/>
        <v>0</v>
      </c>
      <c r="AY20" s="573">
        <f t="shared" ref="AY20" si="92">AW20*100+AX20*50</f>
        <v>200</v>
      </c>
      <c r="AZ20" s="573">
        <f t="shared" si="12"/>
        <v>4</v>
      </c>
      <c r="BA20" s="548">
        <f t="shared" si="13"/>
        <v>2</v>
      </c>
      <c r="BB20" s="548">
        <f t="shared" si="14"/>
        <v>1</v>
      </c>
      <c r="BC20" s="548">
        <f t="shared" si="15"/>
        <v>1</v>
      </c>
      <c r="BD20" s="548">
        <f t="shared" si="16"/>
        <v>1</v>
      </c>
      <c r="BE20" s="548">
        <f t="shared" si="17"/>
        <v>3</v>
      </c>
      <c r="BF20" s="549">
        <f t="shared" ref="BF20" si="93">AZ20*50000+BA20*10000+BB20*5000+BC20*1000+BD20*500+BE20*100</f>
        <v>226800</v>
      </c>
      <c r="BH20" s="625" t="s">
        <v>980</v>
      </c>
      <c r="BI20" s="625" t="s">
        <v>572</v>
      </c>
      <c r="BJ20" s="1155">
        <v>36448</v>
      </c>
      <c r="BK20" s="756" t="s">
        <v>981</v>
      </c>
      <c r="BL20" s="757" t="s">
        <v>1044</v>
      </c>
    </row>
    <row r="21" spans="1:64" s="768" customFormat="1" ht="48" customHeight="1">
      <c r="A21" s="1369">
        <v>15</v>
      </c>
      <c r="B21" s="1595" t="s">
        <v>1622</v>
      </c>
      <c r="C21" s="1330" t="s">
        <v>1049</v>
      </c>
      <c r="D21" s="1851">
        <v>44565</v>
      </c>
      <c r="E21" s="1151" t="s">
        <v>260</v>
      </c>
      <c r="F21" s="758">
        <v>206</v>
      </c>
      <c r="G21" s="758">
        <v>2</v>
      </c>
      <c r="H21" s="1001">
        <v>22</v>
      </c>
      <c r="I21" s="1408">
        <f t="shared" si="18"/>
        <v>174.30769230769232</v>
      </c>
      <c r="J21" s="618">
        <f t="shared" si="0"/>
        <v>174.30769230769232</v>
      </c>
      <c r="K21" s="1001">
        <v>65</v>
      </c>
      <c r="L21" s="510">
        <f t="shared" si="19"/>
        <v>1.4855769230769231</v>
      </c>
      <c r="M21" s="618">
        <f t="shared" si="20"/>
        <v>96.5625</v>
      </c>
      <c r="N21" s="1001">
        <v>0</v>
      </c>
      <c r="O21" s="510">
        <f t="shared" si="1"/>
        <v>1.9807692307692308</v>
      </c>
      <c r="P21" s="503">
        <f t="shared" si="2"/>
        <v>0</v>
      </c>
      <c r="Q21" s="1001">
        <v>24</v>
      </c>
      <c r="R21" s="510">
        <f t="shared" si="3"/>
        <v>1.9807692307692308</v>
      </c>
      <c r="S21" s="618">
        <f t="shared" si="4"/>
        <v>47.53846153846154</v>
      </c>
      <c r="T21" s="1001">
        <v>5</v>
      </c>
      <c r="U21" s="510">
        <f t="shared" si="5"/>
        <v>7.9230769230769234</v>
      </c>
      <c r="V21" s="618">
        <f t="shared" si="6"/>
        <v>39.615384615384613</v>
      </c>
      <c r="W21" s="1001">
        <v>0</v>
      </c>
      <c r="X21" s="618">
        <f>'S2 Salary'!T22*'S2'!W21</f>
        <v>0</v>
      </c>
      <c r="Y21" s="1001">
        <v>0</v>
      </c>
      <c r="Z21" s="510">
        <f t="shared" si="7"/>
        <v>3.9615384615384617</v>
      </c>
      <c r="AA21" s="618">
        <f t="shared" si="21"/>
        <v>0</v>
      </c>
      <c r="AB21" s="1001">
        <v>0</v>
      </c>
      <c r="AC21" s="1468">
        <f t="shared" si="22"/>
        <v>27</v>
      </c>
      <c r="AD21" s="1725">
        <v>0</v>
      </c>
      <c r="AE21" s="1121">
        <v>0</v>
      </c>
      <c r="AF21" s="1412">
        <f>4+4</f>
        <v>8</v>
      </c>
      <c r="AG21" s="762">
        <v>0</v>
      </c>
      <c r="AH21" s="618">
        <v>10</v>
      </c>
      <c r="AI21" s="1411">
        <v>3</v>
      </c>
      <c r="AJ21" s="1410">
        <v>10</v>
      </c>
      <c r="AK21" s="1410">
        <v>10</v>
      </c>
      <c r="AL21" s="1148">
        <f t="shared" si="8"/>
        <v>401.02403846153845</v>
      </c>
      <c r="AM21" s="1280">
        <v>0</v>
      </c>
      <c r="AN21" s="1404">
        <v>102</v>
      </c>
      <c r="AO21" s="1096">
        <f>'Tax Calulation'!P21</f>
        <v>0</v>
      </c>
      <c r="AP21" s="1096">
        <f>'Tax Calulation'!W21</f>
        <v>5.9084194977843429</v>
      </c>
      <c r="AQ21" s="1686">
        <f t="shared" si="9"/>
        <v>293.11561896375412</v>
      </c>
      <c r="AR21" s="1682">
        <f t="shared" si="23"/>
        <v>376200</v>
      </c>
      <c r="AS21" s="1689">
        <f t="shared" ref="AS21" si="94">CEILING(AQ21,(100))-100</f>
        <v>200</v>
      </c>
      <c r="AT21" s="612"/>
      <c r="AU21" s="763"/>
      <c r="AV21" s="764"/>
      <c r="AW21" s="502">
        <f t="shared" si="10"/>
        <v>2</v>
      </c>
      <c r="AX21" s="502">
        <f t="shared" si="11"/>
        <v>0</v>
      </c>
      <c r="AY21" s="944">
        <f t="shared" ref="AY21" si="95">AW21*100+AX21*50</f>
        <v>200</v>
      </c>
      <c r="AZ21" s="944">
        <f t="shared" si="12"/>
        <v>7</v>
      </c>
      <c r="BA21" s="548">
        <f t="shared" si="13"/>
        <v>2</v>
      </c>
      <c r="BB21" s="548">
        <f t="shared" si="14"/>
        <v>1</v>
      </c>
      <c r="BC21" s="548">
        <f t="shared" si="15"/>
        <v>1</v>
      </c>
      <c r="BD21" s="548">
        <f t="shared" si="16"/>
        <v>0</v>
      </c>
      <c r="BE21" s="548">
        <f t="shared" si="17"/>
        <v>2</v>
      </c>
      <c r="BF21" s="549">
        <f t="shared" ref="BF21" si="96">AZ21*50000+BA21*10000+BB21*5000+BC21*1000+BD21*500+BE21*100</f>
        <v>376200</v>
      </c>
      <c r="BH21" s="625" t="s">
        <v>1052</v>
      </c>
      <c r="BI21" s="625" t="s">
        <v>572</v>
      </c>
      <c r="BJ21" s="1155">
        <v>36048</v>
      </c>
      <c r="BK21" s="756"/>
      <c r="BL21" s="806" t="s">
        <v>1326</v>
      </c>
    </row>
    <row r="22" spans="1:64" s="768" customFormat="1" ht="48" customHeight="1">
      <c r="A22" s="1369">
        <v>16</v>
      </c>
      <c r="B22" s="1595" t="s">
        <v>1623</v>
      </c>
      <c r="C22" s="1330" t="s">
        <v>1344</v>
      </c>
      <c r="D22" s="1851">
        <v>44595</v>
      </c>
      <c r="E22" s="1151" t="s">
        <v>260</v>
      </c>
      <c r="F22" s="758">
        <f>201+3</f>
        <v>204</v>
      </c>
      <c r="G22" s="758">
        <v>2</v>
      </c>
      <c r="H22" s="1001">
        <v>20.5</v>
      </c>
      <c r="I22" s="1408">
        <f t="shared" si="18"/>
        <v>160.84615384615384</v>
      </c>
      <c r="J22" s="618">
        <f t="shared" si="0"/>
        <v>160.84615384615384</v>
      </c>
      <c r="K22" s="1001">
        <v>51</v>
      </c>
      <c r="L22" s="510">
        <f t="shared" si="19"/>
        <v>1.471153846153846</v>
      </c>
      <c r="M22" s="618">
        <f t="shared" si="20"/>
        <v>75.028846153846146</v>
      </c>
      <c r="N22" s="1001">
        <v>0</v>
      </c>
      <c r="O22" s="510">
        <f t="shared" si="1"/>
        <v>1.9615384615384615</v>
      </c>
      <c r="P22" s="503">
        <f t="shared" si="2"/>
        <v>0</v>
      </c>
      <c r="Q22" s="1001">
        <v>8</v>
      </c>
      <c r="R22" s="510">
        <f t="shared" si="3"/>
        <v>1.9615384615384615</v>
      </c>
      <c r="S22" s="618">
        <f t="shared" si="4"/>
        <v>15.692307692307692</v>
      </c>
      <c r="T22" s="1001">
        <v>5</v>
      </c>
      <c r="U22" s="510">
        <f t="shared" si="5"/>
        <v>7.8461538461538458</v>
      </c>
      <c r="V22" s="618">
        <f t="shared" si="6"/>
        <v>39.230769230769226</v>
      </c>
      <c r="W22" s="1001">
        <v>0.5</v>
      </c>
      <c r="X22" s="618">
        <f>'S2 Salary'!T23*'S2'!W22</f>
        <v>5.8493093838277401</v>
      </c>
      <c r="Y22" s="1001">
        <v>0</v>
      </c>
      <c r="Z22" s="510">
        <f t="shared" si="7"/>
        <v>3.9230769230769229</v>
      </c>
      <c r="AA22" s="618">
        <f t="shared" si="21"/>
        <v>0</v>
      </c>
      <c r="AB22" s="1001">
        <v>1</v>
      </c>
      <c r="AC22" s="1468">
        <f t="shared" si="22"/>
        <v>27</v>
      </c>
      <c r="AD22" s="1725">
        <v>0</v>
      </c>
      <c r="AE22" s="1121">
        <v>0</v>
      </c>
      <c r="AF22" s="1412">
        <f>4+1</f>
        <v>5</v>
      </c>
      <c r="AG22" s="762">
        <v>0</v>
      </c>
      <c r="AH22" s="618">
        <v>0</v>
      </c>
      <c r="AI22" s="1411">
        <v>3</v>
      </c>
      <c r="AJ22" s="1410">
        <v>10</v>
      </c>
      <c r="AK22" s="1410">
        <v>10</v>
      </c>
      <c r="AL22" s="1148">
        <f t="shared" si="8"/>
        <v>326.64738630690465</v>
      </c>
      <c r="AM22" s="1280">
        <v>0</v>
      </c>
      <c r="AN22" s="1404">
        <v>102</v>
      </c>
      <c r="AO22" s="1096">
        <f>'Tax Calulation'!P22</f>
        <v>0</v>
      </c>
      <c r="AP22" s="1096">
        <f>'Tax Calulation'!W22</f>
        <v>5.9084194977843429</v>
      </c>
      <c r="AQ22" s="1686">
        <f t="shared" si="9"/>
        <v>218.73896680912031</v>
      </c>
      <c r="AR22" s="1682">
        <f t="shared" si="23"/>
        <v>75700</v>
      </c>
      <c r="AS22" s="1689">
        <f t="shared" ref="AS22" si="97">CEILING(AQ22,(100))-100</f>
        <v>200</v>
      </c>
      <c r="AT22" s="612"/>
      <c r="AU22" s="763"/>
      <c r="AV22" s="764"/>
      <c r="AW22" s="502">
        <f t="shared" si="10"/>
        <v>2</v>
      </c>
      <c r="AX22" s="502">
        <f t="shared" si="11"/>
        <v>0</v>
      </c>
      <c r="AY22" s="965">
        <f t="shared" ref="AY22" si="98">AW22*100+AX22*50</f>
        <v>200</v>
      </c>
      <c r="AZ22" s="965">
        <f t="shared" si="12"/>
        <v>1</v>
      </c>
      <c r="BA22" s="548">
        <f t="shared" si="13"/>
        <v>2</v>
      </c>
      <c r="BB22" s="548">
        <f t="shared" si="14"/>
        <v>1</v>
      </c>
      <c r="BC22" s="548">
        <f t="shared" si="15"/>
        <v>0</v>
      </c>
      <c r="BD22" s="548">
        <f t="shared" si="16"/>
        <v>1</v>
      </c>
      <c r="BE22" s="548">
        <f t="shared" si="17"/>
        <v>2</v>
      </c>
      <c r="BF22" s="549">
        <f t="shared" ref="BF22" si="99">AZ22*50000+BA22*10000+BB22*5000+BC22*1000+BD22*500+BE22*100</f>
        <v>75700</v>
      </c>
      <c r="BH22" s="625" t="s">
        <v>1396</v>
      </c>
      <c r="BI22" s="625" t="s">
        <v>572</v>
      </c>
      <c r="BJ22" s="1155">
        <v>30887</v>
      </c>
      <c r="BK22" s="971" t="s">
        <v>1397</v>
      </c>
      <c r="BL22" s="806" t="s">
        <v>1398</v>
      </c>
    </row>
    <row r="23" spans="1:64" s="768" customFormat="1" ht="48" customHeight="1">
      <c r="A23" s="1369">
        <v>17</v>
      </c>
      <c r="B23" s="1595" t="s">
        <v>2324</v>
      </c>
      <c r="C23" s="1330" t="s">
        <v>2325</v>
      </c>
      <c r="D23" s="1851">
        <v>44596</v>
      </c>
      <c r="E23" s="1151" t="s">
        <v>260</v>
      </c>
      <c r="F23" s="758">
        <f>201+3</f>
        <v>204</v>
      </c>
      <c r="G23" s="758">
        <v>2</v>
      </c>
      <c r="H23" s="1001">
        <v>22</v>
      </c>
      <c r="I23" s="1408">
        <f t="shared" si="18"/>
        <v>172.61538461538461</v>
      </c>
      <c r="J23" s="618">
        <f t="shared" si="0"/>
        <v>172.61538461538461</v>
      </c>
      <c r="K23" s="1001">
        <v>68</v>
      </c>
      <c r="L23" s="510">
        <f t="shared" ref="L23" si="100">F23/26/8*1.5</f>
        <v>1.471153846153846</v>
      </c>
      <c r="M23" s="618">
        <f t="shared" si="20"/>
        <v>100.03846153846153</v>
      </c>
      <c r="N23" s="1001">
        <v>0</v>
      </c>
      <c r="O23" s="510">
        <f t="shared" ref="O23" si="101">F23/26/8*2</f>
        <v>1.9615384615384615</v>
      </c>
      <c r="P23" s="503">
        <f t="shared" ref="P23" si="102">N23*O23</f>
        <v>0</v>
      </c>
      <c r="Q23" s="1001">
        <v>24</v>
      </c>
      <c r="R23" s="510">
        <f t="shared" ref="R23" si="103">F23/26/8*2</f>
        <v>1.9615384615384615</v>
      </c>
      <c r="S23" s="618">
        <f t="shared" ref="S23" si="104">R23*Q23</f>
        <v>47.076923076923073</v>
      </c>
      <c r="T23" s="1001">
        <v>5</v>
      </c>
      <c r="U23" s="510">
        <f t="shared" ref="U23" si="105">F23/26</f>
        <v>7.8461538461538458</v>
      </c>
      <c r="V23" s="618">
        <f t="shared" si="6"/>
        <v>39.230769230769226</v>
      </c>
      <c r="W23" s="1001">
        <v>0</v>
      </c>
      <c r="X23" s="618">
        <f>'S2 Salary'!T24*'S2'!W23</f>
        <v>0</v>
      </c>
      <c r="Y23" s="1001">
        <v>0</v>
      </c>
      <c r="Z23" s="510">
        <f t="shared" ref="Z23" si="106">F23/26/2</f>
        <v>3.9230769230769229</v>
      </c>
      <c r="AA23" s="618">
        <f t="shared" ref="AA23" si="107">Y23*Z23</f>
        <v>0</v>
      </c>
      <c r="AB23" s="1001">
        <v>0</v>
      </c>
      <c r="AC23" s="1468">
        <f t="shared" ref="AC23" si="108">H23+T23+Y23+AB23+W23</f>
        <v>27</v>
      </c>
      <c r="AD23" s="1725">
        <v>0</v>
      </c>
      <c r="AE23" s="1121">
        <v>0</v>
      </c>
      <c r="AF23" s="1412">
        <f>4+1</f>
        <v>5</v>
      </c>
      <c r="AG23" s="762">
        <v>0</v>
      </c>
      <c r="AH23" s="618">
        <v>10</v>
      </c>
      <c r="AI23" s="1411">
        <v>3</v>
      </c>
      <c r="AJ23" s="1410">
        <v>10</v>
      </c>
      <c r="AK23" s="1410">
        <v>10</v>
      </c>
      <c r="AL23" s="1148">
        <f t="shared" si="8"/>
        <v>398.96153846153845</v>
      </c>
      <c r="AM23" s="1280">
        <v>0</v>
      </c>
      <c r="AN23" s="1404">
        <v>102</v>
      </c>
      <c r="AO23" s="1096">
        <f>'Tax Calulation'!P23</f>
        <v>0</v>
      </c>
      <c r="AP23" s="1096">
        <f>'Tax Calulation'!W23</f>
        <v>5.9084194977843429</v>
      </c>
      <c r="AQ23" s="1686">
        <f t="shared" si="9"/>
        <v>291.05311896375412</v>
      </c>
      <c r="AR23" s="1682">
        <f t="shared" si="23"/>
        <v>367900</v>
      </c>
      <c r="AS23" s="1689">
        <f t="shared" ref="AS23" si="109">CEILING(AQ23,(100))-100</f>
        <v>200</v>
      </c>
      <c r="AT23" s="612"/>
      <c r="AU23" s="763"/>
      <c r="AV23" s="764"/>
      <c r="AW23" s="502">
        <f t="shared" ref="AW23" si="110">INT(AS23/100)</f>
        <v>2</v>
      </c>
      <c r="AX23" s="502">
        <f t="shared" ref="AX23" si="111">INT((AS23-AW23*100)/50)</f>
        <v>0</v>
      </c>
      <c r="AY23" s="1113">
        <f t="shared" ref="AY23" si="112">AW23*100+AX23*50</f>
        <v>200</v>
      </c>
      <c r="AZ23" s="1113">
        <f t="shared" ref="AZ23" si="113">INT((AR23/50000))</f>
        <v>7</v>
      </c>
      <c r="BA23" s="548">
        <f t="shared" ref="BA23" si="114">INT((AR23-AZ23*50000)/10000)</f>
        <v>1</v>
      </c>
      <c r="BB23" s="548">
        <f t="shared" ref="BB23" si="115">INT((AR23-AZ23*50000-BA23*10000)/5000)</f>
        <v>1</v>
      </c>
      <c r="BC23" s="548">
        <f t="shared" ref="BC23" si="116">INT((AR23-AZ23*50000-BA23*10000-BB23*5000)/1000)</f>
        <v>2</v>
      </c>
      <c r="BD23" s="548">
        <f t="shared" ref="BD23" si="117">INT((AR23-AZ23*50000-BA23*10000-BB23*5000-BC23*1000)/500)</f>
        <v>1</v>
      </c>
      <c r="BE23" s="548">
        <f t="shared" ref="BE23" si="118">INT((AR23-AZ23*50000-BA23*10000-BB23*5000-BC23*1000-BD23*500)/100)</f>
        <v>4</v>
      </c>
      <c r="BF23" s="549">
        <f t="shared" ref="BF23" si="119">AZ23*50000+BA23*10000+BB23*5000+BC23*1000+BD23*500+BE23*100</f>
        <v>367900</v>
      </c>
      <c r="BH23" s="625" t="s">
        <v>2326</v>
      </c>
      <c r="BI23" s="625" t="s">
        <v>572</v>
      </c>
      <c r="BJ23" s="1155">
        <v>35135</v>
      </c>
      <c r="BK23" s="971" t="s">
        <v>2327</v>
      </c>
      <c r="BL23" s="806" t="s">
        <v>2328</v>
      </c>
    </row>
    <row r="24" spans="1:64" s="768" customFormat="1" ht="48" customHeight="1">
      <c r="A24" s="1369">
        <v>18</v>
      </c>
      <c r="B24" s="1415" t="s">
        <v>1515</v>
      </c>
      <c r="C24" s="1153" t="s">
        <v>1516</v>
      </c>
      <c r="D24" s="1841">
        <v>44677</v>
      </c>
      <c r="E24" s="1151" t="s">
        <v>260</v>
      </c>
      <c r="F24" s="758">
        <f>206</f>
        <v>206</v>
      </c>
      <c r="G24" s="758">
        <v>2</v>
      </c>
      <c r="H24" s="1001">
        <v>22</v>
      </c>
      <c r="I24" s="1408">
        <f t="shared" si="18"/>
        <v>174.30769230769232</v>
      </c>
      <c r="J24" s="618">
        <f t="shared" si="0"/>
        <v>174.30769230769232</v>
      </c>
      <c r="K24" s="1001">
        <v>68</v>
      </c>
      <c r="L24" s="510">
        <f t="shared" si="19"/>
        <v>1.4855769230769231</v>
      </c>
      <c r="M24" s="618">
        <f t="shared" si="20"/>
        <v>101.01923076923077</v>
      </c>
      <c r="N24" s="1001">
        <v>0</v>
      </c>
      <c r="O24" s="510">
        <f t="shared" si="1"/>
        <v>1.9807692307692308</v>
      </c>
      <c r="P24" s="503">
        <f t="shared" si="2"/>
        <v>0</v>
      </c>
      <c r="Q24" s="1001">
        <v>24</v>
      </c>
      <c r="R24" s="510">
        <f t="shared" si="3"/>
        <v>1.9807692307692308</v>
      </c>
      <c r="S24" s="618">
        <f t="shared" si="4"/>
        <v>47.53846153846154</v>
      </c>
      <c r="T24" s="1001">
        <v>5</v>
      </c>
      <c r="U24" s="510">
        <f t="shared" si="5"/>
        <v>7.9230769230769234</v>
      </c>
      <c r="V24" s="618">
        <f t="shared" si="6"/>
        <v>39.615384615384613</v>
      </c>
      <c r="W24" s="1001">
        <v>0</v>
      </c>
      <c r="X24" s="618">
        <f>'S2 Salary'!T25*'S2'!W24</f>
        <v>0</v>
      </c>
      <c r="Y24" s="1001">
        <v>0</v>
      </c>
      <c r="Z24" s="510">
        <f t="shared" si="7"/>
        <v>3.9615384615384617</v>
      </c>
      <c r="AA24" s="618">
        <f t="shared" si="21"/>
        <v>0</v>
      </c>
      <c r="AB24" s="1001">
        <v>0</v>
      </c>
      <c r="AC24" s="1468">
        <f t="shared" si="22"/>
        <v>27</v>
      </c>
      <c r="AD24" s="1725">
        <v>0</v>
      </c>
      <c r="AE24" s="1121">
        <v>0</v>
      </c>
      <c r="AF24" s="1412">
        <f t="shared" ref="AF24:AF30" si="120">4+4</f>
        <v>8</v>
      </c>
      <c r="AG24" s="762">
        <v>0</v>
      </c>
      <c r="AH24" s="618">
        <v>10</v>
      </c>
      <c r="AI24" s="1411">
        <v>3</v>
      </c>
      <c r="AJ24" s="1410">
        <v>10</v>
      </c>
      <c r="AK24" s="1410">
        <v>10</v>
      </c>
      <c r="AL24" s="1148">
        <f t="shared" si="8"/>
        <v>405.48076923076928</v>
      </c>
      <c r="AM24" s="1280">
        <v>0</v>
      </c>
      <c r="AN24" s="1404">
        <v>102</v>
      </c>
      <c r="AO24" s="1096">
        <f>'Tax Calulation'!P24</f>
        <v>0.51480655607317438</v>
      </c>
      <c r="AP24" s="1096">
        <f>'Tax Calulation'!W24</f>
        <v>5.9084194977843429</v>
      </c>
      <c r="AQ24" s="1686">
        <f t="shared" si="9"/>
        <v>297.05754317691179</v>
      </c>
      <c r="AR24" s="1682">
        <f t="shared" si="23"/>
        <v>392100</v>
      </c>
      <c r="AS24" s="1689">
        <f t="shared" ref="AS24" si="121">CEILING(AQ24,(100))-100</f>
        <v>200</v>
      </c>
      <c r="AT24" s="612"/>
      <c r="AU24" s="763"/>
      <c r="AV24" s="764"/>
      <c r="AW24" s="502">
        <f t="shared" si="10"/>
        <v>2</v>
      </c>
      <c r="AX24" s="502">
        <f t="shared" si="11"/>
        <v>0</v>
      </c>
      <c r="AY24" s="1073">
        <f t="shared" ref="AY24" si="122">AW24*100+AX24*50</f>
        <v>200</v>
      </c>
      <c r="AZ24" s="1073">
        <f t="shared" si="12"/>
        <v>7</v>
      </c>
      <c r="BA24" s="548">
        <f t="shared" si="13"/>
        <v>4</v>
      </c>
      <c r="BB24" s="548">
        <f t="shared" si="14"/>
        <v>0</v>
      </c>
      <c r="BC24" s="548">
        <f t="shared" si="15"/>
        <v>2</v>
      </c>
      <c r="BD24" s="548">
        <f t="shared" si="16"/>
        <v>0</v>
      </c>
      <c r="BE24" s="548">
        <f t="shared" si="17"/>
        <v>1</v>
      </c>
      <c r="BF24" s="549">
        <f t="shared" ref="BF24" si="123">AZ24*50000+BA24*10000+BB24*5000+BC24*1000+BD24*500+BE24*100</f>
        <v>392100</v>
      </c>
      <c r="BH24" s="800" t="s">
        <v>1563</v>
      </c>
      <c r="BI24" s="625" t="s">
        <v>572</v>
      </c>
      <c r="BJ24" s="1156">
        <v>36692</v>
      </c>
      <c r="BK24" s="971"/>
      <c r="BL24" s="531">
        <v>40474468</v>
      </c>
    </row>
    <row r="25" spans="1:64" s="768" customFormat="1" ht="48" customHeight="1">
      <c r="A25" s="1369">
        <v>19</v>
      </c>
      <c r="B25" s="1419" t="s">
        <v>1569</v>
      </c>
      <c r="C25" s="1448" t="s">
        <v>1931</v>
      </c>
      <c r="D25" s="1851">
        <v>44735</v>
      </c>
      <c r="E25" s="1151" t="s">
        <v>260</v>
      </c>
      <c r="F25" s="758">
        <f>206</f>
        <v>206</v>
      </c>
      <c r="G25" s="758">
        <v>2</v>
      </c>
      <c r="H25" s="1001">
        <v>17</v>
      </c>
      <c r="I25" s="1408">
        <f t="shared" si="18"/>
        <v>134.69230769230771</v>
      </c>
      <c r="J25" s="618">
        <f t="shared" si="0"/>
        <v>134.69230769230771</v>
      </c>
      <c r="K25" s="1001">
        <v>30</v>
      </c>
      <c r="L25" s="510">
        <f t="shared" si="19"/>
        <v>1.4855769230769231</v>
      </c>
      <c r="M25" s="618">
        <f t="shared" si="20"/>
        <v>44.567307692307693</v>
      </c>
      <c r="N25" s="1001">
        <v>0</v>
      </c>
      <c r="O25" s="510">
        <f t="shared" si="1"/>
        <v>1.9807692307692308</v>
      </c>
      <c r="P25" s="503">
        <f t="shared" si="2"/>
        <v>0</v>
      </c>
      <c r="Q25" s="1001">
        <v>12</v>
      </c>
      <c r="R25" s="510">
        <f t="shared" si="3"/>
        <v>1.9807692307692308</v>
      </c>
      <c r="S25" s="618">
        <f t="shared" si="4"/>
        <v>23.76923076923077</v>
      </c>
      <c r="T25" s="1001">
        <v>5</v>
      </c>
      <c r="U25" s="510">
        <f t="shared" si="5"/>
        <v>7.9230769230769234</v>
      </c>
      <c r="V25" s="618">
        <f t="shared" si="6"/>
        <v>39.615384615384613</v>
      </c>
      <c r="W25" s="1001">
        <v>5</v>
      </c>
      <c r="X25" s="618">
        <f>'S2 Salary'!T26*'S2'!W25</f>
        <v>55.731836033812542</v>
      </c>
      <c r="Y25" s="1001">
        <v>0</v>
      </c>
      <c r="Z25" s="510">
        <f t="shared" si="7"/>
        <v>3.9615384615384617</v>
      </c>
      <c r="AA25" s="618">
        <f t="shared" si="21"/>
        <v>0</v>
      </c>
      <c r="AB25" s="1001">
        <v>0</v>
      </c>
      <c r="AC25" s="1468">
        <f t="shared" si="22"/>
        <v>27</v>
      </c>
      <c r="AD25" s="1725">
        <v>0</v>
      </c>
      <c r="AE25" s="1121">
        <v>0</v>
      </c>
      <c r="AF25" s="1412">
        <f t="shared" si="120"/>
        <v>8</v>
      </c>
      <c r="AG25" s="762">
        <v>0</v>
      </c>
      <c r="AH25" s="618">
        <v>10</v>
      </c>
      <c r="AI25" s="1411">
        <v>3</v>
      </c>
      <c r="AJ25" s="1410">
        <v>10</v>
      </c>
      <c r="AK25" s="1410">
        <v>10</v>
      </c>
      <c r="AL25" s="1148">
        <f t="shared" si="8"/>
        <v>341.37606680304339</v>
      </c>
      <c r="AM25" s="1280">
        <v>0</v>
      </c>
      <c r="AN25" s="1404">
        <v>102</v>
      </c>
      <c r="AO25" s="1096">
        <f>'Tax Calulation'!P25</f>
        <v>0</v>
      </c>
      <c r="AP25" s="1096">
        <f>'Tax Calulation'!W25</f>
        <v>5.9084194977843429</v>
      </c>
      <c r="AQ25" s="1686">
        <f t="shared" si="9"/>
        <v>233.46764730525905</v>
      </c>
      <c r="AR25" s="1682">
        <f t="shared" si="23"/>
        <v>135200</v>
      </c>
      <c r="AS25" s="1689">
        <f t="shared" ref="AS25" si="124">CEILING(AQ25,(100))-100</f>
        <v>200</v>
      </c>
      <c r="AT25" s="612"/>
      <c r="AU25" s="763"/>
      <c r="AV25" s="764"/>
      <c r="AW25" s="502">
        <f t="shared" si="10"/>
        <v>2</v>
      </c>
      <c r="AX25" s="502">
        <f t="shared" si="11"/>
        <v>0</v>
      </c>
      <c r="AY25" s="1094">
        <f t="shared" ref="AY25:AY26" si="125">AW25*100+AX25*50</f>
        <v>200</v>
      </c>
      <c r="AZ25" s="1094">
        <f t="shared" si="12"/>
        <v>2</v>
      </c>
      <c r="BA25" s="548">
        <f t="shared" si="13"/>
        <v>3</v>
      </c>
      <c r="BB25" s="548">
        <f t="shared" si="14"/>
        <v>1</v>
      </c>
      <c r="BC25" s="548">
        <f t="shared" si="15"/>
        <v>0</v>
      </c>
      <c r="BD25" s="548">
        <f t="shared" si="16"/>
        <v>0</v>
      </c>
      <c r="BE25" s="548">
        <f t="shared" si="17"/>
        <v>2</v>
      </c>
      <c r="BF25" s="549">
        <f t="shared" ref="BF25:BF26" si="126">AZ25*50000+BA25*10000+BB25*5000+BC25*1000+BD25*500+BE25*100</f>
        <v>135200</v>
      </c>
      <c r="BH25" s="1098" t="s">
        <v>1579</v>
      </c>
      <c r="BI25" s="625" t="s">
        <v>572</v>
      </c>
      <c r="BJ25" s="814">
        <v>33970</v>
      </c>
      <c r="BK25" s="807" t="s">
        <v>1580</v>
      </c>
      <c r="BL25" s="1099">
        <v>61593958</v>
      </c>
    </row>
    <row r="26" spans="1:64" s="768" customFormat="1" ht="48" customHeight="1">
      <c r="A26" s="1369">
        <v>20</v>
      </c>
      <c r="B26" s="1398" t="s">
        <v>2262</v>
      </c>
      <c r="C26" s="1399" t="s">
        <v>2263</v>
      </c>
      <c r="D26" s="1852">
        <v>45496</v>
      </c>
      <c r="E26" s="1151" t="s">
        <v>260</v>
      </c>
      <c r="F26" s="758">
        <f>202+2</f>
        <v>204</v>
      </c>
      <c r="G26" s="758">
        <v>0</v>
      </c>
      <c r="H26" s="1001">
        <v>22</v>
      </c>
      <c r="I26" s="1408">
        <f t="shared" si="18"/>
        <v>172.61538461538461</v>
      </c>
      <c r="J26" s="618">
        <f t="shared" si="0"/>
        <v>172.61538461538461</v>
      </c>
      <c r="K26" s="1001">
        <v>60</v>
      </c>
      <c r="L26" s="510">
        <f t="shared" ref="L26" si="127">F26/26/8*1.5</f>
        <v>1.471153846153846</v>
      </c>
      <c r="M26" s="618">
        <f t="shared" si="20"/>
        <v>88.269230769230759</v>
      </c>
      <c r="N26" s="1001">
        <v>0</v>
      </c>
      <c r="O26" s="510">
        <f t="shared" ref="O26" si="128">F26/26/8*2</f>
        <v>1.9615384615384615</v>
      </c>
      <c r="P26" s="503">
        <f t="shared" ref="P26" si="129">N26*O26</f>
        <v>0</v>
      </c>
      <c r="Q26" s="1001">
        <v>16</v>
      </c>
      <c r="R26" s="510">
        <f t="shared" ref="R26" si="130">F26/26/8*2</f>
        <v>1.9615384615384615</v>
      </c>
      <c r="S26" s="618">
        <f t="shared" ref="S26" si="131">R26*Q26</f>
        <v>31.384615384615383</v>
      </c>
      <c r="T26" s="1001">
        <v>5</v>
      </c>
      <c r="U26" s="510">
        <f t="shared" ref="U26" si="132">F26/26</f>
        <v>7.8461538461538458</v>
      </c>
      <c r="V26" s="618">
        <f t="shared" si="6"/>
        <v>39.230769230769226</v>
      </c>
      <c r="W26" s="1001">
        <v>0</v>
      </c>
      <c r="X26" s="618">
        <f>'S2 Salary'!T27*'S2'!W26</f>
        <v>0</v>
      </c>
      <c r="Y26" s="1001">
        <v>0</v>
      </c>
      <c r="Z26" s="510">
        <f t="shared" ref="Z26" si="133">F26/26/2</f>
        <v>3.9230769230769229</v>
      </c>
      <c r="AA26" s="618">
        <f t="shared" ref="AA26" si="134">Y26*Z26</f>
        <v>0</v>
      </c>
      <c r="AB26" s="1001">
        <v>0</v>
      </c>
      <c r="AC26" s="1468">
        <f t="shared" ref="AC26" si="135">H26+T26+Y26+AB26+W26</f>
        <v>27</v>
      </c>
      <c r="AD26" s="1725">
        <v>0</v>
      </c>
      <c r="AE26" s="1121">
        <v>0</v>
      </c>
      <c r="AF26" s="1412">
        <v>5</v>
      </c>
      <c r="AG26" s="762">
        <v>0</v>
      </c>
      <c r="AH26" s="618">
        <v>10</v>
      </c>
      <c r="AI26" s="1411">
        <v>0</v>
      </c>
      <c r="AJ26" s="1410">
        <v>10</v>
      </c>
      <c r="AK26" s="1410">
        <v>10</v>
      </c>
      <c r="AL26" s="1148">
        <f t="shared" si="8"/>
        <v>366.49999999999994</v>
      </c>
      <c r="AM26" s="1280">
        <v>0</v>
      </c>
      <c r="AN26" s="1404">
        <v>102</v>
      </c>
      <c r="AO26" s="1096">
        <f>'Tax Calulation'!P26</f>
        <v>0</v>
      </c>
      <c r="AP26" s="1096">
        <f>'Tax Calulation'!W26</f>
        <v>5.9084194977843429</v>
      </c>
      <c r="AQ26" s="1686">
        <f t="shared" si="9"/>
        <v>258.59158050221561</v>
      </c>
      <c r="AR26" s="1682">
        <f t="shared" si="23"/>
        <v>236700</v>
      </c>
      <c r="AS26" s="1689">
        <f t="shared" ref="AS26" si="136">CEILING(AQ26,(100))-100</f>
        <v>200</v>
      </c>
      <c r="AT26" s="612"/>
      <c r="AU26" s="763"/>
      <c r="AV26" s="764"/>
      <c r="AW26" s="502">
        <f t="shared" ref="AW26" si="137">INT(AS26/100)</f>
        <v>2</v>
      </c>
      <c r="AX26" s="502">
        <f t="shared" ref="AX26" si="138">INT((AS26-AW26*100)/50)</f>
        <v>0</v>
      </c>
      <c r="AY26" s="1113">
        <f t="shared" si="125"/>
        <v>200</v>
      </c>
      <c r="AZ26" s="1113">
        <f t="shared" ref="AZ26" si="139">INT((AR26/50000))</f>
        <v>4</v>
      </c>
      <c r="BA26" s="548">
        <f t="shared" ref="BA26" si="140">INT((AR26-AZ26*50000)/10000)</f>
        <v>3</v>
      </c>
      <c r="BB26" s="548">
        <f t="shared" ref="BB26" si="141">INT((AR26-AZ26*50000-BA26*10000)/5000)</f>
        <v>1</v>
      </c>
      <c r="BC26" s="548">
        <f t="shared" ref="BC26" si="142">INT((AR26-AZ26*50000-BA26*10000-BB26*5000)/1000)</f>
        <v>1</v>
      </c>
      <c r="BD26" s="548">
        <f t="shared" ref="BD26" si="143">INT((AR26-AZ26*50000-BA26*10000-BB26*5000-BC26*1000)/500)</f>
        <v>1</v>
      </c>
      <c r="BE26" s="548">
        <f t="shared" ref="BE26" si="144">INT((AR26-AZ26*50000-BA26*10000-BB26*5000-BC26*1000-BD26*500)/100)</f>
        <v>2</v>
      </c>
      <c r="BF26" s="549">
        <f t="shared" si="126"/>
        <v>236700</v>
      </c>
      <c r="BH26" s="1776" t="s">
        <v>2266</v>
      </c>
      <c r="BI26" s="625" t="s">
        <v>572</v>
      </c>
      <c r="BJ26" s="1382">
        <v>35881</v>
      </c>
      <c r="BK26" s="1672" t="s">
        <v>2264</v>
      </c>
      <c r="BL26" s="1775" t="s">
        <v>2265</v>
      </c>
    </row>
    <row r="27" spans="1:64" s="755" customFormat="1" ht="48" customHeight="1">
      <c r="A27" s="1369">
        <v>21</v>
      </c>
      <c r="B27" s="1418" t="s">
        <v>1141</v>
      </c>
      <c r="C27" s="1330" t="s">
        <v>971</v>
      </c>
      <c r="D27" s="1851">
        <v>41491</v>
      </c>
      <c r="E27" s="1151" t="s">
        <v>260</v>
      </c>
      <c r="F27" s="617">
        <f>13+154+17+12+8+2</f>
        <v>206</v>
      </c>
      <c r="G27" s="617">
        <f>2</f>
        <v>2</v>
      </c>
      <c r="H27" s="1001">
        <v>22</v>
      </c>
      <c r="I27" s="1408">
        <f t="shared" si="18"/>
        <v>174.30769230769232</v>
      </c>
      <c r="J27" s="618">
        <f t="shared" si="0"/>
        <v>174.30769230769232</v>
      </c>
      <c r="K27" s="1001">
        <v>68</v>
      </c>
      <c r="L27" s="510">
        <f t="shared" si="19"/>
        <v>1.4855769230769231</v>
      </c>
      <c r="M27" s="618">
        <f t="shared" si="20"/>
        <v>101.01923076923077</v>
      </c>
      <c r="N27" s="1001">
        <v>0</v>
      </c>
      <c r="O27" s="510">
        <f t="shared" si="1"/>
        <v>1.9807692307692308</v>
      </c>
      <c r="P27" s="503">
        <f t="shared" si="2"/>
        <v>0</v>
      </c>
      <c r="Q27" s="1001">
        <v>24</v>
      </c>
      <c r="R27" s="510">
        <f t="shared" si="3"/>
        <v>1.9807692307692308</v>
      </c>
      <c r="S27" s="618">
        <f t="shared" si="4"/>
        <v>47.53846153846154</v>
      </c>
      <c r="T27" s="1001">
        <v>5</v>
      </c>
      <c r="U27" s="510">
        <f t="shared" si="5"/>
        <v>7.9230769230769234</v>
      </c>
      <c r="V27" s="618">
        <f t="shared" si="6"/>
        <v>39.615384615384613</v>
      </c>
      <c r="W27" s="1001">
        <v>0</v>
      </c>
      <c r="X27" s="618">
        <f>'S2 Salary'!T28*'S2'!W27</f>
        <v>0</v>
      </c>
      <c r="Y27" s="1001">
        <v>0</v>
      </c>
      <c r="Z27" s="510">
        <f t="shared" si="7"/>
        <v>3.9615384615384617</v>
      </c>
      <c r="AA27" s="618">
        <f t="shared" si="21"/>
        <v>0</v>
      </c>
      <c r="AB27" s="1001">
        <v>0</v>
      </c>
      <c r="AC27" s="1468">
        <f t="shared" si="22"/>
        <v>27</v>
      </c>
      <c r="AD27" s="1725">
        <v>0</v>
      </c>
      <c r="AE27" s="1121">
        <v>0</v>
      </c>
      <c r="AF27" s="1412">
        <f t="shared" si="120"/>
        <v>8</v>
      </c>
      <c r="AG27" s="511">
        <v>0</v>
      </c>
      <c r="AH27" s="618">
        <v>10</v>
      </c>
      <c r="AI27" s="1410">
        <v>11</v>
      </c>
      <c r="AJ27" s="1410">
        <v>10</v>
      </c>
      <c r="AK27" s="1410">
        <v>10</v>
      </c>
      <c r="AL27" s="1148">
        <f t="shared" si="8"/>
        <v>413.48076923076928</v>
      </c>
      <c r="AM27" s="1278">
        <v>0.5</v>
      </c>
      <c r="AN27" s="1404">
        <v>102</v>
      </c>
      <c r="AO27" s="1096">
        <f>'Tax Calulation'!P27</f>
        <v>0</v>
      </c>
      <c r="AP27" s="1096">
        <f>'Tax Calulation'!W27</f>
        <v>5.9084194977843429</v>
      </c>
      <c r="AQ27" s="1686">
        <f t="shared" si="9"/>
        <v>305.07234973298495</v>
      </c>
      <c r="AR27" s="1682">
        <f t="shared" si="23"/>
        <v>20500</v>
      </c>
      <c r="AS27" s="1688">
        <f t="shared" si="88"/>
        <v>300</v>
      </c>
      <c r="AT27" s="502"/>
      <c r="AU27" s="504"/>
      <c r="AV27" s="505">
        <f>(J27+M27+P27+S27+V27+AA27+AH27+AI27+AJ27+AK27)*4000</f>
        <v>1613923.0769230772</v>
      </c>
      <c r="AW27" s="502">
        <f t="shared" si="10"/>
        <v>3</v>
      </c>
      <c r="AX27" s="502">
        <f t="shared" si="11"/>
        <v>0</v>
      </c>
      <c r="AY27" s="573">
        <f t="shared" si="89"/>
        <v>300</v>
      </c>
      <c r="AZ27" s="573">
        <f t="shared" si="12"/>
        <v>0</v>
      </c>
      <c r="BA27" s="548">
        <f t="shared" si="13"/>
        <v>2</v>
      </c>
      <c r="BB27" s="548">
        <f t="shared" si="14"/>
        <v>0</v>
      </c>
      <c r="BC27" s="548">
        <f t="shared" si="15"/>
        <v>0</v>
      </c>
      <c r="BD27" s="548">
        <f t="shared" si="16"/>
        <v>1</v>
      </c>
      <c r="BE27" s="548">
        <f t="shared" si="17"/>
        <v>0</v>
      </c>
      <c r="BF27" s="549">
        <f t="shared" si="90"/>
        <v>20500</v>
      </c>
      <c r="BH27" s="628" t="s">
        <v>973</v>
      </c>
      <c r="BI27" s="628" t="s">
        <v>573</v>
      </c>
      <c r="BJ27" s="1155">
        <v>32515</v>
      </c>
      <c r="BK27" s="756" t="s">
        <v>974</v>
      </c>
      <c r="BL27" s="757" t="s">
        <v>975</v>
      </c>
    </row>
    <row r="28" spans="1:64" s="768" customFormat="1" ht="48" customHeight="1">
      <c r="A28" s="1369">
        <v>22</v>
      </c>
      <c r="B28" s="1418" t="s">
        <v>1142</v>
      </c>
      <c r="C28" s="1330" t="s">
        <v>490</v>
      </c>
      <c r="D28" s="1851">
        <v>41498</v>
      </c>
      <c r="E28" s="1151" t="s">
        <v>260</v>
      </c>
      <c r="F28" s="758">
        <f>13+154+17+12+8+2</f>
        <v>206</v>
      </c>
      <c r="G28" s="758">
        <f>2</f>
        <v>2</v>
      </c>
      <c r="H28" s="1001">
        <v>22</v>
      </c>
      <c r="I28" s="1408">
        <f t="shared" si="18"/>
        <v>174.30769230769232</v>
      </c>
      <c r="J28" s="618">
        <f t="shared" si="0"/>
        <v>174.30769230769232</v>
      </c>
      <c r="K28" s="1001">
        <v>56</v>
      </c>
      <c r="L28" s="510">
        <f t="shared" si="19"/>
        <v>1.4855769230769231</v>
      </c>
      <c r="M28" s="618">
        <f t="shared" si="20"/>
        <v>83.192307692307693</v>
      </c>
      <c r="N28" s="1001">
        <v>0</v>
      </c>
      <c r="O28" s="510">
        <f t="shared" si="1"/>
        <v>1.9807692307692308</v>
      </c>
      <c r="P28" s="760">
        <f t="shared" si="2"/>
        <v>0</v>
      </c>
      <c r="Q28" s="1001">
        <v>24</v>
      </c>
      <c r="R28" s="510">
        <f t="shared" si="3"/>
        <v>1.9807692307692308</v>
      </c>
      <c r="S28" s="618">
        <f t="shared" si="4"/>
        <v>47.53846153846154</v>
      </c>
      <c r="T28" s="1001">
        <v>5</v>
      </c>
      <c r="U28" s="510">
        <f t="shared" si="5"/>
        <v>7.9230769230769234</v>
      </c>
      <c r="V28" s="618">
        <f t="shared" si="6"/>
        <v>39.615384615384613</v>
      </c>
      <c r="W28" s="1001">
        <v>0</v>
      </c>
      <c r="X28" s="618">
        <f>'S2 Salary'!T29*'S2'!W28</f>
        <v>0</v>
      </c>
      <c r="Y28" s="1001">
        <v>0</v>
      </c>
      <c r="Z28" s="510">
        <f t="shared" si="7"/>
        <v>3.9615384615384617</v>
      </c>
      <c r="AA28" s="618">
        <f t="shared" si="21"/>
        <v>0</v>
      </c>
      <c r="AB28" s="1001">
        <v>0</v>
      </c>
      <c r="AC28" s="1468">
        <f t="shared" si="22"/>
        <v>27</v>
      </c>
      <c r="AD28" s="1725">
        <v>0</v>
      </c>
      <c r="AE28" s="1121">
        <v>0</v>
      </c>
      <c r="AF28" s="1413">
        <f t="shared" si="120"/>
        <v>8</v>
      </c>
      <c r="AG28" s="762">
        <v>0</v>
      </c>
      <c r="AH28" s="618">
        <v>10</v>
      </c>
      <c r="AI28" s="1411">
        <v>11</v>
      </c>
      <c r="AJ28" s="1410">
        <v>10</v>
      </c>
      <c r="AK28" s="1410">
        <v>10</v>
      </c>
      <c r="AL28" s="1148">
        <f t="shared" si="8"/>
        <v>395.65384615384619</v>
      </c>
      <c r="AM28" s="1280">
        <v>0.5</v>
      </c>
      <c r="AN28" s="1404">
        <v>102</v>
      </c>
      <c r="AO28" s="1096">
        <f>'Tax Calulation'!P28</f>
        <v>0</v>
      </c>
      <c r="AP28" s="1096">
        <f>'Tax Calulation'!W28</f>
        <v>5.9084194977843429</v>
      </c>
      <c r="AQ28" s="1686">
        <f t="shared" si="9"/>
        <v>287.24542665606185</v>
      </c>
      <c r="AR28" s="1682">
        <f t="shared" si="23"/>
        <v>352500</v>
      </c>
      <c r="AS28" s="1689">
        <f t="shared" si="24"/>
        <v>200</v>
      </c>
      <c r="AT28" s="612"/>
      <c r="AU28" s="763"/>
      <c r="AV28" s="764">
        <f>(J28+M28+P28+S28+V28+AA28+AH28+AI28+AJ28+AK28)*4000</f>
        <v>1542615.3846153847</v>
      </c>
      <c r="AW28" s="612">
        <f t="shared" si="10"/>
        <v>2</v>
      </c>
      <c r="AX28" s="612">
        <f t="shared" si="11"/>
        <v>0</v>
      </c>
      <c r="AY28" s="765">
        <f t="shared" si="25"/>
        <v>200</v>
      </c>
      <c r="AZ28" s="765">
        <f t="shared" si="12"/>
        <v>7</v>
      </c>
      <c r="BA28" s="766">
        <f t="shared" si="13"/>
        <v>0</v>
      </c>
      <c r="BB28" s="766">
        <f t="shared" si="14"/>
        <v>0</v>
      </c>
      <c r="BC28" s="766">
        <f t="shared" si="15"/>
        <v>2</v>
      </c>
      <c r="BD28" s="766">
        <f t="shared" si="16"/>
        <v>1</v>
      </c>
      <c r="BE28" s="766">
        <f t="shared" si="17"/>
        <v>0</v>
      </c>
      <c r="BF28" s="767">
        <f t="shared" si="26"/>
        <v>352500</v>
      </c>
      <c r="BH28" s="628" t="s">
        <v>771</v>
      </c>
      <c r="BI28" s="628" t="s">
        <v>573</v>
      </c>
      <c r="BJ28" s="1155">
        <v>29148</v>
      </c>
      <c r="BK28" s="756" t="s">
        <v>592</v>
      </c>
      <c r="BL28" s="757">
        <v>101324517</v>
      </c>
    </row>
    <row r="29" spans="1:64" s="755" customFormat="1" ht="48" customHeight="1">
      <c r="A29" s="1369">
        <v>23</v>
      </c>
      <c r="B29" s="1418" t="s">
        <v>1143</v>
      </c>
      <c r="C29" s="1330" t="s">
        <v>491</v>
      </c>
      <c r="D29" s="1851">
        <v>41582</v>
      </c>
      <c r="E29" s="1151" t="s">
        <v>260</v>
      </c>
      <c r="F29" s="617">
        <f>13+154+17+12+8+2</f>
        <v>206</v>
      </c>
      <c r="G29" s="617">
        <f>2</f>
        <v>2</v>
      </c>
      <c r="H29" s="1001">
        <v>21</v>
      </c>
      <c r="I29" s="1408">
        <f t="shared" si="18"/>
        <v>166.38461538461539</v>
      </c>
      <c r="J29" s="618">
        <f t="shared" si="0"/>
        <v>166.38461538461539</v>
      </c>
      <c r="K29" s="1001">
        <v>64</v>
      </c>
      <c r="L29" s="510">
        <f t="shared" si="19"/>
        <v>1.4855769230769231</v>
      </c>
      <c r="M29" s="618">
        <f t="shared" si="20"/>
        <v>95.07692307692308</v>
      </c>
      <c r="N29" s="1001">
        <v>0</v>
      </c>
      <c r="O29" s="510">
        <f t="shared" si="1"/>
        <v>1.9807692307692308</v>
      </c>
      <c r="P29" s="503">
        <f t="shared" si="2"/>
        <v>0</v>
      </c>
      <c r="Q29" s="1001">
        <v>24</v>
      </c>
      <c r="R29" s="510">
        <f t="shared" si="3"/>
        <v>1.9807692307692308</v>
      </c>
      <c r="S29" s="618">
        <f t="shared" si="4"/>
        <v>47.53846153846154</v>
      </c>
      <c r="T29" s="1001">
        <v>5</v>
      </c>
      <c r="U29" s="510">
        <f t="shared" si="5"/>
        <v>7.9230769230769234</v>
      </c>
      <c r="V29" s="618">
        <f t="shared" si="6"/>
        <v>39.615384615384613</v>
      </c>
      <c r="W29" s="1001">
        <v>0</v>
      </c>
      <c r="X29" s="618">
        <f>'S2 Salary'!T30*'S2'!W29</f>
        <v>0</v>
      </c>
      <c r="Y29" s="1001">
        <v>0</v>
      </c>
      <c r="Z29" s="510">
        <f t="shared" si="7"/>
        <v>3.9615384615384617</v>
      </c>
      <c r="AA29" s="618">
        <f t="shared" si="21"/>
        <v>0</v>
      </c>
      <c r="AB29" s="1001">
        <v>1</v>
      </c>
      <c r="AC29" s="1468">
        <f t="shared" si="22"/>
        <v>27</v>
      </c>
      <c r="AD29" s="1725">
        <v>0</v>
      </c>
      <c r="AE29" s="1121">
        <v>0</v>
      </c>
      <c r="AF29" s="1412">
        <f t="shared" si="120"/>
        <v>8</v>
      </c>
      <c r="AG29" s="511">
        <v>0</v>
      </c>
      <c r="AH29" s="618">
        <v>7</v>
      </c>
      <c r="AI29" s="1410">
        <v>11</v>
      </c>
      <c r="AJ29" s="1410">
        <v>10</v>
      </c>
      <c r="AK29" s="1410">
        <v>10</v>
      </c>
      <c r="AL29" s="1148">
        <f t="shared" si="8"/>
        <v>396.61538461538464</v>
      </c>
      <c r="AM29" s="1278">
        <v>0.5</v>
      </c>
      <c r="AN29" s="1404">
        <v>102</v>
      </c>
      <c r="AO29" s="1096">
        <f>'Tax Calulation'!P29</f>
        <v>0</v>
      </c>
      <c r="AP29" s="1096">
        <f>'Tax Calulation'!W29</f>
        <v>5.9084194977843429</v>
      </c>
      <c r="AQ29" s="1686">
        <f t="shared" si="9"/>
        <v>288.2069651176003</v>
      </c>
      <c r="AR29" s="1682">
        <f t="shared" si="23"/>
        <v>356400</v>
      </c>
      <c r="AS29" s="1688">
        <f t="shared" si="24"/>
        <v>200</v>
      </c>
      <c r="AT29" s="502"/>
      <c r="AU29" s="504"/>
      <c r="AV29" s="505">
        <f>(J29+M29+P29+S29+V29+AA29+AH29+AI29+AJ29+AK29)*4000</f>
        <v>1546461.5384615385</v>
      </c>
      <c r="AW29" s="502">
        <f t="shared" si="10"/>
        <v>2</v>
      </c>
      <c r="AX29" s="502">
        <f t="shared" si="11"/>
        <v>0</v>
      </c>
      <c r="AY29" s="573">
        <f t="shared" si="25"/>
        <v>200</v>
      </c>
      <c r="AZ29" s="573">
        <f t="shared" si="12"/>
        <v>7</v>
      </c>
      <c r="BA29" s="548">
        <f t="shared" si="13"/>
        <v>0</v>
      </c>
      <c r="BB29" s="548">
        <f t="shared" si="14"/>
        <v>1</v>
      </c>
      <c r="BC29" s="548">
        <f t="shared" si="15"/>
        <v>1</v>
      </c>
      <c r="BD29" s="548">
        <f t="shared" si="16"/>
        <v>0</v>
      </c>
      <c r="BE29" s="548">
        <f t="shared" si="17"/>
        <v>4</v>
      </c>
      <c r="BF29" s="549">
        <f t="shared" si="26"/>
        <v>356400</v>
      </c>
      <c r="BH29" s="628" t="s">
        <v>772</v>
      </c>
      <c r="BI29" s="628" t="s">
        <v>573</v>
      </c>
      <c r="BJ29" s="1155">
        <v>27383</v>
      </c>
      <c r="BK29" s="756" t="s">
        <v>593</v>
      </c>
      <c r="BL29" s="757">
        <v>10163928</v>
      </c>
    </row>
    <row r="30" spans="1:64" s="755" customFormat="1" ht="48" customHeight="1">
      <c r="A30" s="1369">
        <v>24</v>
      </c>
      <c r="B30" s="1418" t="s">
        <v>1144</v>
      </c>
      <c r="C30" s="1330" t="s">
        <v>469</v>
      </c>
      <c r="D30" s="1851">
        <v>43620</v>
      </c>
      <c r="E30" s="1151" t="s">
        <v>260</v>
      </c>
      <c r="F30" s="617">
        <f>196+8+2</f>
        <v>206</v>
      </c>
      <c r="G30" s="617">
        <f>2</f>
        <v>2</v>
      </c>
      <c r="H30" s="1001">
        <v>22</v>
      </c>
      <c r="I30" s="1408">
        <f t="shared" si="18"/>
        <v>174.30769230769232</v>
      </c>
      <c r="J30" s="618">
        <f t="shared" si="0"/>
        <v>174.30769230769232</v>
      </c>
      <c r="K30" s="1001">
        <v>66</v>
      </c>
      <c r="L30" s="510">
        <f t="shared" si="19"/>
        <v>1.4855769230769231</v>
      </c>
      <c r="M30" s="618">
        <f t="shared" si="20"/>
        <v>98.04807692307692</v>
      </c>
      <c r="N30" s="1001">
        <v>0</v>
      </c>
      <c r="O30" s="510">
        <f t="shared" si="1"/>
        <v>1.9807692307692308</v>
      </c>
      <c r="P30" s="503">
        <f t="shared" si="2"/>
        <v>0</v>
      </c>
      <c r="Q30" s="1001">
        <v>24</v>
      </c>
      <c r="R30" s="510">
        <f t="shared" si="3"/>
        <v>1.9807692307692308</v>
      </c>
      <c r="S30" s="618">
        <f t="shared" si="4"/>
        <v>47.53846153846154</v>
      </c>
      <c r="T30" s="1001">
        <v>5</v>
      </c>
      <c r="U30" s="510">
        <f t="shared" si="5"/>
        <v>7.9230769230769234</v>
      </c>
      <c r="V30" s="618">
        <f t="shared" si="6"/>
        <v>39.615384615384613</v>
      </c>
      <c r="W30" s="1001">
        <v>0</v>
      </c>
      <c r="X30" s="618">
        <f>'S2 Salary'!T31*'S2'!W30</f>
        <v>0</v>
      </c>
      <c r="Y30" s="1001">
        <v>0</v>
      </c>
      <c r="Z30" s="510">
        <f t="shared" si="7"/>
        <v>3.9615384615384617</v>
      </c>
      <c r="AA30" s="618">
        <f t="shared" si="21"/>
        <v>0</v>
      </c>
      <c r="AB30" s="1001">
        <v>0</v>
      </c>
      <c r="AC30" s="1468">
        <f t="shared" si="22"/>
        <v>27</v>
      </c>
      <c r="AD30" s="1725">
        <v>0</v>
      </c>
      <c r="AE30" s="1121">
        <v>0</v>
      </c>
      <c r="AF30" s="1412">
        <f t="shared" si="120"/>
        <v>8</v>
      </c>
      <c r="AG30" s="511">
        <v>0</v>
      </c>
      <c r="AH30" s="618">
        <v>10</v>
      </c>
      <c r="AI30" s="1410">
        <v>6</v>
      </c>
      <c r="AJ30" s="1410">
        <v>10</v>
      </c>
      <c r="AK30" s="1410">
        <v>10</v>
      </c>
      <c r="AL30" s="1148">
        <f t="shared" si="8"/>
        <v>405.50961538461536</v>
      </c>
      <c r="AM30" s="1278">
        <v>0</v>
      </c>
      <c r="AN30" s="1404">
        <v>102</v>
      </c>
      <c r="AO30" s="1096">
        <f>'Tax Calulation'!P30</f>
        <v>0</v>
      </c>
      <c r="AP30" s="1096">
        <f>'Tax Calulation'!W30</f>
        <v>5.9084194977843429</v>
      </c>
      <c r="AQ30" s="1686">
        <f t="shared" si="9"/>
        <v>297.60119588683102</v>
      </c>
      <c r="AR30" s="1682">
        <f t="shared" si="23"/>
        <v>394300</v>
      </c>
      <c r="AS30" s="1688">
        <f t="shared" si="24"/>
        <v>200</v>
      </c>
      <c r="AT30" s="502"/>
      <c r="AU30" s="504"/>
      <c r="AV30" s="505">
        <f>(J30+M30+P30+S30+V30+AA30+AH30+AI30+AJ30+AK30)*4000</f>
        <v>1582038.4615384615</v>
      </c>
      <c r="AW30" s="502">
        <f t="shared" si="10"/>
        <v>2</v>
      </c>
      <c r="AX30" s="502">
        <f t="shared" si="11"/>
        <v>0</v>
      </c>
      <c r="AY30" s="573">
        <f t="shared" si="25"/>
        <v>200</v>
      </c>
      <c r="AZ30" s="573">
        <f t="shared" si="12"/>
        <v>7</v>
      </c>
      <c r="BA30" s="548">
        <f t="shared" si="13"/>
        <v>4</v>
      </c>
      <c r="BB30" s="548">
        <f t="shared" si="14"/>
        <v>0</v>
      </c>
      <c r="BC30" s="548">
        <f t="shared" si="15"/>
        <v>4</v>
      </c>
      <c r="BD30" s="548">
        <f t="shared" si="16"/>
        <v>0</v>
      </c>
      <c r="BE30" s="548">
        <f t="shared" si="17"/>
        <v>3</v>
      </c>
      <c r="BF30" s="549">
        <f t="shared" si="26"/>
        <v>394300</v>
      </c>
      <c r="BH30" s="628" t="s">
        <v>773</v>
      </c>
      <c r="BI30" s="628" t="s">
        <v>573</v>
      </c>
      <c r="BJ30" s="1155">
        <v>28652</v>
      </c>
      <c r="BK30" s="756" t="s">
        <v>594</v>
      </c>
      <c r="BL30" s="757">
        <v>101057123</v>
      </c>
    </row>
    <row r="31" spans="1:64" s="755" customFormat="1" ht="48" customHeight="1">
      <c r="A31" s="1369">
        <v>25</v>
      </c>
      <c r="B31" s="1418" t="s">
        <v>1145</v>
      </c>
      <c r="C31" s="1330" t="s">
        <v>710</v>
      </c>
      <c r="D31" s="1841">
        <v>43648</v>
      </c>
      <c r="E31" s="1151" t="s">
        <v>260</v>
      </c>
      <c r="F31" s="617">
        <f>191+8+2+3</f>
        <v>204</v>
      </c>
      <c r="G31" s="617">
        <f>2</f>
        <v>2</v>
      </c>
      <c r="H31" s="1001">
        <v>21</v>
      </c>
      <c r="I31" s="1408">
        <f t="shared" si="18"/>
        <v>164.76923076923077</v>
      </c>
      <c r="J31" s="618">
        <f t="shared" si="0"/>
        <v>164.76923076923077</v>
      </c>
      <c r="K31" s="1001">
        <v>52</v>
      </c>
      <c r="L31" s="510">
        <f t="shared" si="19"/>
        <v>1.471153846153846</v>
      </c>
      <c r="M31" s="618">
        <f t="shared" si="20"/>
        <v>76.5</v>
      </c>
      <c r="N31" s="1001">
        <v>0</v>
      </c>
      <c r="O31" s="510">
        <f t="shared" si="1"/>
        <v>1.9615384615384615</v>
      </c>
      <c r="P31" s="503">
        <f t="shared" si="2"/>
        <v>0</v>
      </c>
      <c r="Q31" s="1001">
        <v>16</v>
      </c>
      <c r="R31" s="510">
        <f t="shared" si="3"/>
        <v>1.9615384615384615</v>
      </c>
      <c r="S31" s="618">
        <f t="shared" si="4"/>
        <v>31.384615384615383</v>
      </c>
      <c r="T31" s="1001">
        <v>6</v>
      </c>
      <c r="U31" s="510">
        <f t="shared" si="5"/>
        <v>7.8461538461538458</v>
      </c>
      <c r="V31" s="618">
        <f t="shared" si="6"/>
        <v>47.076923076923073</v>
      </c>
      <c r="W31" s="1001">
        <v>0</v>
      </c>
      <c r="X31" s="618">
        <f>'S2 Salary'!T32*'S2'!W31</f>
        <v>0</v>
      </c>
      <c r="Y31" s="1001">
        <v>0</v>
      </c>
      <c r="Z31" s="510">
        <f t="shared" si="7"/>
        <v>3.9230769230769229</v>
      </c>
      <c r="AA31" s="618">
        <f t="shared" si="21"/>
        <v>0</v>
      </c>
      <c r="AB31" s="1001">
        <v>0</v>
      </c>
      <c r="AC31" s="1468">
        <f t="shared" si="22"/>
        <v>27</v>
      </c>
      <c r="AD31" s="1725">
        <v>0</v>
      </c>
      <c r="AE31" s="1121">
        <v>0</v>
      </c>
      <c r="AF31" s="1412">
        <f>4+1</f>
        <v>5</v>
      </c>
      <c r="AG31" s="511">
        <v>0</v>
      </c>
      <c r="AH31" s="618">
        <v>10</v>
      </c>
      <c r="AI31" s="1410">
        <v>6</v>
      </c>
      <c r="AJ31" s="1410">
        <v>10</v>
      </c>
      <c r="AK31" s="1410">
        <v>10</v>
      </c>
      <c r="AL31" s="1148">
        <f t="shared" si="8"/>
        <v>362.73076923076923</v>
      </c>
      <c r="AM31" s="1278">
        <v>0.5</v>
      </c>
      <c r="AN31" s="1404">
        <v>102</v>
      </c>
      <c r="AO31" s="1096">
        <f>'Tax Calulation'!P31</f>
        <v>0</v>
      </c>
      <c r="AP31" s="1096">
        <f>'Tax Calulation'!W31</f>
        <v>5.9084194977843429</v>
      </c>
      <c r="AQ31" s="1686">
        <f t="shared" si="9"/>
        <v>254.32234973298489</v>
      </c>
      <c r="AR31" s="1682">
        <f t="shared" si="23"/>
        <v>219500</v>
      </c>
      <c r="AS31" s="1688">
        <f t="shared" si="24"/>
        <v>200</v>
      </c>
      <c r="AT31" s="502"/>
      <c r="AU31" s="504"/>
      <c r="AV31" s="505"/>
      <c r="AW31" s="502">
        <f t="shared" si="10"/>
        <v>2</v>
      </c>
      <c r="AX31" s="502">
        <f t="shared" si="11"/>
        <v>0</v>
      </c>
      <c r="AY31" s="573">
        <f t="shared" si="25"/>
        <v>200</v>
      </c>
      <c r="AZ31" s="573">
        <f t="shared" si="12"/>
        <v>4</v>
      </c>
      <c r="BA31" s="548">
        <f t="shared" si="13"/>
        <v>1</v>
      </c>
      <c r="BB31" s="548">
        <f t="shared" si="14"/>
        <v>1</v>
      </c>
      <c r="BC31" s="548">
        <f t="shared" si="15"/>
        <v>4</v>
      </c>
      <c r="BD31" s="548">
        <f t="shared" si="16"/>
        <v>1</v>
      </c>
      <c r="BE31" s="548">
        <f t="shared" si="17"/>
        <v>0</v>
      </c>
      <c r="BF31" s="549">
        <f t="shared" si="26"/>
        <v>219500</v>
      </c>
      <c r="BH31" s="628" t="s">
        <v>774</v>
      </c>
      <c r="BI31" s="578" t="s">
        <v>1508</v>
      </c>
      <c r="BJ31" s="1157">
        <v>34636</v>
      </c>
      <c r="BK31" s="587"/>
      <c r="BL31" s="745">
        <v>101083997</v>
      </c>
    </row>
    <row r="32" spans="1:64" s="755" customFormat="1" ht="48" customHeight="1">
      <c r="A32" s="1369">
        <v>26</v>
      </c>
      <c r="B32" s="1419" t="s">
        <v>2102</v>
      </c>
      <c r="C32" s="1330" t="s">
        <v>2103</v>
      </c>
      <c r="D32" s="1328">
        <v>43710</v>
      </c>
      <c r="E32" s="1151" t="s">
        <v>260</v>
      </c>
      <c r="F32" s="758">
        <f>196+8+2</f>
        <v>206</v>
      </c>
      <c r="G32" s="758">
        <f>2</f>
        <v>2</v>
      </c>
      <c r="H32" s="1001">
        <v>22</v>
      </c>
      <c r="I32" s="1408">
        <f t="shared" si="18"/>
        <v>174.30769230769232</v>
      </c>
      <c r="J32" s="618">
        <f t="shared" si="0"/>
        <v>174.30769230769232</v>
      </c>
      <c r="K32" s="1001">
        <v>66</v>
      </c>
      <c r="L32" s="510">
        <f t="shared" ref="L32" si="145">F32/26/8*1.5</f>
        <v>1.4855769230769231</v>
      </c>
      <c r="M32" s="618">
        <f t="shared" si="20"/>
        <v>98.04807692307692</v>
      </c>
      <c r="N32" s="1001">
        <v>0</v>
      </c>
      <c r="O32" s="510">
        <f t="shared" ref="O32" si="146">F32/26/8*2</f>
        <v>1.9807692307692308</v>
      </c>
      <c r="P32" s="503">
        <f t="shared" ref="P32" si="147">N32*O32</f>
        <v>0</v>
      </c>
      <c r="Q32" s="1001">
        <v>24</v>
      </c>
      <c r="R32" s="510">
        <f t="shared" ref="R32" si="148">F32/26/8*2</f>
        <v>1.9807692307692308</v>
      </c>
      <c r="S32" s="618">
        <f t="shared" ref="S32" si="149">R32*Q32</f>
        <v>47.53846153846154</v>
      </c>
      <c r="T32" s="1001">
        <v>5</v>
      </c>
      <c r="U32" s="510">
        <f t="shared" ref="U32" si="150">F32/26</f>
        <v>7.9230769230769234</v>
      </c>
      <c r="V32" s="618">
        <f t="shared" si="6"/>
        <v>39.615384615384613</v>
      </c>
      <c r="W32" s="1001">
        <v>0</v>
      </c>
      <c r="X32" s="618">
        <f>'S2 Salary'!T33*'S2'!W32</f>
        <v>0</v>
      </c>
      <c r="Y32" s="1001">
        <v>0</v>
      </c>
      <c r="Z32" s="510">
        <f t="shared" ref="Z32" si="151">F32/26/2</f>
        <v>3.9615384615384617</v>
      </c>
      <c r="AA32" s="618">
        <f t="shared" si="21"/>
        <v>0</v>
      </c>
      <c r="AB32" s="1001">
        <v>0</v>
      </c>
      <c r="AC32" s="1468">
        <f t="shared" si="22"/>
        <v>27</v>
      </c>
      <c r="AD32" s="1725">
        <v>0</v>
      </c>
      <c r="AE32" s="1121">
        <v>0</v>
      </c>
      <c r="AF32" s="1412">
        <f>4+4</f>
        <v>8</v>
      </c>
      <c r="AG32" s="511">
        <v>0</v>
      </c>
      <c r="AH32" s="618">
        <v>10</v>
      </c>
      <c r="AI32" s="1410">
        <v>6</v>
      </c>
      <c r="AJ32" s="1410">
        <v>10</v>
      </c>
      <c r="AK32" s="1410">
        <v>10</v>
      </c>
      <c r="AL32" s="1148">
        <f t="shared" si="8"/>
        <v>405.50961538461536</v>
      </c>
      <c r="AM32" s="1278">
        <v>0</v>
      </c>
      <c r="AN32" s="1404">
        <v>102</v>
      </c>
      <c r="AO32" s="1096">
        <f>'Tax Calulation'!P32</f>
        <v>0</v>
      </c>
      <c r="AP32" s="1096">
        <f>'Tax Calulation'!W32</f>
        <v>5.9084194977843429</v>
      </c>
      <c r="AQ32" s="1686">
        <f t="shared" si="9"/>
        <v>297.60119588683102</v>
      </c>
      <c r="AR32" s="1682">
        <f t="shared" si="23"/>
        <v>394300</v>
      </c>
      <c r="AS32" s="1688">
        <f t="shared" ref="AS32" si="152">CEILING(AQ32,(100))-100</f>
        <v>200</v>
      </c>
      <c r="AT32" s="502"/>
      <c r="AU32" s="504"/>
      <c r="AV32" s="505"/>
      <c r="AW32" s="502">
        <f t="shared" ref="AW32" si="153">INT(AS32/100)</f>
        <v>2</v>
      </c>
      <c r="AX32" s="502">
        <f t="shared" ref="AX32" si="154">INT((AS32-AW32*100)/50)</f>
        <v>0</v>
      </c>
      <c r="AY32" s="1113">
        <f t="shared" ref="AY32" si="155">AW32*100+AX32*50</f>
        <v>200</v>
      </c>
      <c r="AZ32" s="1113">
        <f t="shared" ref="AZ32" si="156">INT((AR32/50000))</f>
        <v>7</v>
      </c>
      <c r="BA32" s="548">
        <f t="shared" ref="BA32" si="157">INT((AR32-AZ32*50000)/10000)</f>
        <v>4</v>
      </c>
      <c r="BB32" s="548">
        <f t="shared" ref="BB32" si="158">INT((AR32-AZ32*50000-BA32*10000)/5000)</f>
        <v>0</v>
      </c>
      <c r="BC32" s="548">
        <f t="shared" ref="BC32" si="159">INT((AR32-AZ32*50000-BA32*10000-BB32*5000)/1000)</f>
        <v>4</v>
      </c>
      <c r="BD32" s="548">
        <f t="shared" ref="BD32" si="160">INT((AR32-AZ32*50000-BA32*10000-BB32*5000-BC32*1000)/500)</f>
        <v>0</v>
      </c>
      <c r="BE32" s="548">
        <f t="shared" ref="BE32" si="161">INT((AR32-AZ32*50000-BA32*10000-BB32*5000-BC32*1000-BD32*500)/100)</f>
        <v>3</v>
      </c>
      <c r="BF32" s="549">
        <f t="shared" ref="BF32" si="162">AZ32*50000+BA32*10000+BB32*5000+BC32*1000+BD32*500+BE32*100</f>
        <v>394300</v>
      </c>
      <c r="BH32" s="628" t="s">
        <v>2106</v>
      </c>
      <c r="BI32" s="1628" t="s">
        <v>2107</v>
      </c>
      <c r="BJ32" s="1155">
        <v>36767</v>
      </c>
      <c r="BK32" s="756" t="s">
        <v>2108</v>
      </c>
      <c r="BL32" s="757">
        <v>62116611</v>
      </c>
    </row>
    <row r="33" spans="1:64" s="755" customFormat="1" ht="48" customHeight="1">
      <c r="A33" s="1369">
        <v>27</v>
      </c>
      <c r="B33" s="1419" t="s">
        <v>524</v>
      </c>
      <c r="C33" s="1330" t="s">
        <v>525</v>
      </c>
      <c r="D33" s="1851">
        <v>43742</v>
      </c>
      <c r="E33" s="1151" t="s">
        <v>260</v>
      </c>
      <c r="F33" s="1649">
        <f>186+8+2+4+4</f>
        <v>204</v>
      </c>
      <c r="G33" s="617">
        <f>2</f>
        <v>2</v>
      </c>
      <c r="H33" s="1001">
        <v>21.5</v>
      </c>
      <c r="I33" s="1408">
        <f t="shared" si="18"/>
        <v>168.69230769230768</v>
      </c>
      <c r="J33" s="618">
        <f t="shared" si="0"/>
        <v>168.69230769230768</v>
      </c>
      <c r="K33" s="1001">
        <v>67</v>
      </c>
      <c r="L33" s="510">
        <f t="shared" si="19"/>
        <v>1.471153846153846</v>
      </c>
      <c r="M33" s="618">
        <f t="shared" si="20"/>
        <v>98.567307692307679</v>
      </c>
      <c r="N33" s="1001">
        <v>0</v>
      </c>
      <c r="O33" s="510">
        <f t="shared" si="1"/>
        <v>1.9615384615384615</v>
      </c>
      <c r="P33" s="503">
        <f t="shared" si="2"/>
        <v>0</v>
      </c>
      <c r="Q33" s="1001">
        <v>24</v>
      </c>
      <c r="R33" s="510">
        <f t="shared" si="3"/>
        <v>1.9615384615384615</v>
      </c>
      <c r="S33" s="618">
        <f t="shared" si="4"/>
        <v>47.076923076923073</v>
      </c>
      <c r="T33" s="1001">
        <v>5.5</v>
      </c>
      <c r="U33" s="510">
        <f t="shared" si="5"/>
        <v>7.8461538461538458</v>
      </c>
      <c r="V33" s="618">
        <f t="shared" si="6"/>
        <v>43.153846153846153</v>
      </c>
      <c r="W33" s="1001">
        <v>0</v>
      </c>
      <c r="X33" s="618">
        <f>'S2 Salary'!T34*'S2'!W33</f>
        <v>0</v>
      </c>
      <c r="Y33" s="1001">
        <v>0</v>
      </c>
      <c r="Z33" s="510">
        <f t="shared" si="7"/>
        <v>3.9230769230769229</v>
      </c>
      <c r="AA33" s="618">
        <f t="shared" si="21"/>
        <v>0</v>
      </c>
      <c r="AB33" s="1001">
        <v>0</v>
      </c>
      <c r="AC33" s="1468">
        <f t="shared" si="22"/>
        <v>27</v>
      </c>
      <c r="AD33" s="1725">
        <v>0</v>
      </c>
      <c r="AE33" s="1121">
        <v>0</v>
      </c>
      <c r="AF33" s="1412">
        <v>0</v>
      </c>
      <c r="AG33" s="511">
        <v>0</v>
      </c>
      <c r="AH33" s="618">
        <v>10</v>
      </c>
      <c r="AI33" s="1410">
        <v>6</v>
      </c>
      <c r="AJ33" s="1410">
        <v>10</v>
      </c>
      <c r="AK33" s="1410">
        <v>10</v>
      </c>
      <c r="AL33" s="1148">
        <f t="shared" si="8"/>
        <v>395.49038461538458</v>
      </c>
      <c r="AM33" s="1278">
        <v>0</v>
      </c>
      <c r="AN33" s="1404">
        <v>102</v>
      </c>
      <c r="AO33" s="1096">
        <f>'Tax Calulation'!P33</f>
        <v>0</v>
      </c>
      <c r="AP33" s="1096">
        <f>'Tax Calulation'!W33</f>
        <v>5.9084194977843429</v>
      </c>
      <c r="AQ33" s="1686">
        <f t="shared" si="9"/>
        <v>287.58196511760025</v>
      </c>
      <c r="AR33" s="1682">
        <f t="shared" si="23"/>
        <v>353800</v>
      </c>
      <c r="AS33" s="1688">
        <f t="shared" si="24"/>
        <v>200</v>
      </c>
      <c r="AT33" s="502"/>
      <c r="AU33" s="504"/>
      <c r="AV33" s="505">
        <f>(J33+M33+P33+S33+V33+AA33+AH33+AI33+AJ33+AK33)*4000</f>
        <v>1573961.5384615383</v>
      </c>
      <c r="AW33" s="502">
        <f t="shared" si="10"/>
        <v>2</v>
      </c>
      <c r="AX33" s="502">
        <f t="shared" si="11"/>
        <v>0</v>
      </c>
      <c r="AY33" s="573">
        <f t="shared" si="25"/>
        <v>200</v>
      </c>
      <c r="AZ33" s="573">
        <f t="shared" si="12"/>
        <v>7</v>
      </c>
      <c r="BA33" s="548">
        <f t="shared" si="13"/>
        <v>0</v>
      </c>
      <c r="BB33" s="548">
        <f t="shared" si="14"/>
        <v>0</v>
      </c>
      <c r="BC33" s="548">
        <f t="shared" si="15"/>
        <v>3</v>
      </c>
      <c r="BD33" s="548">
        <f t="shared" si="16"/>
        <v>1</v>
      </c>
      <c r="BE33" s="548">
        <f t="shared" si="17"/>
        <v>3</v>
      </c>
      <c r="BF33" s="549">
        <f t="shared" si="26"/>
        <v>353800</v>
      </c>
      <c r="BH33" s="628" t="s">
        <v>775</v>
      </c>
      <c r="BI33" s="628" t="s">
        <v>573</v>
      </c>
      <c r="BJ33" s="1155">
        <v>34034</v>
      </c>
      <c r="BK33" s="756">
        <v>962365635</v>
      </c>
      <c r="BL33" s="757">
        <v>160403691</v>
      </c>
    </row>
    <row r="34" spans="1:64" s="755" customFormat="1" ht="48" customHeight="1">
      <c r="A34" s="1369">
        <v>28</v>
      </c>
      <c r="B34" s="1419" t="s">
        <v>746</v>
      </c>
      <c r="C34" s="1330" t="s">
        <v>747</v>
      </c>
      <c r="D34" s="1851">
        <v>43756</v>
      </c>
      <c r="E34" s="1151" t="s">
        <v>260</v>
      </c>
      <c r="F34" s="617">
        <f>204+2</f>
        <v>206</v>
      </c>
      <c r="G34" s="617">
        <f>2</f>
        <v>2</v>
      </c>
      <c r="H34" s="1001">
        <v>22</v>
      </c>
      <c r="I34" s="1408">
        <f t="shared" si="18"/>
        <v>174.30769230769232</v>
      </c>
      <c r="J34" s="618">
        <f t="shared" si="0"/>
        <v>174.30769230769232</v>
      </c>
      <c r="K34" s="1001">
        <v>68</v>
      </c>
      <c r="L34" s="510">
        <f t="shared" si="19"/>
        <v>1.4855769230769231</v>
      </c>
      <c r="M34" s="618">
        <f t="shared" si="20"/>
        <v>101.01923076923077</v>
      </c>
      <c r="N34" s="1001">
        <v>0</v>
      </c>
      <c r="O34" s="510">
        <f t="shared" si="1"/>
        <v>1.9807692307692308</v>
      </c>
      <c r="P34" s="503">
        <f t="shared" si="2"/>
        <v>0</v>
      </c>
      <c r="Q34" s="1001">
        <v>24</v>
      </c>
      <c r="R34" s="510">
        <f t="shared" si="3"/>
        <v>1.9807692307692308</v>
      </c>
      <c r="S34" s="618">
        <f t="shared" si="4"/>
        <v>47.53846153846154</v>
      </c>
      <c r="T34" s="1001">
        <v>5</v>
      </c>
      <c r="U34" s="510">
        <f t="shared" si="5"/>
        <v>7.9230769230769234</v>
      </c>
      <c r="V34" s="618">
        <f t="shared" si="6"/>
        <v>39.615384615384613</v>
      </c>
      <c r="W34" s="1001">
        <v>0</v>
      </c>
      <c r="X34" s="618">
        <f>'S2 Salary'!T35*'S2'!W34</f>
        <v>0</v>
      </c>
      <c r="Y34" s="1001">
        <v>0</v>
      </c>
      <c r="Z34" s="510">
        <f t="shared" si="7"/>
        <v>3.9615384615384617</v>
      </c>
      <c r="AA34" s="618">
        <f t="shared" si="21"/>
        <v>0</v>
      </c>
      <c r="AB34" s="1001">
        <v>0</v>
      </c>
      <c r="AC34" s="1468">
        <f t="shared" si="22"/>
        <v>27</v>
      </c>
      <c r="AD34" s="1725">
        <v>0</v>
      </c>
      <c r="AE34" s="1121">
        <v>0</v>
      </c>
      <c r="AF34" s="1412">
        <f>4+4</f>
        <v>8</v>
      </c>
      <c r="AG34" s="511">
        <v>0</v>
      </c>
      <c r="AH34" s="618">
        <v>10</v>
      </c>
      <c r="AI34" s="1410">
        <v>6</v>
      </c>
      <c r="AJ34" s="1410">
        <v>10</v>
      </c>
      <c r="AK34" s="1410">
        <v>10</v>
      </c>
      <c r="AL34" s="1148">
        <f t="shared" si="8"/>
        <v>408.48076923076928</v>
      </c>
      <c r="AM34" s="1278">
        <v>0</v>
      </c>
      <c r="AN34" s="1404">
        <v>102</v>
      </c>
      <c r="AO34" s="1096">
        <f>'Tax Calulation'!P34</f>
        <v>0</v>
      </c>
      <c r="AP34" s="1096">
        <f>'Tax Calulation'!W34</f>
        <v>5.9084194977843429</v>
      </c>
      <c r="AQ34" s="1686">
        <f t="shared" si="9"/>
        <v>300.57234973298495</v>
      </c>
      <c r="AR34" s="1682">
        <f t="shared" si="23"/>
        <v>2300</v>
      </c>
      <c r="AS34" s="1688">
        <f t="shared" ref="AS34" si="163">CEILING(AQ34,(100))-100</f>
        <v>300</v>
      </c>
      <c r="AT34" s="502"/>
      <c r="AU34" s="504"/>
      <c r="AV34" s="505"/>
      <c r="AW34" s="502">
        <f t="shared" si="10"/>
        <v>3</v>
      </c>
      <c r="AX34" s="502">
        <f t="shared" si="11"/>
        <v>0</v>
      </c>
      <c r="AY34" s="573">
        <f t="shared" ref="AY34" si="164">AW34*100+AX34*50</f>
        <v>300</v>
      </c>
      <c r="AZ34" s="573">
        <f t="shared" si="12"/>
        <v>0</v>
      </c>
      <c r="BA34" s="548">
        <f t="shared" si="13"/>
        <v>0</v>
      </c>
      <c r="BB34" s="548">
        <f t="shared" si="14"/>
        <v>0</v>
      </c>
      <c r="BC34" s="548">
        <f t="shared" si="15"/>
        <v>2</v>
      </c>
      <c r="BD34" s="548">
        <f t="shared" si="16"/>
        <v>0</v>
      </c>
      <c r="BE34" s="548">
        <f t="shared" si="17"/>
        <v>3</v>
      </c>
      <c r="BF34" s="549">
        <f t="shared" ref="BF34" si="165">AZ34*50000+BA34*10000+BB34*5000+BC34*1000+BD34*500+BE34*100</f>
        <v>2300</v>
      </c>
      <c r="BH34" s="628" t="s">
        <v>776</v>
      </c>
      <c r="BI34" s="628" t="s">
        <v>748</v>
      </c>
      <c r="BJ34" s="1155">
        <v>33044</v>
      </c>
      <c r="BK34" s="756" t="s">
        <v>749</v>
      </c>
      <c r="BL34" s="757">
        <v>50810255</v>
      </c>
    </row>
    <row r="35" spans="1:64" s="755" customFormat="1" ht="48" customHeight="1">
      <c r="A35" s="1369">
        <v>29</v>
      </c>
      <c r="B35" s="1418" t="s">
        <v>1147</v>
      </c>
      <c r="C35" s="1330" t="s">
        <v>545</v>
      </c>
      <c r="D35" s="1851">
        <v>43834</v>
      </c>
      <c r="E35" s="1637" t="s">
        <v>260</v>
      </c>
      <c r="F35" s="620">
        <f>185+14+2+3</f>
        <v>204</v>
      </c>
      <c r="G35" s="617">
        <f>2</f>
        <v>2</v>
      </c>
      <c r="H35" s="1001">
        <v>22</v>
      </c>
      <c r="I35" s="1408">
        <f t="shared" si="18"/>
        <v>172.61538461538461</v>
      </c>
      <c r="J35" s="618">
        <f t="shared" si="0"/>
        <v>172.61538461538461</v>
      </c>
      <c r="K35" s="1001">
        <v>30</v>
      </c>
      <c r="L35" s="510">
        <f t="shared" si="19"/>
        <v>1.471153846153846</v>
      </c>
      <c r="M35" s="618">
        <f t="shared" si="20"/>
        <v>44.13461538461538</v>
      </c>
      <c r="N35" s="1001">
        <v>0</v>
      </c>
      <c r="O35" s="510">
        <f t="shared" si="1"/>
        <v>1.9615384615384615</v>
      </c>
      <c r="P35" s="503">
        <f t="shared" si="2"/>
        <v>0</v>
      </c>
      <c r="Q35" s="1001">
        <v>24</v>
      </c>
      <c r="R35" s="510">
        <f t="shared" si="3"/>
        <v>1.9615384615384615</v>
      </c>
      <c r="S35" s="618">
        <f t="shared" si="4"/>
        <v>47.076923076923073</v>
      </c>
      <c r="T35" s="1001">
        <v>5</v>
      </c>
      <c r="U35" s="510">
        <f t="shared" si="5"/>
        <v>7.8461538461538458</v>
      </c>
      <c r="V35" s="618">
        <f t="shared" si="6"/>
        <v>39.230769230769226</v>
      </c>
      <c r="W35" s="1001">
        <v>0</v>
      </c>
      <c r="X35" s="618">
        <f>'S2 Salary'!T36*'S2'!W35</f>
        <v>0</v>
      </c>
      <c r="Y35" s="1001">
        <v>0</v>
      </c>
      <c r="Z35" s="510">
        <f t="shared" si="7"/>
        <v>3.9230769230769229</v>
      </c>
      <c r="AA35" s="618">
        <f t="shared" si="21"/>
        <v>0</v>
      </c>
      <c r="AB35" s="1001">
        <v>0</v>
      </c>
      <c r="AC35" s="1468">
        <f t="shared" si="22"/>
        <v>27</v>
      </c>
      <c r="AD35" s="1725">
        <v>0</v>
      </c>
      <c r="AE35" s="1121">
        <v>0</v>
      </c>
      <c r="AF35" s="1412">
        <f>4+1</f>
        <v>5</v>
      </c>
      <c r="AG35" s="511">
        <v>0</v>
      </c>
      <c r="AH35" s="618">
        <v>10</v>
      </c>
      <c r="AI35" s="1410">
        <v>5</v>
      </c>
      <c r="AJ35" s="1410">
        <v>10</v>
      </c>
      <c r="AK35" s="1410">
        <v>10</v>
      </c>
      <c r="AL35" s="1148">
        <f t="shared" si="8"/>
        <v>345.05769230769232</v>
      </c>
      <c r="AM35" s="1278">
        <v>0</v>
      </c>
      <c r="AN35" s="1404">
        <v>102</v>
      </c>
      <c r="AO35" s="1096">
        <f>'Tax Calulation'!P35</f>
        <v>0</v>
      </c>
      <c r="AP35" s="1096">
        <f>'Tax Calulation'!W35</f>
        <v>5.9084194977843429</v>
      </c>
      <c r="AQ35" s="1686">
        <f t="shared" si="9"/>
        <v>237.14927280990798</v>
      </c>
      <c r="AR35" s="1682">
        <f t="shared" si="23"/>
        <v>150100</v>
      </c>
      <c r="AS35" s="1688">
        <f t="shared" si="24"/>
        <v>200</v>
      </c>
      <c r="AT35" s="502"/>
      <c r="AU35" s="504"/>
      <c r="AV35" s="505"/>
      <c r="AW35" s="502">
        <f t="shared" si="10"/>
        <v>2</v>
      </c>
      <c r="AX35" s="502">
        <f t="shared" si="11"/>
        <v>0</v>
      </c>
      <c r="AY35" s="573">
        <f t="shared" si="25"/>
        <v>200</v>
      </c>
      <c r="AZ35" s="573">
        <f t="shared" si="12"/>
        <v>3</v>
      </c>
      <c r="BA35" s="548">
        <f t="shared" si="13"/>
        <v>0</v>
      </c>
      <c r="BB35" s="548">
        <f t="shared" si="14"/>
        <v>0</v>
      </c>
      <c r="BC35" s="548">
        <f t="shared" si="15"/>
        <v>0</v>
      </c>
      <c r="BD35" s="548">
        <f t="shared" si="16"/>
        <v>0</v>
      </c>
      <c r="BE35" s="548">
        <f t="shared" si="17"/>
        <v>1</v>
      </c>
      <c r="BF35" s="549">
        <f t="shared" si="26"/>
        <v>150100</v>
      </c>
      <c r="BH35" s="628" t="s">
        <v>777</v>
      </c>
      <c r="BI35" s="628" t="s">
        <v>573</v>
      </c>
      <c r="BJ35" s="1155">
        <v>36075</v>
      </c>
      <c r="BK35" s="756" t="s">
        <v>595</v>
      </c>
      <c r="BL35" s="757">
        <v>21051576</v>
      </c>
    </row>
    <row r="36" spans="1:64" s="755" customFormat="1" ht="48" customHeight="1">
      <c r="A36" s="1369">
        <v>30</v>
      </c>
      <c r="B36" s="1418" t="s">
        <v>1149</v>
      </c>
      <c r="C36" s="1330" t="s">
        <v>750</v>
      </c>
      <c r="D36" s="1851">
        <v>43834</v>
      </c>
      <c r="E36" s="1637" t="s">
        <v>260</v>
      </c>
      <c r="F36" s="620">
        <f>185+14+2+3</f>
        <v>204</v>
      </c>
      <c r="G36" s="617">
        <f>2</f>
        <v>2</v>
      </c>
      <c r="H36" s="1001">
        <v>22</v>
      </c>
      <c r="I36" s="1408">
        <f t="shared" si="18"/>
        <v>172.61538461538461</v>
      </c>
      <c r="J36" s="618">
        <f t="shared" si="0"/>
        <v>172.61538461538461</v>
      </c>
      <c r="K36" s="1001">
        <v>52</v>
      </c>
      <c r="L36" s="510">
        <f t="shared" si="19"/>
        <v>1.471153846153846</v>
      </c>
      <c r="M36" s="618">
        <f t="shared" si="20"/>
        <v>76.5</v>
      </c>
      <c r="N36" s="1001">
        <v>0</v>
      </c>
      <c r="O36" s="510">
        <f t="shared" si="1"/>
        <v>1.9615384615384615</v>
      </c>
      <c r="P36" s="503">
        <f t="shared" si="2"/>
        <v>0</v>
      </c>
      <c r="Q36" s="1001">
        <v>24</v>
      </c>
      <c r="R36" s="510">
        <f t="shared" si="3"/>
        <v>1.9615384615384615</v>
      </c>
      <c r="S36" s="618">
        <f t="shared" si="4"/>
        <v>47.076923076923073</v>
      </c>
      <c r="T36" s="1001">
        <v>5</v>
      </c>
      <c r="U36" s="510">
        <f t="shared" si="5"/>
        <v>7.8461538461538458</v>
      </c>
      <c r="V36" s="618">
        <f t="shared" si="6"/>
        <v>39.230769230769226</v>
      </c>
      <c r="W36" s="1001">
        <v>0</v>
      </c>
      <c r="X36" s="618">
        <f>'S2 Salary'!T37*'S2'!W36</f>
        <v>0</v>
      </c>
      <c r="Y36" s="1001">
        <v>0</v>
      </c>
      <c r="Z36" s="510">
        <f t="shared" si="7"/>
        <v>3.9230769230769229</v>
      </c>
      <c r="AA36" s="618">
        <f t="shared" si="21"/>
        <v>0</v>
      </c>
      <c r="AB36" s="1001">
        <v>0</v>
      </c>
      <c r="AC36" s="1468">
        <f t="shared" si="22"/>
        <v>27</v>
      </c>
      <c r="AD36" s="1725">
        <v>0</v>
      </c>
      <c r="AE36" s="1121">
        <v>0</v>
      </c>
      <c r="AF36" s="1412">
        <f>4+1</f>
        <v>5</v>
      </c>
      <c r="AG36" s="511">
        <v>0</v>
      </c>
      <c r="AH36" s="618">
        <v>10</v>
      </c>
      <c r="AI36" s="1410">
        <v>5</v>
      </c>
      <c r="AJ36" s="1410">
        <v>10</v>
      </c>
      <c r="AK36" s="1410">
        <v>10</v>
      </c>
      <c r="AL36" s="1148">
        <f t="shared" si="8"/>
        <v>377.42307692307691</v>
      </c>
      <c r="AM36" s="1278">
        <v>0</v>
      </c>
      <c r="AN36" s="1404">
        <v>102</v>
      </c>
      <c r="AO36" s="1096">
        <f>'Tax Calulation'!P36</f>
        <v>0</v>
      </c>
      <c r="AP36" s="1096">
        <f>'Tax Calulation'!W36</f>
        <v>5.9084194977843429</v>
      </c>
      <c r="AQ36" s="1686">
        <f t="shared" si="9"/>
        <v>269.51465742529257</v>
      </c>
      <c r="AR36" s="1682">
        <f t="shared" si="23"/>
        <v>280800</v>
      </c>
      <c r="AS36" s="1688">
        <f t="shared" si="24"/>
        <v>200</v>
      </c>
      <c r="AT36" s="502"/>
      <c r="AU36" s="504"/>
      <c r="AV36" s="505"/>
      <c r="AW36" s="502">
        <f t="shared" si="10"/>
        <v>2</v>
      </c>
      <c r="AX36" s="502">
        <f t="shared" si="11"/>
        <v>0</v>
      </c>
      <c r="AY36" s="573">
        <f t="shared" si="25"/>
        <v>200</v>
      </c>
      <c r="AZ36" s="573">
        <f t="shared" si="12"/>
        <v>5</v>
      </c>
      <c r="BA36" s="548">
        <f t="shared" si="13"/>
        <v>3</v>
      </c>
      <c r="BB36" s="548">
        <f t="shared" si="14"/>
        <v>0</v>
      </c>
      <c r="BC36" s="548">
        <f t="shared" si="15"/>
        <v>0</v>
      </c>
      <c r="BD36" s="548">
        <f t="shared" si="16"/>
        <v>1</v>
      </c>
      <c r="BE36" s="548">
        <f t="shared" si="17"/>
        <v>3</v>
      </c>
      <c r="BF36" s="549">
        <f t="shared" si="26"/>
        <v>280800</v>
      </c>
      <c r="BH36" s="628" t="s">
        <v>778</v>
      </c>
      <c r="BI36" s="628" t="s">
        <v>573</v>
      </c>
      <c r="BJ36" s="1155">
        <v>35393</v>
      </c>
      <c r="BK36" s="756" t="s">
        <v>596</v>
      </c>
      <c r="BL36" s="757">
        <v>90745406</v>
      </c>
    </row>
    <row r="37" spans="1:64" s="755" customFormat="1" ht="48" customHeight="1">
      <c r="A37" s="1369">
        <v>31</v>
      </c>
      <c r="B37" s="1414" t="s">
        <v>938</v>
      </c>
      <c r="C37" s="1329" t="s">
        <v>905</v>
      </c>
      <c r="D37" s="1841">
        <v>44348</v>
      </c>
      <c r="E37" s="1637" t="s">
        <v>260</v>
      </c>
      <c r="F37" s="617">
        <v>206</v>
      </c>
      <c r="G37" s="617">
        <f>2</f>
        <v>2</v>
      </c>
      <c r="H37" s="1001">
        <v>22</v>
      </c>
      <c r="I37" s="1408">
        <f t="shared" si="18"/>
        <v>174.30769230769232</v>
      </c>
      <c r="J37" s="618">
        <f t="shared" si="0"/>
        <v>174.30769230769232</v>
      </c>
      <c r="K37" s="1001">
        <v>68</v>
      </c>
      <c r="L37" s="510">
        <f t="shared" si="19"/>
        <v>1.4855769230769231</v>
      </c>
      <c r="M37" s="618">
        <f t="shared" si="20"/>
        <v>101.01923076923077</v>
      </c>
      <c r="N37" s="1001">
        <v>0</v>
      </c>
      <c r="O37" s="510">
        <f t="shared" si="1"/>
        <v>1.9807692307692308</v>
      </c>
      <c r="P37" s="503">
        <f t="shared" si="2"/>
        <v>0</v>
      </c>
      <c r="Q37" s="1001">
        <v>24</v>
      </c>
      <c r="R37" s="510">
        <f t="shared" si="3"/>
        <v>1.9807692307692308</v>
      </c>
      <c r="S37" s="618">
        <f t="shared" si="4"/>
        <v>47.53846153846154</v>
      </c>
      <c r="T37" s="1001">
        <v>5</v>
      </c>
      <c r="U37" s="510">
        <f t="shared" si="5"/>
        <v>7.9230769230769234</v>
      </c>
      <c r="V37" s="618">
        <f t="shared" si="6"/>
        <v>39.615384615384613</v>
      </c>
      <c r="W37" s="1001">
        <v>0</v>
      </c>
      <c r="X37" s="618">
        <f>'S2 Salary'!T38*'S2'!W37</f>
        <v>0</v>
      </c>
      <c r="Y37" s="1001">
        <v>0</v>
      </c>
      <c r="Z37" s="510">
        <f t="shared" si="7"/>
        <v>3.9615384615384617</v>
      </c>
      <c r="AA37" s="618">
        <f t="shared" si="21"/>
        <v>0</v>
      </c>
      <c r="AB37" s="1001">
        <v>0</v>
      </c>
      <c r="AC37" s="1468">
        <f t="shared" si="22"/>
        <v>27</v>
      </c>
      <c r="AD37" s="1725">
        <v>0</v>
      </c>
      <c r="AE37" s="1121">
        <v>0</v>
      </c>
      <c r="AF37" s="1412">
        <f>4+4</f>
        <v>8</v>
      </c>
      <c r="AG37" s="511">
        <v>0</v>
      </c>
      <c r="AH37" s="618">
        <v>10</v>
      </c>
      <c r="AI37" s="1410">
        <v>4</v>
      </c>
      <c r="AJ37" s="1410">
        <v>10</v>
      </c>
      <c r="AK37" s="1410">
        <v>10</v>
      </c>
      <c r="AL37" s="1148">
        <f t="shared" si="8"/>
        <v>406.48076923076928</v>
      </c>
      <c r="AM37" s="1278">
        <v>0</v>
      </c>
      <c r="AN37" s="1404">
        <v>102</v>
      </c>
      <c r="AO37" s="1096">
        <f>'Tax Calulation'!P37</f>
        <v>0</v>
      </c>
      <c r="AP37" s="1096">
        <f>'Tax Calulation'!W37</f>
        <v>5.9084194977843429</v>
      </c>
      <c r="AQ37" s="1686">
        <f t="shared" si="9"/>
        <v>298.57234973298495</v>
      </c>
      <c r="AR37" s="1682">
        <f t="shared" si="23"/>
        <v>398200</v>
      </c>
      <c r="AS37" s="1688">
        <f t="shared" ref="AS37:AS38" si="166">CEILING(AQ37,(100))-100</f>
        <v>200</v>
      </c>
      <c r="AT37" s="502"/>
      <c r="AU37" s="504"/>
      <c r="AV37" s="505"/>
      <c r="AW37" s="502">
        <f t="shared" si="10"/>
        <v>2</v>
      </c>
      <c r="AX37" s="502">
        <f t="shared" si="11"/>
        <v>0</v>
      </c>
      <c r="AY37" s="573">
        <f t="shared" ref="AY37:AY38" si="167">AW37*100+AX37*50</f>
        <v>200</v>
      </c>
      <c r="AZ37" s="573">
        <f t="shared" si="12"/>
        <v>7</v>
      </c>
      <c r="BA37" s="548">
        <f t="shared" si="13"/>
        <v>4</v>
      </c>
      <c r="BB37" s="548">
        <f t="shared" si="14"/>
        <v>1</v>
      </c>
      <c r="BC37" s="548">
        <f t="shared" si="15"/>
        <v>3</v>
      </c>
      <c r="BD37" s="548">
        <f t="shared" si="16"/>
        <v>0</v>
      </c>
      <c r="BE37" s="548">
        <f t="shared" si="17"/>
        <v>2</v>
      </c>
      <c r="BF37" s="549">
        <f t="shared" ref="BF37:BF38" si="168">AZ37*50000+BA37*10000+BB37*5000+BC37*1000+BD37*500+BE37*100</f>
        <v>398200</v>
      </c>
      <c r="BH37" s="578" t="s">
        <v>906</v>
      </c>
      <c r="BI37" s="578" t="s">
        <v>573</v>
      </c>
      <c r="BJ37" s="1154">
        <v>34916</v>
      </c>
      <c r="BK37" s="587" t="s">
        <v>909</v>
      </c>
      <c r="BL37" s="745">
        <v>110460941</v>
      </c>
    </row>
    <row r="38" spans="1:64" s="755" customFormat="1" ht="48" customHeight="1">
      <c r="A38" s="1369">
        <v>32</v>
      </c>
      <c r="B38" s="1414" t="s">
        <v>939</v>
      </c>
      <c r="C38" s="1329" t="s">
        <v>925</v>
      </c>
      <c r="D38" s="1841">
        <v>44348</v>
      </c>
      <c r="E38" s="1637" t="s">
        <v>260</v>
      </c>
      <c r="F38" s="617">
        <f>187+14+3</f>
        <v>204</v>
      </c>
      <c r="G38" s="617">
        <f>2</f>
        <v>2</v>
      </c>
      <c r="H38" s="1001">
        <v>21</v>
      </c>
      <c r="I38" s="1408">
        <f t="shared" si="18"/>
        <v>164.76923076923077</v>
      </c>
      <c r="J38" s="618">
        <f t="shared" si="0"/>
        <v>164.76923076923077</v>
      </c>
      <c r="K38" s="1001">
        <v>30</v>
      </c>
      <c r="L38" s="510">
        <f t="shared" si="19"/>
        <v>1.471153846153846</v>
      </c>
      <c r="M38" s="618">
        <f t="shared" si="20"/>
        <v>44.13461538461538</v>
      </c>
      <c r="N38" s="1001">
        <v>0</v>
      </c>
      <c r="O38" s="510">
        <f t="shared" si="1"/>
        <v>1.9615384615384615</v>
      </c>
      <c r="P38" s="503">
        <f t="shared" si="2"/>
        <v>0</v>
      </c>
      <c r="Q38" s="1001">
        <v>24</v>
      </c>
      <c r="R38" s="510">
        <f t="shared" si="3"/>
        <v>1.9615384615384615</v>
      </c>
      <c r="S38" s="618">
        <f t="shared" si="4"/>
        <v>47.076923076923073</v>
      </c>
      <c r="T38" s="1001">
        <v>5</v>
      </c>
      <c r="U38" s="510">
        <f t="shared" si="5"/>
        <v>7.8461538461538458</v>
      </c>
      <c r="V38" s="618">
        <f t="shared" si="6"/>
        <v>39.230769230769226</v>
      </c>
      <c r="W38" s="1001">
        <v>0</v>
      </c>
      <c r="X38" s="618">
        <f>'S2 Salary'!T39*'S2'!W38</f>
        <v>0</v>
      </c>
      <c r="Y38" s="1001">
        <v>0</v>
      </c>
      <c r="Z38" s="510">
        <f t="shared" si="7"/>
        <v>3.9230769230769229</v>
      </c>
      <c r="AA38" s="618">
        <f t="shared" si="21"/>
        <v>0</v>
      </c>
      <c r="AB38" s="1001">
        <v>1</v>
      </c>
      <c r="AC38" s="1468">
        <f t="shared" si="22"/>
        <v>27</v>
      </c>
      <c r="AD38" s="1725">
        <v>0</v>
      </c>
      <c r="AE38" s="1121">
        <v>0</v>
      </c>
      <c r="AF38" s="1412">
        <f>4+1</f>
        <v>5</v>
      </c>
      <c r="AG38" s="511">
        <v>0</v>
      </c>
      <c r="AH38" s="618">
        <v>0</v>
      </c>
      <c r="AI38" s="1410">
        <v>4</v>
      </c>
      <c r="AJ38" s="1410">
        <v>10</v>
      </c>
      <c r="AK38" s="1410">
        <v>10</v>
      </c>
      <c r="AL38" s="1148">
        <f t="shared" si="8"/>
        <v>326.21153846153845</v>
      </c>
      <c r="AM38" s="1278">
        <v>0</v>
      </c>
      <c r="AN38" s="1404">
        <v>102</v>
      </c>
      <c r="AO38" s="1096">
        <f>'Tax Calulation'!P38</f>
        <v>0</v>
      </c>
      <c r="AP38" s="1096">
        <f>'Tax Calulation'!W38</f>
        <v>5.9084194977843429</v>
      </c>
      <c r="AQ38" s="1686">
        <f t="shared" si="9"/>
        <v>218.30311896375412</v>
      </c>
      <c r="AR38" s="1682">
        <f t="shared" si="23"/>
        <v>73900</v>
      </c>
      <c r="AS38" s="1688">
        <f t="shared" si="166"/>
        <v>200</v>
      </c>
      <c r="AT38" s="502"/>
      <c r="AU38" s="504"/>
      <c r="AV38" s="505"/>
      <c r="AW38" s="502">
        <f t="shared" si="10"/>
        <v>2</v>
      </c>
      <c r="AX38" s="502">
        <f t="shared" si="11"/>
        <v>0</v>
      </c>
      <c r="AY38" s="573">
        <f t="shared" si="167"/>
        <v>200</v>
      </c>
      <c r="AZ38" s="573">
        <f t="shared" si="12"/>
        <v>1</v>
      </c>
      <c r="BA38" s="548">
        <f t="shared" si="13"/>
        <v>2</v>
      </c>
      <c r="BB38" s="548">
        <f t="shared" si="14"/>
        <v>0</v>
      </c>
      <c r="BC38" s="548">
        <f t="shared" si="15"/>
        <v>3</v>
      </c>
      <c r="BD38" s="548">
        <f t="shared" si="16"/>
        <v>1</v>
      </c>
      <c r="BE38" s="548">
        <f t="shared" si="17"/>
        <v>4</v>
      </c>
      <c r="BF38" s="549">
        <f t="shared" si="168"/>
        <v>73900</v>
      </c>
      <c r="BH38" s="578" t="s">
        <v>907</v>
      </c>
      <c r="BI38" s="578" t="s">
        <v>573</v>
      </c>
      <c r="BJ38" s="616">
        <v>36687</v>
      </c>
      <c r="BK38" s="587" t="s">
        <v>910</v>
      </c>
      <c r="BL38" s="745">
        <v>21175477</v>
      </c>
    </row>
    <row r="39" spans="1:64" s="755" customFormat="1" ht="48" customHeight="1">
      <c r="A39" s="1369">
        <v>33</v>
      </c>
      <c r="B39" s="1414" t="s">
        <v>1152</v>
      </c>
      <c r="C39" s="1329" t="s">
        <v>557</v>
      </c>
      <c r="D39" s="1841">
        <v>41723</v>
      </c>
      <c r="E39" s="1637" t="s">
        <v>260</v>
      </c>
      <c r="F39" s="617">
        <f>13+154+17+12+8+2</f>
        <v>206</v>
      </c>
      <c r="G39" s="617">
        <f>2</f>
        <v>2</v>
      </c>
      <c r="H39" s="1001">
        <v>22</v>
      </c>
      <c r="I39" s="1408">
        <f t="shared" si="18"/>
        <v>174.30769230769232</v>
      </c>
      <c r="J39" s="618">
        <f t="shared" si="0"/>
        <v>174.30769230769232</v>
      </c>
      <c r="K39" s="1001">
        <v>68</v>
      </c>
      <c r="L39" s="510">
        <f t="shared" si="19"/>
        <v>1.4855769230769231</v>
      </c>
      <c r="M39" s="618">
        <f t="shared" si="20"/>
        <v>101.01923076923077</v>
      </c>
      <c r="N39" s="1001">
        <v>0</v>
      </c>
      <c r="O39" s="510">
        <f t="shared" si="1"/>
        <v>1.9807692307692308</v>
      </c>
      <c r="P39" s="503">
        <f t="shared" si="2"/>
        <v>0</v>
      </c>
      <c r="Q39" s="1001">
        <v>24</v>
      </c>
      <c r="R39" s="510">
        <f t="shared" si="3"/>
        <v>1.9807692307692308</v>
      </c>
      <c r="S39" s="618">
        <f t="shared" si="4"/>
        <v>47.53846153846154</v>
      </c>
      <c r="T39" s="1001">
        <v>5</v>
      </c>
      <c r="U39" s="510">
        <f t="shared" si="5"/>
        <v>7.9230769230769234</v>
      </c>
      <c r="V39" s="618">
        <f t="shared" si="6"/>
        <v>39.615384615384613</v>
      </c>
      <c r="W39" s="1001">
        <v>0</v>
      </c>
      <c r="X39" s="618">
        <f>'S2 Salary'!T40*'S2'!W39</f>
        <v>0</v>
      </c>
      <c r="Y39" s="1001">
        <v>0</v>
      </c>
      <c r="Z39" s="510">
        <f t="shared" si="7"/>
        <v>3.9615384615384617</v>
      </c>
      <c r="AA39" s="618">
        <f t="shared" si="21"/>
        <v>0</v>
      </c>
      <c r="AB39" s="1001">
        <v>0</v>
      </c>
      <c r="AC39" s="1468">
        <f t="shared" si="22"/>
        <v>27</v>
      </c>
      <c r="AD39" s="1725">
        <v>0</v>
      </c>
      <c r="AE39" s="1121">
        <v>0</v>
      </c>
      <c r="AF39" s="1412">
        <f>4+4</f>
        <v>8</v>
      </c>
      <c r="AG39" s="511">
        <v>0</v>
      </c>
      <c r="AH39" s="618">
        <v>10</v>
      </c>
      <c r="AI39" s="1410">
        <v>11</v>
      </c>
      <c r="AJ39" s="1410">
        <v>10</v>
      </c>
      <c r="AK39" s="1410">
        <v>10</v>
      </c>
      <c r="AL39" s="1148">
        <f t="shared" si="8"/>
        <v>413.48076923076928</v>
      </c>
      <c r="AM39" s="1278">
        <v>0</v>
      </c>
      <c r="AN39" s="1404">
        <v>102</v>
      </c>
      <c r="AO39" s="1096">
        <f>'Tax Calulation'!P39</f>
        <v>0</v>
      </c>
      <c r="AP39" s="1096">
        <f>'Tax Calulation'!W39</f>
        <v>5.9084194977843429</v>
      </c>
      <c r="AQ39" s="1686">
        <f t="shared" si="9"/>
        <v>305.57234973298495</v>
      </c>
      <c r="AR39" s="1682">
        <f t="shared" si="23"/>
        <v>22500</v>
      </c>
      <c r="AS39" s="1688">
        <f t="shared" si="24"/>
        <v>300</v>
      </c>
      <c r="AT39" s="502"/>
      <c r="AU39" s="504"/>
      <c r="AV39" s="505"/>
      <c r="AW39" s="502">
        <f t="shared" si="10"/>
        <v>3</v>
      </c>
      <c r="AX39" s="502">
        <f t="shared" si="11"/>
        <v>0</v>
      </c>
      <c r="AY39" s="573">
        <f t="shared" si="25"/>
        <v>300</v>
      </c>
      <c r="AZ39" s="573">
        <f t="shared" si="12"/>
        <v>0</v>
      </c>
      <c r="BA39" s="548">
        <f t="shared" si="13"/>
        <v>2</v>
      </c>
      <c r="BB39" s="548">
        <f t="shared" si="14"/>
        <v>0</v>
      </c>
      <c r="BC39" s="548">
        <f t="shared" si="15"/>
        <v>2</v>
      </c>
      <c r="BD39" s="548">
        <f t="shared" si="16"/>
        <v>1</v>
      </c>
      <c r="BE39" s="548">
        <f t="shared" si="17"/>
        <v>0</v>
      </c>
      <c r="BF39" s="549">
        <f t="shared" si="26"/>
        <v>22500</v>
      </c>
      <c r="BH39" s="578" t="s">
        <v>779</v>
      </c>
      <c r="BI39" s="578" t="s">
        <v>573</v>
      </c>
      <c r="BJ39" s="1154">
        <v>31540</v>
      </c>
      <c r="BK39" s="587" t="s">
        <v>597</v>
      </c>
      <c r="BL39" s="745">
        <v>100419331</v>
      </c>
    </row>
    <row r="40" spans="1:64" s="768" customFormat="1" ht="48" customHeight="1">
      <c r="A40" s="1369">
        <v>34</v>
      </c>
      <c r="B40" s="1595" t="s">
        <v>1153</v>
      </c>
      <c r="C40" s="1855" t="s">
        <v>278</v>
      </c>
      <c r="D40" s="1851">
        <v>41725</v>
      </c>
      <c r="E40" s="1151" t="s">
        <v>260</v>
      </c>
      <c r="F40" s="758">
        <f>13+154+17+12+8+2</f>
        <v>206</v>
      </c>
      <c r="G40" s="758">
        <f>2</f>
        <v>2</v>
      </c>
      <c r="H40" s="1001">
        <v>21</v>
      </c>
      <c r="I40" s="1408">
        <f t="shared" si="18"/>
        <v>166.38461538461539</v>
      </c>
      <c r="J40" s="618">
        <f t="shared" si="0"/>
        <v>166.38461538461539</v>
      </c>
      <c r="K40" s="1001">
        <v>54</v>
      </c>
      <c r="L40" s="761">
        <f t="shared" si="19"/>
        <v>1.4855769230769231</v>
      </c>
      <c r="M40" s="618">
        <f t="shared" si="20"/>
        <v>80.221153846153854</v>
      </c>
      <c r="N40" s="1001">
        <v>0</v>
      </c>
      <c r="O40" s="761">
        <f t="shared" si="1"/>
        <v>1.9807692307692308</v>
      </c>
      <c r="P40" s="760">
        <f t="shared" si="2"/>
        <v>0</v>
      </c>
      <c r="Q40" s="1001">
        <v>16</v>
      </c>
      <c r="R40" s="761">
        <f t="shared" si="3"/>
        <v>1.9807692307692308</v>
      </c>
      <c r="S40" s="788">
        <f t="shared" si="4"/>
        <v>31.692307692307693</v>
      </c>
      <c r="T40" s="1001">
        <v>6</v>
      </c>
      <c r="U40" s="761">
        <f t="shared" si="5"/>
        <v>7.9230769230769234</v>
      </c>
      <c r="V40" s="618">
        <f t="shared" si="6"/>
        <v>47.53846153846154</v>
      </c>
      <c r="W40" s="1001">
        <v>0</v>
      </c>
      <c r="X40" s="618">
        <f>'S2 Salary'!T41*'S2'!W40</f>
        <v>0</v>
      </c>
      <c r="Y40" s="1001">
        <v>0</v>
      </c>
      <c r="Z40" s="761">
        <f t="shared" si="7"/>
        <v>3.9615384615384617</v>
      </c>
      <c r="AA40" s="618">
        <f t="shared" si="21"/>
        <v>0</v>
      </c>
      <c r="AB40" s="1001">
        <v>0</v>
      </c>
      <c r="AC40" s="1468">
        <f t="shared" si="22"/>
        <v>27</v>
      </c>
      <c r="AD40" s="1725">
        <v>0</v>
      </c>
      <c r="AE40" s="1121">
        <v>0</v>
      </c>
      <c r="AF40" s="1413">
        <f>4+4</f>
        <v>8</v>
      </c>
      <c r="AG40" s="762">
        <v>0</v>
      </c>
      <c r="AH40" s="618">
        <v>10</v>
      </c>
      <c r="AI40" s="1411">
        <v>11</v>
      </c>
      <c r="AJ40" s="1410">
        <v>10</v>
      </c>
      <c r="AK40" s="1410">
        <v>10</v>
      </c>
      <c r="AL40" s="1148">
        <f t="shared" si="8"/>
        <v>376.83653846153845</v>
      </c>
      <c r="AM40" s="1280">
        <v>0.5</v>
      </c>
      <c r="AN40" s="1404">
        <v>102</v>
      </c>
      <c r="AO40" s="1096">
        <f>'Tax Calulation'!P40</f>
        <v>0</v>
      </c>
      <c r="AP40" s="1096">
        <f>'Tax Calulation'!W40</f>
        <v>5.9084194977843429</v>
      </c>
      <c r="AQ40" s="1686">
        <f t="shared" si="9"/>
        <v>268.42811896375412</v>
      </c>
      <c r="AR40" s="1682">
        <f t="shared" si="23"/>
        <v>276400</v>
      </c>
      <c r="AS40" s="1689">
        <f t="shared" si="24"/>
        <v>200</v>
      </c>
      <c r="AT40" s="612"/>
      <c r="AU40" s="763"/>
      <c r="AV40" s="764">
        <f>(J40+M40+P40+S40+V40+AA40+AH40+AI40+AJ40+AK40)*4000</f>
        <v>1467346.1538461538</v>
      </c>
      <c r="AW40" s="612">
        <f t="shared" si="10"/>
        <v>2</v>
      </c>
      <c r="AX40" s="612">
        <f t="shared" si="11"/>
        <v>0</v>
      </c>
      <c r="AY40" s="765">
        <f t="shared" si="25"/>
        <v>200</v>
      </c>
      <c r="AZ40" s="765">
        <f t="shared" si="12"/>
        <v>5</v>
      </c>
      <c r="BA40" s="766">
        <f t="shared" si="13"/>
        <v>2</v>
      </c>
      <c r="BB40" s="766">
        <f t="shared" si="14"/>
        <v>1</v>
      </c>
      <c r="BC40" s="766">
        <f t="shared" si="15"/>
        <v>1</v>
      </c>
      <c r="BD40" s="766">
        <f t="shared" si="16"/>
        <v>0</v>
      </c>
      <c r="BE40" s="766">
        <f t="shared" si="17"/>
        <v>4</v>
      </c>
      <c r="BF40" s="767">
        <f t="shared" si="26"/>
        <v>276400</v>
      </c>
      <c r="BH40" s="625" t="s">
        <v>780</v>
      </c>
      <c r="BI40" s="625" t="s">
        <v>573</v>
      </c>
      <c r="BJ40" s="1155">
        <v>29222</v>
      </c>
      <c r="BK40" s="756" t="s">
        <v>598</v>
      </c>
      <c r="BL40" s="757" t="s">
        <v>1799</v>
      </c>
    </row>
    <row r="41" spans="1:64" ht="48.75" customHeight="1">
      <c r="A41" s="535" t="s">
        <v>214</v>
      </c>
      <c r="B41" s="536"/>
      <c r="C41" s="750"/>
      <c r="D41" s="536"/>
      <c r="E41" s="536"/>
      <c r="F41" s="536"/>
      <c r="G41" s="536"/>
      <c r="H41" s="536"/>
      <c r="I41" s="536"/>
      <c r="J41" s="536"/>
      <c r="K41" s="536"/>
      <c r="L41" s="536"/>
      <c r="M41" s="536"/>
      <c r="N41" s="536"/>
      <c r="O41" s="536"/>
      <c r="P41" s="536"/>
      <c r="Q41" s="536"/>
      <c r="R41" s="536"/>
      <c r="S41" s="536"/>
      <c r="T41" s="536"/>
      <c r="U41" s="536"/>
      <c r="V41" s="536"/>
      <c r="W41" s="536"/>
      <c r="X41" s="950">
        <f>SUM(X7:X40)</f>
        <v>88.967035940986079</v>
      </c>
      <c r="Y41" s="536"/>
      <c r="Z41" s="536"/>
      <c r="AA41" s="536"/>
      <c r="AB41" s="536"/>
      <c r="AC41" s="536"/>
      <c r="AD41" s="558">
        <f>SUM(AD7:AD40)</f>
        <v>0</v>
      </c>
      <c r="AE41" s="1114">
        <f>SUM(AE7:AE40)</f>
        <v>0</v>
      </c>
      <c r="AF41" s="536"/>
      <c r="AG41" s="1290">
        <f>SUM(AG7:AG40)</f>
        <v>5</v>
      </c>
      <c r="AH41" s="1290"/>
      <c r="AI41" s="1290"/>
      <c r="AJ41" s="622">
        <f t="shared" ref="AJ41:AS41" si="169">SUM(AJ7:AJ40)</f>
        <v>340</v>
      </c>
      <c r="AK41" s="622">
        <f t="shared" si="169"/>
        <v>340</v>
      </c>
      <c r="AL41" s="623">
        <f t="shared" si="169"/>
        <v>13436.303574402526</v>
      </c>
      <c r="AM41" s="1271">
        <f t="shared" si="169"/>
        <v>6</v>
      </c>
      <c r="AN41" s="809">
        <f t="shared" si="169"/>
        <v>3468</v>
      </c>
      <c r="AO41" s="623">
        <f t="shared" si="169"/>
        <v>7.7987259492093068</v>
      </c>
      <c r="AP41" s="623">
        <f t="shared" si="169"/>
        <v>200.88626292466753</v>
      </c>
      <c r="AQ41" s="623">
        <f t="shared" si="169"/>
        <v>9753.6185855286494</v>
      </c>
      <c r="AR41" s="1336">
        <f t="shared" si="169"/>
        <v>7892400</v>
      </c>
      <c r="AS41" s="1613">
        <f t="shared" si="169"/>
        <v>7800</v>
      </c>
      <c r="AT41" s="635"/>
      <c r="AU41" s="501"/>
      <c r="AV41" s="552"/>
      <c r="AW41" s="573">
        <f t="shared" ref="AW41:BF41" si="170">SUM(AW7:AW40)</f>
        <v>78</v>
      </c>
      <c r="AX41" s="573">
        <f t="shared" si="170"/>
        <v>0</v>
      </c>
      <c r="AY41" s="507">
        <f t="shared" si="170"/>
        <v>7800</v>
      </c>
      <c r="AZ41" s="573">
        <f t="shared" si="170"/>
        <v>141</v>
      </c>
      <c r="BA41" s="573">
        <f t="shared" si="170"/>
        <v>68</v>
      </c>
      <c r="BB41" s="573">
        <f t="shared" si="170"/>
        <v>18</v>
      </c>
      <c r="BC41" s="573">
        <f t="shared" si="170"/>
        <v>58</v>
      </c>
      <c r="BD41" s="573">
        <f t="shared" si="170"/>
        <v>15</v>
      </c>
      <c r="BE41" s="573">
        <f t="shared" si="170"/>
        <v>69</v>
      </c>
      <c r="BF41" s="553">
        <f t="shared" si="170"/>
        <v>7892400</v>
      </c>
    </row>
    <row r="42" spans="1:64">
      <c r="A42" s="552"/>
      <c r="B42" s="552"/>
      <c r="C42" s="567"/>
      <c r="D42" s="508"/>
      <c r="E42" s="552"/>
      <c r="F42" s="554"/>
      <c r="G42" s="552"/>
      <c r="H42" s="552"/>
      <c r="I42" s="552"/>
      <c r="J42" s="629"/>
      <c r="K42" s="552"/>
      <c r="L42" s="552"/>
      <c r="M42" s="552"/>
      <c r="N42" s="552"/>
      <c r="O42" s="552"/>
      <c r="P42" s="552"/>
      <c r="Q42" s="552"/>
      <c r="R42" s="552"/>
      <c r="S42" s="552"/>
      <c r="T42" s="552"/>
      <c r="U42" s="552"/>
      <c r="V42" s="552"/>
      <c r="W42" s="552"/>
      <c r="X42" s="552"/>
      <c r="Y42" s="552"/>
      <c r="Z42" s="552"/>
      <c r="AA42" s="552"/>
      <c r="AB42" s="552"/>
      <c r="AC42" s="552"/>
      <c r="AD42" s="552"/>
      <c r="AE42" s="552"/>
      <c r="AF42" s="552"/>
      <c r="AG42" s="552"/>
      <c r="AH42" s="552"/>
      <c r="AI42" s="552"/>
      <c r="AJ42" s="552"/>
      <c r="AK42" s="552"/>
      <c r="AL42" s="552"/>
      <c r="AM42" s="552"/>
      <c r="AN42" s="552"/>
      <c r="AO42" s="552"/>
      <c r="AP42" s="552"/>
      <c r="AQ42" s="552"/>
      <c r="AR42" s="552"/>
      <c r="AS42" s="552"/>
      <c r="AT42" s="552"/>
      <c r="AU42" s="552"/>
      <c r="AV42" s="552"/>
      <c r="AW42" s="552"/>
      <c r="AX42" s="552"/>
      <c r="AY42" s="552"/>
      <c r="AZ42" s="552"/>
      <c r="BA42" s="552"/>
    </row>
    <row r="43" spans="1:64" s="1355" customFormat="1" ht="27" customHeight="1">
      <c r="A43" s="1355" t="s">
        <v>213</v>
      </c>
      <c r="C43" s="1358"/>
      <c r="F43" s="1359"/>
      <c r="L43" s="1355" t="s">
        <v>2168</v>
      </c>
      <c r="AF43" s="1357" t="s">
        <v>445</v>
      </c>
      <c r="AG43" s="1357"/>
      <c r="AS43" s="1355" t="s">
        <v>212</v>
      </c>
    </row>
    <row r="44" spans="1:64">
      <c r="A44" s="552"/>
      <c r="B44" s="552"/>
      <c r="C44" s="567"/>
      <c r="D44" s="508"/>
      <c r="E44" s="552"/>
      <c r="F44" s="554"/>
      <c r="G44" s="552"/>
      <c r="H44" s="552"/>
      <c r="I44" s="552"/>
      <c r="J44" s="629"/>
      <c r="K44" s="552"/>
      <c r="L44" s="552"/>
      <c r="M44" s="552"/>
      <c r="N44" s="552"/>
      <c r="O44" s="552"/>
      <c r="P44" s="552"/>
      <c r="Q44" s="552"/>
      <c r="R44" s="552"/>
      <c r="S44" s="552"/>
      <c r="T44" s="552"/>
      <c r="U44" s="552"/>
      <c r="V44" s="552"/>
      <c r="W44" s="552"/>
      <c r="X44" s="552"/>
      <c r="Y44" s="552"/>
      <c r="Z44" s="552"/>
      <c r="AA44" s="552"/>
      <c r="AB44" s="552"/>
      <c r="AC44" s="552"/>
      <c r="AD44" s="552"/>
      <c r="AE44" s="552"/>
      <c r="AF44" s="552"/>
      <c r="AG44" s="552"/>
      <c r="AH44" s="552"/>
      <c r="AI44" s="552"/>
      <c r="AJ44" s="552"/>
      <c r="AK44" s="552"/>
      <c r="AL44" s="552"/>
      <c r="AM44" s="552"/>
      <c r="AN44" s="552"/>
      <c r="AO44" s="552"/>
      <c r="AP44" s="552"/>
      <c r="AQ44" s="552"/>
      <c r="AR44" s="552"/>
      <c r="AS44" s="552"/>
      <c r="AT44" s="552"/>
      <c r="AU44" s="552"/>
      <c r="AV44" s="552"/>
      <c r="AW44" s="552"/>
      <c r="AX44" s="552"/>
      <c r="AY44" s="552"/>
      <c r="AZ44" s="552"/>
      <c r="BA44" s="552"/>
    </row>
  </sheetData>
  <mergeCells count="32">
    <mergeCell ref="BI5:BI6"/>
    <mergeCell ref="BJ5:BJ6"/>
    <mergeCell ref="BK5:BK6"/>
    <mergeCell ref="BL5:BL6"/>
    <mergeCell ref="W5:X5"/>
    <mergeCell ref="H5:J5"/>
    <mergeCell ref="K5:M5"/>
    <mergeCell ref="N5:P5"/>
    <mergeCell ref="Q5:S5"/>
    <mergeCell ref="T5:V5"/>
    <mergeCell ref="A1:AT1"/>
    <mergeCell ref="A2:AT2"/>
    <mergeCell ref="A3:AT3"/>
    <mergeCell ref="AN5:AN6"/>
    <mergeCell ref="AT5:AT6"/>
    <mergeCell ref="AO5:AO6"/>
    <mergeCell ref="AQ5:AS5"/>
    <mergeCell ref="C4:F4"/>
    <mergeCell ref="AJ5:AJ6"/>
    <mergeCell ref="AK5:AK6"/>
    <mergeCell ref="AL5:AL6"/>
    <mergeCell ref="AM5:AM6"/>
    <mergeCell ref="Y5:AA5"/>
    <mergeCell ref="AB5:AB6"/>
    <mergeCell ref="AD5:AD6"/>
    <mergeCell ref="AF5:AF6"/>
    <mergeCell ref="AW4:BF4"/>
    <mergeCell ref="AI5:AI6"/>
    <mergeCell ref="AW5:AY5"/>
    <mergeCell ref="BB5:BF5"/>
    <mergeCell ref="AH5:AH6"/>
    <mergeCell ref="AP5:AP6"/>
  </mergeCells>
  <phoneticPr fontId="171" type="noConversion"/>
  <pageMargins left="0" right="0" top="0" bottom="0" header="0" footer="0"/>
  <pageSetup paperSize="9" scale="37" orientation="landscape" horizontalDpi="4294967293" r:id="rId1"/>
  <rowBreaks count="1" manualBreakCount="1">
    <brk id="28" max="45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41"/>
  <sheetViews>
    <sheetView workbookViewId="0">
      <pane xSplit="4" ySplit="6" topLeftCell="T37" activePane="bottomRight" state="frozen"/>
      <selection pane="topRight" activeCell="E1" sqref="E1"/>
      <selection pane="bottomLeft" activeCell="A7" sqref="A7"/>
      <selection pane="bottomRight" activeCell="W40" sqref="W40"/>
    </sheetView>
  </sheetViews>
  <sheetFormatPr defaultRowHeight="15.75"/>
  <cols>
    <col min="1" max="1" width="3.75" style="474" customWidth="1"/>
    <col min="2" max="2" width="7.75" style="474" customWidth="1"/>
    <col min="3" max="3" width="11.625" style="476" customWidth="1"/>
    <col min="4" max="4" width="10.625" style="475" customWidth="1"/>
    <col min="5" max="5" width="6.375" style="500" customWidth="1"/>
    <col min="6" max="6" width="13.75" style="474" customWidth="1"/>
    <col min="7" max="7" width="9.125" style="474" bestFit="1" customWidth="1"/>
    <col min="8" max="8" width="13.75" style="474" bestFit="1" customWidth="1"/>
    <col min="9" max="10" width="7.375" style="477" customWidth="1"/>
    <col min="11" max="11" width="9" style="474"/>
    <col min="12" max="12" width="10.875" style="474" customWidth="1"/>
    <col min="13" max="13" width="9" style="474"/>
    <col min="14" max="14" width="11.875" style="474" customWidth="1"/>
    <col min="15" max="15" width="15.5" style="474" customWidth="1"/>
    <col min="16" max="16" width="15.125" style="474" customWidth="1"/>
    <col min="17" max="17" width="9" style="474"/>
    <col min="18" max="18" width="15.625" style="474" customWidth="1"/>
    <col min="19" max="19" width="16.25" style="474" customWidth="1"/>
    <col min="20" max="21" width="14.375" style="474" customWidth="1"/>
    <col min="22" max="23" width="14.625" style="474" customWidth="1"/>
    <col min="24" max="16384" width="9" style="474"/>
  </cols>
  <sheetData>
    <row r="1" spans="1:39" s="479" customFormat="1" ht="29.25" customHeight="1">
      <c r="A1" s="2127" t="s">
        <v>222</v>
      </c>
      <c r="B1" s="2127"/>
      <c r="C1" s="2127"/>
      <c r="D1" s="2127"/>
      <c r="E1" s="2127"/>
      <c r="F1" s="2127"/>
      <c r="G1" s="2127"/>
      <c r="H1" s="2127"/>
      <c r="I1" s="2127"/>
      <c r="J1" s="2127"/>
      <c r="K1" s="2127"/>
      <c r="L1" s="2127"/>
      <c r="M1" s="2127"/>
      <c r="N1" s="2127"/>
      <c r="O1" s="2127"/>
      <c r="P1" s="2127"/>
      <c r="R1" s="2126" t="s">
        <v>222</v>
      </c>
      <c r="S1" s="2126"/>
      <c r="T1" s="2126"/>
      <c r="U1" s="2126"/>
      <c r="V1" s="2126"/>
      <c r="W1" s="2126"/>
    </row>
    <row r="2" spans="1:39" s="479" customFormat="1" ht="20.25" customHeight="1">
      <c r="A2" s="2127" t="s">
        <v>221</v>
      </c>
      <c r="B2" s="2127"/>
      <c r="C2" s="2127"/>
      <c r="D2" s="2127"/>
      <c r="E2" s="2127"/>
      <c r="F2" s="2127"/>
      <c r="G2" s="2127"/>
      <c r="H2" s="2127"/>
      <c r="I2" s="2127"/>
      <c r="J2" s="2127"/>
      <c r="K2" s="2127"/>
      <c r="L2" s="2127"/>
      <c r="M2" s="2127"/>
      <c r="N2" s="2127"/>
      <c r="O2" s="2127"/>
      <c r="P2" s="2127"/>
      <c r="R2" s="2126" t="s">
        <v>1807</v>
      </c>
      <c r="S2" s="2126"/>
      <c r="T2" s="2126"/>
      <c r="U2" s="2126"/>
      <c r="V2" s="2126"/>
      <c r="W2" s="2126"/>
    </row>
    <row r="3" spans="1:39" s="479" customFormat="1" ht="19.5" customHeight="1">
      <c r="A3" s="2126" t="s">
        <v>2354</v>
      </c>
      <c r="B3" s="2126"/>
      <c r="C3" s="2126"/>
      <c r="D3" s="2126"/>
      <c r="E3" s="2126"/>
      <c r="F3" s="2126"/>
      <c r="G3" s="2126"/>
      <c r="H3" s="2126"/>
      <c r="I3" s="2126"/>
      <c r="J3" s="2126"/>
      <c r="K3" s="2126"/>
      <c r="L3" s="2126"/>
      <c r="M3" s="2126"/>
      <c r="N3" s="2126"/>
      <c r="O3" s="2126"/>
      <c r="P3" s="2126"/>
      <c r="R3" s="2126" t="s">
        <v>2351</v>
      </c>
      <c r="S3" s="2126"/>
      <c r="T3" s="2126"/>
      <c r="U3" s="2126"/>
      <c r="V3" s="2126"/>
      <c r="W3" s="2126"/>
    </row>
    <row r="4" spans="1:39" s="479" customFormat="1" ht="20.25" customHeight="1" thickBot="1">
      <c r="A4" s="2128" t="s">
        <v>268</v>
      </c>
      <c r="B4" s="2128"/>
      <c r="C4" s="2128"/>
      <c r="D4" s="2128"/>
      <c r="E4" s="2128"/>
      <c r="I4" s="564"/>
      <c r="J4" s="564"/>
    </row>
    <row r="5" spans="1:39" s="473" customFormat="1" ht="63" customHeight="1" thickTop="1">
      <c r="A5" s="482" t="s">
        <v>223</v>
      </c>
      <c r="B5" s="482" t="s">
        <v>224</v>
      </c>
      <c r="C5" s="482" t="s">
        <v>225</v>
      </c>
      <c r="D5" s="482" t="s">
        <v>226</v>
      </c>
      <c r="E5" s="498" t="s">
        <v>227</v>
      </c>
      <c r="F5" s="482" t="s">
        <v>228</v>
      </c>
      <c r="G5" s="482" t="s">
        <v>229</v>
      </c>
      <c r="H5" s="482" t="s">
        <v>230</v>
      </c>
      <c r="I5" s="482" t="s">
        <v>231</v>
      </c>
      <c r="J5" s="482" t="s">
        <v>232</v>
      </c>
      <c r="K5" s="482" t="s">
        <v>233</v>
      </c>
      <c r="L5" s="482" t="s">
        <v>234</v>
      </c>
      <c r="M5" s="482" t="s">
        <v>235</v>
      </c>
      <c r="N5" s="482" t="s">
        <v>236</v>
      </c>
      <c r="O5" s="482" t="s">
        <v>237</v>
      </c>
      <c r="P5" s="482" t="s">
        <v>238</v>
      </c>
      <c r="Q5" s="483"/>
      <c r="R5" s="1203" t="s">
        <v>1810</v>
      </c>
      <c r="S5" s="1203" t="s">
        <v>1811</v>
      </c>
      <c r="T5" s="498" t="s">
        <v>1812</v>
      </c>
      <c r="U5" s="498" t="s">
        <v>1809</v>
      </c>
      <c r="V5" s="498" t="s">
        <v>1813</v>
      </c>
      <c r="W5" s="498" t="s">
        <v>1814</v>
      </c>
      <c r="X5" s="483"/>
      <c r="Y5" s="483"/>
      <c r="Z5" s="483"/>
      <c r="AA5" s="484"/>
      <c r="AB5" s="484"/>
      <c r="AC5" s="484"/>
      <c r="AD5" s="484"/>
      <c r="AE5" s="484"/>
      <c r="AF5" s="484"/>
      <c r="AG5" s="484"/>
      <c r="AH5" s="484"/>
      <c r="AI5" s="484"/>
      <c r="AJ5" s="484"/>
      <c r="AK5" s="484"/>
      <c r="AL5" s="484"/>
      <c r="AM5" s="484"/>
    </row>
    <row r="6" spans="1:39" s="473" customFormat="1" ht="33" customHeight="1">
      <c r="A6" s="485" t="s">
        <v>111</v>
      </c>
      <c r="B6" s="485" t="s">
        <v>239</v>
      </c>
      <c r="C6" s="485" t="s">
        <v>87</v>
      </c>
      <c r="D6" s="486" t="s">
        <v>240</v>
      </c>
      <c r="E6" s="499" t="s">
        <v>218</v>
      </c>
      <c r="F6" s="492" t="s">
        <v>241</v>
      </c>
      <c r="G6" s="492" t="s">
        <v>242</v>
      </c>
      <c r="H6" s="492" t="s">
        <v>243</v>
      </c>
      <c r="I6" s="492" t="s">
        <v>244</v>
      </c>
      <c r="J6" s="493" t="s">
        <v>245</v>
      </c>
      <c r="K6" s="492" t="s">
        <v>246</v>
      </c>
      <c r="L6" s="493" t="s">
        <v>247</v>
      </c>
      <c r="M6" s="492" t="s">
        <v>248</v>
      </c>
      <c r="N6" s="492"/>
      <c r="O6" s="492" t="s">
        <v>249</v>
      </c>
      <c r="P6" s="492" t="s">
        <v>250</v>
      </c>
      <c r="Q6" s="487"/>
      <c r="R6" s="1154"/>
      <c r="S6" s="1169"/>
      <c r="T6" s="1169" t="s">
        <v>1806</v>
      </c>
      <c r="U6" s="488">
        <v>4062</v>
      </c>
      <c r="V6" s="1183">
        <v>0.02</v>
      </c>
      <c r="W6" s="488">
        <v>4062</v>
      </c>
      <c r="X6" s="487"/>
      <c r="Y6" s="487"/>
      <c r="Z6" s="487"/>
      <c r="AA6" s="481"/>
      <c r="AB6" s="481"/>
      <c r="AC6" s="481"/>
      <c r="AD6" s="481"/>
      <c r="AE6" s="481"/>
      <c r="AF6" s="481"/>
      <c r="AG6" s="484"/>
      <c r="AH6" s="484"/>
      <c r="AI6" s="484"/>
      <c r="AJ6" s="484"/>
      <c r="AK6" s="484"/>
      <c r="AL6" s="484"/>
      <c r="AM6" s="484"/>
    </row>
    <row r="7" spans="1:39" s="477" customFormat="1" ht="31.5" customHeight="1">
      <c r="A7" s="478">
        <v>1</v>
      </c>
      <c r="B7" s="957" t="s">
        <v>428</v>
      </c>
      <c r="C7" s="615" t="s">
        <v>486</v>
      </c>
      <c r="D7" s="1563">
        <v>41316</v>
      </c>
      <c r="E7" s="513" t="s">
        <v>260</v>
      </c>
      <c r="F7" s="494">
        <f>'S2'!AL7-'S2'!AD7-'S2'!AJ7-'S2'!AK7-'S2'!AE7-'S2'!AG7-W7</f>
        <v>573.62824252432426</v>
      </c>
      <c r="G7" s="495">
        <v>4062</v>
      </c>
      <c r="H7" s="488">
        <f>F7*G7</f>
        <v>2330077.9211338051</v>
      </c>
      <c r="I7" s="480"/>
      <c r="J7" s="520">
        <v>2</v>
      </c>
      <c r="K7" s="488">
        <f t="shared" ref="K7:K40" si="0">150000*(J7+I7)</f>
        <v>300000</v>
      </c>
      <c r="L7" s="488">
        <f t="shared" ref="L7:L40" si="1">H7-K7</f>
        <v>2030077.9211338051</v>
      </c>
      <c r="M7" s="489">
        <f>IF(L7&gt;=12500000,20%,IF(L7&gt;=8500001,15%,IF(L7&gt;=2000001,10%,IF(L7&gt;=1500001,5%,0%))))</f>
        <v>0.1</v>
      </c>
      <c r="N7" s="488">
        <f>IF(M7=5%,75000,IF(M7=10%,175000,0))</f>
        <v>175000</v>
      </c>
      <c r="O7" s="490">
        <f t="shared" ref="O7:O40" si="2">L7*M7-N7</f>
        <v>28007.792113380507</v>
      </c>
      <c r="P7" s="491">
        <f>O7/4062</f>
        <v>6.895074375524497</v>
      </c>
      <c r="R7" s="1186">
        <v>32540</v>
      </c>
      <c r="S7" s="1170">
        <v>44835</v>
      </c>
      <c r="T7" s="1174">
        <f>'S2'!AL7-'S2'!AE7</f>
        <v>599.53666202210866</v>
      </c>
      <c r="U7" s="1177">
        <f>T7*4062</f>
        <v>2435317.9211338055</v>
      </c>
      <c r="V7" s="1181">
        <f>IF(YEARFRAC(R7,S7)&gt;=60,"0",IF(U7&lt;400000,400000*2%,IF(U7&gt;1200000,1200000*2%,U7*2%)))</f>
        <v>24000</v>
      </c>
      <c r="W7" s="1194">
        <f>V7/4062</f>
        <v>5.9084194977843429</v>
      </c>
    </row>
    <row r="8" spans="1:39" s="477" customFormat="1" ht="31.5" customHeight="1">
      <c r="A8" s="478">
        <v>2</v>
      </c>
      <c r="B8" s="957" t="s">
        <v>270</v>
      </c>
      <c r="C8" s="615" t="s">
        <v>487</v>
      </c>
      <c r="D8" s="1563">
        <v>41346</v>
      </c>
      <c r="E8" s="513" t="s">
        <v>260</v>
      </c>
      <c r="F8" s="494">
        <f>'S2'!AL8-'S2'!AD8-'S2'!AJ8-'S2'!AK8-'S2'!AE8-'S2'!AG8-W8</f>
        <v>386.82751070453219</v>
      </c>
      <c r="G8" s="495">
        <v>4062</v>
      </c>
      <c r="H8" s="488">
        <f t="shared" ref="H8:H40" si="3">F8*G8</f>
        <v>1571293.3484818097</v>
      </c>
      <c r="I8" s="480"/>
      <c r="J8" s="520">
        <v>1</v>
      </c>
      <c r="K8" s="488">
        <f t="shared" si="0"/>
        <v>150000</v>
      </c>
      <c r="L8" s="488">
        <f t="shared" si="1"/>
        <v>1421293.3484818097</v>
      </c>
      <c r="M8" s="489">
        <f t="shared" ref="M8:M40" si="4">IF(L8&gt;=12500000,20%,IF(L8&gt;=8500001,15%,IF(L8&gt;=2000001,10%,IF(L8&gt;=1500001,5%,0%))))</f>
        <v>0</v>
      </c>
      <c r="N8" s="488">
        <f t="shared" ref="N8:N40" si="5">IF(M8=5%,75000,IF(M8=10%,175000,0))</f>
        <v>0</v>
      </c>
      <c r="O8" s="490">
        <f t="shared" si="2"/>
        <v>0</v>
      </c>
      <c r="P8" s="491">
        <f t="shared" ref="P8:P40" si="6">O8/4062</f>
        <v>0</v>
      </c>
      <c r="R8" s="1186">
        <v>25720</v>
      </c>
      <c r="S8" s="1170">
        <v>44835</v>
      </c>
      <c r="T8" s="1174">
        <f>'S2'!AL8-'S2'!AE8</f>
        <v>412.73593020231652</v>
      </c>
      <c r="U8" s="1177">
        <f t="shared" ref="U8:U40" si="7">T8*4062</f>
        <v>1676533.3484818097</v>
      </c>
      <c r="V8" s="1181">
        <f t="shared" ref="V8:V40" si="8">IF(YEARFRAC(R8,S8)&gt;=60,"0",IF(U8&lt;400000,400000*2%,IF(U8&gt;1200000,1200000*2%,U8*2%)))</f>
        <v>24000</v>
      </c>
      <c r="W8" s="1194">
        <f t="shared" ref="W8:W40" si="9">V8/4062</f>
        <v>5.9084194977843429</v>
      </c>
    </row>
    <row r="9" spans="1:39" s="477" customFormat="1" ht="31.5" customHeight="1">
      <c r="A9" s="478">
        <v>3</v>
      </c>
      <c r="B9" s="645" t="s">
        <v>271</v>
      </c>
      <c r="C9" s="613" t="s">
        <v>272</v>
      </c>
      <c r="D9" s="1563">
        <v>42493</v>
      </c>
      <c r="E9" s="513" t="s">
        <v>260</v>
      </c>
      <c r="F9" s="494">
        <f>'S2'!AL9-'S2'!AD9-'S2'!AJ9-'S2'!AK9-'S2'!AE9-'S2'!AG9-W9</f>
        <v>385.57234973298495</v>
      </c>
      <c r="G9" s="495">
        <v>4062</v>
      </c>
      <c r="H9" s="488">
        <f t="shared" si="3"/>
        <v>1566194.8846153847</v>
      </c>
      <c r="I9" s="480"/>
      <c r="J9" s="520">
        <v>3</v>
      </c>
      <c r="K9" s="488">
        <f t="shared" si="0"/>
        <v>450000</v>
      </c>
      <c r="L9" s="488">
        <f t="shared" si="1"/>
        <v>1116194.8846153847</v>
      </c>
      <c r="M9" s="489">
        <f t="shared" si="4"/>
        <v>0</v>
      </c>
      <c r="N9" s="488">
        <f t="shared" si="5"/>
        <v>0</v>
      </c>
      <c r="O9" s="490">
        <f t="shared" si="2"/>
        <v>0</v>
      </c>
      <c r="P9" s="491">
        <f t="shared" si="6"/>
        <v>0</v>
      </c>
      <c r="R9" s="1186">
        <v>29408</v>
      </c>
      <c r="S9" s="1170">
        <v>44835</v>
      </c>
      <c r="T9" s="1174">
        <f>'S2'!AL9-'S2'!AE9</f>
        <v>411.48076923076928</v>
      </c>
      <c r="U9" s="1177">
        <f t="shared" si="7"/>
        <v>1671434.8846153847</v>
      </c>
      <c r="V9" s="1181">
        <f t="shared" si="8"/>
        <v>24000</v>
      </c>
      <c r="W9" s="1194">
        <f t="shared" si="9"/>
        <v>5.9084194977843429</v>
      </c>
    </row>
    <row r="10" spans="1:39" s="477" customFormat="1" ht="31.5" customHeight="1">
      <c r="A10" s="478">
        <v>4</v>
      </c>
      <c r="B10" s="957" t="s">
        <v>2117</v>
      </c>
      <c r="C10" s="615" t="s">
        <v>2113</v>
      </c>
      <c r="D10" s="514">
        <v>42815</v>
      </c>
      <c r="E10" s="513" t="s">
        <v>260</v>
      </c>
      <c r="F10" s="494">
        <f>'S2'!AL10-'S2'!AD10-'S2'!AJ10-'S2'!AK10-'S2'!AE10-'S2'!AG10-W10</f>
        <v>373.05311896375412</v>
      </c>
      <c r="G10" s="495">
        <v>4062</v>
      </c>
      <c r="H10" s="488">
        <f t="shared" ref="H10" si="10">F10*G10</f>
        <v>1515341.7692307692</v>
      </c>
      <c r="I10" s="480"/>
      <c r="J10" s="520">
        <v>1</v>
      </c>
      <c r="K10" s="488">
        <f t="shared" ref="K10" si="11">150000*(J10+I10)</f>
        <v>150000</v>
      </c>
      <c r="L10" s="488">
        <f t="shared" ref="L10" si="12">H10-K10</f>
        <v>1365341.7692307692</v>
      </c>
      <c r="M10" s="489">
        <f t="shared" ref="M10" si="13">IF(L10&gt;=12500000,20%,IF(L10&gt;=8500001,15%,IF(L10&gt;=2000001,10%,IF(L10&gt;=1500001,5%,0%))))</f>
        <v>0</v>
      </c>
      <c r="N10" s="488">
        <f t="shared" ref="N10" si="14">IF(M10=5%,75000,IF(M10=10%,175000,0))</f>
        <v>0</v>
      </c>
      <c r="O10" s="490">
        <f t="shared" ref="O10" si="15">L10*M10-N10</f>
        <v>0</v>
      </c>
      <c r="P10" s="491">
        <f t="shared" si="6"/>
        <v>0</v>
      </c>
      <c r="R10" s="1172">
        <v>35831</v>
      </c>
      <c r="S10" s="1170">
        <v>44835</v>
      </c>
      <c r="T10" s="1174">
        <f>'S2'!AL10-'S2'!AE10</f>
        <v>398.96153846153845</v>
      </c>
      <c r="U10" s="1177">
        <f t="shared" si="7"/>
        <v>1620581.7692307692</v>
      </c>
      <c r="V10" s="1181">
        <f t="shared" ref="V10" si="16">IF(YEARFRAC(R10,S10)&gt;=60,"0",IF(U10&lt;400000,400000*2%,IF(U10&gt;1200000,1200000*2%,U10*2%)))</f>
        <v>24000</v>
      </c>
      <c r="W10" s="1194">
        <f t="shared" si="9"/>
        <v>5.9084194977843429</v>
      </c>
    </row>
    <row r="11" spans="1:39" s="477" customFormat="1" ht="31.5" customHeight="1">
      <c r="A11" s="478">
        <v>5</v>
      </c>
      <c r="B11" s="572" t="s">
        <v>2061</v>
      </c>
      <c r="C11" s="578" t="s">
        <v>1499</v>
      </c>
      <c r="D11" s="1474">
        <v>43144</v>
      </c>
      <c r="E11" s="513" t="s">
        <v>260</v>
      </c>
      <c r="F11" s="494">
        <f>'S2'!AL11-'S2'!AD11-'S2'!AJ11-'S2'!AK11-'S2'!AE11-'S2'!AG11-W11</f>
        <v>383.57234973298495</v>
      </c>
      <c r="G11" s="495">
        <v>4062</v>
      </c>
      <c r="H11" s="488">
        <f t="shared" si="3"/>
        <v>1558070.8846153847</v>
      </c>
      <c r="I11" s="480"/>
      <c r="J11" s="520">
        <v>1</v>
      </c>
      <c r="K11" s="488">
        <f t="shared" si="0"/>
        <v>150000</v>
      </c>
      <c r="L11" s="488">
        <f t="shared" si="1"/>
        <v>1408070.8846153847</v>
      </c>
      <c r="M11" s="489">
        <f t="shared" si="4"/>
        <v>0</v>
      </c>
      <c r="N11" s="488">
        <f t="shared" si="5"/>
        <v>0</v>
      </c>
      <c r="O11" s="490">
        <f t="shared" si="2"/>
        <v>0</v>
      </c>
      <c r="P11" s="491">
        <f t="shared" si="6"/>
        <v>0</v>
      </c>
      <c r="R11" s="1186">
        <v>35554</v>
      </c>
      <c r="S11" s="1170">
        <v>44835</v>
      </c>
      <c r="T11" s="1174">
        <f>'S2'!AL11-'S2'!AE11</f>
        <v>414.48076923076928</v>
      </c>
      <c r="U11" s="1177">
        <f t="shared" si="7"/>
        <v>1683620.8846153847</v>
      </c>
      <c r="V11" s="1181">
        <f t="shared" si="8"/>
        <v>24000</v>
      </c>
      <c r="W11" s="1194">
        <f t="shared" si="9"/>
        <v>5.9084194977843429</v>
      </c>
    </row>
    <row r="12" spans="1:39" s="477" customFormat="1" ht="31.5" customHeight="1">
      <c r="A12" s="478">
        <v>6</v>
      </c>
      <c r="B12" s="646" t="s">
        <v>2062</v>
      </c>
      <c r="C12" s="613" t="s">
        <v>426</v>
      </c>
      <c r="D12" s="1563">
        <v>43151</v>
      </c>
      <c r="E12" s="513" t="s">
        <v>260</v>
      </c>
      <c r="F12" s="494">
        <f>'S2'!AL12-'S2'!AD12-'S2'!AJ12-'S2'!AK12-'S2'!AE12-'S2'!AG12-W12</f>
        <v>377.05311896375412</v>
      </c>
      <c r="G12" s="495">
        <v>4062</v>
      </c>
      <c r="H12" s="488">
        <f t="shared" si="3"/>
        <v>1531589.7692307692</v>
      </c>
      <c r="I12" s="480"/>
      <c r="J12" s="520">
        <v>0</v>
      </c>
      <c r="K12" s="488">
        <f t="shared" si="0"/>
        <v>0</v>
      </c>
      <c r="L12" s="488">
        <f t="shared" si="1"/>
        <v>1531589.7692307692</v>
      </c>
      <c r="M12" s="489">
        <f t="shared" si="4"/>
        <v>0.05</v>
      </c>
      <c r="N12" s="488">
        <f t="shared" si="5"/>
        <v>75000</v>
      </c>
      <c r="O12" s="490">
        <f t="shared" si="2"/>
        <v>1579.4884615384653</v>
      </c>
      <c r="P12" s="491">
        <f t="shared" si="6"/>
        <v>0.38884501761163598</v>
      </c>
      <c r="R12" s="1186">
        <v>34146</v>
      </c>
      <c r="S12" s="1170">
        <v>44835</v>
      </c>
      <c r="T12" s="1174">
        <f>'S2'!AL12-'S2'!AE12</f>
        <v>402.96153846153845</v>
      </c>
      <c r="U12" s="1177">
        <f t="shared" si="7"/>
        <v>1636829.7692307692</v>
      </c>
      <c r="V12" s="1181">
        <f t="shared" si="8"/>
        <v>24000</v>
      </c>
      <c r="W12" s="1194">
        <f t="shared" si="9"/>
        <v>5.9084194977843429</v>
      </c>
    </row>
    <row r="13" spans="1:39" s="477" customFormat="1" ht="31.5" customHeight="1">
      <c r="A13" s="478">
        <v>7</v>
      </c>
      <c r="B13" s="789" t="s">
        <v>1351</v>
      </c>
      <c r="C13" s="966" t="s">
        <v>1353</v>
      </c>
      <c r="D13" s="1477">
        <v>44593</v>
      </c>
      <c r="E13" s="1637" t="s">
        <v>260</v>
      </c>
      <c r="F13" s="494">
        <f>'S2'!AL13-'S2'!AD13-'S2'!AJ13-'S2'!AK13-'S2'!AE13-'S2'!AG13-W13</f>
        <v>412.96658050221566</v>
      </c>
      <c r="G13" s="495">
        <v>4062</v>
      </c>
      <c r="H13" s="488">
        <f t="shared" ref="H13" si="17">F13*G13</f>
        <v>1677470.25</v>
      </c>
      <c r="I13" s="480">
        <v>1</v>
      </c>
      <c r="J13" s="520">
        <v>2</v>
      </c>
      <c r="K13" s="488">
        <f t="shared" ref="K13" si="18">150000*(J13+I13)</f>
        <v>450000</v>
      </c>
      <c r="L13" s="488">
        <f t="shared" ref="L13" si="19">H13-K13</f>
        <v>1227470.25</v>
      </c>
      <c r="M13" s="489">
        <f t="shared" ref="M13" si="20">IF(L13&gt;=12500000,20%,IF(L13&gt;=8500001,15%,IF(L13&gt;=2000001,10%,IF(L13&gt;=1500001,5%,0%))))</f>
        <v>0</v>
      </c>
      <c r="N13" s="488">
        <f t="shared" ref="N13" si="21">IF(M13=5%,75000,IF(M13=10%,175000,0))</f>
        <v>0</v>
      </c>
      <c r="O13" s="490">
        <f t="shared" ref="O13" si="22">L13*M13-N13</f>
        <v>0</v>
      </c>
      <c r="P13" s="491">
        <f t="shared" si="6"/>
        <v>0</v>
      </c>
      <c r="R13" s="1212">
        <v>33118</v>
      </c>
      <c r="S13" s="1170">
        <v>44835</v>
      </c>
      <c r="T13" s="1174">
        <f>'S2'!AL13-'S2'!AE13</f>
        <v>438.875</v>
      </c>
      <c r="U13" s="1177">
        <f t="shared" si="7"/>
        <v>1782710.25</v>
      </c>
      <c r="V13" s="1181">
        <f t="shared" si="8"/>
        <v>24000</v>
      </c>
      <c r="W13" s="1194">
        <f t="shared" si="9"/>
        <v>5.9084194977843429</v>
      </c>
    </row>
    <row r="14" spans="1:39" s="477" customFormat="1" ht="31.5" customHeight="1">
      <c r="A14" s="478">
        <v>8</v>
      </c>
      <c r="B14" s="559" t="s">
        <v>2300</v>
      </c>
      <c r="C14" s="578" t="s">
        <v>2301</v>
      </c>
      <c r="D14" s="1476">
        <v>43578</v>
      </c>
      <c r="E14" s="1637" t="s">
        <v>260</v>
      </c>
      <c r="F14" s="494">
        <f>'S2'!AL14-'S2'!AD14-'S2'!AJ14-'S2'!AK14-'S2'!AE14-'S2'!AG14-W14</f>
        <v>308.25504204067721</v>
      </c>
      <c r="G14" s="495">
        <v>4062</v>
      </c>
      <c r="H14" s="488">
        <f t="shared" ref="H14" si="23">F14*G14</f>
        <v>1252131.9807692308</v>
      </c>
      <c r="I14" s="480">
        <v>0</v>
      </c>
      <c r="J14" s="520">
        <v>2</v>
      </c>
      <c r="K14" s="488">
        <f t="shared" ref="K14" si="24">150000*(J14+I14)</f>
        <v>300000</v>
      </c>
      <c r="L14" s="488">
        <f t="shared" ref="L14" si="25">H14-K14</f>
        <v>952131.98076923075</v>
      </c>
      <c r="M14" s="489">
        <f t="shared" ref="M14" si="26">IF(L14&gt;=12500000,20%,IF(L14&gt;=8500001,15%,IF(L14&gt;=2000001,10%,IF(L14&gt;=1500001,5%,0%))))</f>
        <v>0</v>
      </c>
      <c r="N14" s="488">
        <f t="shared" ref="N14" si="27">IF(M14=5%,75000,IF(M14=10%,175000,0))</f>
        <v>0</v>
      </c>
      <c r="O14" s="490">
        <f t="shared" ref="O14" si="28">L14*M14-N14</f>
        <v>0</v>
      </c>
      <c r="P14" s="491">
        <f t="shared" si="6"/>
        <v>0</v>
      </c>
      <c r="R14" s="1186">
        <v>33621</v>
      </c>
      <c r="S14" s="1170">
        <v>44835</v>
      </c>
      <c r="T14" s="1174">
        <f>'S2'!AL14-'S2'!AE14</f>
        <v>334.16346153846155</v>
      </c>
      <c r="U14" s="1177">
        <f t="shared" si="7"/>
        <v>1357371.9807692308</v>
      </c>
      <c r="V14" s="1181">
        <f t="shared" ref="V14" si="29">IF(YEARFRAC(R14,S14)&gt;=60,"0",IF(U14&lt;400000,400000*2%,IF(U14&gt;1200000,1200000*2%,U14*2%)))</f>
        <v>24000</v>
      </c>
      <c r="W14" s="1194">
        <f t="shared" si="9"/>
        <v>5.9084194977843429</v>
      </c>
    </row>
    <row r="15" spans="1:39" s="477" customFormat="1" ht="31.5" customHeight="1">
      <c r="A15" s="478">
        <v>9</v>
      </c>
      <c r="B15" s="957" t="s">
        <v>440</v>
      </c>
      <c r="C15" s="615" t="s">
        <v>488</v>
      </c>
      <c r="D15" s="1563">
        <v>41414</v>
      </c>
      <c r="E15" s="513" t="s">
        <v>260</v>
      </c>
      <c r="F15" s="494">
        <f>'S2'!AL15-'S2'!AD15-'S2'!AJ15-'S2'!AK15-'S2'!AE15-'S2'!AG15-W15</f>
        <v>386.75032287271785</v>
      </c>
      <c r="G15" s="495">
        <v>4062</v>
      </c>
      <c r="H15" s="488">
        <f t="shared" si="3"/>
        <v>1570979.8115089799</v>
      </c>
      <c r="I15" s="480"/>
      <c r="J15" s="520">
        <v>1</v>
      </c>
      <c r="K15" s="488">
        <f t="shared" si="0"/>
        <v>150000</v>
      </c>
      <c r="L15" s="488">
        <f t="shared" si="1"/>
        <v>1420979.8115089799</v>
      </c>
      <c r="M15" s="489">
        <f t="shared" si="4"/>
        <v>0</v>
      </c>
      <c r="N15" s="488">
        <f t="shared" si="5"/>
        <v>0</v>
      </c>
      <c r="O15" s="490">
        <f t="shared" si="2"/>
        <v>0</v>
      </c>
      <c r="P15" s="491">
        <f t="shared" si="6"/>
        <v>0</v>
      </c>
      <c r="R15" s="1186">
        <v>35284</v>
      </c>
      <c r="S15" s="1170">
        <v>44835</v>
      </c>
      <c r="T15" s="1174">
        <f>'S2'!AL15-'S2'!AE15</f>
        <v>412.65874237050218</v>
      </c>
      <c r="U15" s="1177">
        <f t="shared" si="7"/>
        <v>1676219.8115089799</v>
      </c>
      <c r="V15" s="1181">
        <f t="shared" si="8"/>
        <v>24000</v>
      </c>
      <c r="W15" s="1194">
        <f t="shared" si="9"/>
        <v>5.9084194977843429</v>
      </c>
    </row>
    <row r="16" spans="1:39" s="477" customFormat="1" ht="31.5" customHeight="1">
      <c r="A16" s="478">
        <v>10</v>
      </c>
      <c r="B16" s="688" t="s">
        <v>274</v>
      </c>
      <c r="C16" s="625" t="s">
        <v>489</v>
      </c>
      <c r="D16" s="1474">
        <v>41421</v>
      </c>
      <c r="E16" s="513" t="s">
        <v>260</v>
      </c>
      <c r="F16" s="494">
        <f>'S2'!AL16-'S2'!AD16-'S2'!AJ16-'S2'!AK16-'S2'!AE16-'S2'!AG16-W16</f>
        <v>368.25984973298489</v>
      </c>
      <c r="G16" s="495">
        <v>4062</v>
      </c>
      <c r="H16" s="488">
        <f t="shared" si="3"/>
        <v>1495871.5096153845</v>
      </c>
      <c r="I16" s="480"/>
      <c r="J16" s="520">
        <v>2</v>
      </c>
      <c r="K16" s="488">
        <f t="shared" si="0"/>
        <v>300000</v>
      </c>
      <c r="L16" s="488">
        <f t="shared" si="1"/>
        <v>1195871.5096153845</v>
      </c>
      <c r="M16" s="489">
        <f t="shared" si="4"/>
        <v>0</v>
      </c>
      <c r="N16" s="488">
        <f t="shared" si="5"/>
        <v>0</v>
      </c>
      <c r="O16" s="490">
        <f t="shared" si="2"/>
        <v>0</v>
      </c>
      <c r="P16" s="491">
        <f t="shared" si="6"/>
        <v>0</v>
      </c>
      <c r="R16" s="1186">
        <v>29889</v>
      </c>
      <c r="S16" s="1170">
        <v>44835</v>
      </c>
      <c r="T16" s="1174">
        <f>'S2'!AL16-'S2'!AE16</f>
        <v>394.16826923076923</v>
      </c>
      <c r="U16" s="1177">
        <f t="shared" si="7"/>
        <v>1601111.5096153845</v>
      </c>
      <c r="V16" s="1181">
        <f t="shared" si="8"/>
        <v>24000</v>
      </c>
      <c r="W16" s="1194">
        <f t="shared" si="9"/>
        <v>5.9084194977843429</v>
      </c>
    </row>
    <row r="17" spans="1:23" s="477" customFormat="1" ht="31.5" customHeight="1">
      <c r="A17" s="478">
        <v>11</v>
      </c>
      <c r="B17" s="688" t="s">
        <v>403</v>
      </c>
      <c r="C17" s="625" t="s">
        <v>404</v>
      </c>
      <c r="D17" s="1474">
        <v>42850</v>
      </c>
      <c r="E17" s="513" t="s">
        <v>260</v>
      </c>
      <c r="F17" s="494">
        <f>'S2'!AL17-'S2'!AD17-'S2'!AJ17-'S2'!AK17-'S2'!AE17-'S2'!AG17-W17</f>
        <v>346.93075181524949</v>
      </c>
      <c r="G17" s="495">
        <v>4062</v>
      </c>
      <c r="H17" s="488">
        <f t="shared" si="3"/>
        <v>1409232.7138735435</v>
      </c>
      <c r="I17" s="480"/>
      <c r="J17" s="520">
        <v>3</v>
      </c>
      <c r="K17" s="488">
        <f t="shared" si="0"/>
        <v>450000</v>
      </c>
      <c r="L17" s="488">
        <f t="shared" si="1"/>
        <v>959232.71387354354</v>
      </c>
      <c r="M17" s="489">
        <f t="shared" si="4"/>
        <v>0</v>
      </c>
      <c r="N17" s="488">
        <f t="shared" si="5"/>
        <v>0</v>
      </c>
      <c r="O17" s="490">
        <f t="shared" si="2"/>
        <v>0</v>
      </c>
      <c r="P17" s="491">
        <f t="shared" si="6"/>
        <v>0</v>
      </c>
      <c r="R17" s="1186">
        <v>29647</v>
      </c>
      <c r="S17" s="1170">
        <v>44835</v>
      </c>
      <c r="T17" s="1174">
        <f>'S2'!AL17-'S2'!AE17</f>
        <v>372.83917131303383</v>
      </c>
      <c r="U17" s="1177">
        <f t="shared" si="7"/>
        <v>1514472.7138735433</v>
      </c>
      <c r="V17" s="1181">
        <f t="shared" si="8"/>
        <v>24000</v>
      </c>
      <c r="W17" s="1194">
        <f t="shared" si="9"/>
        <v>5.9084194977843429</v>
      </c>
    </row>
    <row r="18" spans="1:23" s="477" customFormat="1" ht="31.5" customHeight="1">
      <c r="A18" s="478">
        <v>12</v>
      </c>
      <c r="B18" s="688" t="s">
        <v>405</v>
      </c>
      <c r="C18" s="625" t="s">
        <v>406</v>
      </c>
      <c r="D18" s="1474">
        <v>42849</v>
      </c>
      <c r="E18" s="513" t="s">
        <v>260</v>
      </c>
      <c r="F18" s="494">
        <f>'S2'!AL18-'S2'!AD18-'S2'!AJ18-'S2'!AK18-'S2'!AE18-'S2'!AG18-W18</f>
        <v>378.05311896375412</v>
      </c>
      <c r="G18" s="495">
        <v>4062</v>
      </c>
      <c r="H18" s="488">
        <f t="shared" si="3"/>
        <v>1535651.7692307692</v>
      </c>
      <c r="I18" s="480"/>
      <c r="J18" s="520">
        <v>1</v>
      </c>
      <c r="K18" s="488">
        <f t="shared" si="0"/>
        <v>150000</v>
      </c>
      <c r="L18" s="488">
        <f t="shared" si="1"/>
        <v>1385651.7692307692</v>
      </c>
      <c r="M18" s="489">
        <f t="shared" si="4"/>
        <v>0</v>
      </c>
      <c r="N18" s="488">
        <f t="shared" si="5"/>
        <v>0</v>
      </c>
      <c r="O18" s="490">
        <f t="shared" si="2"/>
        <v>0</v>
      </c>
      <c r="P18" s="491">
        <f t="shared" si="6"/>
        <v>0</v>
      </c>
      <c r="R18" s="1186">
        <v>27961</v>
      </c>
      <c r="S18" s="1170">
        <v>44835</v>
      </c>
      <c r="T18" s="1174">
        <f>'S2'!AL18-'S2'!AE18</f>
        <v>403.96153846153845</v>
      </c>
      <c r="U18" s="1177">
        <f t="shared" si="7"/>
        <v>1640891.7692307692</v>
      </c>
      <c r="V18" s="1181">
        <f t="shared" si="8"/>
        <v>24000</v>
      </c>
      <c r="W18" s="1194">
        <f t="shared" si="9"/>
        <v>5.9084194977843429</v>
      </c>
    </row>
    <row r="19" spans="1:23" s="477" customFormat="1" ht="31.5" customHeight="1">
      <c r="A19" s="478">
        <v>13</v>
      </c>
      <c r="B19" s="688" t="s">
        <v>926</v>
      </c>
      <c r="C19" s="625" t="s">
        <v>927</v>
      </c>
      <c r="D19" s="1474">
        <v>44478</v>
      </c>
      <c r="E19" s="513" t="s">
        <v>260</v>
      </c>
      <c r="F19" s="494">
        <f>'S2'!AL19-'S2'!AD19-'S2'!AJ19-'S2'!AK19-'S2'!AE19-'S2'!AG19-W19</f>
        <v>380.57234973298495</v>
      </c>
      <c r="G19" s="495">
        <v>4062</v>
      </c>
      <c r="H19" s="488">
        <f t="shared" si="3"/>
        <v>1545884.8846153847</v>
      </c>
      <c r="I19" s="480"/>
      <c r="J19" s="520">
        <v>1</v>
      </c>
      <c r="K19" s="488">
        <f t="shared" si="0"/>
        <v>150000</v>
      </c>
      <c r="L19" s="488">
        <f t="shared" si="1"/>
        <v>1395884.8846153847</v>
      </c>
      <c r="M19" s="489">
        <f t="shared" si="4"/>
        <v>0</v>
      </c>
      <c r="N19" s="488">
        <f t="shared" si="5"/>
        <v>0</v>
      </c>
      <c r="O19" s="490">
        <f t="shared" si="2"/>
        <v>0</v>
      </c>
      <c r="P19" s="491">
        <f t="shared" si="6"/>
        <v>0</v>
      </c>
      <c r="R19" s="1186">
        <v>32426</v>
      </c>
      <c r="S19" s="1170">
        <v>44835</v>
      </c>
      <c r="T19" s="1174">
        <f>'S2'!AL19-'S2'!AE19</f>
        <v>406.48076923076928</v>
      </c>
      <c r="U19" s="1177">
        <f t="shared" si="7"/>
        <v>1651124.8846153847</v>
      </c>
      <c r="V19" s="1181">
        <f t="shared" si="8"/>
        <v>24000</v>
      </c>
      <c r="W19" s="1194">
        <f t="shared" si="9"/>
        <v>5.9084194977843429</v>
      </c>
    </row>
    <row r="20" spans="1:23" s="477" customFormat="1" ht="31.5" customHeight="1">
      <c r="A20" s="478">
        <v>14</v>
      </c>
      <c r="B20" s="688" t="s">
        <v>978</v>
      </c>
      <c r="C20" s="625" t="s">
        <v>979</v>
      </c>
      <c r="D20" s="1474">
        <v>44536</v>
      </c>
      <c r="E20" s="513" t="s">
        <v>260</v>
      </c>
      <c r="F20" s="494">
        <f>'S2'!AL20-'S2'!AD20-'S2'!AJ20-'S2'!AK20-'S2'!AE20-'S2'!AG20-W20</f>
        <v>338.13965742529257</v>
      </c>
      <c r="G20" s="495">
        <v>4062</v>
      </c>
      <c r="H20" s="488">
        <f t="shared" si="3"/>
        <v>1373523.2884615385</v>
      </c>
      <c r="I20" s="480"/>
      <c r="J20" s="520">
        <v>0</v>
      </c>
      <c r="K20" s="488">
        <f t="shared" si="0"/>
        <v>0</v>
      </c>
      <c r="L20" s="488">
        <f t="shared" si="1"/>
        <v>1373523.2884615385</v>
      </c>
      <c r="M20" s="489">
        <f t="shared" si="4"/>
        <v>0</v>
      </c>
      <c r="N20" s="488">
        <f t="shared" si="5"/>
        <v>0</v>
      </c>
      <c r="O20" s="490">
        <f t="shared" si="2"/>
        <v>0</v>
      </c>
      <c r="P20" s="491">
        <f t="shared" si="6"/>
        <v>0</v>
      </c>
      <c r="R20" s="1212">
        <v>36448</v>
      </c>
      <c r="S20" s="1170">
        <v>44835</v>
      </c>
      <c r="T20" s="1174">
        <f>'S2'!AL20-'S2'!AE20</f>
        <v>364.04807692307691</v>
      </c>
      <c r="U20" s="1177">
        <f t="shared" si="7"/>
        <v>1478763.2884615385</v>
      </c>
      <c r="V20" s="1181">
        <f t="shared" si="8"/>
        <v>24000</v>
      </c>
      <c r="W20" s="1194">
        <f t="shared" si="9"/>
        <v>5.9084194977843429</v>
      </c>
    </row>
    <row r="21" spans="1:23" s="477" customFormat="1" ht="31.5" customHeight="1">
      <c r="A21" s="478">
        <v>15</v>
      </c>
      <c r="B21" s="688" t="s">
        <v>1048</v>
      </c>
      <c r="C21" s="628" t="s">
        <v>1049</v>
      </c>
      <c r="D21" s="1473">
        <v>44565</v>
      </c>
      <c r="E21" s="513" t="s">
        <v>260</v>
      </c>
      <c r="F21" s="494">
        <f>'S2'!AL21-'S2'!AD21-'S2'!AJ21-'S2'!AK21-'S2'!AE21-'S2'!AG21-W21</f>
        <v>375.11561896375412</v>
      </c>
      <c r="G21" s="495">
        <v>4062</v>
      </c>
      <c r="H21" s="488">
        <f t="shared" si="3"/>
        <v>1523719.6442307692</v>
      </c>
      <c r="I21" s="480"/>
      <c r="J21" s="520">
        <v>2</v>
      </c>
      <c r="K21" s="488">
        <f t="shared" si="0"/>
        <v>300000</v>
      </c>
      <c r="L21" s="488">
        <f t="shared" si="1"/>
        <v>1223719.6442307692</v>
      </c>
      <c r="M21" s="489">
        <f t="shared" si="4"/>
        <v>0</v>
      </c>
      <c r="N21" s="488">
        <f t="shared" si="5"/>
        <v>0</v>
      </c>
      <c r="O21" s="490">
        <f t="shared" si="2"/>
        <v>0</v>
      </c>
      <c r="P21" s="491">
        <f t="shared" si="6"/>
        <v>0</v>
      </c>
      <c r="R21" s="1212">
        <v>36048</v>
      </c>
      <c r="S21" s="1170">
        <v>44835</v>
      </c>
      <c r="T21" s="1174">
        <f>'S2'!AL21-'S2'!AE21</f>
        <v>401.02403846153845</v>
      </c>
      <c r="U21" s="1177">
        <f t="shared" si="7"/>
        <v>1628959.6442307692</v>
      </c>
      <c r="V21" s="1181">
        <f t="shared" si="8"/>
        <v>24000</v>
      </c>
      <c r="W21" s="1194">
        <f t="shared" si="9"/>
        <v>5.9084194977843429</v>
      </c>
    </row>
    <row r="22" spans="1:23" s="477" customFormat="1" ht="31.5" customHeight="1">
      <c r="A22" s="478">
        <v>16</v>
      </c>
      <c r="B22" s="688" t="s">
        <v>1343</v>
      </c>
      <c r="C22" s="628" t="s">
        <v>1344</v>
      </c>
      <c r="D22" s="1473">
        <v>44595</v>
      </c>
      <c r="E22" s="513" t="s">
        <v>260</v>
      </c>
      <c r="F22" s="494">
        <f>'S2'!AL22-'S2'!AD22-'S2'!AJ22-'S2'!AK22-'S2'!AE22-'S2'!AG22-W22</f>
        <v>300.73896680912031</v>
      </c>
      <c r="G22" s="495">
        <v>4062</v>
      </c>
      <c r="H22" s="488">
        <f t="shared" si="3"/>
        <v>1221601.6831786467</v>
      </c>
      <c r="I22" s="480"/>
      <c r="J22" s="520">
        <v>3</v>
      </c>
      <c r="K22" s="488">
        <f t="shared" si="0"/>
        <v>450000</v>
      </c>
      <c r="L22" s="488">
        <f t="shared" si="1"/>
        <v>771601.68317864672</v>
      </c>
      <c r="M22" s="489">
        <f t="shared" si="4"/>
        <v>0</v>
      </c>
      <c r="N22" s="488">
        <f t="shared" si="5"/>
        <v>0</v>
      </c>
      <c r="O22" s="490">
        <f t="shared" si="2"/>
        <v>0</v>
      </c>
      <c r="P22" s="491">
        <f t="shared" si="6"/>
        <v>0</v>
      </c>
      <c r="R22" s="1212">
        <v>30887</v>
      </c>
      <c r="S22" s="1170">
        <v>44835</v>
      </c>
      <c r="T22" s="1174">
        <f>'S2'!AL22-'S2'!AE22</f>
        <v>326.64738630690465</v>
      </c>
      <c r="U22" s="1177">
        <f t="shared" si="7"/>
        <v>1326841.6831786467</v>
      </c>
      <c r="V22" s="1181">
        <f t="shared" si="8"/>
        <v>24000</v>
      </c>
      <c r="W22" s="1194">
        <f t="shared" si="9"/>
        <v>5.9084194977843429</v>
      </c>
    </row>
    <row r="23" spans="1:23" s="477" customFormat="1" ht="31.5" customHeight="1">
      <c r="A23" s="478">
        <v>17</v>
      </c>
      <c r="B23" s="688" t="s">
        <v>2324</v>
      </c>
      <c r="C23" s="628" t="s">
        <v>2325</v>
      </c>
      <c r="D23" s="1477">
        <v>44596</v>
      </c>
      <c r="E23" s="1151" t="s">
        <v>260</v>
      </c>
      <c r="F23" s="494">
        <f>'S2'!AL23-'S2'!AD23-'S2'!AJ23-'S2'!AK23-'S2'!AE23-'S2'!AG23-W23</f>
        <v>373.05311896375412</v>
      </c>
      <c r="G23" s="495">
        <v>4062</v>
      </c>
      <c r="H23" s="488">
        <f t="shared" ref="H23" si="30">F23*G23</f>
        <v>1515341.7692307692</v>
      </c>
      <c r="I23" s="480"/>
      <c r="J23" s="520">
        <v>2</v>
      </c>
      <c r="K23" s="488">
        <f t="shared" ref="K23" si="31">150000*(J23+I23)</f>
        <v>300000</v>
      </c>
      <c r="L23" s="488">
        <f t="shared" ref="L23" si="32">H23-K23</f>
        <v>1215341.7692307692</v>
      </c>
      <c r="M23" s="489">
        <f t="shared" ref="M23" si="33">IF(L23&gt;=12500000,20%,IF(L23&gt;=8500001,15%,IF(L23&gt;=2000001,10%,IF(L23&gt;=1500001,5%,0%))))</f>
        <v>0</v>
      </c>
      <c r="N23" s="488">
        <f t="shared" ref="N23" si="34">IF(M23=5%,75000,IF(M23=10%,175000,0))</f>
        <v>0</v>
      </c>
      <c r="O23" s="490">
        <f t="shared" ref="O23" si="35">L23*M23-N23</f>
        <v>0</v>
      </c>
      <c r="P23" s="491">
        <f t="shared" si="6"/>
        <v>0</v>
      </c>
      <c r="R23" s="1212">
        <v>35135</v>
      </c>
      <c r="S23" s="1170">
        <v>44835</v>
      </c>
      <c r="T23" s="1174">
        <f>'S2'!AL23-'S2'!AE23</f>
        <v>398.96153846153845</v>
      </c>
      <c r="U23" s="1177">
        <f t="shared" si="7"/>
        <v>1620581.7692307692</v>
      </c>
      <c r="V23" s="1181">
        <f t="shared" ref="V23" si="36">IF(YEARFRAC(R23,S23)&gt;=60,"0",IF(U23&lt;400000,400000*2%,IF(U23&gt;1200000,1200000*2%,U23*2%)))</f>
        <v>24000</v>
      </c>
      <c r="W23" s="1194">
        <f t="shared" si="9"/>
        <v>5.9084194977843429</v>
      </c>
    </row>
    <row r="24" spans="1:23" s="477" customFormat="1" ht="31.5" customHeight="1">
      <c r="A24" s="478">
        <v>18</v>
      </c>
      <c r="B24" s="572" t="s">
        <v>2063</v>
      </c>
      <c r="C24" s="956" t="s">
        <v>1516</v>
      </c>
      <c r="D24" s="1474">
        <v>44677</v>
      </c>
      <c r="E24" s="513" t="s">
        <v>260</v>
      </c>
      <c r="F24" s="494">
        <f>'S2'!AL24-'S2'!AD24-'S2'!AJ24-'S2'!AK24-'S2'!AE24-'S2'!AG24-W24</f>
        <v>379.57234973298495</v>
      </c>
      <c r="G24" s="495">
        <v>4062</v>
      </c>
      <c r="H24" s="488">
        <f t="shared" si="3"/>
        <v>1541822.8846153847</v>
      </c>
      <c r="I24" s="480"/>
      <c r="J24" s="520">
        <v>0</v>
      </c>
      <c r="K24" s="488">
        <f t="shared" ref="K24" si="37">150000*(J24+I24)</f>
        <v>0</v>
      </c>
      <c r="L24" s="488">
        <f t="shared" ref="L24" si="38">H24-K24</f>
        <v>1541822.8846153847</v>
      </c>
      <c r="M24" s="489">
        <f t="shared" si="4"/>
        <v>0.05</v>
      </c>
      <c r="N24" s="488">
        <f t="shared" si="5"/>
        <v>75000</v>
      </c>
      <c r="O24" s="490">
        <f t="shared" ref="O24" si="39">L24*M24-N24</f>
        <v>2091.1442307692341</v>
      </c>
      <c r="P24" s="491">
        <f t="shared" si="6"/>
        <v>0.51480655607317438</v>
      </c>
      <c r="R24" s="1186">
        <v>36692</v>
      </c>
      <c r="S24" s="1170">
        <v>44835</v>
      </c>
      <c r="T24" s="1174">
        <f>'S2'!AL24-'S2'!AE24</f>
        <v>405.48076923076928</v>
      </c>
      <c r="U24" s="1177">
        <f t="shared" si="7"/>
        <v>1647062.8846153847</v>
      </c>
      <c r="V24" s="1181">
        <f t="shared" si="8"/>
        <v>24000</v>
      </c>
      <c r="W24" s="1194">
        <f t="shared" si="9"/>
        <v>5.9084194977843429</v>
      </c>
    </row>
    <row r="25" spans="1:23" s="477" customFormat="1" ht="31.5" customHeight="1">
      <c r="A25" s="478">
        <v>19</v>
      </c>
      <c r="B25" s="785" t="s">
        <v>2064</v>
      </c>
      <c r="C25" s="1095" t="s">
        <v>1570</v>
      </c>
      <c r="D25" s="1473">
        <v>44735</v>
      </c>
      <c r="E25" s="513" t="s">
        <v>260</v>
      </c>
      <c r="F25" s="494">
        <f>'S2'!AL25-'S2'!AD25-'S2'!AJ25-'S2'!AK25-'S2'!AE25-'S2'!AG25-W25</f>
        <v>315.46764730525905</v>
      </c>
      <c r="G25" s="495">
        <v>4062</v>
      </c>
      <c r="H25" s="488">
        <f t="shared" si="3"/>
        <v>1281429.5833539623</v>
      </c>
      <c r="I25" s="480"/>
      <c r="J25" s="520">
        <v>1</v>
      </c>
      <c r="K25" s="488">
        <f t="shared" ref="K25" si="40">150000*(J25+I25)</f>
        <v>150000</v>
      </c>
      <c r="L25" s="488">
        <f t="shared" ref="L25" si="41">H25-K25</f>
        <v>1131429.5833539623</v>
      </c>
      <c r="M25" s="489">
        <f t="shared" si="4"/>
        <v>0</v>
      </c>
      <c r="N25" s="488">
        <f t="shared" si="5"/>
        <v>0</v>
      </c>
      <c r="O25" s="490">
        <f t="shared" ref="O25" si="42">L25*M25-N25</f>
        <v>0</v>
      </c>
      <c r="P25" s="491">
        <f t="shared" si="6"/>
        <v>0</v>
      </c>
      <c r="R25" s="1186">
        <v>33970</v>
      </c>
      <c r="S25" s="1170">
        <v>44835</v>
      </c>
      <c r="T25" s="1174">
        <f>'S2'!AL25-'S2'!AE25</f>
        <v>341.37606680304339</v>
      </c>
      <c r="U25" s="1177">
        <f t="shared" si="7"/>
        <v>1386669.5833539623</v>
      </c>
      <c r="V25" s="1181">
        <f t="shared" si="8"/>
        <v>24000</v>
      </c>
      <c r="W25" s="1194">
        <f t="shared" si="9"/>
        <v>5.9084194977843429</v>
      </c>
    </row>
    <row r="26" spans="1:23" s="477" customFormat="1" ht="31.5" customHeight="1">
      <c r="A26" s="478">
        <v>20</v>
      </c>
      <c r="B26" s="1381" t="s">
        <v>2262</v>
      </c>
      <c r="C26" s="1401" t="s">
        <v>2263</v>
      </c>
      <c r="D26" s="1382">
        <v>45496</v>
      </c>
      <c r="E26" s="513" t="s">
        <v>260</v>
      </c>
      <c r="F26" s="494">
        <f>'S2'!AL26-'S2'!AD26-'S2'!AJ26-'S2'!AK26-'S2'!AE26-'S2'!AG26-W26</f>
        <v>340.59158050221561</v>
      </c>
      <c r="G26" s="495">
        <v>4062</v>
      </c>
      <c r="H26" s="488">
        <f t="shared" ref="H26" si="43">F26*G26</f>
        <v>1383482.9999999998</v>
      </c>
      <c r="I26" s="480"/>
      <c r="J26" s="520">
        <v>0</v>
      </c>
      <c r="K26" s="488">
        <f t="shared" ref="K26" si="44">150000*(J26+I26)</f>
        <v>0</v>
      </c>
      <c r="L26" s="488">
        <f t="shared" ref="L26" si="45">H26-K26</f>
        <v>1383482.9999999998</v>
      </c>
      <c r="M26" s="489">
        <f t="shared" ref="M26" si="46">IF(L26&gt;=12500000,20%,IF(L26&gt;=8500001,15%,IF(L26&gt;=2000001,10%,IF(L26&gt;=1500001,5%,0%))))</f>
        <v>0</v>
      </c>
      <c r="N26" s="488">
        <f t="shared" ref="N26" si="47">IF(M26=5%,75000,IF(M26=10%,175000,0))</f>
        <v>0</v>
      </c>
      <c r="O26" s="490">
        <f t="shared" ref="O26" si="48">L26*M26-N26</f>
        <v>0</v>
      </c>
      <c r="P26" s="491">
        <f t="shared" si="6"/>
        <v>0</v>
      </c>
      <c r="R26" s="1382">
        <v>35881</v>
      </c>
      <c r="S26" s="1170">
        <v>44835</v>
      </c>
      <c r="T26" s="1174">
        <f>'S2'!AL26-'S2'!AE26</f>
        <v>366.49999999999994</v>
      </c>
      <c r="U26" s="1177">
        <f t="shared" si="7"/>
        <v>1488722.9999999998</v>
      </c>
      <c r="V26" s="1181">
        <f t="shared" ref="V26" si="49">IF(YEARFRAC(R26,S26)&gt;=60,"0",IF(U26&lt;400000,400000*2%,IF(U26&gt;1200000,1200000*2%,U26*2%)))</f>
        <v>24000</v>
      </c>
      <c r="W26" s="1194">
        <f t="shared" si="9"/>
        <v>5.9084194977843429</v>
      </c>
    </row>
    <row r="27" spans="1:23" s="477" customFormat="1" ht="31.5" customHeight="1">
      <c r="A27" s="478">
        <v>21</v>
      </c>
      <c r="B27" s="688" t="s">
        <v>972</v>
      </c>
      <c r="C27" s="625" t="s">
        <v>971</v>
      </c>
      <c r="D27" s="1474">
        <v>41491</v>
      </c>
      <c r="E27" s="513" t="s">
        <v>260</v>
      </c>
      <c r="F27" s="494">
        <f>'S2'!AL27-'S2'!AD27-'S2'!AJ27-'S2'!AK27-'S2'!AE27-'S2'!AG27-W27</f>
        <v>387.57234973298495</v>
      </c>
      <c r="G27" s="495">
        <v>4062</v>
      </c>
      <c r="H27" s="488">
        <f t="shared" si="3"/>
        <v>1574318.8846153847</v>
      </c>
      <c r="I27" s="480"/>
      <c r="J27" s="520">
        <v>2</v>
      </c>
      <c r="K27" s="488">
        <f t="shared" si="0"/>
        <v>300000</v>
      </c>
      <c r="L27" s="488">
        <f t="shared" si="1"/>
        <v>1274318.8846153847</v>
      </c>
      <c r="M27" s="489">
        <f t="shared" si="4"/>
        <v>0</v>
      </c>
      <c r="N27" s="488">
        <f t="shared" si="5"/>
        <v>0</v>
      </c>
      <c r="O27" s="490">
        <f t="shared" si="2"/>
        <v>0</v>
      </c>
      <c r="P27" s="491">
        <f t="shared" si="6"/>
        <v>0</v>
      </c>
      <c r="R27" s="1212">
        <v>32515</v>
      </c>
      <c r="S27" s="1170">
        <v>44835</v>
      </c>
      <c r="T27" s="1174">
        <f>'S2'!AL27-'S2'!AE27</f>
        <v>413.48076923076928</v>
      </c>
      <c r="U27" s="1177">
        <f t="shared" si="7"/>
        <v>1679558.8846153847</v>
      </c>
      <c r="V27" s="1181">
        <f t="shared" si="8"/>
        <v>24000</v>
      </c>
      <c r="W27" s="1194">
        <f t="shared" si="9"/>
        <v>5.9084194977843429</v>
      </c>
    </row>
    <row r="28" spans="1:23" s="477" customFormat="1" ht="31.5" customHeight="1">
      <c r="A28" s="478">
        <v>22</v>
      </c>
      <c r="B28" s="645" t="s">
        <v>275</v>
      </c>
      <c r="C28" s="613" t="s">
        <v>490</v>
      </c>
      <c r="D28" s="1563">
        <v>41498</v>
      </c>
      <c r="E28" s="513" t="s">
        <v>260</v>
      </c>
      <c r="F28" s="494">
        <f>'S2'!AL28-'S2'!AD28-'S2'!AJ28-'S2'!AK28-'S2'!AE28-'S2'!AG28-W28</f>
        <v>369.74542665606185</v>
      </c>
      <c r="G28" s="495">
        <v>4062</v>
      </c>
      <c r="H28" s="488">
        <f t="shared" si="3"/>
        <v>1501905.9230769232</v>
      </c>
      <c r="I28" s="480"/>
      <c r="J28" s="520">
        <v>1</v>
      </c>
      <c r="K28" s="488">
        <f t="shared" si="0"/>
        <v>150000</v>
      </c>
      <c r="L28" s="488">
        <f t="shared" si="1"/>
        <v>1351905.9230769232</v>
      </c>
      <c r="M28" s="489">
        <f t="shared" si="4"/>
        <v>0</v>
      </c>
      <c r="N28" s="488">
        <f t="shared" si="5"/>
        <v>0</v>
      </c>
      <c r="O28" s="490">
        <f t="shared" si="2"/>
        <v>0</v>
      </c>
      <c r="P28" s="491">
        <f t="shared" si="6"/>
        <v>0</v>
      </c>
      <c r="R28" s="1212">
        <v>29148</v>
      </c>
      <c r="S28" s="1170">
        <v>44835</v>
      </c>
      <c r="T28" s="1174">
        <f>'S2'!AL28-'S2'!AE28</f>
        <v>395.65384615384619</v>
      </c>
      <c r="U28" s="1177">
        <f t="shared" si="7"/>
        <v>1607145.9230769232</v>
      </c>
      <c r="V28" s="1181">
        <f t="shared" si="8"/>
        <v>24000</v>
      </c>
      <c r="W28" s="1194">
        <f t="shared" si="9"/>
        <v>5.9084194977843429</v>
      </c>
    </row>
    <row r="29" spans="1:23" s="477" customFormat="1" ht="31.5" customHeight="1">
      <c r="A29" s="478">
        <v>23</v>
      </c>
      <c r="B29" s="645" t="s">
        <v>276</v>
      </c>
      <c r="C29" s="613" t="s">
        <v>491</v>
      </c>
      <c r="D29" s="1563">
        <v>41582</v>
      </c>
      <c r="E29" s="513" t="s">
        <v>260</v>
      </c>
      <c r="F29" s="494">
        <f>'S2'!AL29-'S2'!AD29-'S2'!AJ29-'S2'!AK29-'S2'!AE29-'S2'!AG29-W29</f>
        <v>370.7069651176003</v>
      </c>
      <c r="G29" s="495">
        <v>4062</v>
      </c>
      <c r="H29" s="488">
        <f t="shared" si="3"/>
        <v>1505811.6923076925</v>
      </c>
      <c r="I29" s="480"/>
      <c r="J29" s="520">
        <v>3</v>
      </c>
      <c r="K29" s="488">
        <f t="shared" si="0"/>
        <v>450000</v>
      </c>
      <c r="L29" s="488">
        <f t="shared" si="1"/>
        <v>1055811.6923076925</v>
      </c>
      <c r="M29" s="489">
        <f t="shared" si="4"/>
        <v>0</v>
      </c>
      <c r="N29" s="488">
        <f t="shared" si="5"/>
        <v>0</v>
      </c>
      <c r="O29" s="490">
        <f t="shared" si="2"/>
        <v>0</v>
      </c>
      <c r="P29" s="491">
        <f t="shared" si="6"/>
        <v>0</v>
      </c>
      <c r="R29" s="1212">
        <v>27383</v>
      </c>
      <c r="S29" s="1170">
        <v>44835</v>
      </c>
      <c r="T29" s="1174">
        <f>'S2'!AL29-'S2'!AE29</f>
        <v>396.61538461538464</v>
      </c>
      <c r="U29" s="1177">
        <f t="shared" si="7"/>
        <v>1611051.6923076925</v>
      </c>
      <c r="V29" s="1181">
        <f t="shared" si="8"/>
        <v>24000</v>
      </c>
      <c r="W29" s="1194">
        <f t="shared" si="9"/>
        <v>5.9084194977843429</v>
      </c>
    </row>
    <row r="30" spans="1:23" s="477" customFormat="1" ht="31.5" customHeight="1">
      <c r="A30" s="478">
        <v>24</v>
      </c>
      <c r="B30" s="645" t="s">
        <v>468</v>
      </c>
      <c r="C30" s="613" t="s">
        <v>469</v>
      </c>
      <c r="D30" s="1563">
        <v>43620</v>
      </c>
      <c r="E30" s="513" t="s">
        <v>260</v>
      </c>
      <c r="F30" s="494">
        <f>'S2'!AL30-'S2'!AD30-'S2'!AJ30-'S2'!AK30-'S2'!AE30-'S2'!AG30-W30</f>
        <v>379.60119588683102</v>
      </c>
      <c r="G30" s="495">
        <v>4062</v>
      </c>
      <c r="H30" s="488">
        <f t="shared" si="3"/>
        <v>1541940.0576923075</v>
      </c>
      <c r="I30" s="480"/>
      <c r="J30" s="520">
        <v>2</v>
      </c>
      <c r="K30" s="488">
        <f t="shared" si="0"/>
        <v>300000</v>
      </c>
      <c r="L30" s="488">
        <f t="shared" si="1"/>
        <v>1241940.0576923075</v>
      </c>
      <c r="M30" s="489">
        <f t="shared" si="4"/>
        <v>0</v>
      </c>
      <c r="N30" s="488">
        <f t="shared" si="5"/>
        <v>0</v>
      </c>
      <c r="O30" s="490">
        <f t="shared" si="2"/>
        <v>0</v>
      </c>
      <c r="P30" s="491">
        <f t="shared" si="6"/>
        <v>0</v>
      </c>
      <c r="R30" s="1212">
        <v>28652</v>
      </c>
      <c r="S30" s="1170">
        <v>44835</v>
      </c>
      <c r="T30" s="1174">
        <f>'S2'!AL30-'S2'!AE30</f>
        <v>405.50961538461536</v>
      </c>
      <c r="U30" s="1177">
        <f t="shared" si="7"/>
        <v>1647180.0576923075</v>
      </c>
      <c r="V30" s="1181">
        <f t="shared" si="8"/>
        <v>24000</v>
      </c>
      <c r="W30" s="1194">
        <f t="shared" si="9"/>
        <v>5.9084194977843429</v>
      </c>
    </row>
    <row r="31" spans="1:23" s="477" customFormat="1" ht="31.5" customHeight="1">
      <c r="A31" s="478">
        <v>25</v>
      </c>
      <c r="B31" s="645" t="s">
        <v>709</v>
      </c>
      <c r="C31" s="613" t="s">
        <v>710</v>
      </c>
      <c r="D31" s="1563">
        <v>43648</v>
      </c>
      <c r="E31" s="513" t="s">
        <v>260</v>
      </c>
      <c r="F31" s="494">
        <f>'S2'!AL31-'S2'!AD31-'S2'!AJ31-'S2'!AK31-'S2'!AE31-'S2'!AG31-W31</f>
        <v>336.82234973298489</v>
      </c>
      <c r="G31" s="495">
        <v>4062</v>
      </c>
      <c r="H31" s="488">
        <f t="shared" si="3"/>
        <v>1368172.3846153845</v>
      </c>
      <c r="I31" s="480"/>
      <c r="J31" s="520">
        <v>1</v>
      </c>
      <c r="K31" s="488">
        <f t="shared" si="0"/>
        <v>150000</v>
      </c>
      <c r="L31" s="488">
        <f t="shared" si="1"/>
        <v>1218172.3846153845</v>
      </c>
      <c r="M31" s="489">
        <f t="shared" si="4"/>
        <v>0</v>
      </c>
      <c r="N31" s="488">
        <f t="shared" si="5"/>
        <v>0</v>
      </c>
      <c r="O31" s="490">
        <f t="shared" si="2"/>
        <v>0</v>
      </c>
      <c r="P31" s="491">
        <f t="shared" si="6"/>
        <v>0</v>
      </c>
      <c r="R31" s="1186">
        <v>34636</v>
      </c>
      <c r="S31" s="1170">
        <v>44835</v>
      </c>
      <c r="T31" s="1174">
        <f>'S2'!AL31-'S2'!AE31</f>
        <v>362.73076923076923</v>
      </c>
      <c r="U31" s="1177">
        <f t="shared" si="7"/>
        <v>1473412.3846153845</v>
      </c>
      <c r="V31" s="1181">
        <f t="shared" si="8"/>
        <v>24000</v>
      </c>
      <c r="W31" s="1194">
        <f t="shared" si="9"/>
        <v>5.9084194977843429</v>
      </c>
    </row>
    <row r="32" spans="1:23" s="477" customFormat="1" ht="31.5" customHeight="1">
      <c r="A32" s="478">
        <v>26</v>
      </c>
      <c r="B32" s="785" t="s">
        <v>2102</v>
      </c>
      <c r="C32" s="1103" t="s">
        <v>2103</v>
      </c>
      <c r="D32" s="624">
        <v>43710</v>
      </c>
      <c r="E32" s="513" t="s">
        <v>260</v>
      </c>
      <c r="F32" s="494">
        <f>'S2'!AL32-'S2'!AD32-'S2'!AJ32-'S2'!AK32-'S2'!AE32-'S2'!AG32-W32</f>
        <v>379.60119588683102</v>
      </c>
      <c r="G32" s="495">
        <v>4062</v>
      </c>
      <c r="H32" s="488">
        <f t="shared" ref="H32" si="50">F32*G32</f>
        <v>1541940.0576923075</v>
      </c>
      <c r="I32" s="480"/>
      <c r="J32" s="520">
        <v>1</v>
      </c>
      <c r="K32" s="488">
        <f t="shared" ref="K32" si="51">150000*(J32+I32)</f>
        <v>150000</v>
      </c>
      <c r="L32" s="488">
        <f t="shared" ref="L32" si="52">H32-K32</f>
        <v>1391940.0576923075</v>
      </c>
      <c r="M32" s="489">
        <f t="shared" ref="M32" si="53">IF(L32&gt;=12500000,20%,IF(L32&gt;=8500001,15%,IF(L32&gt;=2000001,10%,IF(L32&gt;=1500001,5%,0%))))</f>
        <v>0</v>
      </c>
      <c r="N32" s="488">
        <f t="shared" ref="N32" si="54">IF(M32=5%,75000,IF(M32=10%,175000,0))</f>
        <v>0</v>
      </c>
      <c r="O32" s="490">
        <f t="shared" ref="O32" si="55">L32*M32-N32</f>
        <v>0</v>
      </c>
      <c r="P32" s="491">
        <f t="shared" si="6"/>
        <v>0</v>
      </c>
      <c r="R32" s="1173">
        <v>36767</v>
      </c>
      <c r="S32" s="1170">
        <v>44835</v>
      </c>
      <c r="T32" s="1174">
        <f>'S2'!AL32-'S2'!AE32</f>
        <v>405.50961538461536</v>
      </c>
      <c r="U32" s="1177">
        <f t="shared" si="7"/>
        <v>1647180.0576923075</v>
      </c>
      <c r="V32" s="1181">
        <f t="shared" si="8"/>
        <v>24000</v>
      </c>
      <c r="W32" s="1194">
        <f t="shared" si="9"/>
        <v>5.9084194977843429</v>
      </c>
    </row>
    <row r="33" spans="1:23" s="477" customFormat="1" ht="31.5" customHeight="1">
      <c r="A33" s="478">
        <v>27</v>
      </c>
      <c r="B33" s="645" t="s">
        <v>526</v>
      </c>
      <c r="C33" s="613" t="s">
        <v>525</v>
      </c>
      <c r="D33" s="1563">
        <v>43742</v>
      </c>
      <c r="E33" s="557" t="s">
        <v>260</v>
      </c>
      <c r="F33" s="494">
        <f>'S2'!AL33-'S2'!AD33-'S2'!AJ33-'S2'!AK33-'S2'!AE33-'S2'!AG33-W33</f>
        <v>369.58196511760025</v>
      </c>
      <c r="G33" s="495">
        <v>4062</v>
      </c>
      <c r="H33" s="488">
        <f t="shared" si="3"/>
        <v>1501241.9423076923</v>
      </c>
      <c r="I33" s="480"/>
      <c r="J33" s="520">
        <v>1</v>
      </c>
      <c r="K33" s="488">
        <f t="shared" si="0"/>
        <v>150000</v>
      </c>
      <c r="L33" s="488">
        <f t="shared" si="1"/>
        <v>1351241.9423076923</v>
      </c>
      <c r="M33" s="489">
        <f t="shared" si="4"/>
        <v>0</v>
      </c>
      <c r="N33" s="488">
        <f t="shared" si="5"/>
        <v>0</v>
      </c>
      <c r="O33" s="490">
        <f t="shared" si="2"/>
        <v>0</v>
      </c>
      <c r="P33" s="491">
        <f t="shared" si="6"/>
        <v>0</v>
      </c>
      <c r="R33" s="1212">
        <v>34034</v>
      </c>
      <c r="S33" s="1170">
        <v>44835</v>
      </c>
      <c r="T33" s="1174">
        <f>'S2'!AL33-'S2'!AE33</f>
        <v>395.49038461538458</v>
      </c>
      <c r="U33" s="1177">
        <f t="shared" si="7"/>
        <v>1606481.9423076923</v>
      </c>
      <c r="V33" s="1181">
        <f t="shared" si="8"/>
        <v>24000</v>
      </c>
      <c r="W33" s="1194">
        <f t="shared" si="9"/>
        <v>5.9084194977843429</v>
      </c>
    </row>
    <row r="34" spans="1:23" s="477" customFormat="1" ht="31.5" customHeight="1">
      <c r="A34" s="478">
        <v>28</v>
      </c>
      <c r="B34" s="646" t="s">
        <v>2065</v>
      </c>
      <c r="C34" s="613" t="s">
        <v>747</v>
      </c>
      <c r="D34" s="1563">
        <v>43756</v>
      </c>
      <c r="E34" s="557" t="s">
        <v>260</v>
      </c>
      <c r="F34" s="494">
        <f>'S2'!AL34-'S2'!AD34-'S2'!AJ34-'S2'!AK34-'S2'!AE34-'S2'!AG34-W34</f>
        <v>382.57234973298495</v>
      </c>
      <c r="G34" s="495">
        <v>4062</v>
      </c>
      <c r="H34" s="488">
        <f t="shared" si="3"/>
        <v>1554008.8846153847</v>
      </c>
      <c r="I34" s="480">
        <v>1</v>
      </c>
      <c r="J34" s="520">
        <v>1</v>
      </c>
      <c r="K34" s="488">
        <f t="shared" si="0"/>
        <v>300000</v>
      </c>
      <c r="L34" s="488">
        <f t="shared" si="1"/>
        <v>1254008.8846153847</v>
      </c>
      <c r="M34" s="489">
        <f t="shared" si="4"/>
        <v>0</v>
      </c>
      <c r="N34" s="488">
        <f t="shared" si="5"/>
        <v>0</v>
      </c>
      <c r="O34" s="490">
        <f t="shared" si="2"/>
        <v>0</v>
      </c>
      <c r="P34" s="491">
        <f t="shared" si="6"/>
        <v>0</v>
      </c>
      <c r="R34" s="1212">
        <v>33044</v>
      </c>
      <c r="S34" s="1170">
        <v>44835</v>
      </c>
      <c r="T34" s="1174">
        <f>'S2'!AL34-'S2'!AE34</f>
        <v>408.48076923076928</v>
      </c>
      <c r="U34" s="1177">
        <f t="shared" si="7"/>
        <v>1659248.8846153847</v>
      </c>
      <c r="V34" s="1181">
        <f t="shared" si="8"/>
        <v>24000</v>
      </c>
      <c r="W34" s="1194">
        <f t="shared" si="9"/>
        <v>5.9084194977843429</v>
      </c>
    </row>
    <row r="35" spans="1:23" s="477" customFormat="1" ht="31.5" customHeight="1">
      <c r="A35" s="478">
        <v>29</v>
      </c>
      <c r="B35" s="645" t="s">
        <v>547</v>
      </c>
      <c r="C35" s="613" t="s">
        <v>545</v>
      </c>
      <c r="D35" s="1563">
        <v>43834</v>
      </c>
      <c r="E35" s="557" t="s">
        <v>260</v>
      </c>
      <c r="F35" s="494">
        <f>'S2'!AL35-'S2'!AD35-'S2'!AJ35-'S2'!AK35-'S2'!AE35-'S2'!AG35-W35</f>
        <v>319.14927280990798</v>
      </c>
      <c r="G35" s="495">
        <v>4062</v>
      </c>
      <c r="H35" s="488">
        <f t="shared" si="3"/>
        <v>1296384.3461538462</v>
      </c>
      <c r="I35" s="480"/>
      <c r="J35" s="520">
        <v>0</v>
      </c>
      <c r="K35" s="488">
        <f t="shared" si="0"/>
        <v>0</v>
      </c>
      <c r="L35" s="488">
        <f t="shared" si="1"/>
        <v>1296384.3461538462</v>
      </c>
      <c r="M35" s="489">
        <f t="shared" si="4"/>
        <v>0</v>
      </c>
      <c r="N35" s="488">
        <f t="shared" si="5"/>
        <v>0</v>
      </c>
      <c r="O35" s="490">
        <f t="shared" si="2"/>
        <v>0</v>
      </c>
      <c r="P35" s="491">
        <f t="shared" si="6"/>
        <v>0</v>
      </c>
      <c r="R35" s="1212">
        <v>36075</v>
      </c>
      <c r="S35" s="1170">
        <v>44835</v>
      </c>
      <c r="T35" s="1174">
        <f>'S2'!AL35-'S2'!AE35</f>
        <v>345.05769230769232</v>
      </c>
      <c r="U35" s="1177">
        <f t="shared" si="7"/>
        <v>1401624.3461538462</v>
      </c>
      <c r="V35" s="1181">
        <f t="shared" si="8"/>
        <v>24000</v>
      </c>
      <c r="W35" s="1194">
        <f t="shared" si="9"/>
        <v>5.9084194977843429</v>
      </c>
    </row>
    <row r="36" spans="1:23" s="477" customFormat="1" ht="31.5" customHeight="1">
      <c r="A36" s="478">
        <v>30</v>
      </c>
      <c r="B36" s="645" t="s">
        <v>548</v>
      </c>
      <c r="C36" s="613" t="s">
        <v>546</v>
      </c>
      <c r="D36" s="1563">
        <v>43834</v>
      </c>
      <c r="E36" s="557" t="s">
        <v>260</v>
      </c>
      <c r="F36" s="494">
        <f>'S2'!AL36-'S2'!AD36-'S2'!AJ36-'S2'!AK36-'S2'!AE36-'S2'!AG36-W36</f>
        <v>351.51465742529257</v>
      </c>
      <c r="G36" s="495">
        <v>4062</v>
      </c>
      <c r="H36" s="488">
        <f t="shared" si="3"/>
        <v>1427852.5384615385</v>
      </c>
      <c r="I36" s="480"/>
      <c r="J36" s="520">
        <v>0</v>
      </c>
      <c r="K36" s="488">
        <f t="shared" si="0"/>
        <v>0</v>
      </c>
      <c r="L36" s="488">
        <f t="shared" si="1"/>
        <v>1427852.5384615385</v>
      </c>
      <c r="M36" s="489">
        <f t="shared" si="4"/>
        <v>0</v>
      </c>
      <c r="N36" s="488">
        <f t="shared" si="5"/>
        <v>0</v>
      </c>
      <c r="O36" s="490">
        <f t="shared" si="2"/>
        <v>0</v>
      </c>
      <c r="P36" s="491">
        <f t="shared" si="6"/>
        <v>0</v>
      </c>
      <c r="R36" s="1212">
        <v>35393</v>
      </c>
      <c r="S36" s="1170">
        <v>44835</v>
      </c>
      <c r="T36" s="1174">
        <f>'S2'!AL36-'S2'!AE36</f>
        <v>377.42307692307691</v>
      </c>
      <c r="U36" s="1177">
        <f t="shared" si="7"/>
        <v>1533092.5384615385</v>
      </c>
      <c r="V36" s="1181">
        <f t="shared" si="8"/>
        <v>24000</v>
      </c>
      <c r="W36" s="1194">
        <f t="shared" si="9"/>
        <v>5.9084194977843429</v>
      </c>
    </row>
    <row r="37" spans="1:23" s="477" customFormat="1" ht="31.5" customHeight="1">
      <c r="A37" s="478">
        <v>31</v>
      </c>
      <c r="B37" s="645" t="s">
        <v>2066</v>
      </c>
      <c r="C37" s="613" t="s">
        <v>905</v>
      </c>
      <c r="D37" s="1563">
        <v>44348</v>
      </c>
      <c r="E37" s="527" t="s">
        <v>260</v>
      </c>
      <c r="F37" s="494">
        <f>'S2'!AL37-'S2'!AD37-'S2'!AJ37-'S2'!AK37-'S2'!AE37-'S2'!AG37-W37</f>
        <v>380.57234973298495</v>
      </c>
      <c r="G37" s="495">
        <v>4062</v>
      </c>
      <c r="H37" s="488">
        <f t="shared" si="3"/>
        <v>1545884.8846153847</v>
      </c>
      <c r="I37" s="480"/>
      <c r="J37" s="520">
        <v>2</v>
      </c>
      <c r="K37" s="488">
        <f t="shared" si="0"/>
        <v>300000</v>
      </c>
      <c r="L37" s="488">
        <f t="shared" si="1"/>
        <v>1245884.8846153847</v>
      </c>
      <c r="M37" s="489">
        <f t="shared" si="4"/>
        <v>0</v>
      </c>
      <c r="N37" s="488">
        <f t="shared" si="5"/>
        <v>0</v>
      </c>
      <c r="O37" s="490">
        <f t="shared" si="2"/>
        <v>0</v>
      </c>
      <c r="P37" s="491">
        <f t="shared" si="6"/>
        <v>0</v>
      </c>
      <c r="R37" s="1186">
        <v>34916</v>
      </c>
      <c r="S37" s="1170">
        <v>44835</v>
      </c>
      <c r="T37" s="1174">
        <f>'S2'!AL37-'S2'!AE37</f>
        <v>406.48076923076928</v>
      </c>
      <c r="U37" s="1177">
        <f t="shared" si="7"/>
        <v>1651124.8846153847</v>
      </c>
      <c r="V37" s="1181">
        <f t="shared" si="8"/>
        <v>24000</v>
      </c>
      <c r="W37" s="1194">
        <f t="shared" si="9"/>
        <v>5.9084194977843429</v>
      </c>
    </row>
    <row r="38" spans="1:23" s="477" customFormat="1" ht="31.5" customHeight="1">
      <c r="A38" s="478">
        <v>32</v>
      </c>
      <c r="B38" s="645" t="s">
        <v>2067</v>
      </c>
      <c r="C38" s="613" t="s">
        <v>925</v>
      </c>
      <c r="D38" s="1563">
        <v>44348</v>
      </c>
      <c r="E38" s="527" t="s">
        <v>260</v>
      </c>
      <c r="F38" s="494">
        <f>'S2'!AL38-'S2'!AD38-'S2'!AJ38-'S2'!AK38-'S2'!AE38-'S2'!AG38-W38</f>
        <v>300.30311896375412</v>
      </c>
      <c r="G38" s="495">
        <v>4062</v>
      </c>
      <c r="H38" s="488">
        <f t="shared" si="3"/>
        <v>1219831.2692307692</v>
      </c>
      <c r="I38" s="480"/>
      <c r="J38" s="520">
        <v>1</v>
      </c>
      <c r="K38" s="488">
        <f t="shared" si="0"/>
        <v>150000</v>
      </c>
      <c r="L38" s="488">
        <f t="shared" si="1"/>
        <v>1069831.2692307692</v>
      </c>
      <c r="M38" s="489">
        <f t="shared" si="4"/>
        <v>0</v>
      </c>
      <c r="N38" s="488">
        <f t="shared" si="5"/>
        <v>0</v>
      </c>
      <c r="O38" s="490">
        <f t="shared" si="2"/>
        <v>0</v>
      </c>
      <c r="P38" s="491">
        <f t="shared" si="6"/>
        <v>0</v>
      </c>
      <c r="R38" s="1186">
        <v>36687</v>
      </c>
      <c r="S38" s="1170">
        <v>44835</v>
      </c>
      <c r="T38" s="1174">
        <f>'S2'!AL38-'S2'!AE38</f>
        <v>326.21153846153845</v>
      </c>
      <c r="U38" s="1177">
        <f t="shared" si="7"/>
        <v>1325071.2692307692</v>
      </c>
      <c r="V38" s="1181">
        <f t="shared" si="8"/>
        <v>24000</v>
      </c>
      <c r="W38" s="1194">
        <f t="shared" si="9"/>
        <v>5.9084194977843429</v>
      </c>
    </row>
    <row r="39" spans="1:23" s="477" customFormat="1" ht="31.5" customHeight="1">
      <c r="A39" s="478">
        <v>33</v>
      </c>
      <c r="B39" s="645" t="s">
        <v>556</v>
      </c>
      <c r="C39" s="613" t="s">
        <v>557</v>
      </c>
      <c r="D39" s="1563">
        <v>41723</v>
      </c>
      <c r="E39" s="557" t="s">
        <v>260</v>
      </c>
      <c r="F39" s="494">
        <f>'S2'!AL39-'S2'!AD39-'S2'!AJ39-'S2'!AK39-'S2'!AE39-'S2'!AG39-W39</f>
        <v>387.57234973298495</v>
      </c>
      <c r="G39" s="495">
        <v>4062</v>
      </c>
      <c r="H39" s="488">
        <f t="shared" si="3"/>
        <v>1574318.8846153847</v>
      </c>
      <c r="I39" s="480"/>
      <c r="J39" s="520">
        <v>3</v>
      </c>
      <c r="K39" s="488">
        <f t="shared" si="0"/>
        <v>450000</v>
      </c>
      <c r="L39" s="488">
        <f t="shared" si="1"/>
        <v>1124318.8846153847</v>
      </c>
      <c r="M39" s="489">
        <f t="shared" si="4"/>
        <v>0</v>
      </c>
      <c r="N39" s="488">
        <f t="shared" si="5"/>
        <v>0</v>
      </c>
      <c r="O39" s="490">
        <f t="shared" si="2"/>
        <v>0</v>
      </c>
      <c r="P39" s="491">
        <f t="shared" si="6"/>
        <v>0</v>
      </c>
      <c r="R39" s="1186">
        <v>31540</v>
      </c>
      <c r="S39" s="1170">
        <v>44835</v>
      </c>
      <c r="T39" s="1174">
        <f>'S2'!AL39-'S2'!AE39</f>
        <v>413.48076923076928</v>
      </c>
      <c r="U39" s="1177">
        <f t="shared" si="7"/>
        <v>1679558.8846153847</v>
      </c>
      <c r="V39" s="1181">
        <f t="shared" si="8"/>
        <v>24000</v>
      </c>
      <c r="W39" s="1194">
        <f t="shared" si="9"/>
        <v>5.9084194977843429</v>
      </c>
    </row>
    <row r="40" spans="1:23" s="477" customFormat="1" ht="31.5" customHeight="1">
      <c r="A40" s="478">
        <v>34</v>
      </c>
      <c r="B40" s="957" t="s">
        <v>277</v>
      </c>
      <c r="C40" s="615" t="s">
        <v>278</v>
      </c>
      <c r="D40" s="1563">
        <v>41725</v>
      </c>
      <c r="E40" s="513" t="s">
        <v>260</v>
      </c>
      <c r="F40" s="494">
        <f>'S2'!AL40-'S2'!AD40-'S2'!AJ40-'S2'!AK40-'S2'!AE40-'S2'!AG40-W40</f>
        <v>350.92811896375412</v>
      </c>
      <c r="G40" s="495">
        <v>4062</v>
      </c>
      <c r="H40" s="488">
        <f t="shared" si="3"/>
        <v>1425470.0192307692</v>
      </c>
      <c r="I40" s="480"/>
      <c r="J40" s="520">
        <v>3</v>
      </c>
      <c r="K40" s="488">
        <f t="shared" si="0"/>
        <v>450000</v>
      </c>
      <c r="L40" s="488">
        <f t="shared" si="1"/>
        <v>975470.01923076925</v>
      </c>
      <c r="M40" s="489">
        <f t="shared" si="4"/>
        <v>0</v>
      </c>
      <c r="N40" s="488">
        <f t="shared" si="5"/>
        <v>0</v>
      </c>
      <c r="O40" s="490">
        <f t="shared" si="2"/>
        <v>0</v>
      </c>
      <c r="P40" s="491">
        <f t="shared" si="6"/>
        <v>0</v>
      </c>
      <c r="R40" s="1208">
        <v>29222</v>
      </c>
      <c r="S40" s="1179">
        <v>44835</v>
      </c>
      <c r="T40" s="1174">
        <f>'S2'!AL40-'S2'!AE40</f>
        <v>376.83653846153845</v>
      </c>
      <c r="U40" s="1177">
        <f t="shared" si="7"/>
        <v>1530710.0192307692</v>
      </c>
      <c r="V40" s="1181">
        <f t="shared" si="8"/>
        <v>24000</v>
      </c>
      <c r="W40" s="1194">
        <f t="shared" si="9"/>
        <v>5.9084194977843429</v>
      </c>
    </row>
    <row r="41" spans="1:23" ht="38.25" customHeight="1">
      <c r="A41" s="478"/>
      <c r="B41" s="1339"/>
      <c r="C41" s="1339"/>
      <c r="D41" s="1339"/>
      <c r="E41" s="1339"/>
      <c r="F41" s="1340">
        <f>SUM(F7:F40)</f>
        <v>12550.417311477859</v>
      </c>
      <c r="G41" s="1339"/>
      <c r="H41" s="1339"/>
      <c r="I41" s="1339"/>
      <c r="J41" s="1339"/>
      <c r="K41" s="1339"/>
      <c r="L41" s="2129" t="s">
        <v>251</v>
      </c>
      <c r="M41" s="2130"/>
      <c r="N41" s="2131"/>
      <c r="O41" s="496">
        <f>SUM(O7:O40)</f>
        <v>31678.424805688206</v>
      </c>
      <c r="P41" s="497">
        <f>SUM(P7:P40)</f>
        <v>7.7987259492093068</v>
      </c>
      <c r="R41" s="2123" t="s">
        <v>251</v>
      </c>
      <c r="S41" s="2124"/>
      <c r="T41" s="2124"/>
      <c r="U41" s="2125"/>
      <c r="V41" s="1185">
        <f>SUM(V7:V40)</f>
        <v>816000</v>
      </c>
      <c r="W41" s="1184">
        <f>SUM(W7:W40)</f>
        <v>200.88626292466753</v>
      </c>
    </row>
  </sheetData>
  <mergeCells count="9">
    <mergeCell ref="R41:U41"/>
    <mergeCell ref="R1:W1"/>
    <mergeCell ref="R2:W2"/>
    <mergeCell ref="R3:W3"/>
    <mergeCell ref="A1:P1"/>
    <mergeCell ref="A2:P2"/>
    <mergeCell ref="A3:P3"/>
    <mergeCell ref="A4:E4"/>
    <mergeCell ref="L41:N41"/>
  </mergeCells>
  <phoneticPr fontId="171" type="noConversion"/>
  <conditionalFormatting sqref="M33:M40 M7:M9 M11:M12 M27:M31 M24:M25 M15:M22">
    <cfRule type="cellIs" dxfId="87" priority="38" stopIfTrue="1" operator="equal">
      <formula>0</formula>
    </cfRule>
  </conditionalFormatting>
  <conditionalFormatting sqref="M32">
    <cfRule type="cellIs" dxfId="86" priority="6" stopIfTrue="1" operator="equal">
      <formula>0</formula>
    </cfRule>
  </conditionalFormatting>
  <conditionalFormatting sqref="M10">
    <cfRule type="cellIs" dxfId="85" priority="5" stopIfTrue="1" operator="equal">
      <formula>0</formula>
    </cfRule>
  </conditionalFormatting>
  <conditionalFormatting sqref="M13">
    <cfRule type="cellIs" dxfId="84" priority="4" stopIfTrue="1" operator="equal">
      <formula>0</formula>
    </cfRule>
  </conditionalFormatting>
  <conditionalFormatting sqref="M26">
    <cfRule type="cellIs" dxfId="83" priority="3" stopIfTrue="1" operator="equal">
      <formula>0</formula>
    </cfRule>
  </conditionalFormatting>
  <conditionalFormatting sqref="M14">
    <cfRule type="cellIs" dxfId="82" priority="2" stopIfTrue="1" operator="equal">
      <formula>0</formula>
    </cfRule>
  </conditionalFormatting>
  <conditionalFormatting sqref="M23">
    <cfRule type="cellIs" dxfId="81" priority="1" stopIfTrue="1" operator="equal">
      <formula>0</formula>
    </cfRule>
  </conditionalFormatting>
  <printOptions horizontalCentered="1"/>
  <pageMargins left="0.2" right="0.19" top="0.2" bottom="0.2" header="0.3" footer="0.31"/>
  <pageSetup paperSize="9" scale="75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42"/>
  <sheetViews>
    <sheetView topLeftCell="A5" zoomScaleNormal="100" workbookViewId="0">
      <pane xSplit="4" ySplit="3" topLeftCell="P35" activePane="bottomRight" state="frozen"/>
      <selection activeCell="A5" sqref="A5"/>
      <selection pane="topRight" activeCell="E5" sqref="E5"/>
      <selection pane="bottomLeft" activeCell="A8" sqref="A8"/>
      <selection pane="bottomRight" activeCell="U40" sqref="U40"/>
    </sheetView>
  </sheetViews>
  <sheetFormatPr defaultRowHeight="14.25"/>
  <cols>
    <col min="1" max="1" width="4.625" customWidth="1"/>
    <col min="3" max="3" width="11.375" customWidth="1"/>
    <col min="4" max="4" width="10.5" bestFit="1" customWidth="1"/>
  </cols>
  <sheetData>
    <row r="1" spans="1:37" s="839" customFormat="1" ht="42" hidden="1" customHeight="1">
      <c r="A1" s="2134" t="s">
        <v>222</v>
      </c>
      <c r="B1" s="2134"/>
      <c r="C1" s="2134"/>
      <c r="D1" s="2134"/>
      <c r="E1" s="2134"/>
      <c r="F1" s="2134"/>
      <c r="G1" s="2134"/>
      <c r="H1" s="2134"/>
      <c r="I1" s="2134"/>
      <c r="J1" s="2134"/>
      <c r="K1" s="2134"/>
      <c r="L1" s="2134"/>
      <c r="M1" s="2134"/>
      <c r="N1" s="2134"/>
      <c r="O1" s="2134"/>
      <c r="P1" s="2134"/>
      <c r="Q1" s="2134"/>
      <c r="R1" s="2134"/>
      <c r="S1" s="2134"/>
      <c r="T1" s="2134"/>
      <c r="U1" s="815"/>
      <c r="V1" s="815"/>
      <c r="W1" s="838" t="s">
        <v>1123</v>
      </c>
      <c r="X1" s="838" t="s">
        <v>1124</v>
      </c>
    </row>
    <row r="2" spans="1:37" s="841" customFormat="1" ht="42.75" hidden="1" customHeight="1">
      <c r="A2" s="2134" t="s">
        <v>221</v>
      </c>
      <c r="B2" s="2134"/>
      <c r="C2" s="2134"/>
      <c r="D2" s="2134"/>
      <c r="E2" s="2134"/>
      <c r="F2" s="2134"/>
      <c r="G2" s="2134"/>
      <c r="H2" s="2134"/>
      <c r="I2" s="2134"/>
      <c r="J2" s="2134"/>
      <c r="K2" s="2134"/>
      <c r="L2" s="2134"/>
      <c r="M2" s="2134"/>
      <c r="N2" s="2134"/>
      <c r="O2" s="2134"/>
      <c r="P2" s="2134"/>
      <c r="Q2" s="2134"/>
      <c r="R2" s="2134"/>
      <c r="S2" s="2134"/>
      <c r="T2" s="2134"/>
      <c r="U2" s="815"/>
      <c r="V2" s="815"/>
      <c r="W2" s="840" t="e">
        <f>INT((#REF!-#REF!*50000-#REF!*10000-#REF!*5000)/1000)</f>
        <v>#REF!</v>
      </c>
      <c r="X2" s="840" t="e">
        <f>INT((#REF!-#REF!*50000-#REF!*10000-#REF!*5000-W2*1000)/500)</f>
        <v>#REF!</v>
      </c>
    </row>
    <row r="3" spans="1:37" s="841" customFormat="1" ht="42.75" hidden="1" customHeight="1">
      <c r="A3" s="2135" t="s">
        <v>1070</v>
      </c>
      <c r="B3" s="2135"/>
      <c r="C3" s="2135"/>
      <c r="D3" s="2135"/>
      <c r="E3" s="2135"/>
      <c r="F3" s="2135"/>
      <c r="G3" s="2135"/>
      <c r="H3" s="2135"/>
      <c r="I3" s="2135"/>
      <c r="J3" s="2135"/>
      <c r="K3" s="2135"/>
      <c r="L3" s="2135"/>
      <c r="M3" s="2135"/>
      <c r="N3" s="2135"/>
      <c r="O3" s="2135"/>
      <c r="P3" s="2135"/>
      <c r="Q3" s="2135"/>
      <c r="R3" s="2135"/>
      <c r="S3" s="2135"/>
      <c r="T3" s="2135"/>
      <c r="U3" s="816"/>
      <c r="V3" s="816"/>
      <c r="W3" s="840" t="e">
        <f>INT((#REF!-#REF!*50000-#REF!*10000-#REF!*5000)/1000)</f>
        <v>#REF!</v>
      </c>
      <c r="X3" s="840" t="e">
        <f>INT((#REF!-#REF!*50000-#REF!*10000-#REF!*5000-W3*1000)/500)</f>
        <v>#REF!</v>
      </c>
    </row>
    <row r="4" spans="1:37" s="841" customFormat="1" ht="42.75" hidden="1" customHeight="1">
      <c r="A4" s="2135" t="s">
        <v>1071</v>
      </c>
      <c r="B4" s="2135"/>
      <c r="C4" s="2135"/>
      <c r="D4" s="2135"/>
      <c r="E4" s="2135"/>
      <c r="F4" s="2135"/>
      <c r="G4" s="2135"/>
      <c r="H4" s="2135"/>
      <c r="I4" s="2135"/>
      <c r="J4" s="2135"/>
      <c r="K4" s="2135"/>
      <c r="L4" s="2135"/>
      <c r="M4" s="2135"/>
      <c r="N4" s="2135"/>
      <c r="O4" s="2135"/>
      <c r="P4" s="2135"/>
      <c r="Q4" s="2135"/>
      <c r="R4" s="2135"/>
      <c r="S4" s="2135"/>
      <c r="T4" s="2135"/>
      <c r="U4" s="816"/>
      <c r="V4" s="816"/>
      <c r="W4" s="840" t="e">
        <f>INT((#REF!-#REF!*50000-#REF!*10000-#REF!*5000)/1000)</f>
        <v>#REF!</v>
      </c>
      <c r="X4" s="840" t="e">
        <f>INT((#REF!-#REF!*50000-#REF!*10000-#REF!*5000-W4*1000)/500)</f>
        <v>#REF!</v>
      </c>
    </row>
    <row r="5" spans="1:37" s="856" customFormat="1" ht="20.25" customHeight="1">
      <c r="A5" s="2136" t="s">
        <v>1158</v>
      </c>
      <c r="B5" s="2136"/>
      <c r="C5" s="2136"/>
      <c r="D5" s="817"/>
      <c r="E5" s="817"/>
      <c r="F5" s="817"/>
      <c r="G5" s="817"/>
      <c r="H5" s="817"/>
      <c r="I5" s="817"/>
      <c r="J5" s="817"/>
      <c r="K5" s="817"/>
      <c r="L5" s="2136" t="s">
        <v>2347</v>
      </c>
      <c r="M5" s="2136"/>
      <c r="N5" s="2136"/>
      <c r="O5" s="2136"/>
      <c r="P5" s="2136"/>
      <c r="Q5" s="2136"/>
      <c r="R5" s="2136"/>
      <c r="S5" s="818"/>
      <c r="T5" s="817"/>
      <c r="U5" s="819"/>
      <c r="V5" s="819"/>
      <c r="W5" s="855"/>
      <c r="X5" s="855"/>
    </row>
    <row r="6" spans="1:37" s="841" customFormat="1" ht="36" customHeight="1">
      <c r="A6" s="820" t="s">
        <v>252</v>
      </c>
      <c r="B6" s="820" t="s">
        <v>1072</v>
      </c>
      <c r="C6" s="820" t="s">
        <v>1073</v>
      </c>
      <c r="D6" s="820" t="s">
        <v>254</v>
      </c>
      <c r="E6" s="821" t="s">
        <v>227</v>
      </c>
      <c r="F6" s="2138" t="s">
        <v>1074</v>
      </c>
      <c r="G6" s="2139"/>
      <c r="H6" s="2139"/>
      <c r="I6" s="2139"/>
      <c r="J6" s="2139"/>
      <c r="K6" s="2139"/>
      <c r="L6" s="2139"/>
      <c r="M6" s="2139"/>
      <c r="N6" s="2139"/>
      <c r="O6" s="2139"/>
      <c r="P6" s="2139"/>
      <c r="Q6" s="2140"/>
      <c r="R6" s="822" t="s">
        <v>1075</v>
      </c>
      <c r="S6" s="822" t="s">
        <v>1076</v>
      </c>
      <c r="T6" s="822" t="s">
        <v>1077</v>
      </c>
      <c r="U6" s="822" t="s">
        <v>1126</v>
      </c>
      <c r="V6" s="850" t="s">
        <v>1128</v>
      </c>
      <c r="W6" s="876" t="s">
        <v>1078</v>
      </c>
      <c r="X6" s="877"/>
    </row>
    <row r="7" spans="1:37" s="839" customFormat="1" ht="42" customHeight="1">
      <c r="A7" s="858" t="s">
        <v>41</v>
      </c>
      <c r="B7" s="858" t="s">
        <v>42</v>
      </c>
      <c r="C7" s="858" t="s">
        <v>1079</v>
      </c>
      <c r="D7" s="858" t="s">
        <v>1080</v>
      </c>
      <c r="E7" s="859" t="s">
        <v>1081</v>
      </c>
      <c r="F7" s="859" t="s">
        <v>1082</v>
      </c>
      <c r="G7" s="859" t="s">
        <v>1083</v>
      </c>
      <c r="H7" s="1402" t="s">
        <v>1084</v>
      </c>
      <c r="I7" s="859" t="s">
        <v>1085</v>
      </c>
      <c r="J7" s="859" t="s">
        <v>1086</v>
      </c>
      <c r="K7" s="859" t="s">
        <v>1087</v>
      </c>
      <c r="L7" s="859" t="s">
        <v>1088</v>
      </c>
      <c r="M7" s="859" t="s">
        <v>1089</v>
      </c>
      <c r="N7" s="859" t="s">
        <v>1090</v>
      </c>
      <c r="O7" s="859" t="s">
        <v>1091</v>
      </c>
      <c r="P7" s="859" t="s">
        <v>1092</v>
      </c>
      <c r="Q7" s="859" t="s">
        <v>1093</v>
      </c>
      <c r="R7" s="826" t="s">
        <v>1094</v>
      </c>
      <c r="S7" s="827" t="s">
        <v>1095</v>
      </c>
      <c r="T7" s="827" t="s">
        <v>1096</v>
      </c>
      <c r="U7" s="852" t="s">
        <v>1125</v>
      </c>
      <c r="V7" s="854" t="s">
        <v>1127</v>
      </c>
      <c r="W7" s="861" t="s">
        <v>1097</v>
      </c>
      <c r="X7" s="878"/>
      <c r="Y7" s="1701">
        <v>1</v>
      </c>
      <c r="Z7" s="1701">
        <v>2</v>
      </c>
      <c r="AA7" s="1701">
        <v>3</v>
      </c>
      <c r="AB7" s="1701">
        <v>4</v>
      </c>
      <c r="AC7" s="1701">
        <v>5</v>
      </c>
      <c r="AD7" s="1701">
        <v>6</v>
      </c>
      <c r="AE7" s="1701">
        <v>7</v>
      </c>
      <c r="AF7" s="1701">
        <v>8</v>
      </c>
      <c r="AG7" s="1701">
        <v>9</v>
      </c>
      <c r="AH7" s="1701">
        <v>10</v>
      </c>
      <c r="AI7" s="1701">
        <v>11</v>
      </c>
      <c r="AJ7" s="1701">
        <v>12</v>
      </c>
      <c r="AK7" s="1701" t="s">
        <v>74</v>
      </c>
    </row>
    <row r="8" spans="1:37" s="841" customFormat="1" ht="41.25" customHeight="1">
      <c r="A8" s="502">
        <v>1</v>
      </c>
      <c r="B8" s="1520" t="s">
        <v>1159</v>
      </c>
      <c r="C8" s="1519" t="s">
        <v>492</v>
      </c>
      <c r="D8" s="1517">
        <v>41375</v>
      </c>
      <c r="E8" s="880" t="s">
        <v>1098</v>
      </c>
      <c r="F8" s="1718">
        <v>306.12084520417852</v>
      </c>
      <c r="G8" s="1718">
        <v>312.14957264957263</v>
      </c>
      <c r="H8" s="1719">
        <v>275.66913970951202</v>
      </c>
      <c r="I8" s="1718">
        <v>306.00862985016863</v>
      </c>
      <c r="J8" s="1718">
        <v>359.24998387278356</v>
      </c>
      <c r="K8" s="1718">
        <v>413.96686976389941</v>
      </c>
      <c r="L8" s="1718">
        <v>364.24841327427265</v>
      </c>
      <c r="M8" s="1718">
        <v>350.32332634461818</v>
      </c>
      <c r="N8" s="1718">
        <v>276.84578659575237</v>
      </c>
      <c r="O8" s="1306">
        <v>318.30714229134338</v>
      </c>
      <c r="P8" s="1306">
        <v>217.07692307692309</v>
      </c>
      <c r="Q8" s="1306">
        <v>30</v>
      </c>
      <c r="R8" s="881">
        <f t="shared" ref="R8:R39" si="0">SUM(F8:Q8)</f>
        <v>3529.9666326330243</v>
      </c>
      <c r="S8" s="882">
        <f>R8/12</f>
        <v>294.16388605275205</v>
      </c>
      <c r="T8" s="882">
        <f t="shared" ref="T8:T39" si="1">S8/26</f>
        <v>11.313995617413541</v>
      </c>
      <c r="U8" s="883">
        <f>'S3'!W7</f>
        <v>0</v>
      </c>
      <c r="V8" s="882">
        <f t="shared" ref="V8:V39" si="2">T8*U8</f>
        <v>0</v>
      </c>
      <c r="W8" s="502"/>
      <c r="X8" s="504"/>
      <c r="Y8" s="883">
        <v>0</v>
      </c>
      <c r="Z8" s="883">
        <v>0</v>
      </c>
      <c r="AA8" s="1694">
        <v>2</v>
      </c>
      <c r="AB8" s="883">
        <v>1.5</v>
      </c>
      <c r="AC8" s="883">
        <v>1</v>
      </c>
      <c r="AD8" s="883">
        <v>0</v>
      </c>
      <c r="AE8" s="883">
        <v>1</v>
      </c>
      <c r="AF8" s="883">
        <v>2</v>
      </c>
      <c r="AG8" s="883">
        <v>1</v>
      </c>
      <c r="AH8" s="1694"/>
      <c r="AI8" s="1694"/>
      <c r="AJ8" s="1694"/>
      <c r="AK8" s="1699">
        <f>SUM(Y8:AJ8)</f>
        <v>8.5</v>
      </c>
    </row>
    <row r="9" spans="1:37" s="1440" customFormat="1" ht="41.25" customHeight="1">
      <c r="A9" s="502">
        <v>2</v>
      </c>
      <c r="B9" s="572" t="s">
        <v>1967</v>
      </c>
      <c r="C9" s="956" t="s">
        <v>1968</v>
      </c>
      <c r="D9" s="1476">
        <v>45119</v>
      </c>
      <c r="E9" s="880" t="s">
        <v>1098</v>
      </c>
      <c r="F9" s="1718">
        <v>294.56125356125358</v>
      </c>
      <c r="G9" s="1718">
        <v>300.58998100664763</v>
      </c>
      <c r="H9" s="1719">
        <v>259.49139318107916</v>
      </c>
      <c r="I9" s="1718">
        <v>298.57743689090421</v>
      </c>
      <c r="J9" s="1718">
        <v>381.65498857578058</v>
      </c>
      <c r="K9" s="1718">
        <v>477.19430693069307</v>
      </c>
      <c r="L9" s="1718">
        <v>417.85543766578246</v>
      </c>
      <c r="M9" s="1718">
        <v>308.66127189642037</v>
      </c>
      <c r="N9" s="1718">
        <v>272.21265848703513</v>
      </c>
      <c r="O9" s="1306">
        <v>286.46619871146567</v>
      </c>
      <c r="P9" s="1306">
        <v>209.23076923076923</v>
      </c>
      <c r="Q9" s="1306">
        <v>30</v>
      </c>
      <c r="R9" s="881">
        <f t="shared" si="0"/>
        <v>3536.4956961378307</v>
      </c>
      <c r="S9" s="882">
        <f>R9/12</f>
        <v>294.70797467815254</v>
      </c>
      <c r="T9" s="882">
        <f t="shared" si="1"/>
        <v>11.334922103005868</v>
      </c>
      <c r="U9" s="883">
        <f>'S3'!W8</f>
        <v>0</v>
      </c>
      <c r="V9" s="882">
        <f t="shared" si="2"/>
        <v>0</v>
      </c>
      <c r="W9" s="502"/>
      <c r="X9" s="504"/>
      <c r="Y9" s="883">
        <v>0</v>
      </c>
      <c r="Z9" s="883">
        <v>0</v>
      </c>
      <c r="AA9" s="1694">
        <v>2</v>
      </c>
      <c r="AB9" s="883">
        <v>1.5</v>
      </c>
      <c r="AC9" s="883">
        <v>0</v>
      </c>
      <c r="AD9" s="883">
        <v>0</v>
      </c>
      <c r="AE9" s="883">
        <v>0</v>
      </c>
      <c r="AF9" s="1694"/>
      <c r="AG9" s="883">
        <v>1</v>
      </c>
      <c r="AH9" s="1694"/>
      <c r="AI9" s="1694"/>
      <c r="AJ9" s="1694"/>
      <c r="AK9" s="1699">
        <f t="shared" ref="AK9:AK39" si="3">SUM(Y9:AJ9)</f>
        <v>4.5</v>
      </c>
    </row>
    <row r="10" spans="1:37" s="1440" customFormat="1" ht="41.25" customHeight="1">
      <c r="A10" s="502">
        <v>3</v>
      </c>
      <c r="B10" s="572" t="s">
        <v>1969</v>
      </c>
      <c r="C10" s="956" t="s">
        <v>1970</v>
      </c>
      <c r="D10" s="1476">
        <v>45119</v>
      </c>
      <c r="E10" s="880" t="s">
        <v>1098</v>
      </c>
      <c r="F10" s="1718">
        <v>287.44207027540364</v>
      </c>
      <c r="G10" s="1718">
        <v>300.58998100664769</v>
      </c>
      <c r="H10" s="1719">
        <v>259.38019066775632</v>
      </c>
      <c r="I10" s="1718">
        <v>285.72219202306599</v>
      </c>
      <c r="J10" s="1718">
        <v>394.23533891850718</v>
      </c>
      <c r="K10" s="1718">
        <v>483.1246041794754</v>
      </c>
      <c r="L10" s="1718">
        <v>458.32441265630916</v>
      </c>
      <c r="M10" s="1718">
        <v>335.3288271134806</v>
      </c>
      <c r="N10" s="1718">
        <v>279.57260578926895</v>
      </c>
      <c r="O10" s="1306">
        <v>297.86534045676115</v>
      </c>
      <c r="P10" s="1306">
        <v>209.23076923076923</v>
      </c>
      <c r="Q10" s="1306">
        <v>30</v>
      </c>
      <c r="R10" s="881">
        <f t="shared" si="0"/>
        <v>3620.8163323174454</v>
      </c>
      <c r="S10" s="882">
        <f>R10/12</f>
        <v>301.73469435978711</v>
      </c>
      <c r="T10" s="882">
        <f t="shared" si="1"/>
        <v>11.605180552299505</v>
      </c>
      <c r="U10" s="883">
        <f>'S3'!W9</f>
        <v>0</v>
      </c>
      <c r="V10" s="882">
        <f t="shared" si="2"/>
        <v>0</v>
      </c>
      <c r="W10" s="502"/>
      <c r="X10" s="504"/>
      <c r="Y10" s="883">
        <v>0</v>
      </c>
      <c r="Z10" s="883">
        <v>0</v>
      </c>
      <c r="AA10" s="1694">
        <v>2</v>
      </c>
      <c r="AB10" s="883">
        <v>1.5</v>
      </c>
      <c r="AC10" s="883">
        <v>0</v>
      </c>
      <c r="AD10" s="883">
        <v>0.5</v>
      </c>
      <c r="AE10" s="883">
        <v>0</v>
      </c>
      <c r="AF10" s="1694"/>
      <c r="AG10" s="883">
        <v>2</v>
      </c>
      <c r="AH10" s="1694"/>
      <c r="AI10" s="1694"/>
      <c r="AJ10" s="1694"/>
      <c r="AK10" s="1699">
        <f t="shared" si="3"/>
        <v>6</v>
      </c>
    </row>
    <row r="11" spans="1:37" s="1441" customFormat="1" ht="41.25" customHeight="1">
      <c r="A11" s="502">
        <v>4</v>
      </c>
      <c r="B11" s="572" t="s">
        <v>1995</v>
      </c>
      <c r="C11" s="956" t="s">
        <v>1996</v>
      </c>
      <c r="D11" s="1476">
        <v>45125</v>
      </c>
      <c r="E11" s="880" t="s">
        <v>1098</v>
      </c>
      <c r="F11" s="1718">
        <v>294.56125356125358</v>
      </c>
      <c r="G11" s="1718">
        <v>304.14957264957263</v>
      </c>
      <c r="H11" s="1719">
        <v>258.79379796884234</v>
      </c>
      <c r="I11" s="1718">
        <v>315.95405549805247</v>
      </c>
      <c r="J11" s="1718">
        <v>416.65539960138756</v>
      </c>
      <c r="K11" s="1718">
        <v>443.07083015993908</v>
      </c>
      <c r="L11" s="1718">
        <v>448.93270498969076</v>
      </c>
      <c r="M11" s="1718">
        <v>319.9723914699162</v>
      </c>
      <c r="N11" s="1718">
        <v>270.89950129218562</v>
      </c>
      <c r="O11" s="1306">
        <v>282.87048036309568</v>
      </c>
      <c r="P11" s="1306">
        <v>191.53846153846155</v>
      </c>
      <c r="Q11" s="1306">
        <v>30</v>
      </c>
      <c r="R11" s="881">
        <f t="shared" si="0"/>
        <v>3577.3984490923972</v>
      </c>
      <c r="S11" s="882">
        <f>R11/12</f>
        <v>298.11653742436641</v>
      </c>
      <c r="T11" s="882">
        <f t="shared" si="1"/>
        <v>11.466020670167939</v>
      </c>
      <c r="U11" s="883">
        <f>'S3'!W10</f>
        <v>1</v>
      </c>
      <c r="V11" s="882">
        <f t="shared" si="2"/>
        <v>11.466020670167939</v>
      </c>
      <c r="W11" s="502"/>
      <c r="X11" s="504"/>
      <c r="Y11" s="883">
        <v>0</v>
      </c>
      <c r="Z11" s="883">
        <v>0</v>
      </c>
      <c r="AA11" s="1694">
        <v>2</v>
      </c>
      <c r="AB11" s="883">
        <v>1.5</v>
      </c>
      <c r="AC11" s="883">
        <v>0.5</v>
      </c>
      <c r="AD11" s="883">
        <v>0</v>
      </c>
      <c r="AE11" s="883">
        <v>2</v>
      </c>
      <c r="AF11" s="1694"/>
      <c r="AG11" s="883">
        <v>1</v>
      </c>
      <c r="AH11" s="1694"/>
      <c r="AI11" s="1694"/>
      <c r="AJ11" s="1694"/>
      <c r="AK11" s="1699">
        <f t="shared" si="3"/>
        <v>7</v>
      </c>
    </row>
    <row r="12" spans="1:37" s="1752" customFormat="1" ht="41.25" customHeight="1">
      <c r="A12" s="502">
        <v>5</v>
      </c>
      <c r="B12" s="1334" t="s">
        <v>2216</v>
      </c>
      <c r="C12" s="1079" t="s">
        <v>2214</v>
      </c>
      <c r="D12" s="530">
        <v>45460</v>
      </c>
      <c r="E12" s="880" t="s">
        <v>1098</v>
      </c>
      <c r="F12" s="1325">
        <v>0</v>
      </c>
      <c r="G12" s="1325">
        <v>0</v>
      </c>
      <c r="H12" s="1325">
        <v>0</v>
      </c>
      <c r="I12" s="1325">
        <v>0</v>
      </c>
      <c r="J12" s="1325">
        <v>0</v>
      </c>
      <c r="K12" s="1718">
        <v>152.48437547600915</v>
      </c>
      <c r="L12" s="1718">
        <v>256.13106290261464</v>
      </c>
      <c r="M12" s="1718">
        <v>236.41679360243717</v>
      </c>
      <c r="N12" s="1718">
        <v>266.21369774818157</v>
      </c>
      <c r="O12" s="1325">
        <v>0</v>
      </c>
      <c r="P12" s="1325">
        <v>0</v>
      </c>
      <c r="Q12" s="1325">
        <v>0</v>
      </c>
      <c r="R12" s="881">
        <f t="shared" si="0"/>
        <v>911.24592972924256</v>
      </c>
      <c r="S12" s="882">
        <f>R12/4</f>
        <v>227.81148243231064</v>
      </c>
      <c r="T12" s="882">
        <f t="shared" si="1"/>
        <v>8.7619800935504095</v>
      </c>
      <c r="U12" s="883">
        <f>'S3'!W11</f>
        <v>0</v>
      </c>
      <c r="V12" s="882">
        <f t="shared" si="2"/>
        <v>0</v>
      </c>
      <c r="W12" s="502"/>
      <c r="X12" s="504"/>
      <c r="Y12" s="883"/>
      <c r="Z12" s="883"/>
      <c r="AA12" s="1694"/>
      <c r="AB12" s="883"/>
      <c r="AC12" s="1694"/>
      <c r="AD12" s="883">
        <v>0</v>
      </c>
      <c r="AE12" s="883">
        <v>0</v>
      </c>
      <c r="AF12" s="1694"/>
      <c r="AG12" s="1825">
        <v>2</v>
      </c>
      <c r="AH12" s="1694"/>
      <c r="AI12" s="1694"/>
      <c r="AJ12" s="1694"/>
      <c r="AK12" s="1699"/>
    </row>
    <row r="13" spans="1:37" s="1760" customFormat="1" ht="41.25" customHeight="1">
      <c r="A13" s="502">
        <v>6</v>
      </c>
      <c r="B13" s="572" t="s">
        <v>2267</v>
      </c>
      <c r="C13" s="1079" t="s">
        <v>2269</v>
      </c>
      <c r="D13" s="1763">
        <v>45496</v>
      </c>
      <c r="E13" s="880" t="s">
        <v>1098</v>
      </c>
      <c r="F13" s="1325">
        <v>0</v>
      </c>
      <c r="G13" s="1325">
        <v>0</v>
      </c>
      <c r="H13" s="1325">
        <v>0</v>
      </c>
      <c r="I13" s="1325">
        <v>0</v>
      </c>
      <c r="J13" s="1325">
        <v>0</v>
      </c>
      <c r="K13" s="1325"/>
      <c r="L13" s="1718">
        <v>121.49257199696854</v>
      </c>
      <c r="M13" s="1718">
        <v>328.25190403655751</v>
      </c>
      <c r="N13" s="1718">
        <v>255.32334198008112</v>
      </c>
      <c r="O13" s="1325">
        <v>0</v>
      </c>
      <c r="P13" s="1325">
        <v>0</v>
      </c>
      <c r="Q13" s="1325">
        <v>0</v>
      </c>
      <c r="R13" s="881">
        <f t="shared" si="0"/>
        <v>705.06781801360717</v>
      </c>
      <c r="S13" s="882">
        <f>R13/3</f>
        <v>235.02260600453573</v>
      </c>
      <c r="T13" s="882">
        <f t="shared" si="1"/>
        <v>9.0393310001744513</v>
      </c>
      <c r="U13" s="883">
        <f>'S3'!W12</f>
        <v>0</v>
      </c>
      <c r="V13" s="882">
        <f t="shared" si="2"/>
        <v>0</v>
      </c>
      <c r="W13" s="502"/>
      <c r="X13" s="504"/>
      <c r="Y13" s="883"/>
      <c r="Z13" s="883"/>
      <c r="AA13" s="1694"/>
      <c r="AB13" s="883"/>
      <c r="AC13" s="1694"/>
      <c r="AD13" s="883"/>
      <c r="AE13" s="883">
        <v>0</v>
      </c>
      <c r="AF13" s="1694"/>
      <c r="AG13" s="883">
        <v>1</v>
      </c>
      <c r="AH13" s="1694"/>
      <c r="AI13" s="1694"/>
      <c r="AJ13" s="1694"/>
      <c r="AK13" s="1699"/>
    </row>
    <row r="14" spans="1:37" s="1760" customFormat="1" ht="41.25" customHeight="1">
      <c r="A14" s="502">
        <v>7</v>
      </c>
      <c r="B14" s="572" t="s">
        <v>2268</v>
      </c>
      <c r="C14" s="1079" t="s">
        <v>2270</v>
      </c>
      <c r="D14" s="1763">
        <v>45496</v>
      </c>
      <c r="E14" s="880" t="s">
        <v>1098</v>
      </c>
      <c r="F14" s="1325">
        <v>0</v>
      </c>
      <c r="G14" s="1325">
        <v>0</v>
      </c>
      <c r="H14" s="1325">
        <v>0</v>
      </c>
      <c r="I14" s="1325">
        <v>0</v>
      </c>
      <c r="J14" s="1325">
        <v>0</v>
      </c>
      <c r="K14" s="1325"/>
      <c r="L14" s="1718">
        <v>87.410746494884407</v>
      </c>
      <c r="M14" s="1718">
        <v>330.10424600152328</v>
      </c>
      <c r="N14" s="1718">
        <v>260.54969806590577</v>
      </c>
      <c r="O14" s="1325">
        <v>0</v>
      </c>
      <c r="P14" s="1325">
        <v>0</v>
      </c>
      <c r="Q14" s="1325">
        <v>0</v>
      </c>
      <c r="R14" s="881">
        <f t="shared" si="0"/>
        <v>678.06469056231344</v>
      </c>
      <c r="S14" s="882">
        <f>R14/3</f>
        <v>226.02156352077114</v>
      </c>
      <c r="T14" s="882">
        <f t="shared" si="1"/>
        <v>8.6931370584911978</v>
      </c>
      <c r="U14" s="883">
        <f>'S3'!W13</f>
        <v>0</v>
      </c>
      <c r="V14" s="882">
        <f t="shared" si="2"/>
        <v>0</v>
      </c>
      <c r="W14" s="502"/>
      <c r="X14" s="504"/>
      <c r="Y14" s="883"/>
      <c r="Z14" s="883"/>
      <c r="AA14" s="1694"/>
      <c r="AB14" s="883"/>
      <c r="AC14" s="1694"/>
      <c r="AD14" s="883"/>
      <c r="AE14" s="883">
        <v>0</v>
      </c>
      <c r="AF14" s="1694"/>
      <c r="AG14" s="883">
        <v>1</v>
      </c>
      <c r="AH14" s="1694"/>
      <c r="AI14" s="1694"/>
      <c r="AJ14" s="1694"/>
      <c r="AK14" s="1699"/>
    </row>
    <row r="15" spans="1:37" s="1800" customFormat="1" ht="41.25" customHeight="1">
      <c r="A15" s="502">
        <v>8</v>
      </c>
      <c r="B15" s="572" t="s">
        <v>2308</v>
      </c>
      <c r="C15" s="1079" t="s">
        <v>2310</v>
      </c>
      <c r="D15" s="530">
        <v>45505</v>
      </c>
      <c r="E15" s="880" t="s">
        <v>1098</v>
      </c>
      <c r="F15" s="1325">
        <v>0</v>
      </c>
      <c r="G15" s="1325">
        <v>0</v>
      </c>
      <c r="H15" s="1325">
        <v>0</v>
      </c>
      <c r="I15" s="1325">
        <v>0</v>
      </c>
      <c r="J15" s="1325">
        <v>0</v>
      </c>
      <c r="K15" s="1325"/>
      <c r="L15" s="1325">
        <v>0</v>
      </c>
      <c r="M15" s="1718">
        <v>337.1687928408225</v>
      </c>
      <c r="N15" s="1718">
        <v>258.39244024254498</v>
      </c>
      <c r="O15" s="1325">
        <v>0</v>
      </c>
      <c r="P15" s="1325">
        <v>0</v>
      </c>
      <c r="Q15" s="1325">
        <v>0</v>
      </c>
      <c r="R15" s="881">
        <f t="shared" si="0"/>
        <v>595.56123308336748</v>
      </c>
      <c r="S15" s="882">
        <f>R15/2</f>
        <v>297.78061654168374</v>
      </c>
      <c r="T15" s="882">
        <f t="shared" si="1"/>
        <v>11.453100636218606</v>
      </c>
      <c r="U15" s="883">
        <f>'S3'!W14</f>
        <v>0</v>
      </c>
      <c r="V15" s="882">
        <f t="shared" si="2"/>
        <v>0</v>
      </c>
      <c r="W15" s="502"/>
      <c r="X15" s="504"/>
      <c r="Y15" s="883"/>
      <c r="Z15" s="883"/>
      <c r="AA15" s="1694"/>
      <c r="AB15" s="883"/>
      <c r="AC15" s="1694"/>
      <c r="AD15" s="883"/>
      <c r="AE15" s="883"/>
      <c r="AF15" s="1694"/>
      <c r="AG15" s="883">
        <v>1</v>
      </c>
      <c r="AH15" s="1694"/>
      <c r="AI15" s="1694"/>
      <c r="AJ15" s="1694"/>
      <c r="AK15" s="1699"/>
    </row>
    <row r="16" spans="1:37" s="1800" customFormat="1" ht="41.25" customHeight="1">
      <c r="A16" s="502">
        <v>9</v>
      </c>
      <c r="B16" s="572" t="s">
        <v>2309</v>
      </c>
      <c r="C16" s="1079" t="s">
        <v>2311</v>
      </c>
      <c r="D16" s="530">
        <v>45505</v>
      </c>
      <c r="E16" s="880" t="s">
        <v>1098</v>
      </c>
      <c r="F16" s="1325">
        <v>0</v>
      </c>
      <c r="G16" s="1325">
        <v>0</v>
      </c>
      <c r="H16" s="1325">
        <v>0</v>
      </c>
      <c r="I16" s="1325">
        <v>0</v>
      </c>
      <c r="J16" s="1325">
        <v>0</v>
      </c>
      <c r="K16" s="1325"/>
      <c r="L16" s="1325">
        <v>0</v>
      </c>
      <c r="M16" s="1718">
        <v>313.95039984767709</v>
      </c>
      <c r="N16" s="1718">
        <v>236.19792093854352</v>
      </c>
      <c r="O16" s="1325">
        <v>0</v>
      </c>
      <c r="P16" s="1325">
        <v>0</v>
      </c>
      <c r="Q16" s="1325">
        <v>0</v>
      </c>
      <c r="R16" s="881">
        <f t="shared" si="0"/>
        <v>550.14832078622067</v>
      </c>
      <c r="S16" s="882">
        <f>R16/2</f>
        <v>275.07416039311033</v>
      </c>
      <c r="T16" s="882">
        <f t="shared" si="1"/>
        <v>10.579775399735013</v>
      </c>
      <c r="U16" s="883">
        <f>'S3'!W15</f>
        <v>0</v>
      </c>
      <c r="V16" s="882">
        <f t="shared" si="2"/>
        <v>0</v>
      </c>
      <c r="W16" s="502"/>
      <c r="X16" s="504"/>
      <c r="Y16" s="883"/>
      <c r="Z16" s="883"/>
      <c r="AA16" s="1694"/>
      <c r="AB16" s="883"/>
      <c r="AC16" s="1694"/>
      <c r="AD16" s="883"/>
      <c r="AE16" s="883"/>
      <c r="AF16" s="1694"/>
      <c r="AG16" s="883">
        <v>1</v>
      </c>
      <c r="AH16" s="1694"/>
      <c r="AI16" s="1694"/>
      <c r="AJ16" s="1694"/>
      <c r="AK16" s="1699"/>
    </row>
    <row r="17" spans="1:37" s="841" customFormat="1" ht="41.25" customHeight="1">
      <c r="A17" s="502">
        <v>10</v>
      </c>
      <c r="B17" s="1540" t="s">
        <v>520</v>
      </c>
      <c r="C17" s="1541" t="s">
        <v>521</v>
      </c>
      <c r="D17" s="1539">
        <v>43710</v>
      </c>
      <c r="E17" s="884" t="s">
        <v>1098</v>
      </c>
      <c r="F17" s="1718">
        <v>301.98433048433048</v>
      </c>
      <c r="G17" s="1718">
        <v>311.63034188034186</v>
      </c>
      <c r="H17" s="1719">
        <v>275.48727772415396</v>
      </c>
      <c r="I17" s="1718">
        <v>266.32054422223882</v>
      </c>
      <c r="J17" s="1718">
        <v>441.14670601675556</v>
      </c>
      <c r="K17" s="1718">
        <v>493.63494859101303</v>
      </c>
      <c r="L17" s="1718">
        <v>422.70782019704427</v>
      </c>
      <c r="M17" s="1718">
        <v>350.77732292460024</v>
      </c>
      <c r="N17" s="1718">
        <v>272.91183491898329</v>
      </c>
      <c r="O17" s="1306">
        <v>326.37353861395701</v>
      </c>
      <c r="P17" s="1306">
        <v>215.30769230769232</v>
      </c>
      <c r="Q17" s="1306">
        <v>30</v>
      </c>
      <c r="R17" s="881">
        <f t="shared" si="0"/>
        <v>3708.2823578811112</v>
      </c>
      <c r="S17" s="882">
        <f t="shared" ref="S17:S39" si="4">R17/12</f>
        <v>309.02352982342592</v>
      </c>
      <c r="T17" s="882">
        <f t="shared" si="1"/>
        <v>11.885520377824074</v>
      </c>
      <c r="U17" s="883">
        <f>'S3'!W16</f>
        <v>1</v>
      </c>
      <c r="V17" s="882">
        <f t="shared" si="2"/>
        <v>11.885520377824074</v>
      </c>
      <c r="W17" s="502"/>
      <c r="X17" s="504"/>
      <c r="Y17" s="883">
        <v>0</v>
      </c>
      <c r="Z17" s="883">
        <v>0</v>
      </c>
      <c r="AA17" s="1694">
        <v>2</v>
      </c>
      <c r="AB17" s="883">
        <v>1.5</v>
      </c>
      <c r="AC17" s="883">
        <v>0</v>
      </c>
      <c r="AD17" s="883">
        <v>0</v>
      </c>
      <c r="AE17" s="883">
        <v>0</v>
      </c>
      <c r="AF17" s="1694"/>
      <c r="AG17" s="883">
        <v>1</v>
      </c>
      <c r="AH17" s="1694"/>
      <c r="AI17" s="1694"/>
      <c r="AJ17" s="1694"/>
      <c r="AK17" s="1699">
        <f t="shared" si="3"/>
        <v>4.5</v>
      </c>
    </row>
    <row r="18" spans="1:37" s="841" customFormat="1" ht="41.25" customHeight="1">
      <c r="A18" s="502">
        <v>11</v>
      </c>
      <c r="B18" s="1540" t="s">
        <v>527</v>
      </c>
      <c r="C18" s="1541" t="s">
        <v>528</v>
      </c>
      <c r="D18" s="1539">
        <v>43747</v>
      </c>
      <c r="E18" s="884" t="s">
        <v>1098</v>
      </c>
      <c r="F18" s="1718">
        <v>305.57276828110162</v>
      </c>
      <c r="G18" s="1718">
        <v>314.95402840339113</v>
      </c>
      <c r="H18" s="1719">
        <v>275.7066547802695</v>
      </c>
      <c r="I18" s="1718">
        <v>331.2075957315617</v>
      </c>
      <c r="J18" s="1718">
        <v>424.6817402894136</v>
      </c>
      <c r="K18" s="1718">
        <v>466.5248476770754</v>
      </c>
      <c r="L18" s="1718">
        <v>430.98486642667683</v>
      </c>
      <c r="M18" s="1718">
        <v>347.03417745620715</v>
      </c>
      <c r="N18" s="1718">
        <v>276.6330015636027</v>
      </c>
      <c r="O18" s="1306">
        <v>326.80524039915321</v>
      </c>
      <c r="P18" s="1306">
        <v>215.30769230769232</v>
      </c>
      <c r="Q18" s="1306">
        <v>30</v>
      </c>
      <c r="R18" s="881">
        <f t="shared" si="0"/>
        <v>3745.4126133161453</v>
      </c>
      <c r="S18" s="882">
        <f t="shared" si="4"/>
        <v>312.11771777634544</v>
      </c>
      <c r="T18" s="882">
        <f t="shared" si="1"/>
        <v>12.004527606782517</v>
      </c>
      <c r="U18" s="883">
        <f>'S3'!W17</f>
        <v>0</v>
      </c>
      <c r="V18" s="882">
        <f t="shared" si="2"/>
        <v>0</v>
      </c>
      <c r="W18" s="502"/>
      <c r="X18" s="504"/>
      <c r="Y18" s="883">
        <v>0</v>
      </c>
      <c r="Z18" s="883">
        <v>1</v>
      </c>
      <c r="AA18" s="1694">
        <v>2</v>
      </c>
      <c r="AB18" s="883">
        <v>1.5</v>
      </c>
      <c r="AC18" s="883">
        <v>0</v>
      </c>
      <c r="AD18" s="883">
        <v>0</v>
      </c>
      <c r="AE18" s="883">
        <v>0</v>
      </c>
      <c r="AF18" s="1694"/>
      <c r="AG18" s="883">
        <v>1</v>
      </c>
      <c r="AH18" s="1694"/>
      <c r="AI18" s="1694"/>
      <c r="AJ18" s="1694"/>
      <c r="AK18" s="1699">
        <f t="shared" si="3"/>
        <v>5.5</v>
      </c>
    </row>
    <row r="19" spans="1:37" s="841" customFormat="1" ht="41.25" customHeight="1">
      <c r="A19" s="502">
        <v>12</v>
      </c>
      <c r="B19" s="1540" t="s">
        <v>529</v>
      </c>
      <c r="C19" s="1541" t="s">
        <v>530</v>
      </c>
      <c r="D19" s="1539">
        <v>43749</v>
      </c>
      <c r="E19" s="884" t="s">
        <v>1098</v>
      </c>
      <c r="F19" s="1718">
        <v>299.67457975761721</v>
      </c>
      <c r="G19" s="1718">
        <v>306.14957264957263</v>
      </c>
      <c r="H19" s="1719">
        <v>275.44262353554524</v>
      </c>
      <c r="I19" s="1718">
        <v>238.97455452609884</v>
      </c>
      <c r="J19" s="1718">
        <v>402.16527037319116</v>
      </c>
      <c r="K19" s="1718">
        <v>471.04636329017518</v>
      </c>
      <c r="L19" s="1718">
        <v>470.74531072375902</v>
      </c>
      <c r="M19" s="1718">
        <v>352.06302361005328</v>
      </c>
      <c r="N19" s="1718">
        <v>271.16589492777689</v>
      </c>
      <c r="O19" s="1306">
        <v>308.95458870530513</v>
      </c>
      <c r="P19" s="1306">
        <v>211.07692307692309</v>
      </c>
      <c r="Q19" s="1306">
        <v>30</v>
      </c>
      <c r="R19" s="881">
        <f t="shared" si="0"/>
        <v>3637.4587051760172</v>
      </c>
      <c r="S19" s="882">
        <f t="shared" si="4"/>
        <v>303.12155876466812</v>
      </c>
      <c r="T19" s="882">
        <f t="shared" si="1"/>
        <v>11.658521490948774</v>
      </c>
      <c r="U19" s="883">
        <f>'S3'!W18</f>
        <v>0</v>
      </c>
      <c r="V19" s="882">
        <f t="shared" si="2"/>
        <v>0</v>
      </c>
      <c r="W19" s="502"/>
      <c r="X19" s="504"/>
      <c r="Y19" s="883">
        <v>1</v>
      </c>
      <c r="Z19" s="883">
        <v>0</v>
      </c>
      <c r="AA19" s="1694">
        <v>6</v>
      </c>
      <c r="AB19" s="883">
        <v>1.5</v>
      </c>
      <c r="AC19" s="883">
        <v>0</v>
      </c>
      <c r="AD19" s="883">
        <v>0</v>
      </c>
      <c r="AE19" s="883">
        <v>0</v>
      </c>
      <c r="AF19" s="1694"/>
      <c r="AG19" s="883">
        <v>1</v>
      </c>
      <c r="AH19" s="1694"/>
      <c r="AI19" s="1694"/>
      <c r="AJ19" s="1694"/>
      <c r="AK19" s="1699">
        <f t="shared" si="3"/>
        <v>9.5</v>
      </c>
    </row>
    <row r="20" spans="1:37" s="841" customFormat="1" ht="41.25" customHeight="1">
      <c r="A20" s="502">
        <v>13</v>
      </c>
      <c r="B20" s="1520" t="s">
        <v>1160</v>
      </c>
      <c r="C20" s="1519" t="s">
        <v>493</v>
      </c>
      <c r="D20" s="1517">
        <v>41340</v>
      </c>
      <c r="E20" s="880" t="s">
        <v>1122</v>
      </c>
      <c r="F20" s="1718">
        <v>329.35262345679013</v>
      </c>
      <c r="G20" s="1718">
        <v>347.04089506172841</v>
      </c>
      <c r="H20" s="1719">
        <v>301.36551838432825</v>
      </c>
      <c r="I20" s="1718">
        <v>364.13927764337973</v>
      </c>
      <c r="J20" s="1718">
        <v>472.25759823357799</v>
      </c>
      <c r="K20" s="1718">
        <v>553.07209158415844</v>
      </c>
      <c r="L20" s="1718">
        <v>511.80080049261085</v>
      </c>
      <c r="M20" s="1718">
        <v>392.66398514851483</v>
      </c>
      <c r="N20" s="1718">
        <v>306.85715116593514</v>
      </c>
      <c r="O20" s="1306">
        <v>355.29849362115772</v>
      </c>
      <c r="P20" s="1306">
        <v>247.16625103910081</v>
      </c>
      <c r="Q20" s="1306">
        <v>30</v>
      </c>
      <c r="R20" s="881">
        <f t="shared" si="0"/>
        <v>4211.0146858312828</v>
      </c>
      <c r="S20" s="882">
        <f t="shared" si="4"/>
        <v>350.91789048594023</v>
      </c>
      <c r="T20" s="882">
        <f t="shared" si="1"/>
        <v>13.496841941766933</v>
      </c>
      <c r="U20" s="883">
        <f>'S3'!W19</f>
        <v>0</v>
      </c>
      <c r="V20" s="882">
        <f t="shared" si="2"/>
        <v>0</v>
      </c>
      <c r="W20" s="502"/>
      <c r="X20" s="504"/>
      <c r="Y20" s="883">
        <v>0</v>
      </c>
      <c r="Z20" s="883">
        <v>0</v>
      </c>
      <c r="AA20" s="1694">
        <v>2</v>
      </c>
      <c r="AB20" s="883">
        <v>1.5</v>
      </c>
      <c r="AC20" s="883">
        <v>1</v>
      </c>
      <c r="AD20" s="883">
        <v>0</v>
      </c>
      <c r="AE20" s="883">
        <v>0</v>
      </c>
      <c r="AF20" s="1694"/>
      <c r="AG20" s="883">
        <v>1</v>
      </c>
      <c r="AH20" s="1694"/>
      <c r="AI20" s="1694"/>
      <c r="AJ20" s="1694"/>
      <c r="AK20" s="1699">
        <f t="shared" si="3"/>
        <v>5.5</v>
      </c>
    </row>
    <row r="21" spans="1:37" s="1739" customFormat="1" ht="41.25" customHeight="1">
      <c r="A21" s="502">
        <v>14</v>
      </c>
      <c r="B21" s="518" t="s">
        <v>2196</v>
      </c>
      <c r="C21" s="578" t="s">
        <v>273</v>
      </c>
      <c r="D21" s="1476">
        <v>42499</v>
      </c>
      <c r="E21" s="1637" t="s">
        <v>1113</v>
      </c>
      <c r="F21" s="1719">
        <v>341.36894586894584</v>
      </c>
      <c r="G21" s="1719">
        <v>357.31712923211478</v>
      </c>
      <c r="H21" s="1719">
        <v>314.25886615704536</v>
      </c>
      <c r="I21" s="1718">
        <v>377.62290821451398</v>
      </c>
      <c r="J21" s="1718">
        <v>633.418800540809</v>
      </c>
      <c r="K21" s="1718">
        <v>708.06626047220118</v>
      </c>
      <c r="L21" s="1718">
        <v>683.19060250094731</v>
      </c>
      <c r="M21" s="1718">
        <v>514.92498095963447</v>
      </c>
      <c r="N21" s="1718">
        <v>420.44013360144373</v>
      </c>
      <c r="O21" s="1306">
        <v>295.15059312502029</v>
      </c>
      <c r="P21" s="1306">
        <v>266.59566814513266</v>
      </c>
      <c r="Q21" s="1306">
        <v>30</v>
      </c>
      <c r="R21" s="881">
        <f t="shared" si="0"/>
        <v>4942.3548888178084</v>
      </c>
      <c r="S21" s="882">
        <f t="shared" ref="S21" si="5">R21/12</f>
        <v>411.86290740148405</v>
      </c>
      <c r="T21" s="882">
        <f t="shared" si="1"/>
        <v>15.840881053903233</v>
      </c>
      <c r="U21" s="883">
        <f>'S3'!W20</f>
        <v>0</v>
      </c>
      <c r="V21" s="882">
        <f t="shared" si="2"/>
        <v>0</v>
      </c>
      <c r="W21" s="502"/>
      <c r="X21" s="504"/>
      <c r="Y21" s="924">
        <v>0</v>
      </c>
      <c r="Z21" s="924">
        <v>0.5</v>
      </c>
      <c r="AA21" s="1693">
        <v>2</v>
      </c>
      <c r="AB21" s="924">
        <v>2.5</v>
      </c>
      <c r="AC21" s="1762">
        <v>1.5</v>
      </c>
      <c r="AD21" s="883">
        <v>0</v>
      </c>
      <c r="AE21" s="883">
        <v>0</v>
      </c>
      <c r="AF21" s="1694"/>
      <c r="AG21" s="883">
        <v>2</v>
      </c>
      <c r="AH21" s="1694"/>
      <c r="AI21" s="1694"/>
      <c r="AJ21" s="1694"/>
      <c r="AK21" s="1699">
        <f t="shared" si="3"/>
        <v>8.5</v>
      </c>
    </row>
    <row r="22" spans="1:37" s="841" customFormat="1" ht="41.25" customHeight="1">
      <c r="A22" s="502">
        <v>15</v>
      </c>
      <c r="B22" s="1520" t="s">
        <v>1161</v>
      </c>
      <c r="C22" s="1519" t="s">
        <v>494</v>
      </c>
      <c r="D22" s="1517">
        <v>41386</v>
      </c>
      <c r="E22" s="880" t="s">
        <v>1098</v>
      </c>
      <c r="F22" s="1718">
        <v>241.19776828110159</v>
      </c>
      <c r="G22" s="1718">
        <v>315.70916429249758</v>
      </c>
      <c r="H22" s="1719">
        <v>275.17500507686839</v>
      </c>
      <c r="I22" s="1718">
        <v>334.14170161551033</v>
      </c>
      <c r="J22" s="1718">
        <v>411.47981721249045</v>
      </c>
      <c r="K22" s="1718">
        <v>474.50590251332824</v>
      </c>
      <c r="L22" s="1718">
        <v>445.2086017430845</v>
      </c>
      <c r="M22" s="1718">
        <v>331.06854531607007</v>
      </c>
      <c r="N22" s="1718">
        <v>281.22506260270603</v>
      </c>
      <c r="O22" s="1306">
        <v>316.45279360150477</v>
      </c>
      <c r="P22" s="1306">
        <v>220.52909556568883</v>
      </c>
      <c r="Q22" s="1306">
        <v>30</v>
      </c>
      <c r="R22" s="881">
        <f t="shared" si="0"/>
        <v>3676.6934578208511</v>
      </c>
      <c r="S22" s="882">
        <f t="shared" si="4"/>
        <v>306.39112148507093</v>
      </c>
      <c r="T22" s="882">
        <f t="shared" si="1"/>
        <v>11.784273903271959</v>
      </c>
      <c r="U22" s="883">
        <f>'S3'!W21</f>
        <v>0</v>
      </c>
      <c r="V22" s="882">
        <f t="shared" si="2"/>
        <v>0</v>
      </c>
      <c r="W22" s="502"/>
      <c r="X22" s="504"/>
      <c r="Y22" s="883">
        <v>0</v>
      </c>
      <c r="Z22" s="883">
        <v>0</v>
      </c>
      <c r="AA22" s="1694">
        <v>2</v>
      </c>
      <c r="AB22" s="883">
        <v>1.5</v>
      </c>
      <c r="AC22" s="883">
        <v>0</v>
      </c>
      <c r="AD22" s="883">
        <v>0</v>
      </c>
      <c r="AE22" s="883">
        <v>0</v>
      </c>
      <c r="AF22" s="1694"/>
      <c r="AG22" s="883">
        <v>2</v>
      </c>
      <c r="AH22" s="1694"/>
      <c r="AI22" s="1694"/>
      <c r="AJ22" s="1694"/>
      <c r="AK22" s="1699">
        <f t="shared" si="3"/>
        <v>5.5</v>
      </c>
    </row>
    <row r="23" spans="1:37" s="841" customFormat="1" ht="41.25" customHeight="1">
      <c r="A23" s="502">
        <v>16</v>
      </c>
      <c r="B23" s="1534" t="s">
        <v>566</v>
      </c>
      <c r="C23" s="1536" t="s">
        <v>1162</v>
      </c>
      <c r="D23" s="1480">
        <v>43133</v>
      </c>
      <c r="E23" s="880" t="s">
        <v>1098</v>
      </c>
      <c r="F23" s="1718">
        <v>298.90393743641033</v>
      </c>
      <c r="G23" s="1718">
        <v>257.81315289648626</v>
      </c>
      <c r="H23" s="1719">
        <v>268.51710353155812</v>
      </c>
      <c r="I23" s="1718">
        <v>263.55059594603955</v>
      </c>
      <c r="J23" s="1718">
        <v>400.7467397313315</v>
      </c>
      <c r="K23" s="1718">
        <v>404.57250442081647</v>
      </c>
      <c r="L23" s="1718">
        <v>333.22176960970063</v>
      </c>
      <c r="M23" s="1718">
        <v>306.09218216663942</v>
      </c>
      <c r="N23" s="1718">
        <v>256.31769545584609</v>
      </c>
      <c r="O23" s="1306">
        <v>277.50016404042651</v>
      </c>
      <c r="P23" s="1306">
        <v>215.83284918163511</v>
      </c>
      <c r="Q23" s="1306">
        <v>30</v>
      </c>
      <c r="R23" s="881">
        <f t="shared" si="0"/>
        <v>3313.0686944168897</v>
      </c>
      <c r="S23" s="882">
        <f t="shared" si="4"/>
        <v>276.08905786807412</v>
      </c>
      <c r="T23" s="882">
        <f t="shared" si="1"/>
        <v>10.618809918002851</v>
      </c>
      <c r="U23" s="883">
        <f>'S3'!W22</f>
        <v>0</v>
      </c>
      <c r="V23" s="882">
        <f t="shared" si="2"/>
        <v>0</v>
      </c>
      <c r="W23" s="502"/>
      <c r="X23" s="504"/>
      <c r="Y23" s="883">
        <v>0.5</v>
      </c>
      <c r="Z23" s="883">
        <v>0</v>
      </c>
      <c r="AA23" s="1694">
        <v>2.5</v>
      </c>
      <c r="AB23" s="883">
        <v>1.5</v>
      </c>
      <c r="AC23" s="883">
        <v>1</v>
      </c>
      <c r="AD23" s="883">
        <v>1</v>
      </c>
      <c r="AE23" s="883">
        <v>0</v>
      </c>
      <c r="AF23" s="883">
        <v>1</v>
      </c>
      <c r="AG23" s="883">
        <v>2</v>
      </c>
      <c r="AH23" s="1694"/>
      <c r="AI23" s="1694"/>
      <c r="AJ23" s="1694"/>
      <c r="AK23" s="1699">
        <f t="shared" si="3"/>
        <v>9.5</v>
      </c>
    </row>
    <row r="24" spans="1:37" s="841" customFormat="1" ht="41.25" customHeight="1">
      <c r="A24" s="502">
        <v>17</v>
      </c>
      <c r="B24" s="1534" t="s">
        <v>429</v>
      </c>
      <c r="C24" s="1536" t="s">
        <v>1163</v>
      </c>
      <c r="D24" s="1480">
        <v>43215</v>
      </c>
      <c r="E24" s="880" t="s">
        <v>1098</v>
      </c>
      <c r="F24" s="1718">
        <v>306.57276828110162</v>
      </c>
      <c r="G24" s="1718">
        <v>316.21877967711305</v>
      </c>
      <c r="H24" s="1719">
        <v>276.89838820211696</v>
      </c>
      <c r="I24" s="1718">
        <v>336.94381883393947</v>
      </c>
      <c r="J24" s="1718">
        <v>430.27170601675556</v>
      </c>
      <c r="K24" s="1718">
        <v>510.7379569687738</v>
      </c>
      <c r="L24" s="1718">
        <v>481.59814323607424</v>
      </c>
      <c r="M24" s="1718">
        <v>363.54722010662607</v>
      </c>
      <c r="N24" s="1718">
        <v>279.05279594087295</v>
      </c>
      <c r="O24" s="1306">
        <v>328.14839504882377</v>
      </c>
      <c r="P24" s="1306">
        <v>216.30769230769232</v>
      </c>
      <c r="Q24" s="1306">
        <v>30</v>
      </c>
      <c r="R24" s="881">
        <f t="shared" si="0"/>
        <v>3876.2976646198895</v>
      </c>
      <c r="S24" s="882">
        <f t="shared" si="4"/>
        <v>323.02480538499077</v>
      </c>
      <c r="T24" s="882">
        <f t="shared" si="1"/>
        <v>12.424030976345799</v>
      </c>
      <c r="U24" s="883">
        <f>'S3'!W23</f>
        <v>0</v>
      </c>
      <c r="V24" s="882">
        <f t="shared" si="2"/>
        <v>0</v>
      </c>
      <c r="W24" s="502"/>
      <c r="X24" s="504"/>
      <c r="Y24" s="883">
        <v>0</v>
      </c>
      <c r="Z24" s="883">
        <v>0</v>
      </c>
      <c r="AA24" s="1694">
        <v>2</v>
      </c>
      <c r="AB24" s="883">
        <v>1.5</v>
      </c>
      <c r="AC24" s="883">
        <v>0</v>
      </c>
      <c r="AD24" s="883">
        <v>0</v>
      </c>
      <c r="AE24" s="883">
        <v>0</v>
      </c>
      <c r="AF24" s="1694"/>
      <c r="AG24" s="883">
        <v>1</v>
      </c>
      <c r="AH24" s="1694"/>
      <c r="AI24" s="1694"/>
      <c r="AJ24" s="1694"/>
      <c r="AK24" s="1699">
        <f t="shared" si="3"/>
        <v>4.5</v>
      </c>
    </row>
    <row r="25" spans="1:37" s="841" customFormat="1" ht="41.25" customHeight="1">
      <c r="A25" s="502">
        <v>18</v>
      </c>
      <c r="B25" s="1534" t="s">
        <v>448</v>
      </c>
      <c r="C25" s="1536" t="s">
        <v>1164</v>
      </c>
      <c r="D25" s="1480">
        <v>43407</v>
      </c>
      <c r="E25" s="880" t="s">
        <v>1119</v>
      </c>
      <c r="F25" s="1718">
        <v>296.12084520417852</v>
      </c>
      <c r="G25" s="1718">
        <v>313.70916429249758</v>
      </c>
      <c r="H25" s="1719">
        <v>273.98407111351156</v>
      </c>
      <c r="I25" s="1718">
        <v>332.77555101668963</v>
      </c>
      <c r="J25" s="1718">
        <v>425.79093678598622</v>
      </c>
      <c r="K25" s="1718">
        <v>505.56007235338916</v>
      </c>
      <c r="L25" s="1718">
        <v>483.82521788556272</v>
      </c>
      <c r="M25" s="1718">
        <v>359.62414318354917</v>
      </c>
      <c r="N25" s="1718">
        <v>275.74354940295092</v>
      </c>
      <c r="O25" s="1306">
        <v>314.69959517245434</v>
      </c>
      <c r="P25" s="1306">
        <v>207.23076923076923</v>
      </c>
      <c r="Q25" s="1306">
        <v>30</v>
      </c>
      <c r="R25" s="881">
        <f t="shared" si="0"/>
        <v>3819.0639156415391</v>
      </c>
      <c r="S25" s="882">
        <f t="shared" si="4"/>
        <v>318.25532630346157</v>
      </c>
      <c r="T25" s="882">
        <f t="shared" si="1"/>
        <v>12.240589473210061</v>
      </c>
      <c r="U25" s="883">
        <f>'S3'!W24</f>
        <v>0</v>
      </c>
      <c r="V25" s="882">
        <f t="shared" si="2"/>
        <v>0</v>
      </c>
      <c r="W25" s="502"/>
      <c r="X25" s="504"/>
      <c r="Y25" s="883">
        <v>0</v>
      </c>
      <c r="Z25" s="883">
        <v>0</v>
      </c>
      <c r="AA25" s="1694">
        <v>2</v>
      </c>
      <c r="AB25" s="883">
        <v>1.5</v>
      </c>
      <c r="AC25" s="883">
        <v>0</v>
      </c>
      <c r="AD25" s="883">
        <v>0</v>
      </c>
      <c r="AE25" s="883">
        <v>0</v>
      </c>
      <c r="AF25" s="1694"/>
      <c r="AG25" s="883">
        <v>1</v>
      </c>
      <c r="AH25" s="1694"/>
      <c r="AI25" s="1694"/>
      <c r="AJ25" s="1694"/>
      <c r="AK25" s="1699">
        <f t="shared" si="3"/>
        <v>4.5</v>
      </c>
    </row>
    <row r="26" spans="1:37" s="841" customFormat="1" ht="41.25" customHeight="1">
      <c r="A26" s="502">
        <v>19</v>
      </c>
      <c r="B26" s="1520" t="s">
        <v>1165</v>
      </c>
      <c r="C26" s="1519" t="s">
        <v>495</v>
      </c>
      <c r="D26" s="1517">
        <v>41435</v>
      </c>
      <c r="E26" s="880" t="s">
        <v>1119</v>
      </c>
      <c r="F26" s="1718">
        <v>301.12084520417852</v>
      </c>
      <c r="G26" s="1718">
        <v>309.0870638725105</v>
      </c>
      <c r="H26" s="1719">
        <v>259.54149993588101</v>
      </c>
      <c r="I26" s="1718">
        <v>310.18141424225911</v>
      </c>
      <c r="J26" s="1718">
        <v>419.22981721249039</v>
      </c>
      <c r="K26" s="1718">
        <v>484.01190022848436</v>
      </c>
      <c r="L26" s="1718">
        <v>460.22015915119363</v>
      </c>
      <c r="M26" s="1718">
        <v>349.50190403655751</v>
      </c>
      <c r="N26" s="1718">
        <v>272.45864732154956</v>
      </c>
      <c r="O26" s="1306">
        <v>312.77302823402965</v>
      </c>
      <c r="P26" s="1306">
        <v>214.19775068713724</v>
      </c>
      <c r="Q26" s="1306">
        <v>30</v>
      </c>
      <c r="R26" s="881">
        <f t="shared" si="0"/>
        <v>3722.3240301262713</v>
      </c>
      <c r="S26" s="882">
        <f t="shared" si="4"/>
        <v>310.19366917718929</v>
      </c>
      <c r="T26" s="882">
        <f t="shared" si="1"/>
        <v>11.930525737584203</v>
      </c>
      <c r="U26" s="883">
        <f>'S3'!W25</f>
        <v>0.5</v>
      </c>
      <c r="V26" s="882">
        <f t="shared" si="2"/>
        <v>5.9652628687921014</v>
      </c>
      <c r="W26" s="502"/>
      <c r="X26" s="504"/>
      <c r="Y26" s="883">
        <v>0</v>
      </c>
      <c r="Z26" s="883">
        <v>2</v>
      </c>
      <c r="AA26" s="1694">
        <v>2</v>
      </c>
      <c r="AB26" s="883">
        <v>1.5</v>
      </c>
      <c r="AC26" s="883">
        <v>0</v>
      </c>
      <c r="AD26" s="883">
        <v>0</v>
      </c>
      <c r="AE26" s="883">
        <v>0</v>
      </c>
      <c r="AF26" s="1694"/>
      <c r="AG26" s="883">
        <v>1</v>
      </c>
      <c r="AH26" s="1694"/>
      <c r="AI26" s="1694"/>
      <c r="AJ26" s="1694"/>
      <c r="AK26" s="1699">
        <f t="shared" si="3"/>
        <v>6.5</v>
      </c>
    </row>
    <row r="27" spans="1:37" s="841" customFormat="1" ht="41.25" customHeight="1">
      <c r="A27" s="502">
        <v>20</v>
      </c>
      <c r="B27" s="1520" t="s">
        <v>1166</v>
      </c>
      <c r="C27" s="1519" t="s">
        <v>496</v>
      </c>
      <c r="D27" s="1517">
        <v>41440</v>
      </c>
      <c r="E27" s="880" t="s">
        <v>1098</v>
      </c>
      <c r="F27" s="1718">
        <v>311.57276828110162</v>
      </c>
      <c r="G27" s="1718">
        <v>311.07075023741692</v>
      </c>
      <c r="H27" s="1719">
        <v>280.66549152858016</v>
      </c>
      <c r="I27" s="1718">
        <v>311.3330766189253</v>
      </c>
      <c r="J27" s="1718">
        <v>328.57091375108649</v>
      </c>
      <c r="K27" s="1718">
        <v>338.47353259970282</v>
      </c>
      <c r="L27" s="1718">
        <v>470.51155740810913</v>
      </c>
      <c r="M27" s="1718">
        <v>363.54834005199785</v>
      </c>
      <c r="N27" s="1718">
        <v>281.97427540771849</v>
      </c>
      <c r="O27" s="1306">
        <v>307.72631455596559</v>
      </c>
      <c r="P27" s="1306">
        <v>221.30769230769232</v>
      </c>
      <c r="Q27" s="1306">
        <v>30</v>
      </c>
      <c r="R27" s="881">
        <f t="shared" si="0"/>
        <v>3556.7547127482962</v>
      </c>
      <c r="S27" s="882">
        <f t="shared" si="4"/>
        <v>296.39622606235804</v>
      </c>
      <c r="T27" s="882">
        <f t="shared" si="1"/>
        <v>11.399854848552232</v>
      </c>
      <c r="U27" s="883">
        <f>'S3'!W26</f>
        <v>0</v>
      </c>
      <c r="V27" s="882">
        <f t="shared" si="2"/>
        <v>0</v>
      </c>
      <c r="W27" s="502"/>
      <c r="X27" s="504"/>
      <c r="Y27" s="883">
        <v>0</v>
      </c>
      <c r="Z27" s="883">
        <v>0</v>
      </c>
      <c r="AA27" s="1694">
        <v>2</v>
      </c>
      <c r="AB27" s="883">
        <v>1.5</v>
      </c>
      <c r="AC27" s="1762">
        <v>3</v>
      </c>
      <c r="AD27" s="883">
        <v>3</v>
      </c>
      <c r="AE27" s="883">
        <v>0</v>
      </c>
      <c r="AF27" s="883">
        <v>1</v>
      </c>
      <c r="AG27" s="883">
        <v>1</v>
      </c>
      <c r="AH27" s="1694"/>
      <c r="AI27" s="1694"/>
      <c r="AJ27" s="1694"/>
      <c r="AK27" s="1699">
        <f t="shared" si="3"/>
        <v>11.5</v>
      </c>
    </row>
    <row r="28" spans="1:37" s="841" customFormat="1" ht="41.25" customHeight="1">
      <c r="A28" s="502">
        <v>21</v>
      </c>
      <c r="B28" s="1520" t="s">
        <v>1167</v>
      </c>
      <c r="C28" s="1519" t="s">
        <v>497</v>
      </c>
      <c r="D28" s="1517">
        <v>41444</v>
      </c>
      <c r="E28" s="880" t="s">
        <v>1113</v>
      </c>
      <c r="F28" s="1718">
        <v>458.48622981956316</v>
      </c>
      <c r="G28" s="1718">
        <v>478.66954546836007</v>
      </c>
      <c r="H28" s="1719">
        <v>425.02208084578103</v>
      </c>
      <c r="I28" s="1718">
        <v>489.52013835170601</v>
      </c>
      <c r="J28" s="1718">
        <v>702.44959063214026</v>
      </c>
      <c r="K28" s="1718">
        <v>797.33906130997718</v>
      </c>
      <c r="L28" s="1718">
        <v>773.31502226222062</v>
      </c>
      <c r="M28" s="1718">
        <v>591.69559215536935</v>
      </c>
      <c r="N28" s="1718">
        <v>505.40358693278705</v>
      </c>
      <c r="O28" s="1306">
        <v>491.77624966975463</v>
      </c>
      <c r="P28" s="1306">
        <v>347.15384615384619</v>
      </c>
      <c r="Q28" s="1306">
        <v>30</v>
      </c>
      <c r="R28" s="881">
        <f t="shared" si="0"/>
        <v>6090.8309436015043</v>
      </c>
      <c r="S28" s="882">
        <f t="shared" si="4"/>
        <v>507.56924530012537</v>
      </c>
      <c r="T28" s="882">
        <f t="shared" si="1"/>
        <v>19.521894050004821</v>
      </c>
      <c r="U28" s="883">
        <f>'S3'!W27</f>
        <v>2</v>
      </c>
      <c r="V28" s="882">
        <f t="shared" si="2"/>
        <v>39.043788100009643</v>
      </c>
      <c r="W28" s="502"/>
      <c r="X28" s="504"/>
      <c r="Y28" s="883">
        <v>0</v>
      </c>
      <c r="Z28" s="883">
        <v>2</v>
      </c>
      <c r="AA28" s="1694">
        <v>2</v>
      </c>
      <c r="AB28" s="883">
        <v>1.5</v>
      </c>
      <c r="AC28" s="883">
        <v>0</v>
      </c>
      <c r="AD28" s="883">
        <v>0</v>
      </c>
      <c r="AE28" s="883">
        <v>0</v>
      </c>
      <c r="AF28" s="1694"/>
      <c r="AG28" s="883">
        <v>5</v>
      </c>
      <c r="AH28" s="1694"/>
      <c r="AI28" s="1694"/>
      <c r="AJ28" s="1694"/>
      <c r="AK28" s="1699">
        <f t="shared" si="3"/>
        <v>10.5</v>
      </c>
    </row>
    <row r="29" spans="1:37" s="841" customFormat="1" ht="41.25" customHeight="1">
      <c r="A29" s="502">
        <v>22</v>
      </c>
      <c r="B29" s="1520" t="s">
        <v>1168</v>
      </c>
      <c r="C29" s="1519" t="s">
        <v>286</v>
      </c>
      <c r="D29" s="1517">
        <v>42485</v>
      </c>
      <c r="E29" s="880" t="s">
        <v>1098</v>
      </c>
      <c r="F29" s="1720">
        <v>308.57276828110162</v>
      </c>
      <c r="G29" s="1720">
        <v>307.45346628679965</v>
      </c>
      <c r="H29" s="1719">
        <v>260.17920218749288</v>
      </c>
      <c r="I29" s="1718">
        <v>304.48929485117463</v>
      </c>
      <c r="J29" s="1718">
        <v>364.06235719725822</v>
      </c>
      <c r="K29" s="1718">
        <v>412.71410891089113</v>
      </c>
      <c r="L29" s="1718">
        <v>366.33824365289888</v>
      </c>
      <c r="M29" s="1718">
        <v>338.31235719725817</v>
      </c>
      <c r="N29" s="1718">
        <v>268.24985135669948</v>
      </c>
      <c r="O29" s="1306">
        <v>308.12197195854884</v>
      </c>
      <c r="P29" s="1306">
        <v>218.30769230769232</v>
      </c>
      <c r="Q29" s="1306">
        <v>30</v>
      </c>
      <c r="R29" s="881">
        <f t="shared" si="0"/>
        <v>3486.8013141878159</v>
      </c>
      <c r="S29" s="882">
        <f t="shared" si="4"/>
        <v>290.56677618231799</v>
      </c>
      <c r="T29" s="882">
        <f t="shared" si="1"/>
        <v>11.175645237781461</v>
      </c>
      <c r="U29" s="883">
        <f>'S3'!W28</f>
        <v>0</v>
      </c>
      <c r="V29" s="882">
        <f t="shared" si="2"/>
        <v>0</v>
      </c>
      <c r="W29" s="502"/>
      <c r="X29" s="504"/>
      <c r="Y29" s="883">
        <v>0</v>
      </c>
      <c r="Z29" s="883">
        <v>0</v>
      </c>
      <c r="AA29" s="1694">
        <v>2</v>
      </c>
      <c r="AB29" s="883">
        <v>1.5</v>
      </c>
      <c r="AC29" s="883">
        <v>0</v>
      </c>
      <c r="AD29" s="883">
        <v>0</v>
      </c>
      <c r="AE29" s="883">
        <v>0</v>
      </c>
      <c r="AF29" s="1694"/>
      <c r="AG29" s="883">
        <v>2</v>
      </c>
      <c r="AH29" s="1694"/>
      <c r="AI29" s="1694"/>
      <c r="AJ29" s="1694"/>
      <c r="AK29" s="1699">
        <f t="shared" si="3"/>
        <v>5.5</v>
      </c>
    </row>
    <row r="30" spans="1:37" s="841" customFormat="1" ht="41.25" customHeight="1">
      <c r="A30" s="502">
        <v>23</v>
      </c>
      <c r="B30" s="1520" t="s">
        <v>1169</v>
      </c>
      <c r="C30" s="1519" t="s">
        <v>1170</v>
      </c>
      <c r="D30" s="1517">
        <v>41491</v>
      </c>
      <c r="E30" s="880" t="s">
        <v>1098</v>
      </c>
      <c r="F30" s="1718">
        <v>290.06125356125358</v>
      </c>
      <c r="G30" s="1718">
        <v>291.61564578997553</v>
      </c>
      <c r="H30" s="1719">
        <v>291.7388388224158</v>
      </c>
      <c r="I30" s="1718">
        <v>337.21246239274586</v>
      </c>
      <c r="J30" s="1718">
        <v>434.27170601675556</v>
      </c>
      <c r="K30" s="1718">
        <v>508.61578636954158</v>
      </c>
      <c r="L30" s="1718">
        <v>483.25049734748006</v>
      </c>
      <c r="M30" s="1718">
        <v>350.66120494678881</v>
      </c>
      <c r="N30" s="1718">
        <v>282.9142099445674</v>
      </c>
      <c r="O30" s="1306">
        <v>315.43348075783587</v>
      </c>
      <c r="P30" s="1306">
        <v>215.84615384615387</v>
      </c>
      <c r="Q30" s="1306">
        <v>30</v>
      </c>
      <c r="R30" s="881">
        <f t="shared" si="0"/>
        <v>3831.6212397955142</v>
      </c>
      <c r="S30" s="882">
        <f t="shared" si="4"/>
        <v>319.30176998295951</v>
      </c>
      <c r="T30" s="882">
        <f t="shared" si="1"/>
        <v>12.280837307036904</v>
      </c>
      <c r="U30" s="883">
        <f>'S3'!W29</f>
        <v>0</v>
      </c>
      <c r="V30" s="882">
        <f t="shared" si="2"/>
        <v>0</v>
      </c>
      <c r="W30" s="502"/>
      <c r="X30" s="504"/>
      <c r="Y30" s="883">
        <v>0</v>
      </c>
      <c r="Z30" s="883">
        <v>1</v>
      </c>
      <c r="AA30" s="1694">
        <v>5</v>
      </c>
      <c r="AB30" s="883">
        <v>1.5</v>
      </c>
      <c r="AC30" s="883">
        <v>0</v>
      </c>
      <c r="AD30" s="883">
        <v>1</v>
      </c>
      <c r="AE30" s="883">
        <v>0</v>
      </c>
      <c r="AF30" s="883">
        <v>1</v>
      </c>
      <c r="AG30" s="883">
        <v>1</v>
      </c>
      <c r="AH30" s="1694"/>
      <c r="AI30" s="1694"/>
      <c r="AJ30" s="1694"/>
      <c r="AK30" s="1699">
        <f t="shared" si="3"/>
        <v>10.5</v>
      </c>
    </row>
    <row r="31" spans="1:37" s="804" customFormat="1" ht="41.25" customHeight="1">
      <c r="A31" s="502">
        <v>24</v>
      </c>
      <c r="B31" s="1535" t="s">
        <v>1171</v>
      </c>
      <c r="C31" s="1542" t="s">
        <v>929</v>
      </c>
      <c r="D31" s="1521">
        <v>44488</v>
      </c>
      <c r="E31" s="1075" t="s">
        <v>1098</v>
      </c>
      <c r="F31" s="1718">
        <v>303.57276828110162</v>
      </c>
      <c r="G31" s="1718">
        <v>313.21877967711305</v>
      </c>
      <c r="H31" s="1719">
        <v>272.93459887289788</v>
      </c>
      <c r="I31" s="1718">
        <v>334.30994618490274</v>
      </c>
      <c r="J31" s="1718">
        <v>402.62680883472967</v>
      </c>
      <c r="K31" s="1718">
        <v>439.62065066916836</v>
      </c>
      <c r="L31" s="1718">
        <v>475.37365005683972</v>
      </c>
      <c r="M31" s="1718">
        <v>359.54722010662607</v>
      </c>
      <c r="N31" s="1718">
        <v>274.55076013834667</v>
      </c>
      <c r="O31" s="1306">
        <v>318.38086215813127</v>
      </c>
      <c r="P31" s="1306">
        <v>213.30769230769232</v>
      </c>
      <c r="Q31" s="1306">
        <v>30</v>
      </c>
      <c r="R31" s="881">
        <f t="shared" si="0"/>
        <v>3737.4437372875491</v>
      </c>
      <c r="S31" s="1076">
        <f>R31/12</f>
        <v>311.45364477396242</v>
      </c>
      <c r="T31" s="882">
        <f t="shared" si="1"/>
        <v>11.978986337460093</v>
      </c>
      <c r="U31" s="883">
        <f>'S3'!W30</f>
        <v>0</v>
      </c>
      <c r="V31" s="882">
        <f t="shared" si="2"/>
        <v>0</v>
      </c>
      <c r="W31" s="612"/>
      <c r="X31" s="763"/>
      <c r="Y31" s="883">
        <v>0</v>
      </c>
      <c r="Z31" s="883">
        <v>0</v>
      </c>
      <c r="AA31" s="1695">
        <v>2</v>
      </c>
      <c r="AB31" s="883">
        <v>3.5</v>
      </c>
      <c r="AC31" s="883">
        <v>0</v>
      </c>
      <c r="AD31" s="883">
        <v>1</v>
      </c>
      <c r="AE31" s="883">
        <v>0</v>
      </c>
      <c r="AF31" s="1695"/>
      <c r="AG31" s="883">
        <v>1</v>
      </c>
      <c r="AH31" s="1695"/>
      <c r="AI31" s="1695"/>
      <c r="AJ31" s="1695"/>
      <c r="AK31" s="1699">
        <f t="shared" si="3"/>
        <v>7.5</v>
      </c>
    </row>
    <row r="32" spans="1:37" s="841" customFormat="1" ht="41.25" customHeight="1">
      <c r="A32" s="502">
        <v>25</v>
      </c>
      <c r="B32" s="1520" t="s">
        <v>1172</v>
      </c>
      <c r="C32" s="1519" t="s">
        <v>931</v>
      </c>
      <c r="D32" s="1517">
        <v>44487</v>
      </c>
      <c r="E32" s="880" t="s">
        <v>1098</v>
      </c>
      <c r="F32" s="1718">
        <v>298.12084520417852</v>
      </c>
      <c r="G32" s="1718">
        <v>307.70916429249758</v>
      </c>
      <c r="H32" s="1719">
        <v>268.06078601981221</v>
      </c>
      <c r="I32" s="1718">
        <v>326.79335339234035</v>
      </c>
      <c r="J32" s="1718">
        <v>416.87374689367846</v>
      </c>
      <c r="K32" s="1718">
        <v>499.56007235338916</v>
      </c>
      <c r="L32" s="1718">
        <v>470.70907540735129</v>
      </c>
      <c r="M32" s="1718">
        <v>353.62414318354917</v>
      </c>
      <c r="N32" s="1718">
        <v>269.60443749466435</v>
      </c>
      <c r="O32" s="1306">
        <v>317.72172276094028</v>
      </c>
      <c r="P32" s="1306">
        <v>209.07692307692309</v>
      </c>
      <c r="Q32" s="1306">
        <v>30</v>
      </c>
      <c r="R32" s="881">
        <f t="shared" si="0"/>
        <v>3767.854270079325</v>
      </c>
      <c r="S32" s="882">
        <f>R32/12</f>
        <v>313.98785583994373</v>
      </c>
      <c r="T32" s="882">
        <f t="shared" si="1"/>
        <v>12.076455993843989</v>
      </c>
      <c r="U32" s="883">
        <f>'S3'!W31</f>
        <v>0</v>
      </c>
      <c r="V32" s="882">
        <f t="shared" si="2"/>
        <v>0</v>
      </c>
      <c r="W32" s="502"/>
      <c r="X32" s="504"/>
      <c r="Y32" s="883">
        <v>0</v>
      </c>
      <c r="Z32" s="883">
        <v>0</v>
      </c>
      <c r="AA32" s="1694">
        <v>2</v>
      </c>
      <c r="AB32" s="883">
        <v>1.5</v>
      </c>
      <c r="AC32" s="883">
        <v>1.5</v>
      </c>
      <c r="AD32" s="883">
        <v>0</v>
      </c>
      <c r="AE32" s="883">
        <v>0</v>
      </c>
      <c r="AF32" s="1694"/>
      <c r="AG32" s="883">
        <v>1</v>
      </c>
      <c r="AH32" s="1694"/>
      <c r="AI32" s="1694"/>
      <c r="AJ32" s="1694"/>
      <c r="AK32" s="1699">
        <f t="shared" si="3"/>
        <v>6</v>
      </c>
    </row>
    <row r="33" spans="1:37" s="841" customFormat="1" ht="41.25" customHeight="1">
      <c r="A33" s="502">
        <v>26</v>
      </c>
      <c r="B33" s="1534" t="s">
        <v>1173</v>
      </c>
      <c r="C33" s="1543" t="s">
        <v>408</v>
      </c>
      <c r="D33" s="1517">
        <v>42846</v>
      </c>
      <c r="E33" s="880" t="s">
        <v>1098</v>
      </c>
      <c r="F33" s="1718">
        <v>307.57276828110162</v>
      </c>
      <c r="G33" s="1718">
        <v>316.99828068168904</v>
      </c>
      <c r="H33" s="1719">
        <v>277.77239073707131</v>
      </c>
      <c r="I33" s="1718">
        <v>337.88329338047856</v>
      </c>
      <c r="J33" s="1718">
        <v>431.27170601675556</v>
      </c>
      <c r="K33" s="1718">
        <v>511.7379569687738</v>
      </c>
      <c r="L33" s="1718">
        <v>489.77714096248576</v>
      </c>
      <c r="M33" s="1718">
        <v>364.54722010662607</v>
      </c>
      <c r="N33" s="1718">
        <v>280.12306351101205</v>
      </c>
      <c r="O33" s="1306">
        <v>329.02053032723927</v>
      </c>
      <c r="P33" s="1306">
        <v>221.77753558652057</v>
      </c>
      <c r="Q33" s="1306">
        <v>30</v>
      </c>
      <c r="R33" s="881">
        <f t="shared" si="0"/>
        <v>3898.4818865597531</v>
      </c>
      <c r="S33" s="882">
        <f t="shared" si="4"/>
        <v>324.87349054664611</v>
      </c>
      <c r="T33" s="882">
        <f t="shared" si="1"/>
        <v>12.495134251794081</v>
      </c>
      <c r="U33" s="883">
        <f>'S3'!W32</f>
        <v>0</v>
      </c>
      <c r="V33" s="882">
        <f t="shared" si="2"/>
        <v>0</v>
      </c>
      <c r="W33" s="502"/>
      <c r="X33" s="504"/>
      <c r="Y33" s="883">
        <v>0</v>
      </c>
      <c r="Z33" s="883">
        <v>1</v>
      </c>
      <c r="AA33" s="1694">
        <v>2</v>
      </c>
      <c r="AB33" s="883">
        <v>1.5</v>
      </c>
      <c r="AC33" s="883">
        <v>0</v>
      </c>
      <c r="AD33" s="883">
        <v>0</v>
      </c>
      <c r="AE33" s="883">
        <v>0</v>
      </c>
      <c r="AF33" s="1694"/>
      <c r="AG33" s="883">
        <v>1</v>
      </c>
      <c r="AH33" s="1694"/>
      <c r="AI33" s="1694"/>
      <c r="AJ33" s="1694"/>
      <c r="AK33" s="1699">
        <f t="shared" si="3"/>
        <v>5.5</v>
      </c>
    </row>
    <row r="34" spans="1:37" s="841" customFormat="1" ht="41.25" customHeight="1">
      <c r="A34" s="502">
        <v>27</v>
      </c>
      <c r="B34" s="1534" t="s">
        <v>1174</v>
      </c>
      <c r="C34" s="1519" t="s">
        <v>1175</v>
      </c>
      <c r="D34" s="1517">
        <v>44543</v>
      </c>
      <c r="E34" s="880" t="s">
        <v>1119</v>
      </c>
      <c r="F34" s="1718">
        <v>289.56125356125358</v>
      </c>
      <c r="G34" s="1718">
        <v>295.58998100664763</v>
      </c>
      <c r="H34" s="1719">
        <v>263.35864047796338</v>
      </c>
      <c r="I34" s="1718">
        <v>311.1827395625337</v>
      </c>
      <c r="J34" s="1718">
        <v>406.94478293983246</v>
      </c>
      <c r="K34" s="1718">
        <v>414.79093678598628</v>
      </c>
      <c r="L34" s="1718">
        <v>399.38642054358917</v>
      </c>
      <c r="M34" s="1718">
        <v>314.34463061690786</v>
      </c>
      <c r="N34" s="1718">
        <v>262.83791635051841</v>
      </c>
      <c r="O34" s="1306">
        <v>294.22965623367747</v>
      </c>
      <c r="P34" s="1306">
        <v>206.68202946941855</v>
      </c>
      <c r="Q34" s="1306">
        <v>30</v>
      </c>
      <c r="R34" s="881">
        <f t="shared" si="0"/>
        <v>3488.9089875483287</v>
      </c>
      <c r="S34" s="882">
        <f t="shared" ref="S34:S37" si="6">R34/12</f>
        <v>290.74241562902739</v>
      </c>
      <c r="T34" s="882">
        <f t="shared" si="1"/>
        <v>11.182400601116438</v>
      </c>
      <c r="U34" s="1708">
        <f>'S3'!W33</f>
        <v>0.5</v>
      </c>
      <c r="V34" s="882">
        <f t="shared" si="2"/>
        <v>5.5912003005582189</v>
      </c>
      <c r="W34" s="502"/>
      <c r="X34" s="504"/>
      <c r="Y34" s="883">
        <v>0</v>
      </c>
      <c r="Z34" s="883">
        <v>0</v>
      </c>
      <c r="AA34" s="1694">
        <v>2.5</v>
      </c>
      <c r="AB34" s="883">
        <v>2.5</v>
      </c>
      <c r="AC34" s="883">
        <v>0</v>
      </c>
      <c r="AD34" s="883">
        <v>0</v>
      </c>
      <c r="AE34" s="1762">
        <v>2.5</v>
      </c>
      <c r="AF34" s="1694"/>
      <c r="AG34" s="1708">
        <v>3.5</v>
      </c>
      <c r="AH34" s="1694"/>
      <c r="AI34" s="1694"/>
      <c r="AJ34" s="1694"/>
      <c r="AK34" s="1699">
        <f t="shared" si="3"/>
        <v>11</v>
      </c>
    </row>
    <row r="35" spans="1:37" s="841" customFormat="1" ht="41.25" customHeight="1">
      <c r="A35" s="502">
        <v>28</v>
      </c>
      <c r="B35" s="1534" t="s">
        <v>1176</v>
      </c>
      <c r="C35" s="1519" t="s">
        <v>985</v>
      </c>
      <c r="D35" s="1517">
        <v>44544</v>
      </c>
      <c r="E35" s="880" t="s">
        <v>1098</v>
      </c>
      <c r="F35" s="1718">
        <v>303.57276828110162</v>
      </c>
      <c r="G35" s="1718">
        <v>313.21877967711305</v>
      </c>
      <c r="H35" s="1719">
        <v>273.47475742727232</v>
      </c>
      <c r="I35" s="1718">
        <v>332.64328983561921</v>
      </c>
      <c r="J35" s="1718">
        <v>386.47572353389182</v>
      </c>
      <c r="K35" s="1718">
        <v>506.7379569687738</v>
      </c>
      <c r="L35" s="1718">
        <v>484.77714096248576</v>
      </c>
      <c r="M35" s="1718">
        <v>359.54722010662607</v>
      </c>
      <c r="N35" s="1718">
        <v>274.77546817508841</v>
      </c>
      <c r="O35" s="1306">
        <v>323.59632399995525</v>
      </c>
      <c r="P35" s="1306">
        <v>212.30769230769232</v>
      </c>
      <c r="Q35" s="1306">
        <v>30</v>
      </c>
      <c r="R35" s="881">
        <f t="shared" si="0"/>
        <v>3801.1271212756192</v>
      </c>
      <c r="S35" s="882">
        <f t="shared" si="6"/>
        <v>316.76059343963493</v>
      </c>
      <c r="T35" s="882">
        <f t="shared" si="1"/>
        <v>12.183099747678266</v>
      </c>
      <c r="U35" s="883">
        <f>'S3'!W34</f>
        <v>0</v>
      </c>
      <c r="V35" s="882">
        <f t="shared" si="2"/>
        <v>0</v>
      </c>
      <c r="W35" s="502"/>
      <c r="X35" s="504"/>
      <c r="Y35" s="883">
        <v>0</v>
      </c>
      <c r="Z35" s="883">
        <v>0</v>
      </c>
      <c r="AA35" s="1694">
        <v>2</v>
      </c>
      <c r="AB35" s="883">
        <v>1.5</v>
      </c>
      <c r="AC35" s="883">
        <v>0</v>
      </c>
      <c r="AD35" s="883">
        <v>0</v>
      </c>
      <c r="AE35" s="883">
        <v>0</v>
      </c>
      <c r="AF35" s="1694"/>
      <c r="AG35" s="883">
        <v>1</v>
      </c>
      <c r="AH35" s="1694"/>
      <c r="AI35" s="1694"/>
      <c r="AJ35" s="1694"/>
      <c r="AK35" s="1699">
        <f t="shared" si="3"/>
        <v>4.5</v>
      </c>
    </row>
    <row r="36" spans="1:37" s="1671" customFormat="1" ht="41.25" customHeight="1">
      <c r="A36" s="502">
        <v>29</v>
      </c>
      <c r="B36" s="1328" t="s">
        <v>2163</v>
      </c>
      <c r="C36" s="625" t="s">
        <v>2164</v>
      </c>
      <c r="D36" s="1472">
        <v>44634</v>
      </c>
      <c r="E36" s="880" t="s">
        <v>1119</v>
      </c>
      <c r="F36" s="1718">
        <v>186.13437796771129</v>
      </c>
      <c r="G36" s="1718">
        <v>299.14957264957263</v>
      </c>
      <c r="H36" s="1718">
        <v>257.603890717399</v>
      </c>
      <c r="I36" s="1718">
        <v>247.5885813510734</v>
      </c>
      <c r="J36" s="1718">
        <v>309.01847757520869</v>
      </c>
      <c r="K36" s="1718">
        <v>315.8501523229246</v>
      </c>
      <c r="L36" s="1718">
        <v>386.80248200075783</v>
      </c>
      <c r="M36" s="1718">
        <v>262.80140898705253</v>
      </c>
      <c r="N36" s="1718">
        <v>258.66953777801211</v>
      </c>
      <c r="O36" s="1306">
        <v>17.45</v>
      </c>
      <c r="P36" s="1097" t="s">
        <v>1102</v>
      </c>
      <c r="Q36" s="1097" t="s">
        <v>1102</v>
      </c>
      <c r="R36" s="881">
        <f t="shared" si="0"/>
        <v>2541.0684813497114</v>
      </c>
      <c r="S36" s="882">
        <f>R36/10</f>
        <v>254.10684813497113</v>
      </c>
      <c r="T36" s="882">
        <f t="shared" si="1"/>
        <v>9.773340312883505</v>
      </c>
      <c r="U36" s="883">
        <f>'S3'!W35</f>
        <v>0</v>
      </c>
      <c r="V36" s="882">
        <f t="shared" si="2"/>
        <v>0</v>
      </c>
      <c r="W36" s="502"/>
      <c r="X36" s="504"/>
      <c r="Y36" s="883">
        <v>0</v>
      </c>
      <c r="Z36" s="883">
        <v>0</v>
      </c>
      <c r="AA36" s="1694">
        <v>2</v>
      </c>
      <c r="AB36" s="883">
        <v>1.5</v>
      </c>
      <c r="AC36" s="883">
        <v>1</v>
      </c>
      <c r="AD36" s="883">
        <v>0</v>
      </c>
      <c r="AE36" s="883">
        <v>0</v>
      </c>
      <c r="AF36" s="1694"/>
      <c r="AG36" s="883">
        <v>1</v>
      </c>
      <c r="AH36" s="1694"/>
      <c r="AI36" s="1694"/>
      <c r="AJ36" s="1694"/>
      <c r="AK36" s="1699">
        <f t="shared" si="3"/>
        <v>5.5</v>
      </c>
    </row>
    <row r="37" spans="1:37" s="1078" customFormat="1" ht="41.25" customHeight="1">
      <c r="A37" s="502">
        <v>30</v>
      </c>
      <c r="B37" s="572" t="s">
        <v>1523</v>
      </c>
      <c r="C37" s="966" t="s">
        <v>1524</v>
      </c>
      <c r="D37" s="1476">
        <v>44688</v>
      </c>
      <c r="E37" s="880" t="s">
        <v>1098</v>
      </c>
      <c r="F37" s="1718">
        <v>298.98433048433048</v>
      </c>
      <c r="G37" s="1718">
        <v>308.63034188034186</v>
      </c>
      <c r="H37" s="1719">
        <v>272.5506222312091</v>
      </c>
      <c r="I37" s="1718">
        <v>228.89868856057154</v>
      </c>
      <c r="J37" s="1718">
        <v>426.27170601675556</v>
      </c>
      <c r="K37" s="1718">
        <v>506.7379569687738</v>
      </c>
      <c r="L37" s="1718">
        <v>480.3690767391866</v>
      </c>
      <c r="M37" s="1718">
        <v>355.95725437928405</v>
      </c>
      <c r="N37" s="1718">
        <v>274.53834471725742</v>
      </c>
      <c r="O37" s="1306">
        <v>323.62706307345815</v>
      </c>
      <c r="P37" s="1306">
        <v>212.30769230769232</v>
      </c>
      <c r="Q37" s="1306">
        <v>30</v>
      </c>
      <c r="R37" s="881">
        <f t="shared" si="0"/>
        <v>3718.8730773588613</v>
      </c>
      <c r="S37" s="882">
        <f t="shared" si="6"/>
        <v>309.90608977990513</v>
      </c>
      <c r="T37" s="882">
        <f t="shared" si="1"/>
        <v>11.919464991534813</v>
      </c>
      <c r="U37" s="883">
        <f>'S3'!W36</f>
        <v>0</v>
      </c>
      <c r="V37" s="882">
        <f t="shared" si="2"/>
        <v>0</v>
      </c>
      <c r="W37" s="502"/>
      <c r="X37" s="504"/>
      <c r="Y37" s="883">
        <v>0</v>
      </c>
      <c r="Z37" s="883">
        <v>0</v>
      </c>
      <c r="AA37" s="1694">
        <v>2</v>
      </c>
      <c r="AB37" s="883">
        <v>1.5</v>
      </c>
      <c r="AC37" s="883">
        <v>0</v>
      </c>
      <c r="AD37" s="883">
        <v>0</v>
      </c>
      <c r="AE37" s="883">
        <v>0.5</v>
      </c>
      <c r="AF37" s="1694"/>
      <c r="AG37" s="883">
        <v>1</v>
      </c>
      <c r="AH37" s="1694"/>
      <c r="AI37" s="1694"/>
      <c r="AJ37" s="1694"/>
      <c r="AK37" s="1699">
        <f t="shared" si="3"/>
        <v>5</v>
      </c>
    </row>
    <row r="38" spans="1:37" s="841" customFormat="1" ht="41.25" customHeight="1">
      <c r="A38" s="502">
        <v>31</v>
      </c>
      <c r="B38" s="1520" t="s">
        <v>1177</v>
      </c>
      <c r="C38" s="1519" t="s">
        <v>1178</v>
      </c>
      <c r="D38" s="1517">
        <v>41827</v>
      </c>
      <c r="E38" s="880" t="s">
        <v>1098</v>
      </c>
      <c r="F38" s="1718">
        <v>305.12084520417852</v>
      </c>
      <c r="G38" s="1718">
        <v>314.70916429249758</v>
      </c>
      <c r="H38" s="1719">
        <v>279.1322516011511</v>
      </c>
      <c r="I38" s="1718">
        <v>334.31573524876808</v>
      </c>
      <c r="J38" s="1718">
        <v>406.91869763899462</v>
      </c>
      <c r="K38" s="1718">
        <v>245.1214775323686</v>
      </c>
      <c r="L38" s="1718">
        <v>463.12697146988069</v>
      </c>
      <c r="M38" s="1718">
        <v>347.21686976389941</v>
      </c>
      <c r="N38" s="1718">
        <v>266.04922498414226</v>
      </c>
      <c r="O38" s="1306">
        <v>325.75553227012318</v>
      </c>
      <c r="P38" s="1306">
        <v>216.07692307692309</v>
      </c>
      <c r="Q38" s="1306">
        <v>30</v>
      </c>
      <c r="R38" s="881">
        <f t="shared" si="0"/>
        <v>3533.5436930829273</v>
      </c>
      <c r="S38" s="882">
        <f t="shared" si="4"/>
        <v>294.46197442357726</v>
      </c>
      <c r="T38" s="882">
        <f t="shared" si="1"/>
        <v>11.325460554752972</v>
      </c>
      <c r="U38" s="883">
        <f>'S3'!W37</f>
        <v>0</v>
      </c>
      <c r="V38" s="882">
        <f t="shared" si="2"/>
        <v>0</v>
      </c>
      <c r="W38" s="502"/>
      <c r="X38" s="504"/>
      <c r="Y38" s="883">
        <v>0</v>
      </c>
      <c r="Z38" s="883">
        <v>0</v>
      </c>
      <c r="AA38" s="1694">
        <v>3</v>
      </c>
      <c r="AB38" s="883">
        <v>1.5</v>
      </c>
      <c r="AC38" s="883">
        <v>0</v>
      </c>
      <c r="AD38" s="883">
        <v>0</v>
      </c>
      <c r="AE38" s="883">
        <v>0.5</v>
      </c>
      <c r="AF38" s="1694"/>
      <c r="AG38" s="883">
        <v>1</v>
      </c>
      <c r="AH38" s="1694"/>
      <c r="AI38" s="1694"/>
      <c r="AJ38" s="1694"/>
      <c r="AK38" s="1699">
        <f t="shared" si="3"/>
        <v>6</v>
      </c>
    </row>
    <row r="39" spans="1:37" s="841" customFormat="1" ht="41.25" customHeight="1">
      <c r="A39" s="502">
        <v>32</v>
      </c>
      <c r="B39" s="1520" t="s">
        <v>1179</v>
      </c>
      <c r="C39" s="1519" t="s">
        <v>1180</v>
      </c>
      <c r="D39" s="1517">
        <v>41855</v>
      </c>
      <c r="E39" s="880" t="s">
        <v>1098</v>
      </c>
      <c r="F39" s="1718">
        <v>310.57276828110162</v>
      </c>
      <c r="G39" s="1718">
        <v>316.63034188034186</v>
      </c>
      <c r="H39" s="1719">
        <v>278.86405077598795</v>
      </c>
      <c r="I39" s="1718">
        <v>310.66812255068027</v>
      </c>
      <c r="J39" s="1718">
        <v>429.6817402894136</v>
      </c>
      <c r="K39" s="1718">
        <v>477.96206207159179</v>
      </c>
      <c r="L39" s="1718">
        <v>465.1166823611087</v>
      </c>
      <c r="M39" s="1718">
        <v>360.36728865194215</v>
      </c>
      <c r="N39" s="1718">
        <v>281.27362247234788</v>
      </c>
      <c r="O39" s="1306">
        <v>304.61573186442831</v>
      </c>
      <c r="P39" s="1306">
        <v>220.30769230769232</v>
      </c>
      <c r="Q39" s="1306">
        <v>30</v>
      </c>
      <c r="R39" s="881">
        <f t="shared" si="0"/>
        <v>3786.0601035066366</v>
      </c>
      <c r="S39" s="882">
        <f t="shared" si="4"/>
        <v>315.50500862555305</v>
      </c>
      <c r="T39" s="882">
        <f t="shared" si="1"/>
        <v>12.134808024059733</v>
      </c>
      <c r="U39" s="883">
        <f>'S3'!W38</f>
        <v>0</v>
      </c>
      <c r="V39" s="882">
        <f t="shared" si="2"/>
        <v>0</v>
      </c>
      <c r="W39" s="502"/>
      <c r="X39" s="504"/>
      <c r="Y39" s="883">
        <v>0</v>
      </c>
      <c r="Z39" s="883">
        <v>0</v>
      </c>
      <c r="AA39" s="1694">
        <v>2</v>
      </c>
      <c r="AB39" s="883">
        <v>3.5</v>
      </c>
      <c r="AC39" s="883">
        <v>0</v>
      </c>
      <c r="AD39" s="883">
        <v>0</v>
      </c>
      <c r="AE39" s="883">
        <v>1</v>
      </c>
      <c r="AF39" s="1694"/>
      <c r="AG39" s="883">
        <v>1.5</v>
      </c>
      <c r="AH39" s="1694"/>
      <c r="AI39" s="1694"/>
      <c r="AJ39" s="1694"/>
      <c r="AK39" s="1699">
        <f t="shared" si="3"/>
        <v>8</v>
      </c>
    </row>
    <row r="40" spans="1:37" s="841" customFormat="1" ht="31.5" customHeight="1">
      <c r="A40" s="2081"/>
      <c r="B40" s="2082"/>
      <c r="C40" s="2082"/>
      <c r="D40" s="2082"/>
      <c r="E40" s="2082"/>
      <c r="F40" s="2152"/>
      <c r="G40" s="2152"/>
      <c r="H40" s="2152"/>
      <c r="I40" s="2152"/>
      <c r="J40" s="2152"/>
      <c r="K40" s="2152"/>
      <c r="L40" s="2152"/>
      <c r="M40" s="2152"/>
      <c r="N40" s="2152"/>
      <c r="O40" s="2152"/>
      <c r="P40" s="2152"/>
      <c r="Q40" s="2152"/>
      <c r="R40" s="2082"/>
      <c r="S40" s="886"/>
      <c r="T40" s="886"/>
      <c r="U40" s="849"/>
      <c r="V40" s="949">
        <f>SUM(V8:V39)</f>
        <v>73.951792317351973</v>
      </c>
      <c r="W40" s="504"/>
      <c r="X40" s="504"/>
    </row>
    <row r="41" spans="1:37" s="841" customFormat="1" ht="15.75">
      <c r="A41" s="842"/>
      <c r="B41" s="842"/>
      <c r="C41" s="842"/>
      <c r="D41" s="567"/>
      <c r="E41" s="842"/>
      <c r="F41" s="842"/>
      <c r="G41" s="842"/>
      <c r="H41" s="842"/>
      <c r="I41" s="842"/>
      <c r="J41" s="842"/>
      <c r="K41" s="842"/>
      <c r="L41" s="842"/>
      <c r="M41" s="842"/>
      <c r="N41" s="842"/>
      <c r="O41" s="842"/>
      <c r="P41" s="842"/>
      <c r="Q41" s="842"/>
      <c r="R41" s="870"/>
      <c r="S41" s="870"/>
      <c r="T41" s="870"/>
      <c r="U41" s="870"/>
      <c r="V41" s="870"/>
      <c r="W41" s="842"/>
      <c r="X41" s="887"/>
    </row>
    <row r="42" spans="1:37" s="841" customFormat="1" ht="27" customHeight="1">
      <c r="A42" s="2132" t="s">
        <v>1155</v>
      </c>
      <c r="B42" s="2132"/>
      <c r="C42" s="2132"/>
      <c r="D42" s="872"/>
      <c r="H42" s="2132" t="s">
        <v>1156</v>
      </c>
      <c r="I42" s="2132"/>
      <c r="J42" s="2132"/>
      <c r="K42" s="2132"/>
      <c r="R42" s="2133" t="s">
        <v>1157</v>
      </c>
      <c r="S42" s="2133"/>
      <c r="T42" s="2133"/>
      <c r="U42" s="873"/>
      <c r="V42" s="873"/>
      <c r="X42" s="843"/>
    </row>
  </sheetData>
  <mergeCells count="11">
    <mergeCell ref="A42:C42"/>
    <mergeCell ref="H42:K42"/>
    <mergeCell ref="R42:T42"/>
    <mergeCell ref="A1:T1"/>
    <mergeCell ref="A2:T2"/>
    <mergeCell ref="A3:T3"/>
    <mergeCell ref="A4:T4"/>
    <mergeCell ref="A5:C5"/>
    <mergeCell ref="L5:R5"/>
    <mergeCell ref="F6:Q6"/>
    <mergeCell ref="A40:R40"/>
  </mergeCells>
  <pageMargins left="0.7" right="0.7" top="0.75" bottom="0.75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20</vt:i4>
      </vt:variant>
    </vt:vector>
  </HeadingPairs>
  <TitlesOfParts>
    <vt:vector size="73" baseType="lpstr">
      <vt:lpstr>Packing</vt:lpstr>
      <vt:lpstr>OT Sunday </vt:lpstr>
      <vt:lpstr>S1 Salary</vt:lpstr>
      <vt:lpstr>S1</vt:lpstr>
      <vt:lpstr>Tax Calulation </vt:lpstr>
      <vt:lpstr>S2 Salary</vt:lpstr>
      <vt:lpstr>S2</vt:lpstr>
      <vt:lpstr>Tax Calulation</vt:lpstr>
      <vt:lpstr>S3 Salary</vt:lpstr>
      <vt:lpstr>S3</vt:lpstr>
      <vt:lpstr>Tax Calulation  </vt:lpstr>
      <vt:lpstr>S4 Salary</vt:lpstr>
      <vt:lpstr>S4</vt:lpstr>
      <vt:lpstr>Tax Calulation   </vt:lpstr>
      <vt:lpstr>S5 Salary</vt:lpstr>
      <vt:lpstr>S5</vt:lpstr>
      <vt:lpstr>Tax Calulation    </vt:lpstr>
      <vt:lpstr>S6 Salary</vt:lpstr>
      <vt:lpstr>S6</vt:lpstr>
      <vt:lpstr>Tax Calulation     </vt:lpstr>
      <vt:lpstr>CUT Salary</vt:lpstr>
      <vt:lpstr>CUT</vt:lpstr>
      <vt:lpstr>Tax Calulation                 </vt:lpstr>
      <vt:lpstr>WC Salary</vt:lpstr>
      <vt:lpstr>WC</vt:lpstr>
      <vt:lpstr>Tax Calulation               </vt:lpstr>
      <vt:lpstr>R Salary</vt:lpstr>
      <vt:lpstr>R</vt:lpstr>
      <vt:lpstr>Tax Calulation              </vt:lpstr>
      <vt:lpstr>WH Salary</vt:lpstr>
      <vt:lpstr>WH</vt:lpstr>
      <vt:lpstr>Tax Calulation             </vt:lpstr>
      <vt:lpstr>P Salary</vt:lpstr>
      <vt:lpstr>P</vt:lpstr>
      <vt:lpstr>Tax Calulation            </vt:lpstr>
      <vt:lpstr>QC Salary</vt:lpstr>
      <vt:lpstr>QC</vt:lpstr>
      <vt:lpstr>Tax Calulation           </vt:lpstr>
      <vt:lpstr>PP Salary</vt:lpstr>
      <vt:lpstr>PP</vt:lpstr>
      <vt:lpstr>Tax Calulation          </vt:lpstr>
      <vt:lpstr>D Salary</vt:lpstr>
      <vt:lpstr>D</vt:lpstr>
      <vt:lpstr>Tax Calulation         </vt:lpstr>
      <vt:lpstr>T Salary</vt:lpstr>
      <vt:lpstr>T</vt:lpstr>
      <vt:lpstr>Tax Calulation        </vt:lpstr>
      <vt:lpstr>12 Salary</vt:lpstr>
      <vt:lpstr>OFFICE</vt:lpstr>
      <vt:lpstr>Tax Calulation       </vt:lpstr>
      <vt:lpstr>总表</vt:lpstr>
      <vt:lpstr>AB</vt:lpstr>
      <vt:lpstr>ការចំណាយ</vt:lpstr>
      <vt:lpstr>CUT!Print_Area</vt:lpstr>
      <vt:lpstr>D!Print_Area</vt:lpstr>
      <vt:lpstr>OFFICE!Print_Area</vt:lpstr>
      <vt:lpstr>'OT Sunday '!Print_Area</vt:lpstr>
      <vt:lpstr>P!Print_Area</vt:lpstr>
      <vt:lpstr>PP!Print_Area</vt:lpstr>
      <vt:lpstr>QC!Print_Area</vt:lpstr>
      <vt:lpstr>'R'!Print_Area</vt:lpstr>
      <vt:lpstr>'S1'!Print_Area</vt:lpstr>
      <vt:lpstr>'S2'!Print_Area</vt:lpstr>
      <vt:lpstr>'S3'!Print_Area</vt:lpstr>
      <vt:lpstr>'S3 Salary'!Print_Area</vt:lpstr>
      <vt:lpstr>'S4'!Print_Area</vt:lpstr>
      <vt:lpstr>'S5'!Print_Area</vt:lpstr>
      <vt:lpstr>'S6'!Print_Area</vt:lpstr>
      <vt:lpstr>T!Print_Area</vt:lpstr>
      <vt:lpstr>WC!Print_Area</vt:lpstr>
      <vt:lpstr>WH!Print_Area</vt:lpstr>
      <vt:lpstr>ការចំណាយ!Print_Area</vt:lpstr>
      <vt:lpstr>总表!Print_Area</vt:lpstr>
    </vt:vector>
  </TitlesOfParts>
  <Company>chungfai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 RICH</dc:creator>
  <cp:lastModifiedBy>Windows User</cp:lastModifiedBy>
  <cp:lastPrinted>2024-11-22T06:09:41Z</cp:lastPrinted>
  <dcterms:created xsi:type="dcterms:W3CDTF">2002-03-10T01:58:49Z</dcterms:created>
  <dcterms:modified xsi:type="dcterms:W3CDTF">2024-11-22T06:34:01Z</dcterms:modified>
</cp:coreProperties>
</file>